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Fredy F\Documents\ALCALDIA TUNJUELITO\Convenio UMV\FORMULACION NUEVO PROCESO VIAS Y ANDENES\"/>
    </mc:Choice>
  </mc:AlternateContent>
  <xr:revisionPtr revIDLastSave="0" documentId="13_ncr:1_{E3D99141-14B5-4006-9394-FDEB28B75580}" xr6:coauthVersionLast="47" xr6:coauthVersionMax="47" xr10:uidLastSave="{00000000-0000-0000-0000-000000000000}"/>
  <bookViews>
    <workbookView xWindow="-108" yWindow="-108" windowWidth="23256" windowHeight="12456" tabRatio="657" xr2:uid="{00000000-000D-0000-FFFF-FFFF00000000}"/>
  </bookViews>
  <sheets>
    <sheet name="PRESUPUESTO OFICIAL (Entidad)" sheetId="54" r:id="rId1"/>
    <sheet name="PRECIOS DE REFERENCIA APU" sheetId="56" state="hidden" r:id="rId2"/>
    <sheet name="PRECIOS DE REFERENCIA INSUMOS" sheetId="57" state="hidden" r:id="rId3"/>
    <sheet name="FORMULARIO 1 PROPUESTA ECONOMIC" sheetId="55" state="hidden" r:id="rId4"/>
    <sheet name="AIU FLDT" sheetId="43" r:id="rId5"/>
    <sheet name="CÁLCULO FACTOR MULTIPLICADOR" sheetId="44" r:id="rId6"/>
    <sheet name="COMPONENTE AMBIENTAL" sheetId="45" r:id="rId7"/>
    <sheet name="AIU COMP. AMBIENTAL" sheetId="46" r:id="rId8"/>
    <sheet name="COMPONENTE SOCIAL" sheetId="47" r:id="rId9"/>
    <sheet name="AIU COMP. SOCIAL" sheetId="48" r:id="rId10"/>
    <sheet name="COMPONENTE PMT" sheetId="49" r:id="rId11"/>
    <sheet name="AIU COMP. PMT" sheetId="50" r:id="rId12"/>
    <sheet name="PRECIOS IDU 2025" sheetId="1" state="hidden" r:id="rId13"/>
    <sheet name="PRECIOS INSUMOS IDU 2025" sheetId="42" state="hidden" r:id="rId14"/>
    <sheet name="PRIORIZACION MALLA VIAL URB" sheetId="25" state="hidden" r:id="rId15"/>
    <sheet name="PRIORIZACION MALLA VIAL RUR" sheetId="33" state="hidden" r:id="rId16"/>
    <sheet name="PPTO RIGIDOS RECONS" sheetId="11" state="hidden" r:id="rId17"/>
    <sheet name="PPTO FLEXIBLE RECONS" sheetId="18" state="hidden" r:id="rId18"/>
    <sheet name="PPTO FLEXIBLE RECONS RUR" sheetId="36" state="hidden" r:id="rId19"/>
    <sheet name="PPTO RIGIDOS REHAB" sheetId="16" state="hidden" r:id="rId20"/>
    <sheet name="PPTO FLEXIBLE REHAB" sheetId="21" state="hidden" r:id="rId21"/>
    <sheet name="PPTO RIGIDOS MANT" sheetId="17" state="hidden" r:id="rId22"/>
    <sheet name="PPTO FLEXIBLE MANT" sheetId="20" state="hidden" r:id="rId23"/>
    <sheet name="LISTADO CIV RIGIDOS" sheetId="9" state="hidden" r:id="rId24"/>
    <sheet name="Hoja3" sheetId="28" state="hidden" r:id="rId25"/>
    <sheet name="LISTADO CIV FLEXIBLES" sheetId="27" state="hidden" r:id="rId26"/>
    <sheet name="CONSOL CIV URB DESC $" sheetId="22" state="hidden" r:id="rId27"/>
    <sheet name="Hoja13" sheetId="38" state="hidden" r:id="rId28"/>
    <sheet name="CONSOL CIV RUR $" sheetId="39" state="hidden"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______EST1" localSheetId="2">#REF!</definedName>
    <definedName name="_______________EST1">#REF!</definedName>
    <definedName name="_______________EST10" localSheetId="2">#REF!</definedName>
    <definedName name="_______________EST10">#REF!</definedName>
    <definedName name="_______________EST11" localSheetId="2">#REF!</definedName>
    <definedName name="_______________EST11">#REF!</definedName>
    <definedName name="_______________EST12" localSheetId="2">#REF!</definedName>
    <definedName name="_______________EST12">#REF!</definedName>
    <definedName name="_______________EST13" localSheetId="2">#REF!</definedName>
    <definedName name="_______________EST13">#REF!</definedName>
    <definedName name="_______________EST14" localSheetId="2">#REF!</definedName>
    <definedName name="_______________EST14">#REF!</definedName>
    <definedName name="_______________EST15" localSheetId="2">#REF!</definedName>
    <definedName name="_______________EST15">#REF!</definedName>
    <definedName name="_______________EST16" localSheetId="2">#REF!</definedName>
    <definedName name="_______________EST16">#REF!</definedName>
    <definedName name="_______________EST17" localSheetId="2">#REF!</definedName>
    <definedName name="_______________EST17">#REF!</definedName>
    <definedName name="_______________EST18" localSheetId="2">#REF!</definedName>
    <definedName name="_______________EST18">#REF!</definedName>
    <definedName name="_______________EST19" localSheetId="2">#REF!</definedName>
    <definedName name="_______________EST19">#REF!</definedName>
    <definedName name="_______________EST2" localSheetId="2">#REF!</definedName>
    <definedName name="_______________EST2">#REF!</definedName>
    <definedName name="_______________EST3" localSheetId="2">#REF!</definedName>
    <definedName name="_______________EST3">#REF!</definedName>
    <definedName name="_______________EST4" localSheetId="2">#REF!</definedName>
    <definedName name="_______________EST4">#REF!</definedName>
    <definedName name="_______________EST5" localSheetId="2">#REF!</definedName>
    <definedName name="_______________EST5">#REF!</definedName>
    <definedName name="_______________EST6" localSheetId="2">#REF!</definedName>
    <definedName name="_______________EST6">#REF!</definedName>
    <definedName name="_______________EST7" localSheetId="2">#REF!</definedName>
    <definedName name="_______________EST7">#REF!</definedName>
    <definedName name="_______________EST8" localSheetId="2">#REF!</definedName>
    <definedName name="_______________EST8">#REF!</definedName>
    <definedName name="_______________EST9" localSheetId="2">#REF!</definedName>
    <definedName name="_______________EST9">#REF!</definedName>
    <definedName name="_______________EXC1" localSheetId="2">#REF!</definedName>
    <definedName name="_______________EXC1">#REF!</definedName>
    <definedName name="_______________EXC10" localSheetId="2">#REF!</definedName>
    <definedName name="_______________EXC10">#REF!</definedName>
    <definedName name="_______________EXC11" localSheetId="2">#REF!</definedName>
    <definedName name="_______________EXC11">#REF!</definedName>
    <definedName name="_______________EXC12" localSheetId="2">#REF!</definedName>
    <definedName name="_______________EXC12">#REF!</definedName>
    <definedName name="_______________EXC2" localSheetId="2">#REF!</definedName>
    <definedName name="_______________EXC2">#REF!</definedName>
    <definedName name="_______________EXC3" localSheetId="2">#REF!</definedName>
    <definedName name="_______________EXC3">#REF!</definedName>
    <definedName name="_______________EXC4" localSheetId="2">#REF!</definedName>
    <definedName name="_______________EXC4">#REF!</definedName>
    <definedName name="_______________EXC5" localSheetId="2">#REF!</definedName>
    <definedName name="_______________EXC5">#REF!</definedName>
    <definedName name="_______________EXC6" localSheetId="2">#REF!</definedName>
    <definedName name="_______________EXC6">#REF!</definedName>
    <definedName name="_______________EXC7" localSheetId="2">#REF!</definedName>
    <definedName name="_______________EXC7">#REF!</definedName>
    <definedName name="_______________EXC8" localSheetId="2">#REF!</definedName>
    <definedName name="_______________EXC8">#REF!</definedName>
    <definedName name="_______________EXC9" localSheetId="2">#REF!</definedName>
    <definedName name="_______________EXC9">#REF!</definedName>
    <definedName name="_____________EST1" localSheetId="2">#REF!</definedName>
    <definedName name="_____________EST1">#REF!</definedName>
    <definedName name="_____________EST10" localSheetId="2">#REF!</definedName>
    <definedName name="_____________EST10">#REF!</definedName>
    <definedName name="_____________EST11" localSheetId="2">#REF!</definedName>
    <definedName name="_____________EST11">#REF!</definedName>
    <definedName name="_____________EST12" localSheetId="2">#REF!</definedName>
    <definedName name="_____________EST12">#REF!</definedName>
    <definedName name="_____________EST13" localSheetId="2">#REF!</definedName>
    <definedName name="_____________EST13">#REF!</definedName>
    <definedName name="_____________EST14" localSheetId="2">#REF!</definedName>
    <definedName name="_____________EST14">#REF!</definedName>
    <definedName name="_____________EST15" localSheetId="2">#REF!</definedName>
    <definedName name="_____________EST15">#REF!</definedName>
    <definedName name="_____________EST16" localSheetId="2">#REF!</definedName>
    <definedName name="_____________EST16">#REF!</definedName>
    <definedName name="_____________EST17" localSheetId="2">#REF!</definedName>
    <definedName name="_____________EST17">#REF!</definedName>
    <definedName name="_____________EST18" localSheetId="2">#REF!</definedName>
    <definedName name="_____________EST18">#REF!</definedName>
    <definedName name="_____________EST19" localSheetId="2">#REF!</definedName>
    <definedName name="_____________EST19">#REF!</definedName>
    <definedName name="_____________EST2" localSheetId="2">#REF!</definedName>
    <definedName name="_____________EST2">#REF!</definedName>
    <definedName name="_____________EST3" localSheetId="2">#REF!</definedName>
    <definedName name="_____________EST3">#REF!</definedName>
    <definedName name="_____________EST4" localSheetId="2">#REF!</definedName>
    <definedName name="_____________EST4">#REF!</definedName>
    <definedName name="_____________EST5" localSheetId="2">#REF!</definedName>
    <definedName name="_____________EST5">#REF!</definedName>
    <definedName name="_____________EST6" localSheetId="2">#REF!</definedName>
    <definedName name="_____________EST6">#REF!</definedName>
    <definedName name="_____________EST7" localSheetId="2">#REF!</definedName>
    <definedName name="_____________EST7">#REF!</definedName>
    <definedName name="_____________EST8" localSheetId="2">#REF!</definedName>
    <definedName name="_____________EST8">#REF!</definedName>
    <definedName name="_____________EST9" localSheetId="2">#REF!</definedName>
    <definedName name="_____________EST9">#REF!</definedName>
    <definedName name="_____________EXC1" localSheetId="2">#REF!</definedName>
    <definedName name="_____________EXC1">#REF!</definedName>
    <definedName name="_____________EXC10" localSheetId="2">#REF!</definedName>
    <definedName name="_____________EXC10">#REF!</definedName>
    <definedName name="_____________EXC11" localSheetId="2">#REF!</definedName>
    <definedName name="_____________EXC11">#REF!</definedName>
    <definedName name="_____________EXC12" localSheetId="2">#REF!</definedName>
    <definedName name="_____________EXC12">#REF!</definedName>
    <definedName name="_____________EXC2" localSheetId="2">#REF!</definedName>
    <definedName name="_____________EXC2">#REF!</definedName>
    <definedName name="_____________EXC3" localSheetId="2">#REF!</definedName>
    <definedName name="_____________EXC3">#REF!</definedName>
    <definedName name="_____________EXC4" localSheetId="2">#REF!</definedName>
    <definedName name="_____________EXC4">#REF!</definedName>
    <definedName name="_____________EXC5" localSheetId="2">#REF!</definedName>
    <definedName name="_____________EXC5">#REF!</definedName>
    <definedName name="_____________EXC6" localSheetId="2">#REF!</definedName>
    <definedName name="_____________EXC6">#REF!</definedName>
    <definedName name="_____________EXC7" localSheetId="2">#REF!</definedName>
    <definedName name="_____________EXC7">#REF!</definedName>
    <definedName name="_____________EXC8" localSheetId="2">#REF!</definedName>
    <definedName name="_____________EXC8">#REF!</definedName>
    <definedName name="_____________EXC9" localSheetId="2">#REF!</definedName>
    <definedName name="_____________EXC9">#REF!</definedName>
    <definedName name="_____________ORO10" localSheetId="2">#REF!</definedName>
    <definedName name="_____________ORO10">#REF!</definedName>
    <definedName name="_____________ORO11" localSheetId="2">#REF!</definedName>
    <definedName name="_____________ORO11">#REF!</definedName>
    <definedName name="_____________ORO12" localSheetId="2">#REF!</definedName>
    <definedName name="_____________ORO12">#REF!</definedName>
    <definedName name="_____________ORO13" localSheetId="2">#REF!</definedName>
    <definedName name="_____________ORO13">#REF!</definedName>
    <definedName name="_____________ORO14" localSheetId="2">#REF!</definedName>
    <definedName name="_____________ORO14">#REF!</definedName>
    <definedName name="_____________ORO15" localSheetId="2">#REF!</definedName>
    <definedName name="_____________ORO15">#REF!</definedName>
    <definedName name="_____________ORO16" localSheetId="2">#REF!</definedName>
    <definedName name="_____________ORO16">#REF!</definedName>
    <definedName name="_____________ORO17" localSheetId="2">#REF!</definedName>
    <definedName name="_____________ORO17">#REF!</definedName>
    <definedName name="_____________ORO18" localSheetId="2">#REF!</definedName>
    <definedName name="_____________ORO18">#REF!</definedName>
    <definedName name="_____________ORO19" localSheetId="2">#REF!</definedName>
    <definedName name="_____________ORO19">#REF!</definedName>
    <definedName name="____________EST1" localSheetId="2">#REF!</definedName>
    <definedName name="____________EST1">#REF!</definedName>
    <definedName name="____________EST10" localSheetId="2">#REF!</definedName>
    <definedName name="____________EST10">#REF!</definedName>
    <definedName name="____________EST11" localSheetId="2">#REF!</definedName>
    <definedName name="____________EST11">#REF!</definedName>
    <definedName name="____________EST12" localSheetId="2">#REF!</definedName>
    <definedName name="____________EST12">#REF!</definedName>
    <definedName name="____________EST13" localSheetId="2">#REF!</definedName>
    <definedName name="____________EST13">#REF!</definedName>
    <definedName name="____________EST14" localSheetId="2">#REF!</definedName>
    <definedName name="____________EST14">#REF!</definedName>
    <definedName name="____________EST15" localSheetId="2">#REF!</definedName>
    <definedName name="____________EST15">#REF!</definedName>
    <definedName name="____________EST16" localSheetId="2">#REF!</definedName>
    <definedName name="____________EST16">#REF!</definedName>
    <definedName name="____________EST17" localSheetId="2">#REF!</definedName>
    <definedName name="____________EST17">#REF!</definedName>
    <definedName name="____________EST18" localSheetId="2">#REF!</definedName>
    <definedName name="____________EST18">#REF!</definedName>
    <definedName name="____________EST19" localSheetId="2">#REF!</definedName>
    <definedName name="____________EST19">#REF!</definedName>
    <definedName name="____________EST2" localSheetId="2">#REF!</definedName>
    <definedName name="____________EST2">#REF!</definedName>
    <definedName name="____________EST3" localSheetId="2">#REF!</definedName>
    <definedName name="____________EST3">#REF!</definedName>
    <definedName name="____________EST4" localSheetId="2">#REF!</definedName>
    <definedName name="____________EST4">#REF!</definedName>
    <definedName name="____________EST5" localSheetId="2">#REF!</definedName>
    <definedName name="____________EST5">#REF!</definedName>
    <definedName name="____________EST6" localSheetId="2">#REF!</definedName>
    <definedName name="____________EST6">#REF!</definedName>
    <definedName name="____________EST7" localSheetId="2">#REF!</definedName>
    <definedName name="____________EST7">#REF!</definedName>
    <definedName name="____________EST8" localSheetId="2">#REF!</definedName>
    <definedName name="____________EST8">#REF!</definedName>
    <definedName name="____________EST9" localSheetId="2">#REF!</definedName>
    <definedName name="____________EST9">#REF!</definedName>
    <definedName name="____________EXC1" localSheetId="2">#REF!</definedName>
    <definedName name="____________EXC1">#REF!</definedName>
    <definedName name="____________EXC10" localSheetId="2">#REF!</definedName>
    <definedName name="____________EXC10">#REF!</definedName>
    <definedName name="____________EXC11" localSheetId="2">#REF!</definedName>
    <definedName name="____________EXC11">#REF!</definedName>
    <definedName name="____________EXC12" localSheetId="2">#REF!</definedName>
    <definedName name="____________EXC12">#REF!</definedName>
    <definedName name="____________EXC2" localSheetId="2">#REF!</definedName>
    <definedName name="____________EXC2">#REF!</definedName>
    <definedName name="____________EXC3" localSheetId="2">#REF!</definedName>
    <definedName name="____________EXC3">#REF!</definedName>
    <definedName name="____________EXC4" localSheetId="2">#REF!</definedName>
    <definedName name="____________EXC4">#REF!</definedName>
    <definedName name="____________EXC5" localSheetId="2">#REF!</definedName>
    <definedName name="____________EXC5">#REF!</definedName>
    <definedName name="____________EXC6" localSheetId="2">#REF!</definedName>
    <definedName name="____________EXC6">#REF!</definedName>
    <definedName name="____________EXC7" localSheetId="2">#REF!</definedName>
    <definedName name="____________EXC7">#REF!</definedName>
    <definedName name="____________EXC8" localSheetId="2">#REF!</definedName>
    <definedName name="____________EXC8">#REF!</definedName>
    <definedName name="____________EXC9" localSheetId="2">#REF!</definedName>
    <definedName name="____________EXC9">#REF!</definedName>
    <definedName name="___________EST1" localSheetId="2">#REF!</definedName>
    <definedName name="___________EST1">#REF!</definedName>
    <definedName name="___________EST10" localSheetId="2">#REF!</definedName>
    <definedName name="___________EST10">#REF!</definedName>
    <definedName name="___________EST11" localSheetId="2">#REF!</definedName>
    <definedName name="___________EST11">#REF!</definedName>
    <definedName name="___________EST12" localSheetId="2">#REF!</definedName>
    <definedName name="___________EST12">#REF!</definedName>
    <definedName name="___________EST13" localSheetId="2">#REF!</definedName>
    <definedName name="___________EST13">#REF!</definedName>
    <definedName name="___________EST14" localSheetId="2">#REF!</definedName>
    <definedName name="___________EST14">#REF!</definedName>
    <definedName name="___________EST15" localSheetId="2">#REF!</definedName>
    <definedName name="___________EST15">#REF!</definedName>
    <definedName name="___________EST16" localSheetId="2">#REF!</definedName>
    <definedName name="___________EST16">#REF!</definedName>
    <definedName name="___________EST17" localSheetId="2">#REF!</definedName>
    <definedName name="___________EST17">#REF!</definedName>
    <definedName name="___________EST18" localSheetId="2">#REF!</definedName>
    <definedName name="___________EST18">#REF!</definedName>
    <definedName name="___________EST19" localSheetId="2">#REF!</definedName>
    <definedName name="___________EST19">#REF!</definedName>
    <definedName name="___________EST2" localSheetId="2">#REF!</definedName>
    <definedName name="___________EST2">#REF!</definedName>
    <definedName name="___________EST3" localSheetId="2">#REF!</definedName>
    <definedName name="___________EST3">#REF!</definedName>
    <definedName name="___________EST4" localSheetId="2">#REF!</definedName>
    <definedName name="___________EST4">#REF!</definedName>
    <definedName name="___________EST5" localSheetId="2">#REF!</definedName>
    <definedName name="___________EST5">#REF!</definedName>
    <definedName name="___________EST6" localSheetId="2">#REF!</definedName>
    <definedName name="___________EST6">#REF!</definedName>
    <definedName name="___________EST7" localSheetId="2">#REF!</definedName>
    <definedName name="___________EST7">#REF!</definedName>
    <definedName name="___________EST8" localSheetId="2">#REF!</definedName>
    <definedName name="___________EST8">#REF!</definedName>
    <definedName name="___________EST9" localSheetId="2">#REF!</definedName>
    <definedName name="___________EST9">#REF!</definedName>
    <definedName name="___________EXC1" localSheetId="2">#REF!</definedName>
    <definedName name="___________EXC1">#REF!</definedName>
    <definedName name="___________EXC10" localSheetId="2">#REF!</definedName>
    <definedName name="___________EXC10">#REF!</definedName>
    <definedName name="___________EXC11" localSheetId="2">#REF!</definedName>
    <definedName name="___________EXC11">#REF!</definedName>
    <definedName name="___________EXC12" localSheetId="2">#REF!</definedName>
    <definedName name="___________EXC12">#REF!</definedName>
    <definedName name="___________EXC2" localSheetId="2">#REF!</definedName>
    <definedName name="___________EXC2">#REF!</definedName>
    <definedName name="___________EXC3" localSheetId="2">#REF!</definedName>
    <definedName name="___________EXC3">#REF!</definedName>
    <definedName name="___________EXC4" localSheetId="2">#REF!</definedName>
    <definedName name="___________EXC4">#REF!</definedName>
    <definedName name="___________EXC5" localSheetId="2">#REF!</definedName>
    <definedName name="___________EXC5">#REF!</definedName>
    <definedName name="___________EXC6" localSheetId="2">#REF!</definedName>
    <definedName name="___________EXC6">#REF!</definedName>
    <definedName name="___________EXC7" localSheetId="2">#REF!</definedName>
    <definedName name="___________EXC7">#REF!</definedName>
    <definedName name="___________EXC8" localSheetId="2">#REF!</definedName>
    <definedName name="___________EXC8">#REF!</definedName>
    <definedName name="___________EXC9" localSheetId="2">#REF!</definedName>
    <definedName name="___________EXC9">#REF!</definedName>
    <definedName name="___________ORO10" localSheetId="2">#REF!</definedName>
    <definedName name="___________ORO10">#REF!</definedName>
    <definedName name="___________ORO11" localSheetId="2">#REF!</definedName>
    <definedName name="___________ORO11">#REF!</definedName>
    <definedName name="___________ORO12" localSheetId="2">#REF!</definedName>
    <definedName name="___________ORO12">#REF!</definedName>
    <definedName name="___________ORO13" localSheetId="2">#REF!</definedName>
    <definedName name="___________ORO13">#REF!</definedName>
    <definedName name="___________ORO14" localSheetId="2">#REF!</definedName>
    <definedName name="___________ORO14">#REF!</definedName>
    <definedName name="___________ORO15" localSheetId="2">#REF!</definedName>
    <definedName name="___________ORO15">#REF!</definedName>
    <definedName name="___________ORO16" localSheetId="2">#REF!</definedName>
    <definedName name="___________ORO16">#REF!</definedName>
    <definedName name="___________ORO17" localSheetId="2">#REF!</definedName>
    <definedName name="___________ORO17">#REF!</definedName>
    <definedName name="___________ORO18" localSheetId="2">#REF!</definedName>
    <definedName name="___________ORO18">#REF!</definedName>
    <definedName name="___________ORO19" localSheetId="2">#REF!</definedName>
    <definedName name="___________ORO19">#REF!</definedName>
    <definedName name="___________tab1" localSheetId="2">#REF!</definedName>
    <definedName name="___________tab1">#REF!</definedName>
    <definedName name="___________tab2" localSheetId="2">#REF!</definedName>
    <definedName name="___________tab2">#REF!</definedName>
    <definedName name="___________tab3" localSheetId="2">#REF!</definedName>
    <definedName name="___________tab3">#REF!</definedName>
    <definedName name="___________TAB4" localSheetId="2">#REF!</definedName>
    <definedName name="___________TAB4">#REF!</definedName>
    <definedName name="__________ORO10" localSheetId="2">#REF!</definedName>
    <definedName name="__________ORO10">#REF!</definedName>
    <definedName name="__________ORO11" localSheetId="2">#REF!</definedName>
    <definedName name="__________ORO11">#REF!</definedName>
    <definedName name="__________ORO12" localSheetId="2">#REF!</definedName>
    <definedName name="__________ORO12">#REF!</definedName>
    <definedName name="__________ORO13" localSheetId="2">#REF!</definedName>
    <definedName name="__________ORO13">#REF!</definedName>
    <definedName name="__________ORO14" localSheetId="2">#REF!</definedName>
    <definedName name="__________ORO14">#REF!</definedName>
    <definedName name="__________ORO15" localSheetId="2">#REF!</definedName>
    <definedName name="__________ORO15">#REF!</definedName>
    <definedName name="__________ORO16" localSheetId="2">#REF!</definedName>
    <definedName name="__________ORO16">#REF!</definedName>
    <definedName name="__________ORO17" localSheetId="2">#REF!</definedName>
    <definedName name="__________ORO17">#REF!</definedName>
    <definedName name="__________ORO18" localSheetId="2">#REF!</definedName>
    <definedName name="__________ORO18">#REF!</definedName>
    <definedName name="__________ORO19" localSheetId="2">#REF!</definedName>
    <definedName name="__________ORO19">#REF!</definedName>
    <definedName name="__________PMT5671" localSheetId="2">#REF!</definedName>
    <definedName name="__________PMT5671">#REF!</definedName>
    <definedName name="__________PMT5805" localSheetId="2">#REF!</definedName>
    <definedName name="__________PMT5805">#REF!</definedName>
    <definedName name="__________PMT5806" localSheetId="2">#REF!</definedName>
    <definedName name="__________PMT5806">#REF!</definedName>
    <definedName name="__________PMT5815" localSheetId="2">#REF!</definedName>
    <definedName name="__________PMT5815">#REF!</definedName>
    <definedName name="__________PMT5820" localSheetId="2">#REF!</definedName>
    <definedName name="__________PMT5820">#REF!</definedName>
    <definedName name="__________tab1" localSheetId="2">#REF!</definedName>
    <definedName name="__________tab1">#REF!</definedName>
    <definedName name="__________tab2" localSheetId="2">#REF!</definedName>
    <definedName name="__________tab2">#REF!</definedName>
    <definedName name="__________tab3" localSheetId="2">#REF!</definedName>
    <definedName name="__________tab3">#REF!</definedName>
    <definedName name="__________TAB4" localSheetId="2">#REF!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PMT5671" localSheetId="2">#REF!</definedName>
    <definedName name="_________PMT5671">#REF!</definedName>
    <definedName name="_________PMT5805" localSheetId="2">#REF!</definedName>
    <definedName name="_________PMT5805">#REF!</definedName>
    <definedName name="_________PMT5806" localSheetId="2">#REF!</definedName>
    <definedName name="_________PMT5806">#REF!</definedName>
    <definedName name="_________PMT5815" localSheetId="2">#REF!</definedName>
    <definedName name="_________PMT5815">#REF!</definedName>
    <definedName name="_________PMT5820" localSheetId="2">#REF!</definedName>
    <definedName name="_________PMT5820">#REF!</definedName>
    <definedName name="_________SBC1">[6]INV!$A$12:$D$15</definedName>
    <definedName name="_________SBC3">[6]INV!$F$12:$I$15</definedName>
    <definedName name="_________SBC5">[6]INV!$K$12:$N$15</definedName>
    <definedName name="_________tab1" localSheetId="2">#REF!</definedName>
    <definedName name="_________tab1">#REF!</definedName>
    <definedName name="_________tab2" localSheetId="2">#REF!</definedName>
    <definedName name="_________tab2">#REF!</definedName>
    <definedName name="_________tab3" localSheetId="2">#REF!</definedName>
    <definedName name="_________tab3">#REF!</definedName>
    <definedName name="_________TAB4" localSheetId="2">#REF!</definedName>
    <definedName name="_________TAB4">#REF!</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XC6" localSheetId="2">#REF!</definedName>
    <definedName name="________EXC6">#REF!</definedName>
    <definedName name="________EXC7" localSheetId="2">#REF!</definedName>
    <definedName name="________EXC7">#REF!</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ORO10" localSheetId="2">#REF!</definedName>
    <definedName name="________ORO10">#REF!</definedName>
    <definedName name="________ORO11" localSheetId="2">#REF!</definedName>
    <definedName name="________ORO11">#REF!</definedName>
    <definedName name="________ORO12" localSheetId="2">#REF!</definedName>
    <definedName name="________ORO12">#REF!</definedName>
    <definedName name="________ORO13" localSheetId="2">#REF!</definedName>
    <definedName name="________ORO13">#REF!</definedName>
    <definedName name="________ORO14" localSheetId="2">#REF!</definedName>
    <definedName name="________ORO14">#REF!</definedName>
    <definedName name="________ORO15" localSheetId="2">#REF!</definedName>
    <definedName name="________ORO15">#REF!</definedName>
    <definedName name="________ORO16" localSheetId="2">#REF!</definedName>
    <definedName name="________ORO16">#REF!</definedName>
    <definedName name="________ORO17" localSheetId="2">#REF!</definedName>
    <definedName name="________ORO17">#REF!</definedName>
    <definedName name="________ORO18" localSheetId="2">#REF!</definedName>
    <definedName name="________ORO18">#REF!</definedName>
    <definedName name="________ORO19" localSheetId="2">#REF!</definedName>
    <definedName name="________ORO19">#REF!</definedName>
    <definedName name="________PJ50" localSheetId="2">#REF!</definedName>
    <definedName name="________PJ50">#REF!</definedName>
    <definedName name="________PMT5671" localSheetId="2">#REF!</definedName>
    <definedName name="________PMT5671">#REF!</definedName>
    <definedName name="________PMT5805" localSheetId="2">#REF!</definedName>
    <definedName name="________PMT5805">#REF!</definedName>
    <definedName name="________PMT5806" localSheetId="2">#REF!</definedName>
    <definedName name="________PMT5806">#REF!</definedName>
    <definedName name="________PMT5815" localSheetId="2">#REF!</definedName>
    <definedName name="________PMT5815">#REF!</definedName>
    <definedName name="________PMT5820" localSheetId="2">#REF!</definedName>
    <definedName name="________PMT5820">#REF!</definedName>
    <definedName name="________r" localSheetId="2">#REF!</definedName>
    <definedName name="________r">#REF!</definedName>
    <definedName name="________SBC1">[6]INV!$A$12:$D$15</definedName>
    <definedName name="________SBC3">[6]INV!$F$12:$I$15</definedName>
    <definedName name="________SBC5">[6]INV!$K$12:$N$15</definedName>
    <definedName name="________tab1" localSheetId="2">#REF!</definedName>
    <definedName name="________tab1">#REF!</definedName>
    <definedName name="________tab2" localSheetId="2">#REF!</definedName>
    <definedName name="________tab2">#REF!</definedName>
    <definedName name="________tab3" localSheetId="2">#REF!</definedName>
    <definedName name="________tab3">#REF!</definedName>
    <definedName name="________TAB4" localSheetId="2">#REF!</definedName>
    <definedName name="________TAB4">#REF!</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 localSheetId="2">#REF!</definedName>
    <definedName name="_______EST1">#REF!</definedName>
    <definedName name="_______EST10" localSheetId="2">#REF!</definedName>
    <definedName name="_______EST10">#REF!</definedName>
    <definedName name="_______EST11" localSheetId="2">#REF!</definedName>
    <definedName name="_______EST11">#REF!</definedName>
    <definedName name="_______EST12" localSheetId="2">#REF!</definedName>
    <definedName name="_______EST12">#REF!</definedName>
    <definedName name="_______EST13" localSheetId="2">#REF!</definedName>
    <definedName name="_______EST13">#REF!</definedName>
    <definedName name="_______EST14" localSheetId="2">#REF!</definedName>
    <definedName name="_______EST14">#REF!</definedName>
    <definedName name="_______EST15" localSheetId="2">#REF!</definedName>
    <definedName name="_______EST15">#REF!</definedName>
    <definedName name="_______EST16" localSheetId="2">#REF!</definedName>
    <definedName name="_______EST16">#REF!</definedName>
    <definedName name="_______EST17" localSheetId="2">#REF!</definedName>
    <definedName name="_______EST17">#REF!</definedName>
    <definedName name="_______EST18" localSheetId="2">#REF!</definedName>
    <definedName name="_______EST18">#REF!</definedName>
    <definedName name="_______EST19" localSheetId="2">#REF!</definedName>
    <definedName name="_______EST19">#REF!</definedName>
    <definedName name="_______EST2" localSheetId="2">#REF!</definedName>
    <definedName name="_______EST2">#REF!</definedName>
    <definedName name="_______EST3" localSheetId="2">#REF!</definedName>
    <definedName name="_______EST3">#REF!</definedName>
    <definedName name="_______EST4" localSheetId="2">#REF!</definedName>
    <definedName name="_______EST4">#REF!</definedName>
    <definedName name="_______EST5" localSheetId="2">#REF!</definedName>
    <definedName name="_______EST5">#REF!</definedName>
    <definedName name="_______EST6" localSheetId="2">#REF!</definedName>
    <definedName name="_______EST6">#REF!</definedName>
    <definedName name="_______EST7" localSheetId="2">#REF!</definedName>
    <definedName name="_______EST7">#REF!</definedName>
    <definedName name="_______EST8" localSheetId="2">#REF!</definedName>
    <definedName name="_______EST8">#REF!</definedName>
    <definedName name="_______EST9" localSheetId="2">#REF!</definedName>
    <definedName name="_______EST9">#REF!</definedName>
    <definedName name="_______EXC1" localSheetId="2">#REF!</definedName>
    <definedName name="_______EXC1">#REF!</definedName>
    <definedName name="_______EXC10" localSheetId="2">#REF!</definedName>
    <definedName name="_______EXC10">#REF!</definedName>
    <definedName name="_______EXC11" localSheetId="2">#REF!</definedName>
    <definedName name="_______EXC11">#REF!</definedName>
    <definedName name="_______EXC12" localSheetId="2">#REF!</definedName>
    <definedName name="_______EXC12">#REF!</definedName>
    <definedName name="_______EXC2" localSheetId="2">#REF!</definedName>
    <definedName name="_______EXC2">#REF!</definedName>
    <definedName name="_______EXC3" localSheetId="2">#REF!</definedName>
    <definedName name="_______EXC3">#REF!</definedName>
    <definedName name="_______EXC4" localSheetId="2">#REF!</definedName>
    <definedName name="_______EXC4">#REF!</definedName>
    <definedName name="_______EXC5" localSheetId="2">#REF!</definedName>
    <definedName name="_______EXC5">#REF!</definedName>
    <definedName name="_______EXC8" localSheetId="2">#REF!</definedName>
    <definedName name="_______EXC8">#REF!</definedName>
    <definedName name="_______EXC9" localSheetId="2">#REF!</definedName>
    <definedName name="_______EXC9">#REF!</definedName>
    <definedName name="_______MA2" localSheetId="2">#REF!</definedName>
    <definedName name="_______MA2">#REF!</definedName>
    <definedName name="_______PJ50" localSheetId="2">#REF!</definedName>
    <definedName name="_______PJ50">#REF!</definedName>
    <definedName name="_______r" localSheetId="2">#REF!</definedName>
    <definedName name="_______r">#REF!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 localSheetId="2">#REF!</definedName>
    <definedName name="______EST1">#REF!</definedName>
    <definedName name="______EST10" localSheetId="2">#REF!</definedName>
    <definedName name="______EST10">#REF!</definedName>
    <definedName name="______EST11" localSheetId="2">#REF!</definedName>
    <definedName name="______EST11">#REF!</definedName>
    <definedName name="______EST12" localSheetId="2">#REF!</definedName>
    <definedName name="______EST12">#REF!</definedName>
    <definedName name="______EST13" localSheetId="2">#REF!</definedName>
    <definedName name="______EST13">#REF!</definedName>
    <definedName name="______EST14" localSheetId="2">#REF!</definedName>
    <definedName name="______EST14">#REF!</definedName>
    <definedName name="______EST15" localSheetId="2">#REF!</definedName>
    <definedName name="______EST15">#REF!</definedName>
    <definedName name="______EST16" localSheetId="2">#REF!</definedName>
    <definedName name="______EST16">#REF!</definedName>
    <definedName name="______EST17" localSheetId="2">#REF!</definedName>
    <definedName name="______EST17">#REF!</definedName>
    <definedName name="______EST18" localSheetId="2">#REF!</definedName>
    <definedName name="______EST18">#REF!</definedName>
    <definedName name="______EST19" localSheetId="2">#REF!</definedName>
    <definedName name="______EST19">#REF!</definedName>
    <definedName name="______EST2" localSheetId="2">#REF!</definedName>
    <definedName name="______EST2">#REF!</definedName>
    <definedName name="______EST3" localSheetId="2">#REF!</definedName>
    <definedName name="______EST3">#REF!</definedName>
    <definedName name="______EST4" localSheetId="2">#REF!</definedName>
    <definedName name="______EST4">#REF!</definedName>
    <definedName name="______EST5" localSheetId="2">#REF!</definedName>
    <definedName name="______EST5">#REF!</definedName>
    <definedName name="______EST6" localSheetId="2">#REF!</definedName>
    <definedName name="______EST6">#REF!</definedName>
    <definedName name="______EST7" localSheetId="2">#REF!</definedName>
    <definedName name="______EST7">#REF!</definedName>
    <definedName name="______EST8" localSheetId="2">#REF!</definedName>
    <definedName name="______EST8">#REF!</definedName>
    <definedName name="______EST9" localSheetId="2">#REF!</definedName>
    <definedName name="______EST9">#REF!</definedName>
    <definedName name="______EXC1" localSheetId="2">#REF!</definedName>
    <definedName name="______EXC1">#REF!</definedName>
    <definedName name="______EXC10" localSheetId="2">#REF!</definedName>
    <definedName name="______EXC10">#REF!</definedName>
    <definedName name="______EXC11" localSheetId="2">#REF!</definedName>
    <definedName name="______EXC11">#REF!</definedName>
    <definedName name="______EXC12" localSheetId="2">#REF!</definedName>
    <definedName name="______EXC12">#REF!</definedName>
    <definedName name="______EXC2" localSheetId="2">#REF!</definedName>
    <definedName name="______EXC2">#REF!</definedName>
    <definedName name="______EXC3" localSheetId="2">#REF!</definedName>
    <definedName name="______EXC3">#REF!</definedName>
    <definedName name="______EXC4" localSheetId="2">#REF!</definedName>
    <definedName name="______EXC4">#REF!</definedName>
    <definedName name="______EXC5" localSheetId="2">#REF!</definedName>
    <definedName name="______EXC5">#REF!</definedName>
    <definedName name="______EXC6" localSheetId="2">#REF!</definedName>
    <definedName name="______EXC6">#REF!</definedName>
    <definedName name="______EXC7" localSheetId="2">#REF!</definedName>
    <definedName name="______EXC7">#REF!</definedName>
    <definedName name="______EXC8" localSheetId="2">#REF!</definedName>
    <definedName name="______EXC8">#REF!</definedName>
    <definedName name="______EXC9" localSheetId="2">#REF!</definedName>
    <definedName name="______EXC9">#REF!</definedName>
    <definedName name="______MA2" localSheetId="2">#REF!</definedName>
    <definedName name="______MA2">#REF!</definedName>
    <definedName name="______ORO10" localSheetId="2">#REF!</definedName>
    <definedName name="______ORO10">#REF!</definedName>
    <definedName name="______ORO11" localSheetId="2">#REF!</definedName>
    <definedName name="______ORO11">#REF!</definedName>
    <definedName name="______ORO12" localSheetId="2">#REF!</definedName>
    <definedName name="______ORO12">#REF!</definedName>
    <definedName name="______ORO13" localSheetId="2">#REF!</definedName>
    <definedName name="______ORO13">#REF!</definedName>
    <definedName name="______ORO14" localSheetId="2">#REF!</definedName>
    <definedName name="______ORO14">#REF!</definedName>
    <definedName name="______ORO15" localSheetId="2">#REF!</definedName>
    <definedName name="______ORO15">#REF!</definedName>
    <definedName name="______ORO16" localSheetId="2">#REF!</definedName>
    <definedName name="______ORO16">#REF!</definedName>
    <definedName name="______ORO17" localSheetId="2">#REF!</definedName>
    <definedName name="______ORO17">#REF!</definedName>
    <definedName name="______ORO18" localSheetId="2">#REF!</definedName>
    <definedName name="______ORO18">#REF!</definedName>
    <definedName name="______ORO19" localSheetId="2">#REF!</definedName>
    <definedName name="______ORO19">#REF!</definedName>
    <definedName name="______PJ50" localSheetId="2">#REF!</definedName>
    <definedName name="______PJ50">#REF!</definedName>
    <definedName name="______PMT5671" localSheetId="2">#REF!</definedName>
    <definedName name="______PMT5671">#REF!</definedName>
    <definedName name="______PMT5805" localSheetId="2">#REF!</definedName>
    <definedName name="______PMT5805">#REF!</definedName>
    <definedName name="______PMT5806" localSheetId="2">#REF!</definedName>
    <definedName name="______PMT5806">#REF!</definedName>
    <definedName name="______PMT5815" localSheetId="2">#REF!</definedName>
    <definedName name="______PMT5815">#REF!</definedName>
    <definedName name="______PMT5820" localSheetId="2">#REF!</definedName>
    <definedName name="______PMT582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r" localSheetId="2">#REF!</definedName>
    <definedName name="______r">#REF!</definedName>
    <definedName name="______SAL1" localSheetId="2">#REF!</definedName>
    <definedName name="______SAL1">#REF!</definedName>
    <definedName name="______SBC1">[6]INV!$A$12:$D$15</definedName>
    <definedName name="______SBC3">[6]INV!$F$12:$I$15</definedName>
    <definedName name="______SBC5">[6]INV!$K$12:$N$15</definedName>
    <definedName name="______tab1" localSheetId="2">#REF!</definedName>
    <definedName name="______tab1">#REF!</definedName>
    <definedName name="______tab2" localSheetId="2">#REF!</definedName>
    <definedName name="______tab2">#REF!</definedName>
    <definedName name="______tab3" localSheetId="2">#REF!</definedName>
    <definedName name="______tab3">#REF!</definedName>
    <definedName name="______TAB4" localSheetId="2">#REF!</definedName>
    <definedName name="______TAB4">#REF!</definedName>
    <definedName name="_____AFC1">[6]INV!$A$25:$D$28</definedName>
    <definedName name="_____AFC3">[6]INV!$F$25:$I$28</definedName>
    <definedName name="_____AFC5">[6]INV!$K$25:$N$28</definedName>
    <definedName name="_____ane7" localSheetId="28">[9]!_xlbgnm.ane7</definedName>
    <definedName name="_____ane7" localSheetId="3">[9]!_xlbgnm.ane7</definedName>
    <definedName name="_____ane7" localSheetId="22">[9]!_xlbgnm.ane7</definedName>
    <definedName name="_____ane7" localSheetId="17">[9]!_xlbgnm.ane7</definedName>
    <definedName name="_____ane7" localSheetId="18">[9]!_xlbgnm.ane7</definedName>
    <definedName name="_____ane7" localSheetId="20">[9]!_xlbgnm.ane7</definedName>
    <definedName name="_____ane7" localSheetId="21">[9]!_xlbgnm.ane7</definedName>
    <definedName name="_____ane7" localSheetId="16">[9]!_xlbgnm.ane7</definedName>
    <definedName name="_____ane7" localSheetId="19">[9]!_xlbgnm.ane7</definedName>
    <definedName name="_____ane7" localSheetId="2">[9]!_xlbgnm.ane7</definedName>
    <definedName name="_____ane7" localSheetId="13">[9]!_xlbgnm.ane7</definedName>
    <definedName name="_____ane7" localSheetId="0">[9]!_xlbgnm.ane7</definedName>
    <definedName name="_____ane7" localSheetId="15">[9]!_xlbgnm.ane7</definedName>
    <definedName name="_____ane7">[9]!_xlbgnm.ane7</definedName>
    <definedName name="_____ane8" localSheetId="28">[9]!_xlbgnm.ane8</definedName>
    <definedName name="_____ane8" localSheetId="3">[9]!_xlbgnm.ane8</definedName>
    <definedName name="_____ane8" localSheetId="22">[9]!_xlbgnm.ane8</definedName>
    <definedName name="_____ane8" localSheetId="17">[9]!_xlbgnm.ane8</definedName>
    <definedName name="_____ane8" localSheetId="18">[9]!_xlbgnm.ane8</definedName>
    <definedName name="_____ane8" localSheetId="20">[9]!_xlbgnm.ane8</definedName>
    <definedName name="_____ane8" localSheetId="21">[9]!_xlbgnm.ane8</definedName>
    <definedName name="_____ane8" localSheetId="16">[9]!_xlbgnm.ane8</definedName>
    <definedName name="_____ane8" localSheetId="19">[9]!_xlbgnm.ane8</definedName>
    <definedName name="_____ane8" localSheetId="2">[9]!_xlbgnm.ane8</definedName>
    <definedName name="_____ane8" localSheetId="13">[9]!_xlbgnm.ane8</definedName>
    <definedName name="_____ane8" localSheetId="0">[9]!_xlbgnm.ane8</definedName>
    <definedName name="_____ane8" localSheetId="15">[9]!_xlbgnm.ane8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EST1" localSheetId="2">#REF!</definedName>
    <definedName name="_____EST1">#REF!</definedName>
    <definedName name="_____EST10" localSheetId="2">#REF!</definedName>
    <definedName name="_____EST10">#REF!</definedName>
    <definedName name="_____EST11" localSheetId="2">#REF!</definedName>
    <definedName name="_____EST11">#REF!</definedName>
    <definedName name="_____EST12" localSheetId="2">#REF!</definedName>
    <definedName name="_____EST12">#REF!</definedName>
    <definedName name="_____EST13" localSheetId="2">#REF!</definedName>
    <definedName name="_____EST13">#REF!</definedName>
    <definedName name="_____EST14" localSheetId="2">#REF!</definedName>
    <definedName name="_____EST14">#REF!</definedName>
    <definedName name="_____EST15" localSheetId="2">#REF!</definedName>
    <definedName name="_____EST15">#REF!</definedName>
    <definedName name="_____EST16" localSheetId="2">#REF!</definedName>
    <definedName name="_____EST16">#REF!</definedName>
    <definedName name="_____EST17" localSheetId="2">#REF!</definedName>
    <definedName name="_____EST17">#REF!</definedName>
    <definedName name="_____EST18" localSheetId="2">#REF!</definedName>
    <definedName name="_____EST18">#REF!</definedName>
    <definedName name="_____EST19" localSheetId="2">#REF!</definedName>
    <definedName name="_____EST19">#REF!</definedName>
    <definedName name="_____EST2" localSheetId="2">#REF!</definedName>
    <definedName name="_____EST2">#REF!</definedName>
    <definedName name="_____EST3" localSheetId="2">#REF!</definedName>
    <definedName name="_____EST3">#REF!</definedName>
    <definedName name="_____EST4" localSheetId="2">#REF!</definedName>
    <definedName name="_____EST4">#REF!</definedName>
    <definedName name="_____EST5" localSheetId="2">#REF!</definedName>
    <definedName name="_____EST5">#REF!</definedName>
    <definedName name="_____EST6" localSheetId="2">#REF!</definedName>
    <definedName name="_____EST6">#REF!</definedName>
    <definedName name="_____EST7" localSheetId="2">#REF!</definedName>
    <definedName name="_____EST7">#REF!</definedName>
    <definedName name="_____EST8" localSheetId="2">#REF!</definedName>
    <definedName name="_____EST8">#REF!</definedName>
    <definedName name="_____EST9" localSheetId="2">#REF!</definedName>
    <definedName name="_____EST9">#REF!</definedName>
    <definedName name="_____EXC1" localSheetId="2">#REF!</definedName>
    <definedName name="_____EXC1">#REF!</definedName>
    <definedName name="_____EXC10" localSheetId="2">#REF!</definedName>
    <definedName name="_____EXC10">#REF!</definedName>
    <definedName name="_____EXC11" localSheetId="2">#REF!</definedName>
    <definedName name="_____EXC11">#REF!</definedName>
    <definedName name="_____EXC12" localSheetId="2">#REF!</definedName>
    <definedName name="_____EXC12">#REF!</definedName>
    <definedName name="_____EXC2" localSheetId="2">#REF!</definedName>
    <definedName name="_____EXC2">#REF!</definedName>
    <definedName name="_____EXC3" localSheetId="2">#REF!</definedName>
    <definedName name="_____EXC3">#REF!</definedName>
    <definedName name="_____EXC4" localSheetId="2">#REF!</definedName>
    <definedName name="_____EXC4">#REF!</definedName>
    <definedName name="_____EXC5" localSheetId="2">#REF!</definedName>
    <definedName name="_____EXC5">#REF!</definedName>
    <definedName name="_____EXC6" localSheetId="2">#REF!</definedName>
    <definedName name="_____EXC6">#REF!</definedName>
    <definedName name="_____EXC7" localSheetId="2">#REF!</definedName>
    <definedName name="_____EXC7">#REF!</definedName>
    <definedName name="_____EXC8" localSheetId="2">#REF!</definedName>
    <definedName name="_____EXC8">#REF!</definedName>
    <definedName name="_____EXC9" localSheetId="2">#REF!</definedName>
    <definedName name="_____EXC9">#REF!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ORO10" localSheetId="2">#REF!</definedName>
    <definedName name="_____ORO10">#REF!</definedName>
    <definedName name="_____ORO11" localSheetId="2">#REF!</definedName>
    <definedName name="_____ORO11">#REF!</definedName>
    <definedName name="_____ORO12" localSheetId="2">#REF!</definedName>
    <definedName name="_____ORO12">#REF!</definedName>
    <definedName name="_____ORO13" localSheetId="2">#REF!</definedName>
    <definedName name="_____ORO13">#REF!</definedName>
    <definedName name="_____ORO14" localSheetId="2">#REF!</definedName>
    <definedName name="_____ORO14">#REF!</definedName>
    <definedName name="_____ORO15" localSheetId="2">#REF!</definedName>
    <definedName name="_____ORO15">#REF!</definedName>
    <definedName name="_____ORO16" localSheetId="2">#REF!</definedName>
    <definedName name="_____ORO16">#REF!</definedName>
    <definedName name="_____ORO17" localSheetId="2">#REF!</definedName>
    <definedName name="_____ORO17">#REF!</definedName>
    <definedName name="_____ORO18" localSheetId="2">#REF!</definedName>
    <definedName name="_____ORO18">#REF!</definedName>
    <definedName name="_____ORO19" localSheetId="2">#REF!</definedName>
    <definedName name="_____ORO19">#REF!</definedName>
    <definedName name="_____PJ50" localSheetId="2">#REF!</definedName>
    <definedName name="_____PJ50">#REF!</definedName>
    <definedName name="_____PMT5671" localSheetId="2">#REF!</definedName>
    <definedName name="_____PMT5671">#REF!</definedName>
    <definedName name="_____PMT5805" localSheetId="2">#REF!</definedName>
    <definedName name="_____PMT5805">#REF!</definedName>
    <definedName name="_____PMT5806" localSheetId="2">#REF!</definedName>
    <definedName name="_____PMT5806">#REF!</definedName>
    <definedName name="_____PMT5815" localSheetId="2">#REF!</definedName>
    <definedName name="_____PMT5815">#REF!</definedName>
    <definedName name="_____PMT5820" localSheetId="2">#REF!</definedName>
    <definedName name="_____PMT582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r" localSheetId="2">#REF!</definedName>
    <definedName name="_____r">#REF!</definedName>
    <definedName name="_____SAL1" localSheetId="2">#REF!</definedName>
    <definedName name="_____SAL1">#REF!</definedName>
    <definedName name="_____SBC1">[6]INV!$A$12:$D$15</definedName>
    <definedName name="_____SBC3">[6]INV!$F$12:$I$15</definedName>
    <definedName name="_____SBC5">[6]INV!$K$12:$N$15</definedName>
    <definedName name="_____tab1" localSheetId="2">#REF!</definedName>
    <definedName name="_____tab1">#REF!</definedName>
    <definedName name="_____tab2" localSheetId="2">#REF!</definedName>
    <definedName name="_____tab2">#REF!</definedName>
    <definedName name="_____tab3" localSheetId="2">#REF!</definedName>
    <definedName name="_____tab3">#REF!</definedName>
    <definedName name="_____TAB4" localSheetId="2">#REF!</definedName>
    <definedName name="_____TAB4">#REF!</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8">[13]!_xlbgnm.ane7</definedName>
    <definedName name="____ane7" localSheetId="3">[13]!_xlbgnm.ane7</definedName>
    <definedName name="____ane7" localSheetId="22">[13]!_xlbgnm.ane7</definedName>
    <definedName name="____ane7" localSheetId="17">[13]!_xlbgnm.ane7</definedName>
    <definedName name="____ane7" localSheetId="18">[13]!_xlbgnm.ane7</definedName>
    <definedName name="____ane7" localSheetId="20">[13]!_xlbgnm.ane7</definedName>
    <definedName name="____ane7" localSheetId="21">[13]!_xlbgnm.ane7</definedName>
    <definedName name="____ane7" localSheetId="16">[13]!_xlbgnm.ane7</definedName>
    <definedName name="____ane7" localSheetId="19">[13]!_xlbgnm.ane7</definedName>
    <definedName name="____ane7" localSheetId="2">[13]!_xlbgnm.ane7</definedName>
    <definedName name="____ane7" localSheetId="13">[13]!_xlbgnm.ane7</definedName>
    <definedName name="____ane7" localSheetId="0">[13]!_xlbgnm.ane7</definedName>
    <definedName name="____ane7" localSheetId="15">[13]!_xlbgnm.ane7</definedName>
    <definedName name="____ane7">[13]!_xlbgnm.ane7</definedName>
    <definedName name="____ane8" localSheetId="28">[13]!_xlbgnm.ane8</definedName>
    <definedName name="____ane8" localSheetId="3">[13]!_xlbgnm.ane8</definedName>
    <definedName name="____ane8" localSheetId="22">[13]!_xlbgnm.ane8</definedName>
    <definedName name="____ane8" localSheetId="17">[13]!_xlbgnm.ane8</definedName>
    <definedName name="____ane8" localSheetId="18">[13]!_xlbgnm.ane8</definedName>
    <definedName name="____ane8" localSheetId="20">[13]!_xlbgnm.ane8</definedName>
    <definedName name="____ane8" localSheetId="21">[13]!_xlbgnm.ane8</definedName>
    <definedName name="____ane8" localSheetId="16">[13]!_xlbgnm.ane8</definedName>
    <definedName name="____ane8" localSheetId="19">[13]!_xlbgnm.ane8</definedName>
    <definedName name="____ane8" localSheetId="2">[13]!_xlbgnm.ane8</definedName>
    <definedName name="____ane8" localSheetId="13">[13]!_xlbgnm.ane8</definedName>
    <definedName name="____ane8" localSheetId="0">[13]!_xlbgnm.ane8</definedName>
    <definedName name="____ane8" localSheetId="15">[13]!_xlbgnm.ane8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EST1" localSheetId="2">#REF!</definedName>
    <definedName name="____EST1">#REF!</definedName>
    <definedName name="____EST10" localSheetId="2">#REF!</definedName>
    <definedName name="____EST10">#REF!</definedName>
    <definedName name="____EST11" localSheetId="2">#REF!</definedName>
    <definedName name="____EST11">#REF!</definedName>
    <definedName name="____EST12" localSheetId="2">#REF!</definedName>
    <definedName name="____EST12">#REF!</definedName>
    <definedName name="____EST13" localSheetId="2">#REF!</definedName>
    <definedName name="____EST13">#REF!</definedName>
    <definedName name="____EST14" localSheetId="2">#REF!</definedName>
    <definedName name="____EST14">#REF!</definedName>
    <definedName name="____EST15" localSheetId="2">#REF!</definedName>
    <definedName name="____EST15">#REF!</definedName>
    <definedName name="____EST16" localSheetId="2">#REF!</definedName>
    <definedName name="____EST16">#REF!</definedName>
    <definedName name="____EST17" localSheetId="2">#REF!</definedName>
    <definedName name="____EST17">#REF!</definedName>
    <definedName name="____EST18" localSheetId="2">#REF!</definedName>
    <definedName name="____EST18">#REF!</definedName>
    <definedName name="____EST19" localSheetId="2">#REF!</definedName>
    <definedName name="____EST19">#REF!</definedName>
    <definedName name="____EST2" localSheetId="2">#REF!</definedName>
    <definedName name="____EST2">#REF!</definedName>
    <definedName name="____EST3" localSheetId="2">#REF!</definedName>
    <definedName name="____EST3">#REF!</definedName>
    <definedName name="____EST4" localSheetId="2">#REF!</definedName>
    <definedName name="____EST4">#REF!</definedName>
    <definedName name="____EST5" localSheetId="2">#REF!</definedName>
    <definedName name="____EST5">#REF!</definedName>
    <definedName name="____EST6" localSheetId="2">#REF!</definedName>
    <definedName name="____EST6">#REF!</definedName>
    <definedName name="____EST7" localSheetId="2">#REF!</definedName>
    <definedName name="____EST7">#REF!</definedName>
    <definedName name="____EST8" localSheetId="2">#REF!</definedName>
    <definedName name="____EST8">#REF!</definedName>
    <definedName name="____EST9" localSheetId="2">#REF!</definedName>
    <definedName name="____EST9">#REF!</definedName>
    <definedName name="____EXC1" localSheetId="2">#REF!</definedName>
    <definedName name="____EXC1">#REF!</definedName>
    <definedName name="____EXC10" localSheetId="2">#REF!</definedName>
    <definedName name="____EXC10">#REF!</definedName>
    <definedName name="____EXC11" localSheetId="2">#REF!</definedName>
    <definedName name="____EXC11">#REF!</definedName>
    <definedName name="____EXC12" localSheetId="2">#REF!</definedName>
    <definedName name="____EXC12">#REF!</definedName>
    <definedName name="____EXC2" localSheetId="2">#REF!</definedName>
    <definedName name="____EXC2">#REF!</definedName>
    <definedName name="____EXC3" localSheetId="2">#REF!</definedName>
    <definedName name="____EXC3">#REF!</definedName>
    <definedName name="____EXC4" localSheetId="2">#REF!</definedName>
    <definedName name="____EXC4">#REF!</definedName>
    <definedName name="____EXC5" localSheetId="2">#REF!</definedName>
    <definedName name="____EXC5">#REF!</definedName>
    <definedName name="____EXC6" localSheetId="2">#REF!</definedName>
    <definedName name="____EXC6">#REF!</definedName>
    <definedName name="____EXC7" localSheetId="2">#REF!</definedName>
    <definedName name="____EXC7">#REF!</definedName>
    <definedName name="____EXC8" localSheetId="2">#REF!</definedName>
    <definedName name="____EXC8">#REF!</definedName>
    <definedName name="____EXC9" localSheetId="2">#REF!</definedName>
    <definedName name="____EXC9">#REF!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ORO10" localSheetId="2">#REF!</definedName>
    <definedName name="____ORO10">#REF!</definedName>
    <definedName name="____ORO11" localSheetId="2">#REF!</definedName>
    <definedName name="____ORO11">#REF!</definedName>
    <definedName name="____ORO12" localSheetId="2">#REF!</definedName>
    <definedName name="____ORO12">#REF!</definedName>
    <definedName name="____ORO13" localSheetId="2">#REF!</definedName>
    <definedName name="____ORO13">#REF!</definedName>
    <definedName name="____ORO14" localSheetId="2">#REF!</definedName>
    <definedName name="____ORO14">#REF!</definedName>
    <definedName name="____ORO15" localSheetId="2">#REF!</definedName>
    <definedName name="____ORO15">#REF!</definedName>
    <definedName name="____ORO16" localSheetId="2">#REF!</definedName>
    <definedName name="____ORO16">#REF!</definedName>
    <definedName name="____ORO17" localSheetId="2">#REF!</definedName>
    <definedName name="____ORO17">#REF!</definedName>
    <definedName name="____ORO18" localSheetId="2">#REF!</definedName>
    <definedName name="____ORO18">#REF!</definedName>
    <definedName name="____ORO19" localSheetId="2">#REF!</definedName>
    <definedName name="____ORO19">#REF!</definedName>
    <definedName name="____PJ50" localSheetId="2">#REF!</definedName>
    <definedName name="____PJ50">#REF!</definedName>
    <definedName name="____pj51" localSheetId="2">#REF!</definedName>
    <definedName name="____pj51">#REF!</definedName>
    <definedName name="____PMT5671" localSheetId="2">#REF!</definedName>
    <definedName name="____PMT5671">#REF!</definedName>
    <definedName name="____PMT5805" localSheetId="2">#REF!</definedName>
    <definedName name="____PMT5805">#REF!</definedName>
    <definedName name="____PMT5806" localSheetId="2">#REF!</definedName>
    <definedName name="____PMT5806">#REF!</definedName>
    <definedName name="____PMT5815" localSheetId="2">#REF!</definedName>
    <definedName name="____PMT5815">#REF!</definedName>
    <definedName name="____PMT5820" localSheetId="2">#REF!</definedName>
    <definedName name="____PMT5820">#REF!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r" localSheetId="2">#REF!</definedName>
    <definedName name="____r">#REF!</definedName>
    <definedName name="____SAL1" localSheetId="2">#REF!</definedName>
    <definedName name="____SAL1">#REF!</definedName>
    <definedName name="____SBC1">[6]INV!$A$12:$D$15</definedName>
    <definedName name="____SBC3">[6]INV!$F$12:$I$15</definedName>
    <definedName name="____SBC5">[6]INV!$K$12:$N$15</definedName>
    <definedName name="____tab1" localSheetId="2">#REF!</definedName>
    <definedName name="____tab1">#REF!</definedName>
    <definedName name="____tab2" localSheetId="2">#REF!</definedName>
    <definedName name="____tab2">#REF!</definedName>
    <definedName name="____tab3" localSheetId="2">#REF!</definedName>
    <definedName name="____tab3">#REF!</definedName>
    <definedName name="____TAB4" localSheetId="2">#REF!</definedName>
    <definedName name="____TAB4">#REF!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8">[15]!_xlbgnm.ane7</definedName>
    <definedName name="___ane7" localSheetId="3">[15]!_xlbgnm.ane7</definedName>
    <definedName name="___ane7" localSheetId="22">[15]!_xlbgnm.ane7</definedName>
    <definedName name="___ane7" localSheetId="17">[15]!_xlbgnm.ane7</definedName>
    <definedName name="___ane7" localSheetId="18">[15]!_xlbgnm.ane7</definedName>
    <definedName name="___ane7" localSheetId="20">[15]!_xlbgnm.ane7</definedName>
    <definedName name="___ane7" localSheetId="21">[15]!_xlbgnm.ane7</definedName>
    <definedName name="___ane7" localSheetId="16">[15]!_xlbgnm.ane7</definedName>
    <definedName name="___ane7" localSheetId="19">[15]!_xlbgnm.ane7</definedName>
    <definedName name="___ane7" localSheetId="2">[15]!_xlbgnm.ane7</definedName>
    <definedName name="___ane7" localSheetId="13">[15]!_xlbgnm.ane7</definedName>
    <definedName name="___ane7" localSheetId="0">[15]!_xlbgnm.ane7</definedName>
    <definedName name="___ane7" localSheetId="15">[15]!_xlbgnm.ane7</definedName>
    <definedName name="___ane7">[15]!_xlbgnm.ane7</definedName>
    <definedName name="___ane8" localSheetId="28">[15]!_xlbgnm.ane8</definedName>
    <definedName name="___ane8" localSheetId="3">[15]!_xlbgnm.ane8</definedName>
    <definedName name="___ane8" localSheetId="22">[15]!_xlbgnm.ane8</definedName>
    <definedName name="___ane8" localSheetId="17">[15]!_xlbgnm.ane8</definedName>
    <definedName name="___ane8" localSheetId="18">[15]!_xlbgnm.ane8</definedName>
    <definedName name="___ane8" localSheetId="20">[15]!_xlbgnm.ane8</definedName>
    <definedName name="___ane8" localSheetId="21">[15]!_xlbgnm.ane8</definedName>
    <definedName name="___ane8" localSheetId="16">[15]!_xlbgnm.ane8</definedName>
    <definedName name="___ane8" localSheetId="19">[15]!_xlbgnm.ane8</definedName>
    <definedName name="___ane8" localSheetId="2">[15]!_xlbgnm.ane8</definedName>
    <definedName name="___ane8" localSheetId="13">[15]!_xlbgnm.ane8</definedName>
    <definedName name="___ane8" localSheetId="0">[15]!_xlbgnm.ane8</definedName>
    <definedName name="___ane8" localSheetId="15">[15]!_xlbgnm.ane8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EST1" localSheetId="2">#REF!</definedName>
    <definedName name="___EST1">#REF!</definedName>
    <definedName name="___EST10" localSheetId="2">#REF!</definedName>
    <definedName name="___EST10">#REF!</definedName>
    <definedName name="___EST11" localSheetId="2">#REF!</definedName>
    <definedName name="___EST11">#REF!</definedName>
    <definedName name="___EST12" localSheetId="2">#REF!</definedName>
    <definedName name="___EST12">#REF!</definedName>
    <definedName name="___EST13" localSheetId="2">#REF!</definedName>
    <definedName name="___EST13">#REF!</definedName>
    <definedName name="___EST14" localSheetId="2">#REF!</definedName>
    <definedName name="___EST14">#REF!</definedName>
    <definedName name="___EST15" localSheetId="2">#REF!</definedName>
    <definedName name="___EST15">#REF!</definedName>
    <definedName name="___EST16" localSheetId="2">#REF!</definedName>
    <definedName name="___EST16">#REF!</definedName>
    <definedName name="___EST17" localSheetId="2">#REF!</definedName>
    <definedName name="___EST17">#REF!</definedName>
    <definedName name="___EST18" localSheetId="2">#REF!</definedName>
    <definedName name="___EST18">#REF!</definedName>
    <definedName name="___EST19" localSheetId="2">#REF!</definedName>
    <definedName name="___EST19">#REF!</definedName>
    <definedName name="___EST2" localSheetId="2">#REF!</definedName>
    <definedName name="___EST2">#REF!</definedName>
    <definedName name="___EST3" localSheetId="2">#REF!</definedName>
    <definedName name="___EST3">#REF!</definedName>
    <definedName name="___EST4" localSheetId="2">#REF!</definedName>
    <definedName name="___EST4">#REF!</definedName>
    <definedName name="___EST5" localSheetId="2">#REF!</definedName>
    <definedName name="___EST5">#REF!</definedName>
    <definedName name="___EST6" localSheetId="2">#REF!</definedName>
    <definedName name="___EST6">#REF!</definedName>
    <definedName name="___EST7" localSheetId="2">#REF!</definedName>
    <definedName name="___EST7">#REF!</definedName>
    <definedName name="___EST8" localSheetId="2">#REF!</definedName>
    <definedName name="___EST8">#REF!</definedName>
    <definedName name="___EST9" localSheetId="2">#REF!</definedName>
    <definedName name="___EST9">#REF!</definedName>
    <definedName name="___ETR13" localSheetId="2">#REF!</definedName>
    <definedName name="___ETR13">#REF!</definedName>
    <definedName name="___EXC1" localSheetId="2">#REF!</definedName>
    <definedName name="___EXC1">#REF!</definedName>
    <definedName name="___EXC10" localSheetId="2">#REF!</definedName>
    <definedName name="___EXC10">#REF!</definedName>
    <definedName name="___EXC11" localSheetId="2">#REF!</definedName>
    <definedName name="___EXC11">#REF!</definedName>
    <definedName name="___EXC12" localSheetId="2">#REF!</definedName>
    <definedName name="___EXC12">#REF!</definedName>
    <definedName name="___EXC2" localSheetId="2">#REF!</definedName>
    <definedName name="___EXC2">#REF!</definedName>
    <definedName name="___EXC3" localSheetId="2">#REF!</definedName>
    <definedName name="___EXC3">#REF!</definedName>
    <definedName name="___EXC4" localSheetId="2">#REF!</definedName>
    <definedName name="___EXC4">#REF!</definedName>
    <definedName name="___EXC5" localSheetId="2">#REF!</definedName>
    <definedName name="___EXC5">#REF!</definedName>
    <definedName name="___EXC6" localSheetId="2">#REF!</definedName>
    <definedName name="___EXC6">#REF!</definedName>
    <definedName name="___EXC7" localSheetId="2">#REF!</definedName>
    <definedName name="___EXC7">#REF!</definedName>
    <definedName name="___EXC8" localSheetId="2">#REF!</definedName>
    <definedName name="___EXC8">#REF!</definedName>
    <definedName name="___EXC9" localSheetId="2">#REF!</definedName>
    <definedName name="___EXC9">#REF!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ORO10" localSheetId="2">#REF!</definedName>
    <definedName name="___ORO10">#REF!</definedName>
    <definedName name="___ORO11" localSheetId="2">#REF!</definedName>
    <definedName name="___ORO11">#REF!</definedName>
    <definedName name="___ORO12" localSheetId="2">#REF!</definedName>
    <definedName name="___ORO12">#REF!</definedName>
    <definedName name="___ORO13" localSheetId="2">#REF!</definedName>
    <definedName name="___ORO13">#REF!</definedName>
    <definedName name="___ORO14" localSheetId="2">#REF!</definedName>
    <definedName name="___ORO14">#REF!</definedName>
    <definedName name="___ORO15" localSheetId="2">#REF!</definedName>
    <definedName name="___ORO15">#REF!</definedName>
    <definedName name="___ORO16" localSheetId="2">#REF!</definedName>
    <definedName name="___ORO16">#REF!</definedName>
    <definedName name="___ORO17" localSheetId="2">#REF!</definedName>
    <definedName name="___ORO17">#REF!</definedName>
    <definedName name="___ORO18" localSheetId="2">#REF!</definedName>
    <definedName name="___ORO18">#REF!</definedName>
    <definedName name="___ORO19" localSheetId="2">#REF!</definedName>
    <definedName name="___ORO19">#REF!</definedName>
    <definedName name="___PJ50" localSheetId="2">#REF!</definedName>
    <definedName name="___PJ50">#REF!</definedName>
    <definedName name="___pj51" localSheetId="2">#REF!</definedName>
    <definedName name="___pj51">#REF!</definedName>
    <definedName name="___PMT5671" localSheetId="2">#REF!</definedName>
    <definedName name="___PMT5671">#REF!</definedName>
    <definedName name="___PMT5805" localSheetId="2">#REF!</definedName>
    <definedName name="___PMT5805">#REF!</definedName>
    <definedName name="___PMT5806" localSheetId="2">#REF!</definedName>
    <definedName name="___PMT5806">#REF!</definedName>
    <definedName name="___PMT5815" localSheetId="2">#REF!</definedName>
    <definedName name="___PMT5815">#REF!</definedName>
    <definedName name="___PMT5820" localSheetId="2">#REF!</definedName>
    <definedName name="___PMT5820">#REF!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r" localSheetId="2">#REF!</definedName>
    <definedName name="___r">#REF!</definedName>
    <definedName name="___SBC1">[6]INV!$A$12:$D$15</definedName>
    <definedName name="___SBC3">[6]INV!$F$12:$I$15</definedName>
    <definedName name="___SBC5">[6]INV!$K$12:$N$15</definedName>
    <definedName name="___tab1" localSheetId="2">#REF!</definedName>
    <definedName name="___tab1">#REF!</definedName>
    <definedName name="___tab2" localSheetId="2">#REF!</definedName>
    <definedName name="___tab2">#REF!</definedName>
    <definedName name="___tab3" localSheetId="2">#REF!</definedName>
    <definedName name="___tab3">#REF!</definedName>
    <definedName name="___TAB4" localSheetId="2">#REF!</definedName>
    <definedName name="___TAB4">#REF!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1Excel_BuiltIn_Print_Area_1_1_1" localSheetId="2">#REF!</definedName>
    <definedName name="__1Excel_BuiltIn_Print_Area_1_1_1">#REF!</definedName>
    <definedName name="__2Excel_BuiltIn_Print_Titles_1_1_1_1" localSheetId="2">#REF!</definedName>
    <definedName name="__2Excel_BuiltIn_Print_Titles_1_1_1_1">#REF!</definedName>
    <definedName name="__AFC1">[6]INV!$A$25:$D$28</definedName>
    <definedName name="__AFC3">[6]INV!$F$25:$I$28</definedName>
    <definedName name="__AFC5">[6]INV!$K$25:$N$28</definedName>
    <definedName name="__ane7" localSheetId="28">[13]!_xlbgnm.ane7</definedName>
    <definedName name="__ane7" localSheetId="3">[13]!_xlbgnm.ane7</definedName>
    <definedName name="__ane7" localSheetId="22">[13]!_xlbgnm.ane7</definedName>
    <definedName name="__ane7" localSheetId="17">[13]!_xlbgnm.ane7</definedName>
    <definedName name="__ane7" localSheetId="18">[13]!_xlbgnm.ane7</definedName>
    <definedName name="__ane7" localSheetId="20">[13]!_xlbgnm.ane7</definedName>
    <definedName name="__ane7" localSheetId="21">[13]!_xlbgnm.ane7</definedName>
    <definedName name="__ane7" localSheetId="16">[13]!_xlbgnm.ane7</definedName>
    <definedName name="__ane7" localSheetId="19">[13]!_xlbgnm.ane7</definedName>
    <definedName name="__ane7" localSheetId="2">[13]!_xlbgnm.ane7</definedName>
    <definedName name="__ane7" localSheetId="13">[13]!_xlbgnm.ane7</definedName>
    <definedName name="__ane7" localSheetId="0">[13]!_xlbgnm.ane7</definedName>
    <definedName name="__ane7" localSheetId="15">[13]!_xlbgnm.ane7</definedName>
    <definedName name="__ane7">[13]!_xlbgnm.ane7</definedName>
    <definedName name="__ane8" localSheetId="28">[13]!_xlbgnm.ane8</definedName>
    <definedName name="__ane8" localSheetId="3">[13]!_xlbgnm.ane8</definedName>
    <definedName name="__ane8" localSheetId="22">[13]!_xlbgnm.ane8</definedName>
    <definedName name="__ane8" localSheetId="17">[13]!_xlbgnm.ane8</definedName>
    <definedName name="__ane8" localSheetId="18">[13]!_xlbgnm.ane8</definedName>
    <definedName name="__ane8" localSheetId="20">[13]!_xlbgnm.ane8</definedName>
    <definedName name="__ane8" localSheetId="21">[13]!_xlbgnm.ane8</definedName>
    <definedName name="__ane8" localSheetId="16">[13]!_xlbgnm.ane8</definedName>
    <definedName name="__ane8" localSheetId="19">[13]!_xlbgnm.ane8</definedName>
    <definedName name="__ane8" localSheetId="2">[13]!_xlbgnm.ane8</definedName>
    <definedName name="__ane8" localSheetId="13">[13]!_xlbgnm.ane8</definedName>
    <definedName name="__ane8" localSheetId="0">[13]!_xlbgnm.ane8</definedName>
    <definedName name="__ane8" localSheetId="15">[13]!_xlbgnm.ane8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R13" localSheetId="2">#REF!</definedName>
    <definedName name="__ETR13">#REF!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ORO10" localSheetId="2">#REF!</definedName>
    <definedName name="__ORO10">#REF!</definedName>
    <definedName name="__ORO11" localSheetId="2">#REF!</definedName>
    <definedName name="__ORO11">#REF!</definedName>
    <definedName name="__ORO12" localSheetId="2">#REF!</definedName>
    <definedName name="__ORO12">#REF!</definedName>
    <definedName name="__ORO13" localSheetId="2">#REF!</definedName>
    <definedName name="__ORO13">#REF!</definedName>
    <definedName name="__ORO14" localSheetId="2">#REF!</definedName>
    <definedName name="__ORO14">#REF!</definedName>
    <definedName name="__ORO15" localSheetId="2">#REF!</definedName>
    <definedName name="__ORO15">#REF!</definedName>
    <definedName name="__ORO16" localSheetId="2">#REF!</definedName>
    <definedName name="__ORO16">#REF!</definedName>
    <definedName name="__ORO17" localSheetId="2">#REF!</definedName>
    <definedName name="__ORO17">#REF!</definedName>
    <definedName name="__ORO18" localSheetId="2">#REF!</definedName>
    <definedName name="__ORO18">#REF!</definedName>
    <definedName name="__ORO19" localSheetId="2">#REF!</definedName>
    <definedName name="__ORO19">#REF!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MT5671" localSheetId="2">#REF!</definedName>
    <definedName name="__PMT5671">#REF!</definedName>
    <definedName name="__PMT5805" localSheetId="2">#REF!</definedName>
    <definedName name="__PMT5805">#REF!</definedName>
    <definedName name="__PMT5806" localSheetId="2">#REF!</definedName>
    <definedName name="__PMT5806">#REF!</definedName>
    <definedName name="__PMT5815" localSheetId="2">#REF!</definedName>
    <definedName name="__PMT5815">#REF!</definedName>
    <definedName name="__PMT5820" localSheetId="2">#REF!</definedName>
    <definedName name="__PMT5820">#REF!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 localSheetId="2">#REF!</definedName>
    <definedName name="__r">#REF!</definedName>
    <definedName name="__ref4" localSheetId="2">#REF!</definedName>
    <definedName name="__ref4">#REF!</definedName>
    <definedName name="__SAL1" localSheetId="2">#REF!</definedName>
    <definedName name="__SAL1">#REF!</definedName>
    <definedName name="__SBC1">[6]INV!$A$12:$D$15</definedName>
    <definedName name="__SBC3">[6]INV!$F$12:$I$15</definedName>
    <definedName name="__SBC5">[6]INV!$K$12:$N$15</definedName>
    <definedName name="__tab1" localSheetId="2">#REF!</definedName>
    <definedName name="__tab1">#REF!</definedName>
    <definedName name="__tab2" localSheetId="2">#REF!</definedName>
    <definedName name="__tab2">#REF!</definedName>
    <definedName name="__tab3" localSheetId="2">#REF!</definedName>
    <definedName name="__tab3">#REF!</definedName>
    <definedName name="__TAB4" localSheetId="2">#REF!</definedName>
    <definedName name="__TAB4">#REF!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9Excel_BuiltIn_Print_Area_1_1_1" localSheetId="2">#REF!</definedName>
    <definedName name="_19Excel_BuiltIn_Print_Area_1_1_1">#REF!</definedName>
    <definedName name="_1ane_o10" localSheetId="2">#REF!</definedName>
    <definedName name="_1ane_o10">#REF!</definedName>
    <definedName name="_1Excel_BuiltIn_Print_Area_1_1" localSheetId="2">#REF!</definedName>
    <definedName name="_1Excel_BuiltIn_Print_Area_1_1">#REF!</definedName>
    <definedName name="_1Excel_BuiltIn_Print_Area_1_1_1" localSheetId="2">#REF!</definedName>
    <definedName name="_1Excel_BuiltIn_Print_Area_1_1_1">#REF!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5Excel_BuiltIn_Print_Titles_1_1_1_1" localSheetId="2">#REF!</definedName>
    <definedName name="_25Excel_BuiltIn_Print_Titles_1_1_1_1">#REF!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2Excel_BuiltIn_Print_Titles_1_1_1_1" localSheetId="2">#REF!</definedName>
    <definedName name="_2Excel_BuiltIn_Print_Titles_1_1_1_1">#REF!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localSheetId="7" hidden="1">{#N/A,#N/A,TRUE,"1842CWN0"}</definedName>
    <definedName name="_A1" localSheetId="11" hidden="1">{#N/A,#N/A,TRUE,"1842CWN0"}</definedName>
    <definedName name="_A1" localSheetId="9" hidden="1">{#N/A,#N/A,TRUE,"1842CWN0"}</definedName>
    <definedName name="_A1" localSheetId="6" hidden="1">{#N/A,#N/A,TRUE,"1842CWN0"}</definedName>
    <definedName name="_A1" localSheetId="10" hidden="1">{#N/A,#N/A,TRUE,"1842CWN0"}</definedName>
    <definedName name="_A1" localSheetId="8" hidden="1">{#N/A,#N/A,TRUE,"1842CWN0"}</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localSheetId="11" hidden="1">{#N/A,#N/A,TRUE,"INGENIERIA";#N/A,#N/A,TRUE,"COMPRAS";#N/A,#N/A,TRUE,"DIRECCION";#N/A,#N/A,TRUE,"RESUMEN"}</definedName>
    <definedName name="_AAS1" localSheetId="9" hidden="1">{#N/A,#N/A,TRUE,"INGENIERIA";#N/A,#N/A,TRUE,"COMPRAS";#N/A,#N/A,TRUE,"DIRECCION";#N/A,#N/A,TRUE,"RESUMEN"}</definedName>
    <definedName name="_AAS1" localSheetId="6" hidden="1">{#N/A,#N/A,TRUE,"INGENIERIA";#N/A,#N/A,TRUE,"COMPRAS";#N/A,#N/A,TRUE,"DIRECCION";#N/A,#N/A,TRUE,"RESUMEN"}</definedName>
    <definedName name="_AAS1" localSheetId="10" hidden="1">{#N/A,#N/A,TRUE,"INGENIERIA";#N/A,#N/A,TRUE,"COMPRAS";#N/A,#N/A,TRUE,"DIRECCION";#N/A,#N/A,TRUE,"RESUMEN"}</definedName>
    <definedName name="_AAS1" localSheetId="8"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11" hidden="1">{#N/A,#N/A,TRUE,"1842CWN0"}</definedName>
    <definedName name="_ABC1" localSheetId="9" hidden="1">{#N/A,#N/A,TRUE,"1842CWN0"}</definedName>
    <definedName name="_ABC1" localSheetId="6" hidden="1">{#N/A,#N/A,TRUE,"1842CWN0"}</definedName>
    <definedName name="_ABC1" localSheetId="10" hidden="1">{#N/A,#N/A,TRUE,"1842CWN0"}</definedName>
    <definedName name="_ABC1" localSheetId="8" hidden="1">{#N/A,#N/A,TRUE,"1842CWN0"}</definedName>
    <definedName name="_ABC1" hidden="1">{#N/A,#N/A,TRUE,"1842CWN0"}</definedName>
    <definedName name="_abc2" localSheetId="7" hidden="1">{#N/A,#N/A,TRUE,"1842CWN0"}</definedName>
    <definedName name="_abc2" localSheetId="11" hidden="1">{#N/A,#N/A,TRUE,"1842CWN0"}</definedName>
    <definedName name="_abc2" localSheetId="9" hidden="1">{#N/A,#N/A,TRUE,"1842CWN0"}</definedName>
    <definedName name="_abc2" localSheetId="6" hidden="1">{#N/A,#N/A,TRUE,"1842CWN0"}</definedName>
    <definedName name="_abc2" localSheetId="10" hidden="1">{#N/A,#N/A,TRUE,"1842CWN0"}</definedName>
    <definedName name="_abc2" localSheetId="8"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8">[13]!_xlbgnm.ane7</definedName>
    <definedName name="_ane7" localSheetId="3">[13]!_xlbgnm.ane7</definedName>
    <definedName name="_ane7" localSheetId="22">[13]!_xlbgnm.ane7</definedName>
    <definedName name="_ane7" localSheetId="17">[13]!_xlbgnm.ane7</definedName>
    <definedName name="_ane7" localSheetId="18">[13]!_xlbgnm.ane7</definedName>
    <definedName name="_ane7" localSheetId="20">[13]!_xlbgnm.ane7</definedName>
    <definedName name="_ane7" localSheetId="21">[13]!_xlbgnm.ane7</definedName>
    <definedName name="_ane7" localSheetId="16">[13]!_xlbgnm.ane7</definedName>
    <definedName name="_ane7" localSheetId="19">[13]!_xlbgnm.ane7</definedName>
    <definedName name="_ane7" localSheetId="2">[13]!_xlbgnm.ane7</definedName>
    <definedName name="_ane7" localSheetId="13">[13]!_xlbgnm.ane7</definedName>
    <definedName name="_ane7" localSheetId="0">[13]!_xlbgnm.ane7</definedName>
    <definedName name="_ane7" localSheetId="15">[13]!_xlbgnm.ane7</definedName>
    <definedName name="_ane7">[13]!_xlbgnm.ane7</definedName>
    <definedName name="_ane8" localSheetId="28">[13]!_xlbgnm.ane8</definedName>
    <definedName name="_ane8" localSheetId="3">[13]!_xlbgnm.ane8</definedName>
    <definedName name="_ane8" localSheetId="22">[13]!_xlbgnm.ane8</definedName>
    <definedName name="_ane8" localSheetId="17">[13]!_xlbgnm.ane8</definedName>
    <definedName name="_ane8" localSheetId="18">[13]!_xlbgnm.ane8</definedName>
    <definedName name="_ane8" localSheetId="20">[13]!_xlbgnm.ane8</definedName>
    <definedName name="_ane8" localSheetId="21">[13]!_xlbgnm.ane8</definedName>
    <definedName name="_ane8" localSheetId="16">[13]!_xlbgnm.ane8</definedName>
    <definedName name="_ane8" localSheetId="19">[13]!_xlbgnm.ane8</definedName>
    <definedName name="_ane8" localSheetId="2">[13]!_xlbgnm.ane8</definedName>
    <definedName name="_ane8" localSheetId="13">[13]!_xlbgnm.ane8</definedName>
    <definedName name="_ane8" localSheetId="0">[13]!_xlbgnm.ane8</definedName>
    <definedName name="_ane8" localSheetId="15">[13]!_xlbgnm.ane8</definedName>
    <definedName name="_ane8">[13]!_xlbgnm.ane8</definedName>
    <definedName name="_APU221" localSheetId="2">#REF!</definedName>
    <definedName name="_APU221">#REF!</definedName>
    <definedName name="_APU465" localSheetId="28">[21]!absc</definedName>
    <definedName name="_APU465" localSheetId="3">[21]!absc</definedName>
    <definedName name="_APU465" localSheetId="22">[21]!absc</definedName>
    <definedName name="_APU465" localSheetId="17">[21]!absc</definedName>
    <definedName name="_APU465" localSheetId="18">[21]!absc</definedName>
    <definedName name="_APU465" localSheetId="20">[21]!absc</definedName>
    <definedName name="_APU465" localSheetId="21">[21]!absc</definedName>
    <definedName name="_APU465" localSheetId="16">[21]!absc</definedName>
    <definedName name="_APU465" localSheetId="19">[21]!absc</definedName>
    <definedName name="_APU465" localSheetId="2">[21]!absc</definedName>
    <definedName name="_APU465" localSheetId="13">[21]!absc</definedName>
    <definedName name="_APU465" localSheetId="0">[21]!absc</definedName>
    <definedName name="_APU465" localSheetId="15">[21]!absc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 localSheetId="2">#REF!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6" hidden="1">#REF!</definedName>
    <definedName name="_Fill" localSheetId="2" hidden="1">#REF!</definedName>
    <definedName name="_Fill" hidden="1">#REF!</definedName>
    <definedName name="_xlnm._FilterDatabase" localSheetId="28" hidden="1">'CONSOL CIV RUR $'!$A$7:$K$32</definedName>
    <definedName name="_xlnm._FilterDatabase" localSheetId="26" hidden="1">'CONSOL CIV URB DESC $'!$A$7:$L$103</definedName>
    <definedName name="_xlnm._FilterDatabase" localSheetId="3" hidden="1">'FORMULARIO 1 PROPUESTA ECONOMIC'!$G$14:$G$204</definedName>
    <definedName name="_xlnm._FilterDatabase" localSheetId="27" hidden="1">Hoja13!$A$8:$C$57</definedName>
    <definedName name="_xlnm._FilterDatabase" localSheetId="24" hidden="1">Hoja3!$A$7:$C$198</definedName>
    <definedName name="_xlnm._FilterDatabase" localSheetId="25" hidden="1">'LISTADO CIV FLEXIBLES'!$A$1:$H$40</definedName>
    <definedName name="_xlnm._FilterDatabase" localSheetId="23" hidden="1">'LISTADO CIV RIGIDOS'!$A$2:$K$59</definedName>
    <definedName name="_xlnm._FilterDatabase" localSheetId="22" hidden="1">'PPTO FLEXIBLE MANT'!$G$14:$G$181</definedName>
    <definedName name="_xlnm._FilterDatabase" localSheetId="17" hidden="1">'PPTO FLEXIBLE RECONS'!$G$14:$G$181</definedName>
    <definedName name="_xlnm._FilterDatabase" localSheetId="18" hidden="1">'PPTO FLEXIBLE RECONS RUR'!$G$14:$G$181</definedName>
    <definedName name="_xlnm._FilterDatabase" localSheetId="20" hidden="1">'PPTO FLEXIBLE REHAB'!$G$14:$G$181</definedName>
    <definedName name="_xlnm._FilterDatabase" localSheetId="21" hidden="1">'PPTO RIGIDOS MANT'!$G$14:$G$181</definedName>
    <definedName name="_xlnm._FilterDatabase" localSheetId="16" hidden="1">'PPTO RIGIDOS RECONS'!$G$14:$G$181</definedName>
    <definedName name="_xlnm._FilterDatabase" localSheetId="19" hidden="1">'PPTO RIGIDOS REHAB'!$G$14:$G$181</definedName>
    <definedName name="_xlnm._FilterDatabase" localSheetId="12" hidden="1">'PRECIOS IDU 2025'!$A$1:$E$2794</definedName>
    <definedName name="_xlnm._FilterDatabase" localSheetId="13" hidden="1">'PRECIOS INSUMOS IDU 2025'!$A$1:$E$2794</definedName>
    <definedName name="_xlnm._FilterDatabase" localSheetId="0" hidden="1">'PRESUPUESTO OFICIAL (Entidad)'!$G$14:$G$99</definedName>
    <definedName name="_xlnm._FilterDatabase" localSheetId="15" hidden="1">'PRIORIZACION MALLA VIAL RUR'!$A$2:$O$25</definedName>
    <definedName name="_xlnm._FilterDatabase" localSheetId="14" hidden="1">'PRIORIZACION MALLA VIAL URB'!$A$2:$T$98</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2">#REF!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hidden="1">#REF!</definedName>
    <definedName name="_Key11" localSheetId="2" hidden="1">[22]INST!#REF!</definedName>
    <definedName name="_Key11" hidden="1">[22]INST!#REF!</definedName>
    <definedName name="_Key2" localSheetId="6" hidden="1">#REF!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ORO10" localSheetId="2">#REF!</definedName>
    <definedName name="_ORO10">#REF!</definedName>
    <definedName name="_ORO11" localSheetId="2">#REF!</definedName>
    <definedName name="_ORO11">#REF!</definedName>
    <definedName name="_ORO12" localSheetId="2">#REF!</definedName>
    <definedName name="_ORO12">#REF!</definedName>
    <definedName name="_ORO13" localSheetId="2">#REF!</definedName>
    <definedName name="_ORO13">#REF!</definedName>
    <definedName name="_ORO14" localSheetId="2">#REF!</definedName>
    <definedName name="_ORO14">#REF!</definedName>
    <definedName name="_ORO15" localSheetId="2">#REF!</definedName>
    <definedName name="_ORO15">#REF!</definedName>
    <definedName name="_ORO16" localSheetId="2">#REF!</definedName>
    <definedName name="_ORO16">#REF!</definedName>
    <definedName name="_ORO17" localSheetId="2">#REF!</definedName>
    <definedName name="_ORO17">#REF!</definedName>
    <definedName name="_ORO18" localSheetId="2">#REF!</definedName>
    <definedName name="_ORO18">#REF!</definedName>
    <definedName name="_ORO19" localSheetId="2">#REF!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6" hidden="1">#REF!</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MT5671" localSheetId="2">#REF!</definedName>
    <definedName name="_PMT5671">#REF!</definedName>
    <definedName name="_PMT5805" localSheetId="2">#REF!</definedName>
    <definedName name="_PMT5805">#REF!</definedName>
    <definedName name="_PMT5806" localSheetId="2">#REF!</definedName>
    <definedName name="_PMT5806">#REF!</definedName>
    <definedName name="_PMT5815" localSheetId="2">#REF!</definedName>
    <definedName name="_PMT5815">#REF!</definedName>
    <definedName name="_PMT5820" localSheetId="2">#REF!</definedName>
    <definedName name="_PMT5820">#REF!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gression_Int" hidden="1">1</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2">#REF!</definedName>
    <definedName name="_SAL1">#REF!</definedName>
    <definedName name="_SBC1">[6]INV!$A$12:$D$15</definedName>
    <definedName name="_SBC3">[6]INV!$F$12:$I$15</definedName>
    <definedName name="_SBC5">[6]INV!$K$12:$N$15</definedName>
    <definedName name="_Sort" localSheetId="6" hidden="1">#REF!</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2">#REF!</definedName>
    <definedName name="_tab1">#REF!</definedName>
    <definedName name="_tab2" localSheetId="2">#REF!</definedName>
    <definedName name="_tab2">#REF!</definedName>
    <definedName name="_tab3" localSheetId="2">#REF!</definedName>
    <definedName name="_tab3">#REF!</definedName>
    <definedName name="_TAB4" localSheetId="2">#REF!</definedName>
    <definedName name="_TAB4">#REF!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 localSheetId="7" hidden="1">{#N/A,#N/A,TRUE,"INGENIERIA";#N/A,#N/A,TRUE,"COMPRAS";#N/A,#N/A,TRUE,"DIRECCION";#N/A,#N/A,TRUE,"RESUMEN"}</definedName>
    <definedName name="AA" localSheetId="11" hidden="1">{#N/A,#N/A,TRUE,"INGENIERIA";#N/A,#N/A,TRUE,"COMPRAS";#N/A,#N/A,TRUE,"DIRECCION";#N/A,#N/A,TRUE,"RESUMEN"}</definedName>
    <definedName name="AA" localSheetId="9" hidden="1">{#N/A,#N/A,TRUE,"INGENIERIA";#N/A,#N/A,TRUE,"COMPRAS";#N/A,#N/A,TRUE,"DIRECCION";#N/A,#N/A,TRUE,"RESUMEN"}</definedName>
    <definedName name="AA" localSheetId="6" hidden="1">{#N/A,#N/A,TRUE,"INGENIERIA";#N/A,#N/A,TRUE,"COMPRAS";#N/A,#N/A,TRUE,"DIRECCION";#N/A,#N/A,TRUE,"RESUMEN"}</definedName>
    <definedName name="AA" localSheetId="10" hidden="1">{#N/A,#N/A,TRUE,"INGENIERIA";#N/A,#N/A,TRUE,"COMPRAS";#N/A,#N/A,TRUE,"DIRECCION";#N/A,#N/A,TRUE,"RESUMEN"}</definedName>
    <definedName name="AA" localSheetId="8" hidden="1">{#N/A,#N/A,TRUE,"INGENIERIA";#N/A,#N/A,TRUE,"COMPRAS";#N/A,#N/A,TRUE,"DIRECCION";#N/A,#N/A,TRUE,"RESUMEN"}</definedName>
    <definedName name="aa">[0]!ERR</definedName>
    <definedName name="AAA">[0]!ERR</definedName>
    <definedName name="aaaaaa">[25]otros!$C$5</definedName>
    <definedName name="AAAAAAAAAA" localSheetId="2">#REF!</definedName>
    <definedName name="AAAAAAAAAA">#REF!</definedName>
    <definedName name="AAAAAAAAAAAAAAAAAAAA" localSheetId="2">#REF!</definedName>
    <definedName name="AAAAAAAAAAAAAAAAAAAA">#REF!</definedName>
    <definedName name="aaaaas" hidden="1">{"TAB1",#N/A,TRUE,"GENERAL";"TAB2",#N/A,TRUE,"GENERAL";"TAB3",#N/A,TRUE,"GENERAL";"TAB4",#N/A,TRUE,"GENERAL";"TAB5",#N/A,TRUE,"GENERAL"}</definedName>
    <definedName name="AAC">[6]AASHTO!$A$14:$F$17</definedName>
    <definedName name="AADOQUINVEH" localSheetId="2">#REF!</definedName>
    <definedName name="AADOQUINVEH">#REF!</definedName>
    <definedName name="AANDENES" localSheetId="2">#REF!</definedName>
    <definedName name="AANDENES">#REF!</definedName>
    <definedName name="AAS" localSheetId="7" hidden="1">{#N/A,#N/A,TRUE,"INGENIERIA";#N/A,#N/A,TRUE,"COMPRAS";#N/A,#N/A,TRUE,"DIRECCION";#N/A,#N/A,TRUE,"RESUMEN"}</definedName>
    <definedName name="AAS" localSheetId="11" hidden="1">{#N/A,#N/A,TRUE,"INGENIERIA";#N/A,#N/A,TRUE,"COMPRAS";#N/A,#N/A,TRUE,"DIRECCION";#N/A,#N/A,TRUE,"RESUMEN"}</definedName>
    <definedName name="AAS" localSheetId="9" hidden="1">{#N/A,#N/A,TRUE,"INGENIERIA";#N/A,#N/A,TRUE,"COMPRAS";#N/A,#N/A,TRUE,"DIRECCION";#N/A,#N/A,TRUE,"RESUMEN"}</definedName>
    <definedName name="AAS" localSheetId="6" hidden="1">{#N/A,#N/A,TRUE,"INGENIERIA";#N/A,#N/A,TRUE,"COMPRAS";#N/A,#N/A,TRUE,"DIRECCION";#N/A,#N/A,TRUE,"RESUMEN"}</definedName>
    <definedName name="AAS" localSheetId="10" hidden="1">{#N/A,#N/A,TRUE,"INGENIERIA";#N/A,#N/A,TRUE,"COMPRAS";#N/A,#N/A,TRUE,"DIRECCION";#N/A,#N/A,TRUE,"RESUMEN"}</definedName>
    <definedName name="AAS" localSheetId="8" hidden="1">{#N/A,#N/A,TRUE,"INGENIERIA";#N/A,#N/A,TRUE,"COMPRAS";#N/A,#N/A,TRUE,"DIRECCION";#N/A,#N/A,TRUE,"RESUMEN"}</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6" hidden="1">#REF!</definedName>
    <definedName name="ABCD" localSheetId="2" hidden="1">#REF!</definedName>
    <definedName name="ABCD" hidden="1">#REF!</definedName>
    <definedName name="ABCDE" localSheetId="6" hidden="1">#REF!</definedName>
    <definedName name="ABCDE" localSheetId="2" hidden="1">#REF!</definedName>
    <definedName name="ABCDE" hidden="1">#REF!</definedName>
    <definedName name="ABG">[6]AASHTO!$A$2:$F$5</definedName>
    <definedName name="ABR" localSheetId="2">#REF!</definedName>
    <definedName name="ABR">#REF!</definedName>
    <definedName name="absc1" localSheetId="28">[26]!absc</definedName>
    <definedName name="absc1" localSheetId="3">[26]!absc</definedName>
    <definedName name="absc1" localSheetId="22">[26]!absc</definedName>
    <definedName name="absc1" localSheetId="17">[26]!absc</definedName>
    <definedName name="absc1" localSheetId="18">[26]!absc</definedName>
    <definedName name="absc1" localSheetId="20">[26]!absc</definedName>
    <definedName name="absc1" localSheetId="21">[26]!absc</definedName>
    <definedName name="absc1" localSheetId="16">[26]!absc</definedName>
    <definedName name="absc1" localSheetId="19">[26]!absc</definedName>
    <definedName name="absc1" localSheetId="2">[26]!absc</definedName>
    <definedName name="absc1" localSheetId="13">[26]!absc</definedName>
    <definedName name="absc1" localSheetId="0">[26]!absc</definedName>
    <definedName name="absc1" localSheetId="15">[26]!absc</definedName>
    <definedName name="absc1">[26]!absc</definedName>
    <definedName name="ac" localSheetId="2">#REF!</definedName>
    <definedName name="ac">#REF!</definedName>
    <definedName name="ACALZADA" localSheetId="2">#REF!</definedName>
    <definedName name="ACALZADA">#REF!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8">[26]!absc</definedName>
    <definedName name="adoc1" localSheetId="3">[26]!absc</definedName>
    <definedName name="adoc1" localSheetId="22">[26]!absc</definedName>
    <definedName name="adoc1" localSheetId="17">[26]!absc</definedName>
    <definedName name="adoc1" localSheetId="18">[26]!absc</definedName>
    <definedName name="adoc1" localSheetId="20">[26]!absc</definedName>
    <definedName name="adoc1" localSheetId="21">[26]!absc</definedName>
    <definedName name="adoc1" localSheetId="16">[26]!absc</definedName>
    <definedName name="adoc1" localSheetId="19">[26]!absc</definedName>
    <definedName name="adoc1" localSheetId="2">[26]!absc</definedName>
    <definedName name="adoc1" localSheetId="13">[26]!absc</definedName>
    <definedName name="adoc1" localSheetId="0">[26]!absc</definedName>
    <definedName name="adoc1" localSheetId="15">[26]!absc</definedName>
    <definedName name="adoc1">[26]!absc</definedName>
    <definedName name="ADOC125" localSheetId="28">[29]!absc</definedName>
    <definedName name="ADOC125" localSheetId="3">[29]!absc</definedName>
    <definedName name="ADOC125" localSheetId="22">[29]!absc</definedName>
    <definedName name="ADOC125" localSheetId="17">[29]!absc</definedName>
    <definedName name="ADOC125" localSheetId="18">[29]!absc</definedName>
    <definedName name="ADOC125" localSheetId="20">[29]!absc</definedName>
    <definedName name="ADOC125" localSheetId="21">[29]!absc</definedName>
    <definedName name="ADOC125" localSheetId="16">[29]!absc</definedName>
    <definedName name="ADOC125" localSheetId="19">[29]!absc</definedName>
    <definedName name="ADOC125" localSheetId="2">[29]!absc</definedName>
    <definedName name="ADOC125" localSheetId="13">[29]!absc</definedName>
    <definedName name="ADOC125" localSheetId="0">[29]!absc</definedName>
    <definedName name="ADOC125" localSheetId="15">[29]!absc</definedName>
    <definedName name="ADOC125">[29]!absc</definedName>
    <definedName name="adoq" localSheetId="28">[30]!absc</definedName>
    <definedName name="adoq" localSheetId="3">[30]!absc</definedName>
    <definedName name="adoq" localSheetId="22">[30]!absc</definedName>
    <definedName name="adoq" localSheetId="17">[30]!absc</definedName>
    <definedName name="adoq" localSheetId="18">[30]!absc</definedName>
    <definedName name="adoq" localSheetId="20">[30]!absc</definedName>
    <definedName name="adoq" localSheetId="21">[30]!absc</definedName>
    <definedName name="adoq" localSheetId="16">[30]!absc</definedName>
    <definedName name="adoq" localSheetId="19">[30]!absc</definedName>
    <definedName name="adoq" localSheetId="2">[30]!absc</definedName>
    <definedName name="adoq" localSheetId="13">[30]!absc</definedName>
    <definedName name="adoq" localSheetId="0">[30]!absc</definedName>
    <definedName name="adoq" localSheetId="15">[30]!absc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 localSheetId="2">#REF!</definedName>
    <definedName name="AGO">#REF!</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8">[31]!absc</definedName>
    <definedName name="alc" localSheetId="3">[31]!absc</definedName>
    <definedName name="alc" localSheetId="22">[31]!absc</definedName>
    <definedName name="alc" localSheetId="17">[31]!absc</definedName>
    <definedName name="alc" localSheetId="18">[31]!absc</definedName>
    <definedName name="alc" localSheetId="20">[31]!absc</definedName>
    <definedName name="alc" localSheetId="21">[31]!absc</definedName>
    <definedName name="alc" localSheetId="16">[31]!absc</definedName>
    <definedName name="alc" localSheetId="19">[31]!absc</definedName>
    <definedName name="alc" localSheetId="2">[31]!absc</definedName>
    <definedName name="alc" localSheetId="13">[31]!absc</definedName>
    <definedName name="alc" localSheetId="0">[31]!absc</definedName>
    <definedName name="alc" localSheetId="15">[31]!absc</definedName>
    <definedName name="alc">[31]!absc</definedName>
    <definedName name="AlcanceProyecto" localSheetId="2">#REF!</definedName>
    <definedName name="AlcanceProyecto">#REF!</definedName>
    <definedName name="ALM" localSheetId="2">#REF!</definedName>
    <definedName name="ALM">#REF!</definedName>
    <definedName name="ALTO">[32]Tabla!$A$1:$A$5</definedName>
    <definedName name="AMBIENTAL" localSheetId="2">#REF!</definedName>
    <definedName name="AMBIENTAL">#REF!</definedName>
    <definedName name="Amount" localSheetId="2">#REF!</definedName>
    <definedName name="Amount">#REF!</definedName>
    <definedName name="ANCLAJE" localSheetId="2">'[33]MC SF GAVIONES'!#REF!</definedName>
    <definedName name="ANCLAJE">'[33]MC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[34]COMPARATIVO!#REF!</definedName>
    <definedName name="anexo7">[34]COMPARATIVO!#REF!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8">[38]!absc</definedName>
    <definedName name="APU" localSheetId="3">[38]!absc</definedName>
    <definedName name="APU" localSheetId="22">[38]!absc</definedName>
    <definedName name="APU" localSheetId="17">[38]!absc</definedName>
    <definedName name="APU" localSheetId="18">[38]!absc</definedName>
    <definedName name="APU" localSheetId="20">[38]!absc</definedName>
    <definedName name="APU" localSheetId="21">[38]!absc</definedName>
    <definedName name="APU" localSheetId="16">[38]!absc</definedName>
    <definedName name="APU" localSheetId="19">[38]!absc</definedName>
    <definedName name="APU" localSheetId="2">[38]!absc</definedName>
    <definedName name="APU" localSheetId="13">[38]!absc</definedName>
    <definedName name="APU" localSheetId="0">[38]!absc</definedName>
    <definedName name="APU" localSheetId="15">[38]!absc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7">'AIU COMP. AMBIENTAL'!$B$1:$L$37</definedName>
    <definedName name="_xlnm.Print_Area" localSheetId="11">'AIU COMP. PMT'!$B$1:$L$42</definedName>
    <definedName name="_xlnm.Print_Area" localSheetId="9">'AIU COMP. SOCIAL'!$B$1:$L$41</definedName>
    <definedName name="_xlnm.Print_Area" localSheetId="4">'AIU FLDT'!$B$1:$J$69</definedName>
    <definedName name="_xlnm.Print_Area" localSheetId="5">'CÁLCULO FACTOR MULTIPLICADOR'!$A$1:$D$27</definedName>
    <definedName name="_xlnm.Print_Area" localSheetId="6">'COMPONENTE AMBIENTAL'!$C$3:$O$102</definedName>
    <definedName name="_xlnm.Print_Area" localSheetId="10">'COMPONENTE PMT'!$C$1:$T$33</definedName>
    <definedName name="_xlnm.Print_Area" localSheetId="8">'COMPONENTE SOCIAL'!$C$1:$Q$48</definedName>
    <definedName name="_xlnm.Print_Area" localSheetId="3">'FORMULARIO 1 PROPUESTA ECONOMIC'!$A$1:$J$222</definedName>
    <definedName name="_xlnm.Print_Area" localSheetId="22">'PPTO FLEXIBLE MANT'!$A$1:$K$194</definedName>
    <definedName name="_xlnm.Print_Area" localSheetId="17">'PPTO FLEXIBLE RECONS'!$A$1:$K$194</definedName>
    <definedName name="_xlnm.Print_Area" localSheetId="18">'PPTO FLEXIBLE RECONS RUR'!$A$1:$K$194</definedName>
    <definedName name="_xlnm.Print_Area" localSheetId="20">'PPTO FLEXIBLE REHAB'!$A$1:$K$194</definedName>
    <definedName name="_xlnm.Print_Area" localSheetId="21">'PPTO RIGIDOS MANT'!$A$1:$K$194</definedName>
    <definedName name="_xlnm.Print_Area" localSheetId="16">'PPTO RIGIDOS RECONS'!$A$1:$K$194</definedName>
    <definedName name="_xlnm.Print_Area" localSheetId="19">'PPTO RIGIDOS REHAB'!$A$1:$K$194</definedName>
    <definedName name="_xlnm.Print_Area" localSheetId="2">#REF!</definedName>
    <definedName name="_xlnm.Print_Area" localSheetId="0">'PRESUPUESTO OFICIAL (Entidad)'!$A$1:$K$119</definedName>
    <definedName name="_xlnm.Print_Area" localSheetId="15">'PRIORIZACION MALLA VIAL RUR'!$A$1:$O$27</definedName>
    <definedName name="_xlnm.Print_Area" localSheetId="14">'PRIORIZACION MALLA VIAL URB'!$A$1:$T$98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AU" localSheetId="2">#REF!</definedName>
    <definedName name="AU">#REF!</definedName>
    <definedName name="_xlnm.Auto_Open" localSheetId="28">MODULO10.auto_abrir</definedName>
    <definedName name="_xlnm.Auto_Open" localSheetId="3">MODULO10.auto_abrir</definedName>
    <definedName name="_xlnm.Auto_Open" localSheetId="22">MODULO10.auto_abrir</definedName>
    <definedName name="_xlnm.Auto_Open" localSheetId="17">MODULO10.auto_abrir</definedName>
    <definedName name="_xlnm.Auto_Open" localSheetId="18">MODULO10.auto_abrir</definedName>
    <definedName name="_xlnm.Auto_Open" localSheetId="20">MODULO10.auto_abrir</definedName>
    <definedName name="_xlnm.Auto_Open" localSheetId="21">MODULO10.auto_abrir</definedName>
    <definedName name="_xlnm.Auto_Open" localSheetId="16">MODULO10.auto_abrir</definedName>
    <definedName name="_xlnm.Auto_Open" localSheetId="19">MODULO10.auto_abrir</definedName>
    <definedName name="_xlnm.Auto_Open" localSheetId="2">MODULO10.auto_abrir</definedName>
    <definedName name="_xlnm.Auto_Open" localSheetId="13">MODULO10.auto_abrir</definedName>
    <definedName name="_xlnm.Auto_Open" localSheetId="0">MODULO10.auto_abrir</definedName>
    <definedName name="_xlnm.Auto_Open" localSheetId="15">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TOPISTA" localSheetId="2">#REF!</definedName>
    <definedName name="AUTOPISTA">#REF!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_impresión_IM" localSheetId="2">#REF!</definedName>
    <definedName name="B_impresión_IM">#REF!</definedName>
    <definedName name="Bajo_L">[32]Tabla!$A$1:$A$5</definedName>
    <definedName name="BANCO" localSheetId="2">#REF!</definedName>
    <definedName name="BANCO">#REF!</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[42]Hoja1!$A$4:$BZ$55</definedName>
    <definedName name="_xlnm.Database" localSheetId="2">#REF!</definedName>
    <definedName name="_xlnm.Database">#REF!</definedName>
    <definedName name="BaseDeDatos1" localSheetId="2">#REF!</definedName>
    <definedName name="BaseDeDatos1">#REF!</definedName>
    <definedName name="basep">[43]PRESUPUESTAL!$A$4:$P$190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 localSheetId="2">#REF!</definedName>
    <definedName name="BL">#REF!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'[44]Ejecutado%'!#REF!</definedName>
    <definedName name="blEjecutado">'[44]Ejecutado%'!#REF!</definedName>
    <definedName name="blEjecutadoPorcen">'[44]Ejecutado$'!$D$1:$CE$45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'[44]Programado$'!$I$1:$CK$45</definedName>
    <definedName name="blReferenciaInforme" localSheetId="2">#REF!</definedName>
    <definedName name="blReferenciaInforme">#REF!</definedName>
    <definedName name="bn" localSheetId="2">#REF!</definedName>
    <definedName name="bn">#REF!</definedName>
    <definedName name="BO" localSheetId="2">#REF!</definedName>
    <definedName name="BO">#REF!</definedName>
    <definedName name="Bombas" localSheetId="2">#REF!</definedName>
    <definedName name="Bombas">#REF!</definedName>
    <definedName name="BONO" localSheetId="2">#REF!</definedName>
    <definedName name="BONO">#REF!</definedName>
    <definedName name="BORDER1" localSheetId="2">[45]steel!#REF!</definedName>
    <definedName name="BORDER1">[45]steel!#REF!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'[47]Form5 _Pág_ 1'!#REF!</definedName>
    <definedName name="BuiltIn_Print_Area">'[47]Form5 _Pág_ 1'!#REF!</definedName>
    <definedName name="BuiltIn_Print_Area___0" localSheetId="2">'[47]Form5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1.1" localSheetId="2">#REF!</definedName>
    <definedName name="CANT1.1">#REF!</definedName>
    <definedName name="CANT1.2" localSheetId="2">#REF!</definedName>
    <definedName name="CANT1.2">#REF!</definedName>
    <definedName name="CANT1.3" localSheetId="2">#REF!</definedName>
    <definedName name="CANT1.3">#REF!</definedName>
    <definedName name="CANT1.5" localSheetId="2">#REF!</definedName>
    <definedName name="CANT1.5">#REF!</definedName>
    <definedName name="CANT1.6" localSheetId="2">#REF!</definedName>
    <definedName name="CANT1.6">#REF!</definedName>
    <definedName name="CANT1.7" localSheetId="2">#REF!</definedName>
    <definedName name="CANT1.7">#REF!</definedName>
    <definedName name="CANT1.9" localSheetId="2">#REF!</definedName>
    <definedName name="CANT1.9">#REF!</definedName>
    <definedName name="CANT2.11" localSheetId="2">#REF!</definedName>
    <definedName name="CANT2.11">#REF!</definedName>
    <definedName name="CANT2.12" localSheetId="2">#REF!</definedName>
    <definedName name="CANT2.12">#REF!</definedName>
    <definedName name="CANT2.2" localSheetId="2">#REF!</definedName>
    <definedName name="CANT2.2">#REF!</definedName>
    <definedName name="CANT2.3" localSheetId="2">#REF!</definedName>
    <definedName name="CANT2.3">#REF!</definedName>
    <definedName name="CANT2.4" localSheetId="2">#REF!</definedName>
    <definedName name="CANT2.4">#REF!</definedName>
    <definedName name="CANT8.1" localSheetId="2">#REF!</definedName>
    <definedName name="CANT8.1">#REF!</definedName>
    <definedName name="CANT8.2" localSheetId="2">#REF!</definedName>
    <definedName name="CANT8.2">#REF!</definedName>
    <definedName name="CANT8.3" localSheetId="2">#REF!</definedName>
    <definedName name="CANT8.3">#REF!</definedName>
    <definedName name="CANT8.4" localSheetId="2">#REF!</definedName>
    <definedName name="CANT8.4">#REF!</definedName>
    <definedName name="CANT8.5" localSheetId="2">#REF!</definedName>
    <definedName name="CANT8.5">#REF!</definedName>
    <definedName name="CANT8.6" localSheetId="2">#REF!</definedName>
    <definedName name="CANT8.6">#REF!</definedName>
    <definedName name="CANT8.7" localSheetId="2">#REF!</definedName>
    <definedName name="CANT8.7">#REF!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8">MODULO10.auto_abrir</definedName>
    <definedName name="carlos" localSheetId="3">MODULO10.auto_abrir</definedName>
    <definedName name="carlos" localSheetId="22">MODULO10.auto_abrir</definedName>
    <definedName name="carlos" localSheetId="17">MODULO10.auto_abrir</definedName>
    <definedName name="carlos" localSheetId="18">MODULO10.auto_abrir</definedName>
    <definedName name="carlos" localSheetId="20">MODULO10.auto_abrir</definedName>
    <definedName name="carlos" localSheetId="21">MODULO10.auto_abrir</definedName>
    <definedName name="carlos" localSheetId="16">MODULO10.auto_abrir</definedName>
    <definedName name="carlos" localSheetId="19">MODULO10.auto_abrir</definedName>
    <definedName name="carlos" localSheetId="2">MODULO10.auto_abrir</definedName>
    <definedName name="carlos" localSheetId="13">MODULO10.auto_abrir</definedName>
    <definedName name="carlos" localSheetId="0">MODULO10.auto_abrir</definedName>
    <definedName name="carlos" localSheetId="15">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2">'[51]A. P. U.'!#REF!</definedName>
    <definedName name="CCCCCC">'[51]A. P. U.'!#REF!</definedName>
    <definedName name="CCT" localSheetId="2">#REF!</definedName>
    <definedName name="CCT">#REF!</definedName>
    <definedName name="ccto210" localSheetId="2">#REF!</definedName>
    <definedName name="ccto210">#REF!</definedName>
    <definedName name="cd">[52]Hoja1!$C$81</definedName>
    <definedName name="cdcdc" hidden="1">{"via1",#N/A,TRUE,"general";"via2",#N/A,TRUE,"general";"via3",#N/A,TRUE,"general"}</definedName>
    <definedName name="CDctrl">[35]CDItem!$G$8</definedName>
    <definedName name="CDE" localSheetId="2">#REF!</definedName>
    <definedName name="CDE">#REF!</definedName>
    <definedName name="cdfgrtfd" localSheetId="2" hidden="1">#REF!</definedName>
    <definedName name="cdfgrtfd" hidden="1">#REF!</definedName>
    <definedName name="CDS_V_INDICES_CIRCUITO_CAUSA" localSheetId="2">#REF!</definedName>
    <definedName name="CDS_V_INDICES_CIRCUITO_CAUSA">#REF!</definedName>
    <definedName name="ceerf" hidden="1">{"TAB1",#N/A,TRUE,"GENERAL";"TAB2",#N/A,TRUE,"GENERAL";"TAB3",#N/A,TRUE,"GENERAL";"TAB4",#N/A,TRUE,"GENERAL";"TAB5",#N/A,TRUE,"GENERAL"}</definedName>
    <definedName name="CEMENTO">[53]Insum!$A$3:$H$63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RCUNVALAR" localSheetId="2">#REF!</definedName>
    <definedName name="CIRCUNVALAR">#REF!</definedName>
    <definedName name="CISNEROS" localSheetId="2">#REF!</definedName>
    <definedName name="CISNEROS">#REF!</definedName>
    <definedName name="civ" localSheetId="7" hidden="1">{#N/A,#N/A,TRUE,"1842CWN0"}</definedName>
    <definedName name="civ" localSheetId="11" hidden="1">{#N/A,#N/A,TRUE,"1842CWN0"}</definedName>
    <definedName name="civ" localSheetId="9" hidden="1">{#N/A,#N/A,TRUE,"1842CWN0"}</definedName>
    <definedName name="civ" localSheetId="6" hidden="1">{#N/A,#N/A,TRUE,"1842CWN0"}</definedName>
    <definedName name="civ" localSheetId="10" hidden="1">{#N/A,#N/A,TRUE,"1842CWN0"}</definedName>
    <definedName name="civ" localSheetId="8" hidden="1">{#N/A,#N/A,TRUE,"1842CWN0"}</definedName>
    <definedName name="civ" localSheetId="2">#REF!</definedName>
    <definedName name="civ">#REF!</definedName>
    <definedName name="cjsa" localSheetId="2" hidden="1">#REF!</definedName>
    <definedName name="cjsa" hidden="1">#REF!</definedName>
    <definedName name="CL" localSheetId="2">#REF!</definedName>
    <definedName name="CL">#REF!</definedName>
    <definedName name="cmf">[54]Hoja1!$C$27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[34]COMPARATIVO!#REF!</definedName>
    <definedName name="cogvsiruj">[34]COMPARATIVO!#REF!</definedName>
    <definedName name="COLON" localSheetId="2">#REF!</definedName>
    <definedName name="COLON">#REF!</definedName>
    <definedName name="ColTap">'[20]Coloc. e Interc. Tapones'!$E$1:$E$65536</definedName>
    <definedName name="Com">'[40]LIQUIDA-NOMINA'!$AL$4</definedName>
    <definedName name="COMIDA" localSheetId="2">#REF!</definedName>
    <definedName name="COMIDA">#REF!</definedName>
    <definedName name="Compresores" localSheetId="2">#REF!</definedName>
    <definedName name="Compresores">#REF!</definedName>
    <definedName name="CONDI1" localSheetId="2">#REF!</definedName>
    <definedName name="CONDI1">#REF!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[56]BITACORA!$E$1:$E$65536</definedName>
    <definedName name="costo2" localSheetId="2" hidden="1">#REF!</definedName>
    <definedName name="costo2" hidden="1">#REF!</definedName>
    <definedName name="COSTODIRECTO" localSheetId="2">#REF!</definedName>
    <definedName name="COSTODIRECTO">#REF!</definedName>
    <definedName name="Costopérdidas" localSheetId="2">#REF!</definedName>
    <definedName name="Costopérdidas">#REF!</definedName>
    <definedName name="COSTOS">[57]TARIFAS!$A$1:$F$52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[58]civ_roma!$C$803:$G$804</definedName>
    <definedName name="Criterios_IM" localSheetId="2">'[3]7422CW00'!#REF!</definedName>
    <definedName name="Criterios_IM">'[3]7422CW00'!#REF!</definedName>
    <definedName name="Criticidad">[59]Tabla!$A$1:$A$5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 localSheetId="2">#REF!</definedName>
    <definedName name="CT">#REF!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 localSheetId="2">#REF!</definedName>
    <definedName name="CU">#REF!</definedName>
    <definedName name="cuad1" localSheetId="2">#REF!</definedName>
    <definedName name="cuad1">#REF!</definedName>
    <definedName name="cuad2" localSheetId="2">#REF!</definedName>
    <definedName name="cuad2">#REF!</definedName>
    <definedName name="cuad3" localSheetId="2">#REF!</definedName>
    <definedName name="cuad3">#REF!</definedName>
    <definedName name="cuad4" localSheetId="2">#REF!</definedName>
    <definedName name="cuad4">#REF!</definedName>
    <definedName name="CUAD5" localSheetId="2">#REF!</definedName>
    <definedName name="CUAD5">#REF!</definedName>
    <definedName name="cuado" localSheetId="2">#REF!</definedName>
    <definedName name="cuado">#REF!</definedName>
    <definedName name="CUAL">[0]!ERR</definedName>
    <definedName name="CUBS" localSheetId="2">#REF!</definedName>
    <definedName name="CUBS">#REF!</definedName>
    <definedName name="CUNET" hidden="1">{"via1",#N/A,TRUE,"general";"via2",#N/A,TRUE,"general";"via3",#N/A,TRUE,"general"}</definedName>
    <definedName name="Customize" localSheetId="28">[50]!Customize</definedName>
    <definedName name="Customize" localSheetId="3">[50]!Customize</definedName>
    <definedName name="Customize" localSheetId="22">[50]!Customize</definedName>
    <definedName name="Customize" localSheetId="17">[50]!Customize</definedName>
    <definedName name="Customize" localSheetId="18">[50]!Customize</definedName>
    <definedName name="Customize" localSheetId="20">[50]!Customize</definedName>
    <definedName name="Customize" localSheetId="21">[50]!Customize</definedName>
    <definedName name="Customize" localSheetId="16">[50]!Customize</definedName>
    <definedName name="Customize" localSheetId="19">[50]!Customize</definedName>
    <definedName name="Customize" localSheetId="2">[50]!Customize</definedName>
    <definedName name="Customize" localSheetId="13">[50]!Customize</definedName>
    <definedName name="Customize" localSheetId="0">[50]!Customize</definedName>
    <definedName name="Customize" localSheetId="15">[50]!Customize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_MI">[58]civ_roma!$C$9:$G$799</definedName>
    <definedName name="DATO1">'[60]46'!$D$3:$CK$429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'[61]Pta a tierra'!#REF!</definedName>
    <definedName name="Dcorriente1">'[61]Pta a tierra'!#REF!</definedName>
    <definedName name="DCSDCTV" hidden="1">{"via1",#N/A,TRUE,"general";"via2",#N/A,TRUE,"general";"via3",#N/A,TRUE,"general"}</definedName>
    <definedName name="dd" localSheetId="7" hidden="1">{#N/A,#N/A,TRUE,"INGENIERIA";#N/A,#N/A,TRUE,"COMPRAS";#N/A,#N/A,TRUE,"DIRECCION";#N/A,#N/A,TRUE,"RESUMEN"}</definedName>
    <definedName name="dd" localSheetId="11" hidden="1">{#N/A,#N/A,TRUE,"INGENIERIA";#N/A,#N/A,TRUE,"COMPRAS";#N/A,#N/A,TRUE,"DIRECCION";#N/A,#N/A,TRUE,"RESUMEN"}</definedName>
    <definedName name="dd" localSheetId="9" hidden="1">{#N/A,#N/A,TRUE,"INGENIERIA";#N/A,#N/A,TRUE,"COMPRAS";#N/A,#N/A,TRUE,"DIRECCION";#N/A,#N/A,TRUE,"RESUMEN"}</definedName>
    <definedName name="dd" localSheetId="6" hidden="1">{#N/A,#N/A,TRUE,"INGENIERIA";#N/A,#N/A,TRUE,"COMPRAS";#N/A,#N/A,TRUE,"DIRECCION";#N/A,#N/A,TRUE,"RESUMEN"}</definedName>
    <definedName name="dd" localSheetId="10" hidden="1">{#N/A,#N/A,TRUE,"INGENIERIA";#N/A,#N/A,TRUE,"COMPRAS";#N/A,#N/A,TRUE,"DIRECCION";#N/A,#N/A,TRUE,"RESUMEN"}</definedName>
    <definedName name="dd" localSheetId="8" hidden="1">{#N/A,#N/A,TRUE,"INGENIERIA";#N/A,#N/A,TRUE,"COMPRAS";#N/A,#N/A,TRUE,"DIRECCION";#N/A,#N/A,TRUE,"RESUMEN"}</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localSheetId="7" hidden="1">{#N/A,#N/A,TRUE,"1842CWN0"}</definedName>
    <definedName name="DDE" localSheetId="11" hidden="1">{#N/A,#N/A,TRUE,"1842CWN0"}</definedName>
    <definedName name="DDE" localSheetId="9" hidden="1">{#N/A,#N/A,TRUE,"1842CWN0"}</definedName>
    <definedName name="DDE" localSheetId="6" hidden="1">{#N/A,#N/A,TRUE,"1842CWN0"}</definedName>
    <definedName name="DDE" localSheetId="10" hidden="1">{#N/A,#N/A,TRUE,"1842CWN0"}</definedName>
    <definedName name="DDE" localSheetId="8" hidden="1">{#N/A,#N/A,TRUE,"1842CWN0"}</definedName>
    <definedName name="DDE" localSheetId="2">#REF!</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[59]Tabla!$B$1:$B$397</definedName>
    <definedName name="DEPENDENCIA">[59]Tabla!$B$1:$B$397</definedName>
    <definedName name="DEPENDENCIAS">[59]Tabla!$B$1:$B$397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[45]steel!#REF!</definedName>
    <definedName name="DEST_ART">[45]steel!#REF!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localSheetId="7" hidden="1">{#N/A,#N/A,TRUE,"1842CWN0"}</definedName>
    <definedName name="DFDE" localSheetId="11" hidden="1">{#N/A,#N/A,TRUE,"1842CWN0"}</definedName>
    <definedName name="DFDE" localSheetId="9" hidden="1">{#N/A,#N/A,TRUE,"1842CWN0"}</definedName>
    <definedName name="DFDE" localSheetId="6" hidden="1">{#N/A,#N/A,TRUE,"1842CWN0"}</definedName>
    <definedName name="DFDE" localSheetId="10" hidden="1">{#N/A,#N/A,TRUE,"1842CWN0"}</definedName>
    <definedName name="DFDE" localSheetId="8" hidden="1">{#N/A,#N/A,TRUE,"1842CWN0"}</definedName>
    <definedName name="DFDE" localSheetId="2">#REF!</definedName>
    <definedName name="DFDE">#REF!</definedName>
    <definedName name="dfds" hidden="1">{"TAB1",#N/A,TRUE,"GENERAL";"TAB2",#N/A,TRUE,"GENERAL";"TAB3",#N/A,TRUE,"GENERAL";"TAB4",#N/A,TRUE,"GENERAL";"TAB5",#N/A,TRUE,"GENERAL"}</definedName>
    <definedName name="dfdsfi" hidden="1">{"via1",#N/A,TRUE,"general";"via2",#N/A,TRUE,"general";"via3",#N/A,TRUE,"general"}</definedName>
    <definedName name="DFEET" localSheetId="7" hidden="1">{#N/A,#N/A,TRUE,"INGENIERIA";#N/A,#N/A,TRUE,"COMPRAS";#N/A,#N/A,TRUE,"DIRECCION";#N/A,#N/A,TRUE,"RESUMEN"}</definedName>
    <definedName name="DFEET" localSheetId="11" hidden="1">{#N/A,#N/A,TRUE,"INGENIERIA";#N/A,#N/A,TRUE,"COMPRAS";#N/A,#N/A,TRUE,"DIRECCION";#N/A,#N/A,TRUE,"RESUMEN"}</definedName>
    <definedName name="DFEET" localSheetId="9" hidden="1">{#N/A,#N/A,TRUE,"INGENIERIA";#N/A,#N/A,TRUE,"COMPRAS";#N/A,#N/A,TRUE,"DIRECCION";#N/A,#N/A,TRUE,"RESUMEN"}</definedName>
    <definedName name="DFEET" localSheetId="6" hidden="1">{#N/A,#N/A,TRUE,"INGENIERIA";#N/A,#N/A,TRUE,"COMPRAS";#N/A,#N/A,TRUE,"DIRECCION";#N/A,#N/A,TRUE,"RESUMEN"}</definedName>
    <definedName name="DFEET" localSheetId="10" hidden="1">{#N/A,#N/A,TRUE,"INGENIERIA";#N/A,#N/A,TRUE,"COMPRAS";#N/A,#N/A,TRUE,"DIRECCION";#N/A,#N/A,TRUE,"RESUMEN"}</definedName>
    <definedName name="DFEET" localSheetId="8" hidden="1">{#N/A,#N/A,TRUE,"INGENIERIA";#N/A,#N/A,TRUE,"COMPRAS";#N/A,#N/A,TRUE,"DIRECCION";#N/A,#N/A,TRUE,"RESUMEN"}</definedName>
    <definedName name="DFEET" localSheetId="2">#REF!</definedName>
    <definedName name="DFEET">#REF!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localSheetId="7" hidden="1">{#N/A,#N/A,TRUE,"1842CWN0"}</definedName>
    <definedName name="DGFEE" localSheetId="11" hidden="1">{#N/A,#N/A,TRUE,"1842CWN0"}</definedName>
    <definedName name="DGFEE" localSheetId="9" hidden="1">{#N/A,#N/A,TRUE,"1842CWN0"}</definedName>
    <definedName name="DGFEE" localSheetId="6" hidden="1">{#N/A,#N/A,TRUE,"1842CWN0"}</definedName>
    <definedName name="DGFEE" localSheetId="10" hidden="1">{#N/A,#N/A,TRUE,"1842CWN0"}</definedName>
    <definedName name="DGFEE" localSheetId="8" hidden="1">{#N/A,#N/A,TRUE,"1842CWN0"}</definedName>
    <definedName name="DGFEE" localSheetId="2">#REF!</definedName>
    <definedName name="DGFEE">#REF!</definedName>
    <definedName name="DGFG" hidden="1">{"via1",#N/A,TRUE,"general";"via2",#N/A,TRUE,"general";"via3",#N/A,TRUE,"general"}</definedName>
    <definedName name="DGFGGHF" localSheetId="7" hidden="1">{#N/A,#N/A,TRUE,"INGENIERIA";#N/A,#N/A,TRUE,"COMPRAS";#N/A,#N/A,TRUE,"DIRECCION";#N/A,#N/A,TRUE,"RESUMEN"}</definedName>
    <definedName name="DGFGGHF" localSheetId="11" hidden="1">{#N/A,#N/A,TRUE,"INGENIERIA";#N/A,#N/A,TRUE,"COMPRAS";#N/A,#N/A,TRUE,"DIRECCION";#N/A,#N/A,TRUE,"RESUMEN"}</definedName>
    <definedName name="DGFGGHF" localSheetId="9" hidden="1">{#N/A,#N/A,TRUE,"INGENIERIA";#N/A,#N/A,TRUE,"COMPRAS";#N/A,#N/A,TRUE,"DIRECCION";#N/A,#N/A,TRUE,"RESUMEN"}</definedName>
    <definedName name="DGFGGHF" localSheetId="6" hidden="1">{#N/A,#N/A,TRUE,"INGENIERIA";#N/A,#N/A,TRUE,"COMPRAS";#N/A,#N/A,TRUE,"DIRECCION";#N/A,#N/A,TRUE,"RESUMEN"}</definedName>
    <definedName name="DGFGGHF" localSheetId="10" hidden="1">{#N/A,#N/A,TRUE,"INGENIERIA";#N/A,#N/A,TRUE,"COMPRAS";#N/A,#N/A,TRUE,"DIRECCION";#N/A,#N/A,TRUE,"RESUMEN"}</definedName>
    <definedName name="DGFGGHF" localSheetId="8" hidden="1">{#N/A,#N/A,TRUE,"INGENIERIA";#N/A,#N/A,TRUE,"COMPRAS";#N/A,#N/A,TRUE,"DIRECCION";#N/A,#N/A,TRUE,"RESUMEN"}</definedName>
    <definedName name="DGFGGHF" localSheetId="2">#REF!</definedName>
    <definedName name="DGFGGHF">#REF!</definedName>
    <definedName name="DGFR" localSheetId="7" hidden="1">{#N/A,#N/A,TRUE,"1842CWN0"}</definedName>
    <definedName name="DGFR" localSheetId="11" hidden="1">{#N/A,#N/A,TRUE,"1842CWN0"}</definedName>
    <definedName name="DGFR" localSheetId="9" hidden="1">{#N/A,#N/A,TRUE,"1842CWN0"}</definedName>
    <definedName name="DGFR" localSheetId="6" hidden="1">{#N/A,#N/A,TRUE,"1842CWN0"}</definedName>
    <definedName name="DGFR" localSheetId="10" hidden="1">{#N/A,#N/A,TRUE,"1842CWN0"}</definedName>
    <definedName name="DGFR" localSheetId="8" hidden="1">{#N/A,#N/A,TRUE,"1842CWN0"}</definedName>
    <definedName name="DGFR" localSheetId="2">#REF!</definedName>
    <definedName name="DGFR">#REF!</definedName>
    <definedName name="dgfsado" hidden="1">{"TAB1",#N/A,TRUE,"GENERAL";"TAB2",#N/A,TRUE,"GENERAL";"TAB3",#N/A,TRUE,"GENERAL";"TAB4",#N/A,TRUE,"GENERAL";"TAB5",#N/A,TRUE,"GENERAL"}</definedName>
    <definedName name="DGGGHHJT" localSheetId="7" hidden="1">{#N/A,#N/A,TRUE,"INGENIERIA";#N/A,#N/A,TRUE,"COMPRAS";#N/A,#N/A,TRUE,"DIRECCION";#N/A,#N/A,TRUE,"RESUMEN"}</definedName>
    <definedName name="DGGGHHJT" localSheetId="11" hidden="1">{#N/A,#N/A,TRUE,"INGENIERIA";#N/A,#N/A,TRUE,"COMPRAS";#N/A,#N/A,TRUE,"DIRECCION";#N/A,#N/A,TRUE,"RESUMEN"}</definedName>
    <definedName name="DGGGHHJT" localSheetId="9" hidden="1">{#N/A,#N/A,TRUE,"INGENIERIA";#N/A,#N/A,TRUE,"COMPRAS";#N/A,#N/A,TRUE,"DIRECCION";#N/A,#N/A,TRUE,"RESUMEN"}</definedName>
    <definedName name="DGGGHHJT" localSheetId="6" hidden="1">{#N/A,#N/A,TRUE,"INGENIERIA";#N/A,#N/A,TRUE,"COMPRAS";#N/A,#N/A,TRUE,"DIRECCION";#N/A,#N/A,TRUE,"RESUMEN"}</definedName>
    <definedName name="DGGGHHJT" localSheetId="10" hidden="1">{#N/A,#N/A,TRUE,"INGENIERIA";#N/A,#N/A,TRUE,"COMPRAS";#N/A,#N/A,TRUE,"DIRECCION";#N/A,#N/A,TRUE,"RESUMEN"}</definedName>
    <definedName name="DGGGHHJT" localSheetId="8" hidden="1">{#N/A,#N/A,TRUE,"INGENIERIA";#N/A,#N/A,TRUE,"COMPRAS";#N/A,#N/A,TRUE,"DIRECCION";#N/A,#N/A,TRUE,"RESUMEN"}</definedName>
    <definedName name="DGGGHHJT" localSheetId="2">#REF!</definedName>
    <definedName name="DGGGHHJT">#REF!</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GRR" localSheetId="7" hidden="1">{#N/A,#N/A,TRUE,"INGENIERIA";#N/A,#N/A,TRUE,"COMPRAS";#N/A,#N/A,TRUE,"DIRECCION";#N/A,#N/A,TRUE,"RESUMEN"}</definedName>
    <definedName name="DGRR" localSheetId="11" hidden="1">{#N/A,#N/A,TRUE,"INGENIERIA";#N/A,#N/A,TRUE,"COMPRAS";#N/A,#N/A,TRUE,"DIRECCION";#N/A,#N/A,TRUE,"RESUMEN"}</definedName>
    <definedName name="DGRR" localSheetId="9" hidden="1">{#N/A,#N/A,TRUE,"INGENIERIA";#N/A,#N/A,TRUE,"COMPRAS";#N/A,#N/A,TRUE,"DIRECCION";#N/A,#N/A,TRUE,"RESUMEN"}</definedName>
    <definedName name="DGRR" localSheetId="6" hidden="1">{#N/A,#N/A,TRUE,"INGENIERIA";#N/A,#N/A,TRUE,"COMPRAS";#N/A,#N/A,TRUE,"DIRECCION";#N/A,#N/A,TRUE,"RESUMEN"}</definedName>
    <definedName name="DGRR" localSheetId="10" hidden="1">{#N/A,#N/A,TRUE,"INGENIERIA";#N/A,#N/A,TRUE,"COMPRAS";#N/A,#N/A,TRUE,"DIRECCION";#N/A,#N/A,TRUE,"RESUMEN"}</definedName>
    <definedName name="DGRR" localSheetId="8" hidden="1">{#N/A,#N/A,TRUE,"INGENIERIA";#N/A,#N/A,TRUE,"COMPRAS";#N/A,#N/A,TRUE,"DIRECCION";#N/A,#N/A,TRUE,"RESUMEN"}</definedName>
    <definedName name="DGRR" localSheetId="2">#REF!</definedName>
    <definedName name="DGRR">#REF!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C" localSheetId="2">#REF!</definedName>
    <definedName name="DIC">#REF!</definedName>
    <definedName name="diferencia" localSheetId="2">'[64]MEDIA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[40]EMPRESA!$F$14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[65]CÁLCULOS!$H$34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WPRICE" localSheetId="6" hidden="1">#REF!</definedName>
    <definedName name="DWPRICE" localSheetId="2">#REF!</definedName>
    <definedName name="DWPRICE">#REF!</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[40]EMPRESA!$F$6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[68]Equipo!$A$7:$A$65536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10A" localSheetId="2">#REF!</definedName>
    <definedName name="EST10A">#REF!</definedName>
    <definedName name="EST10V1" localSheetId="2">#REF!</definedName>
    <definedName name="EST10V1">#REF!</definedName>
    <definedName name="EST11A" localSheetId="2">#REF!</definedName>
    <definedName name="EST11A">#REF!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[69]Estructura!$C$7:$E$2570</definedName>
    <definedName name="ESTRUCTURA" localSheetId="7" hidden="1">{#N/A,#N/A,TRUE,"INGENIERIA";#N/A,#N/A,TRUE,"COMPRAS";#N/A,#N/A,TRUE,"DIRECCION";#N/A,#N/A,TRUE,"RESUMEN"}</definedName>
    <definedName name="ESTRUCTURA" localSheetId="11" hidden="1">{#N/A,#N/A,TRUE,"INGENIERIA";#N/A,#N/A,TRUE,"COMPRAS";#N/A,#N/A,TRUE,"DIRECCION";#N/A,#N/A,TRUE,"RESUMEN"}</definedName>
    <definedName name="ESTRUCTURA" localSheetId="9" hidden="1">{#N/A,#N/A,TRUE,"INGENIERIA";#N/A,#N/A,TRUE,"COMPRAS";#N/A,#N/A,TRUE,"DIRECCION";#N/A,#N/A,TRUE,"RESUMEN"}</definedName>
    <definedName name="ESTRUCTURA" localSheetId="6" hidden="1">{#N/A,#N/A,TRUE,"INGENIERIA";#N/A,#N/A,TRUE,"COMPRAS";#N/A,#N/A,TRUE,"DIRECCION";#N/A,#N/A,TRUE,"RESUMEN"}</definedName>
    <definedName name="ESTRUCTURA" localSheetId="10" hidden="1">{#N/A,#N/A,TRUE,"INGENIERIA";#N/A,#N/A,TRUE,"COMPRAS";#N/A,#N/A,TRUE,"DIRECCION";#N/A,#N/A,TRUE,"RESUMEN"}</definedName>
    <definedName name="ESTRUCTURA" localSheetId="8" hidden="1">{#N/A,#N/A,TRUE,"INGENIERIA";#N/A,#N/A,TRUE,"COMPRAS";#N/A,#N/A,TRUE,"DIRECCION";#N/A,#N/A,TRUE,"RESUMEN"}</definedName>
    <definedName name="ESTRUCTURA" hidden="1">{#N/A,#N/A,TRUE,"INGENIERIA";#N/A,#N/A,TRUE,"COMPRAS";#N/A,#N/A,TRUE,"DIRECCION";#N/A,#N/A,TRUE,"RESUMEN"}</definedName>
    <definedName name="ESTRUCTURAS">[70]Hoja3!$B$7:$B$15</definedName>
    <definedName name="estudios" localSheetId="2">#REF!</definedName>
    <definedName name="estudios">#REF!</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1_1_1" localSheetId="2">#REF!</definedName>
    <definedName name="Excel_BuiltIn_Print_Area_1_1_1_1_1">#REF!</definedName>
    <definedName name="Excel_BuiltIn_Print_Area_1_1_1_1_1_1" localSheetId="2">#REF!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 localSheetId="2">#REF!</definedName>
    <definedName name="Excel_BuiltIn_Print_Area_7">#REF!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_1_1_1" localSheetId="2">#REF!</definedName>
    <definedName name="Excel_BuiltIn_Print_Titles_1_1_1_1">#REF!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 localSheetId="2">#REF!</definedName>
    <definedName name="Excel_BuiltIn_Print_Titles_4">#REF!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'[71]Análisis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'[40]LIQUIDA-NOMINA'!$AH$4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orCostoPotencia" localSheetId="2">#REF!</definedName>
    <definedName name="FactorCostoPotencia">#REF!</definedName>
    <definedName name="FACTURADO" localSheetId="2">'[72]Itemes Renovación'!#REF!</definedName>
    <definedName name="FACTURADO">'[72]Itemes Renovación'!#REF!</definedName>
    <definedName name="FareWellStmnt" localSheetId="28">[50]!FareWellStmnt</definedName>
    <definedName name="FareWellStmnt" localSheetId="3">[50]!FareWellStmnt</definedName>
    <definedName name="FareWellStmnt" localSheetId="22">[50]!FareWellStmnt</definedName>
    <definedName name="FareWellStmnt" localSheetId="17">[50]!FareWellStmnt</definedName>
    <definedName name="FareWellStmnt" localSheetId="18">[50]!FareWellStmnt</definedName>
    <definedName name="FareWellStmnt" localSheetId="20">[50]!FareWellStmnt</definedName>
    <definedName name="FareWellStmnt" localSheetId="21">[50]!FareWellStmnt</definedName>
    <definedName name="FareWellStmnt" localSheetId="16">[50]!FareWellStmnt</definedName>
    <definedName name="FareWellStmnt" localSheetId="19">[50]!FareWellStmnt</definedName>
    <definedName name="FareWellStmnt" localSheetId="2">[50]!FareWellStmnt</definedName>
    <definedName name="FareWellStmnt" localSheetId="13">[50]!FareWellStmnt</definedName>
    <definedName name="FareWellStmnt" localSheetId="0">[50]!FareWellStmnt</definedName>
    <definedName name="FareWellStmnt" localSheetId="15">[50]!FareWellStmnt</definedName>
    <definedName name="FareWellStmnt">[50]!FareWellStmnt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B" localSheetId="2">#REF!</definedName>
    <definedName name="FEB">#REF!</definedName>
    <definedName name="Fecha">[73]Tablas!$B$1:$B$65536</definedName>
    <definedName name="FechaInicio">[40]CONTRATO!$E$10</definedName>
    <definedName name="FechaTermina">[40]CONTRATO!$E$11</definedName>
    <definedName name="FechaTerminacion" localSheetId="2">#REF!</definedName>
    <definedName name="FechaTerminacion">#REF!</definedName>
    <definedName name="fer" localSheetId="2">'[37]Res-Accide-10'!#REF!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localSheetId="7" hidden="1">{#N/A,#N/A,TRUE,"1842CWN0"}</definedName>
    <definedName name="fhg" localSheetId="11" hidden="1">{#N/A,#N/A,TRUE,"1842CWN0"}</definedName>
    <definedName name="fhg" localSheetId="9" hidden="1">{#N/A,#N/A,TRUE,"1842CWN0"}</definedName>
    <definedName name="fhg" localSheetId="6" hidden="1">{#N/A,#N/A,TRUE,"1842CWN0"}</definedName>
    <definedName name="fhg" localSheetId="10" hidden="1">{#N/A,#N/A,TRUE,"1842CWN0"}</definedName>
    <definedName name="fhg" localSheetId="8" hidden="1">{#N/A,#N/A,TRUE,"1842CWN0"}</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8">[50]!FinePrint</definedName>
    <definedName name="FinePrint" localSheetId="3">[50]!FinePrint</definedName>
    <definedName name="FinePrint" localSheetId="22">[50]!FinePrint</definedName>
    <definedName name="FinePrint" localSheetId="17">[50]!FinePrint</definedName>
    <definedName name="FinePrint" localSheetId="18">[50]!FinePrint</definedName>
    <definedName name="FinePrint" localSheetId="20">[50]!FinePrint</definedName>
    <definedName name="FinePrint" localSheetId="21">[50]!FinePrint</definedName>
    <definedName name="FinePrint" localSheetId="16">[50]!FinePrint</definedName>
    <definedName name="FinePrint" localSheetId="19">[50]!FinePrint</definedName>
    <definedName name="FinePrint" localSheetId="2">[50]!FinePrint</definedName>
    <definedName name="FinePrint" localSheetId="13">[50]!FinePrint</definedName>
    <definedName name="FinePrint" localSheetId="0">[50]!FinePrint</definedName>
    <definedName name="FinePrint" localSheetId="15">[50]!FinePrint</definedName>
    <definedName name="FinePrint">[50]!FinePrint</definedName>
    <definedName name="FM">1.18</definedName>
    <definedName name="fnic">[54]Hoja1!$C$13</definedName>
    <definedName name="FO">1.32</definedName>
    <definedName name="FORDESCR" localSheetId="2">'[3]7422CW00'!#REF!</definedName>
    <definedName name="FORDESCR">'[3]7422CW00'!#REF!</definedName>
    <definedName name="FORM_C3">[75]Hoja1!$A$33:$N$51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'[74]7422CW00'!#REF!</definedName>
    <definedName name="ghf">'[74]7422CW00'!#REF!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_xlnm.Recorder" localSheetId="2">#REF!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427." localSheetId="2">#REF!</definedName>
    <definedName name="H427.">#REF!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[54]Datos!$D$8</definedName>
    <definedName name="hen">[54]Datos!$D$9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'[51]A. P. U.'!#REF!</definedName>
    <definedName name="IF">'[51]A.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'[77]1'!$N$41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[78]TABLAS!$A$1:$A$65536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#REF!</definedName>
    <definedName name="INPUT" localSheetId="2">'[3]7422CW00'!#REF!</definedName>
    <definedName name="INPUT">'[3]7422CW00'!#REF!</definedName>
    <definedName name="INSU">[79]INSUMOS!$A$1:$E$65536</definedName>
    <definedName name="Insumos_auxiliares" localSheetId="2">[80]Insumos!#REF!</definedName>
    <definedName name="Insumos_auxiliares">[80]Insumos!#REF!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[70]Hoja3!$F$7:$F$9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[40]CONTRATO!$E$12</definedName>
    <definedName name="IntVal">'[20]Interc.válv.'!$E$1:$E$65536</definedName>
    <definedName name="INV_11">'[81]PR 1'!$A$2:$N$655</definedName>
    <definedName name="INV_Payments" localSheetId="28">[50]!INV_Payments</definedName>
    <definedName name="INV_Payments" localSheetId="3">[50]!INV_Payments</definedName>
    <definedName name="INV_Payments" localSheetId="22">[50]!INV_Payments</definedName>
    <definedName name="INV_Payments" localSheetId="17">[50]!INV_Payments</definedName>
    <definedName name="INV_Payments" localSheetId="18">[50]!INV_Payments</definedName>
    <definedName name="INV_Payments" localSheetId="20">[50]!INV_Payments</definedName>
    <definedName name="INV_Payments" localSheetId="21">[50]!INV_Payments</definedName>
    <definedName name="INV_Payments" localSheetId="16">[50]!INV_Payments</definedName>
    <definedName name="INV_Payments" localSheetId="19">[50]!INV_Payments</definedName>
    <definedName name="INV_Payments" localSheetId="2">[50]!INV_Payments</definedName>
    <definedName name="INV_Payments" localSheetId="13">[50]!INV_Payments</definedName>
    <definedName name="INV_Payments" localSheetId="0">[50]!INV_Payments</definedName>
    <definedName name="INV_Payments" localSheetId="15">[50]!INV_Payments</definedName>
    <definedName name="INV_Payments">[50]!INV_Payments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 localSheetId="2">#REF!</definedName>
    <definedName name="Io">#REF!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2">#REF!</definedName>
    <definedName name="JUL">#REF!</definedName>
    <definedName name="JUN" localSheetId="2">#REF!</definedName>
    <definedName name="JUN">#REF!</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L" localSheetId="7" hidden="1">{#N/A,#N/A,TRUE,"1842CWN0"}</definedName>
    <definedName name="KDL" localSheetId="11" hidden="1">{#N/A,#N/A,TRUE,"1842CWN0"}</definedName>
    <definedName name="KDL" localSheetId="9" hidden="1">{#N/A,#N/A,TRUE,"1842CWN0"}</definedName>
    <definedName name="KDL" localSheetId="6" hidden="1">{#N/A,#N/A,TRUE,"1842CWN0"}</definedName>
    <definedName name="KDL" localSheetId="10" hidden="1">{#N/A,#N/A,TRUE,"1842CWN0"}</definedName>
    <definedName name="KDL" localSheetId="8" hidden="1">{#N/A,#N/A,TRUE,"1842CWN0"}</definedName>
    <definedName name="KDL" localSheetId="2">#REF!</definedName>
    <definedName name="KDL">#REF!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[82]LISTADO!#REF!</definedName>
    <definedName name="Libro1_Hoja1_Lista">[82]LISTADO!#REF!</definedName>
    <definedName name="LICITACION" localSheetId="2">#REF!</definedName>
    <definedName name="LICITACION">#REF!</definedName>
    <definedName name="LINEA" localSheetId="2">[83]CONT_ADI!#REF!</definedName>
    <definedName name="LINEA">[83]CONT_ADI!#REF!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8">[26]!absc</definedName>
    <definedName name="LOCA" localSheetId="3">[26]!absc</definedName>
    <definedName name="LOCA" localSheetId="22">[26]!absc</definedName>
    <definedName name="LOCA" localSheetId="17">[26]!absc</definedName>
    <definedName name="LOCA" localSheetId="18">[26]!absc</definedName>
    <definedName name="LOCA" localSheetId="20">[26]!absc</definedName>
    <definedName name="LOCA" localSheetId="21">[26]!absc</definedName>
    <definedName name="LOCA" localSheetId="16">[26]!absc</definedName>
    <definedName name="LOCA" localSheetId="19">[26]!absc</definedName>
    <definedName name="LOCA" localSheetId="2">[26]!absc</definedName>
    <definedName name="LOCA" localSheetId="13">[26]!absc</definedName>
    <definedName name="LOCA" localSheetId="0">[26]!absc</definedName>
    <definedName name="LOCA" localSheetId="15">[26]!absc</definedName>
    <definedName name="LOCA">[26]!absc</definedName>
    <definedName name="LOCA1" localSheetId="28">[38]!absc</definedName>
    <definedName name="LOCA1" localSheetId="3">[38]!absc</definedName>
    <definedName name="LOCA1" localSheetId="22">[38]!absc</definedName>
    <definedName name="LOCA1" localSheetId="17">[38]!absc</definedName>
    <definedName name="LOCA1" localSheetId="18">[38]!absc</definedName>
    <definedName name="LOCA1" localSheetId="20">[38]!absc</definedName>
    <definedName name="LOCA1" localSheetId="21">[38]!absc</definedName>
    <definedName name="LOCA1" localSheetId="16">[38]!absc</definedName>
    <definedName name="LOCA1" localSheetId="19">[38]!absc</definedName>
    <definedName name="LOCA1" localSheetId="2">[38]!absc</definedName>
    <definedName name="LOCA1" localSheetId="13">[38]!absc</definedName>
    <definedName name="LOCA1" localSheetId="0">[38]!absc</definedName>
    <definedName name="LOCA1" localSheetId="15">[38]!absc</definedName>
    <definedName name="LOCA1">[38]!absc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ongitud1" localSheetId="2">#REF!</definedName>
    <definedName name="Longitud1">#REF!</definedName>
    <definedName name="Longitud2" localSheetId="2">#REF!</definedName>
    <definedName name="Longitud2">#REF!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'[37]Res-Accide-10'!#REF!</definedName>
    <definedName name="lun">'[37]Res-Accide-10'!#REF!</definedName>
    <definedName name="lv" localSheetId="2">#REF!</definedName>
    <definedName name="lv">#REF!</definedName>
    <definedName name="m" localSheetId="2">#REF!</definedName>
    <definedName name="m">#REF!</definedName>
    <definedName name="MA" localSheetId="2">'[37]Res-Accide-10'!#REF!</definedName>
    <definedName name="MA">'[37]Res-Accide-10'!#REF!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tenimiento" localSheetId="2">#REF!</definedName>
    <definedName name="mantenimiento">#REF!</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2">'[37]Res-Accide-10'!#REF!</definedName>
    <definedName name="mar">'[37]Res-Accide-10'!#REF!</definedName>
    <definedName name="MARCO_H" localSheetId="2">#REF!</definedName>
    <definedName name="MARCO_H">#REF!</definedName>
    <definedName name="marina" localSheetId="2">'[86]Informe Semanal 1'!#REF!</definedName>
    <definedName name="marina">'[86]Informe Semanal 1'!#REF!</definedName>
    <definedName name="masor" hidden="1">{"via1",#N/A,TRUE,"general";"via2",#N/A,TRUE,"general";"via3",#N/A,TRUE,"general"}</definedName>
    <definedName name="MAT" localSheetId="2">#REF!</definedName>
    <definedName name="MAT">#REF!</definedName>
    <definedName name="MATERIAL">'[87]TABLA MATERIALES'!$A$3:$D$654</definedName>
    <definedName name="materiales">[68]materiales!$A$7:$A$1317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AY" localSheetId="2">#REF!</definedName>
    <definedName name="MAY">#REF!</definedName>
    <definedName name="MCCs" localSheetId="2">#REF!</definedName>
    <definedName name="MCCs">#REF!</definedName>
    <definedName name="mdd" hidden="1">{"via1",#N/A,TRUE,"general";"via2",#N/A,TRUE,"general";"via3",#N/A,TRUE,"general"}</definedName>
    <definedName name="mediah_reposo_comida" localSheetId="2">'[88]CCP,LEYES, Y DEC.'!#REF!</definedName>
    <definedName name="mediah_reposo_comida">'[88]CCP,LEYES,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 localSheetId="7" hidden="1">{#N/A,#N/A,TRUE,"1842CWN0"}</definedName>
    <definedName name="met" localSheetId="11" hidden="1">{#N/A,#N/A,TRUE,"1842CWN0"}</definedName>
    <definedName name="met" localSheetId="9" hidden="1">{#N/A,#N/A,TRUE,"1842CWN0"}</definedName>
    <definedName name="met" localSheetId="6" hidden="1">{#N/A,#N/A,TRUE,"1842CWN0"}</definedName>
    <definedName name="met" localSheetId="10" hidden="1">{#N/A,#N/A,TRUE,"1842CWN0"}</definedName>
    <definedName name="met" localSheetId="8" hidden="1">{#N/A,#N/A,TRUE,"1842CWN0"}</definedName>
    <definedName name="met" localSheetId="2">#REF!</definedName>
    <definedName name="met">#REF!</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tal" localSheetId="7" hidden="1">{#N/A,#N/A,TRUE,"1842CWN0"}</definedName>
    <definedName name="metal" localSheetId="11" hidden="1">{#N/A,#N/A,TRUE,"1842CWN0"}</definedName>
    <definedName name="metal" localSheetId="9" hidden="1">{#N/A,#N/A,TRUE,"1842CWN0"}</definedName>
    <definedName name="metal" localSheetId="6" hidden="1">{#N/A,#N/A,TRUE,"1842CWN0"}</definedName>
    <definedName name="metal" localSheetId="10" hidden="1">{#N/A,#N/A,TRUE,"1842CWN0"}</definedName>
    <definedName name="metal" localSheetId="8" hidden="1">{#N/A,#N/A,TRUE,"1842CWN0"}</definedName>
    <definedName name="metal" localSheetId="2">#REF!</definedName>
    <definedName name="metal">#REF!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ínimo" localSheetId="2">#REF!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2">#REF!</definedName>
    <definedName name="MO">#REF!</definedName>
    <definedName name="MOA" hidden="1">{#N/A,#N/A,FALSE,"Hoja1";#N/A,#N/A,FALSE,"Hoja2"}</definedName>
    <definedName name="MOD" localSheetId="2">#REF!</definedName>
    <definedName name="MOD">#REF!</definedName>
    <definedName name="MODIVejec" hidden="1">{#N/A,#N/A,FALSE,"Hoja1";#N/A,#N/A,FALSE,"Hoja2"}</definedName>
    <definedName name="Módulo3.anexo1" localSheetId="28">[9]!Módulo3.anexo1</definedName>
    <definedName name="Módulo3.anexo1" localSheetId="3">[9]!Módulo3.anexo1</definedName>
    <definedName name="Módulo3.anexo1" localSheetId="22">[9]!Módulo3.anexo1</definedName>
    <definedName name="Módulo3.anexo1" localSheetId="17">[9]!Módulo3.anexo1</definedName>
    <definedName name="Módulo3.anexo1" localSheetId="18">[9]!Módulo3.anexo1</definedName>
    <definedName name="Módulo3.anexo1" localSheetId="20">[9]!Módulo3.anexo1</definedName>
    <definedName name="Módulo3.anexo1" localSheetId="21">[9]!Módulo3.anexo1</definedName>
    <definedName name="Módulo3.anexo1" localSheetId="16">[9]!Módulo3.anexo1</definedName>
    <definedName name="Módulo3.anexo1" localSheetId="19">[9]!Módulo3.anexo1</definedName>
    <definedName name="Módulo3.anexo1" localSheetId="2">[9]!Módulo3.anexo1</definedName>
    <definedName name="Módulo3.anexo1" localSheetId="13">[9]!Módulo3.anexo1</definedName>
    <definedName name="Módulo3.anexo1" localSheetId="0">[9]!Módulo3.anexo1</definedName>
    <definedName name="Módulo3.anexo1" localSheetId="15">[9]!Módulo3.anexo1</definedName>
    <definedName name="Módulo3.anexo1">[9]!Módulo3.anexo1</definedName>
    <definedName name="Módulo3.anexo10" localSheetId="28">[9]!Módulo3.anexo10</definedName>
    <definedName name="Módulo3.anexo10" localSheetId="3">[9]!Módulo3.anexo10</definedName>
    <definedName name="Módulo3.anexo10" localSheetId="22">[9]!Módulo3.anexo10</definedName>
    <definedName name="Módulo3.anexo10" localSheetId="17">[9]!Módulo3.anexo10</definedName>
    <definedName name="Módulo3.anexo10" localSheetId="18">[9]!Módulo3.anexo10</definedName>
    <definedName name="Módulo3.anexo10" localSheetId="20">[9]!Módulo3.anexo10</definedName>
    <definedName name="Módulo3.anexo10" localSheetId="21">[9]!Módulo3.anexo10</definedName>
    <definedName name="Módulo3.anexo10" localSheetId="16">[9]!Módulo3.anexo10</definedName>
    <definedName name="Módulo3.anexo10" localSheetId="19">[9]!Módulo3.anexo10</definedName>
    <definedName name="Módulo3.anexo10" localSheetId="2">[9]!Módulo3.anexo10</definedName>
    <definedName name="Módulo3.anexo10" localSheetId="13">[9]!Módulo3.anexo10</definedName>
    <definedName name="Módulo3.anexo10" localSheetId="0">[9]!Módulo3.anexo10</definedName>
    <definedName name="Módulo3.anexo10" localSheetId="15">[9]!Módulo3.anexo10</definedName>
    <definedName name="Módulo3.anexo10">[9]!Módulo3.anexo10</definedName>
    <definedName name="Módulo3.anexo11" localSheetId="28">[9]!Módulo3.anexo11</definedName>
    <definedName name="Módulo3.anexo11" localSheetId="3">[9]!Módulo3.anexo11</definedName>
    <definedName name="Módulo3.anexo11" localSheetId="22">[9]!Módulo3.anexo11</definedName>
    <definedName name="Módulo3.anexo11" localSheetId="17">[9]!Módulo3.anexo11</definedName>
    <definedName name="Módulo3.anexo11" localSheetId="18">[9]!Módulo3.anexo11</definedName>
    <definedName name="Módulo3.anexo11" localSheetId="20">[9]!Módulo3.anexo11</definedName>
    <definedName name="Módulo3.anexo11" localSheetId="21">[9]!Módulo3.anexo11</definedName>
    <definedName name="Módulo3.anexo11" localSheetId="16">[9]!Módulo3.anexo11</definedName>
    <definedName name="Módulo3.anexo11" localSheetId="19">[9]!Módulo3.anexo11</definedName>
    <definedName name="Módulo3.anexo11" localSheetId="2">[9]!Módulo3.anexo11</definedName>
    <definedName name="Módulo3.anexo11" localSheetId="13">[9]!Módulo3.anexo11</definedName>
    <definedName name="Módulo3.anexo11" localSheetId="0">[9]!Módulo3.anexo11</definedName>
    <definedName name="Módulo3.anexo11" localSheetId="15">[9]!Módulo3.anexo11</definedName>
    <definedName name="Módulo3.anexo11">[9]!Módulo3.anexo11</definedName>
    <definedName name="Módulo3.anexo12" localSheetId="28">[9]!Módulo3.anexo12</definedName>
    <definedName name="Módulo3.anexo12" localSheetId="3">[9]!Módulo3.anexo12</definedName>
    <definedName name="Módulo3.anexo12" localSheetId="22">[9]!Módulo3.anexo12</definedName>
    <definedName name="Módulo3.anexo12" localSheetId="17">[9]!Módulo3.anexo12</definedName>
    <definedName name="Módulo3.anexo12" localSheetId="18">[9]!Módulo3.anexo12</definedName>
    <definedName name="Módulo3.anexo12" localSheetId="20">[9]!Módulo3.anexo12</definedName>
    <definedName name="Módulo3.anexo12" localSheetId="21">[9]!Módulo3.anexo12</definedName>
    <definedName name="Módulo3.anexo12" localSheetId="16">[9]!Módulo3.anexo12</definedName>
    <definedName name="Módulo3.anexo12" localSheetId="19">[9]!Módulo3.anexo12</definedName>
    <definedName name="Módulo3.anexo12" localSheetId="2">[9]!Módulo3.anexo12</definedName>
    <definedName name="Módulo3.anexo12" localSheetId="13">[9]!Módulo3.anexo12</definedName>
    <definedName name="Módulo3.anexo12" localSheetId="0">[9]!Módulo3.anexo12</definedName>
    <definedName name="Módulo3.anexo12" localSheetId="15">[9]!Módulo3.anexo12</definedName>
    <definedName name="Módulo3.anexo12">[9]!Módulo3.anexo12</definedName>
    <definedName name="Módulo3.anexo3" localSheetId="28">[9]!Módulo3.anexo3</definedName>
    <definedName name="Módulo3.anexo3" localSheetId="3">[9]!Módulo3.anexo3</definedName>
    <definedName name="Módulo3.anexo3" localSheetId="22">[9]!Módulo3.anexo3</definedName>
    <definedName name="Módulo3.anexo3" localSheetId="17">[9]!Módulo3.anexo3</definedName>
    <definedName name="Módulo3.anexo3" localSheetId="18">[9]!Módulo3.anexo3</definedName>
    <definedName name="Módulo3.anexo3" localSheetId="20">[9]!Módulo3.anexo3</definedName>
    <definedName name="Módulo3.anexo3" localSheetId="21">[9]!Módulo3.anexo3</definedName>
    <definedName name="Módulo3.anexo3" localSheetId="16">[9]!Módulo3.anexo3</definedName>
    <definedName name="Módulo3.anexo3" localSheetId="19">[9]!Módulo3.anexo3</definedName>
    <definedName name="Módulo3.anexo3" localSheetId="2">[9]!Módulo3.anexo3</definedName>
    <definedName name="Módulo3.anexo3" localSheetId="13">[9]!Módulo3.anexo3</definedName>
    <definedName name="Módulo3.anexo3" localSheetId="0">[9]!Módulo3.anexo3</definedName>
    <definedName name="Módulo3.anexo3" localSheetId="15">[9]!Módulo3.anexo3</definedName>
    <definedName name="Módulo3.anexo3">[9]!Módulo3.anexo3</definedName>
    <definedName name="Módulo3.anexo4" localSheetId="28">[9]!Módulo3.anexo4</definedName>
    <definedName name="Módulo3.anexo4" localSheetId="3">[9]!Módulo3.anexo4</definedName>
    <definedName name="Módulo3.anexo4" localSheetId="22">[9]!Módulo3.anexo4</definedName>
    <definedName name="Módulo3.anexo4" localSheetId="17">[9]!Módulo3.anexo4</definedName>
    <definedName name="Módulo3.anexo4" localSheetId="18">[9]!Módulo3.anexo4</definedName>
    <definedName name="Módulo3.anexo4" localSheetId="20">[9]!Módulo3.anexo4</definedName>
    <definedName name="Módulo3.anexo4" localSheetId="21">[9]!Módulo3.anexo4</definedName>
    <definedName name="Módulo3.anexo4" localSheetId="16">[9]!Módulo3.anexo4</definedName>
    <definedName name="Módulo3.anexo4" localSheetId="19">[9]!Módulo3.anexo4</definedName>
    <definedName name="Módulo3.anexo4" localSheetId="2">[9]!Módulo3.anexo4</definedName>
    <definedName name="Módulo3.anexo4" localSheetId="13">[9]!Módulo3.anexo4</definedName>
    <definedName name="Módulo3.anexo4" localSheetId="0">[9]!Módulo3.anexo4</definedName>
    <definedName name="Módulo3.anexo4" localSheetId="15">[9]!Módulo3.anexo4</definedName>
    <definedName name="Módulo3.anexo4">[9]!Módulo3.anexo4</definedName>
    <definedName name="Módulo3.anexo5" localSheetId="28">[9]!Módulo3.anexo5</definedName>
    <definedName name="Módulo3.anexo5" localSheetId="3">[9]!Módulo3.anexo5</definedName>
    <definedName name="Módulo3.anexo5" localSheetId="22">[9]!Módulo3.anexo5</definedName>
    <definedName name="Módulo3.anexo5" localSheetId="17">[9]!Módulo3.anexo5</definedName>
    <definedName name="Módulo3.anexo5" localSheetId="18">[9]!Módulo3.anexo5</definedName>
    <definedName name="Módulo3.anexo5" localSheetId="20">[9]!Módulo3.anexo5</definedName>
    <definedName name="Módulo3.anexo5" localSheetId="21">[9]!Módulo3.anexo5</definedName>
    <definedName name="Módulo3.anexo5" localSheetId="16">[9]!Módulo3.anexo5</definedName>
    <definedName name="Módulo3.anexo5" localSheetId="19">[9]!Módulo3.anexo5</definedName>
    <definedName name="Módulo3.anexo5" localSheetId="2">[9]!Módulo3.anexo5</definedName>
    <definedName name="Módulo3.anexo5" localSheetId="13">[9]!Módulo3.anexo5</definedName>
    <definedName name="Módulo3.anexo5" localSheetId="0">[9]!Módulo3.anexo5</definedName>
    <definedName name="Módulo3.anexo5" localSheetId="15">[9]!Módulo3.anexo5</definedName>
    <definedName name="Módulo3.anexo5">[9]!Módulo3.anexo5</definedName>
    <definedName name="Módulo3.anexo6" localSheetId="28">[9]!Módulo3.anexo6</definedName>
    <definedName name="Módulo3.anexo6" localSheetId="3">[9]!Módulo3.anexo6</definedName>
    <definedName name="Módulo3.anexo6" localSheetId="22">[9]!Módulo3.anexo6</definedName>
    <definedName name="Módulo3.anexo6" localSheetId="17">[9]!Módulo3.anexo6</definedName>
    <definedName name="Módulo3.anexo6" localSheetId="18">[9]!Módulo3.anexo6</definedName>
    <definedName name="Módulo3.anexo6" localSheetId="20">[9]!Módulo3.anexo6</definedName>
    <definedName name="Módulo3.anexo6" localSheetId="21">[9]!Módulo3.anexo6</definedName>
    <definedName name="Módulo3.anexo6" localSheetId="16">[9]!Módulo3.anexo6</definedName>
    <definedName name="Módulo3.anexo6" localSheetId="19">[9]!Módulo3.anexo6</definedName>
    <definedName name="Módulo3.anexo6" localSheetId="2">[9]!Módulo3.anexo6</definedName>
    <definedName name="Módulo3.anexo6" localSheetId="13">[9]!Módulo3.anexo6</definedName>
    <definedName name="Módulo3.anexo6" localSheetId="0">[9]!Módulo3.anexo6</definedName>
    <definedName name="Módulo3.anexo6" localSheetId="15">[9]!Módulo3.anexo6</definedName>
    <definedName name="Módulo3.anexo6">[9]!Módulo3.anexo6</definedName>
    <definedName name="Módulo8.anexo16" localSheetId="28">[9]!Módulo8.anexo16</definedName>
    <definedName name="Módulo8.anexo16" localSheetId="3">[9]!Módulo8.anexo16</definedName>
    <definedName name="Módulo8.anexo16" localSheetId="22">[9]!Módulo8.anexo16</definedName>
    <definedName name="Módulo8.anexo16" localSheetId="17">[9]!Módulo8.anexo16</definedName>
    <definedName name="Módulo8.anexo16" localSheetId="18">[9]!Módulo8.anexo16</definedName>
    <definedName name="Módulo8.anexo16" localSheetId="20">[9]!Módulo8.anexo16</definedName>
    <definedName name="Módulo8.anexo16" localSheetId="21">[9]!Módulo8.anexo16</definedName>
    <definedName name="Módulo8.anexo16" localSheetId="16">[9]!Módulo8.anexo16</definedName>
    <definedName name="Módulo8.anexo16" localSheetId="19">[9]!Módulo8.anexo16</definedName>
    <definedName name="Módulo8.anexo16" localSheetId="2">[9]!Módulo8.anexo16</definedName>
    <definedName name="Módulo8.anexo16" localSheetId="13">[9]!Módulo8.anexo16</definedName>
    <definedName name="Módulo8.anexo16" localSheetId="0">[9]!Módulo8.anexo16</definedName>
    <definedName name="Módulo8.anexo16" localSheetId="15">[9]!Módulo8.anexo16</definedName>
    <definedName name="Módulo8.anexo16">[9]!Módulo8.anexo16</definedName>
    <definedName name="MOE" hidden="1">{#N/A,#N/A,FALSE,"Hoja1";#N/A,#N/A,FALSE,"Hoja2"}</definedName>
    <definedName name="MONEDA">[89]Tablas!$AO$6:$AO$7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[45]steel!#REF!</definedName>
    <definedName name="MRSUPDET">[45]steel!#REF!</definedName>
    <definedName name="Mtz_Avance" localSheetId="2">#REF!</definedName>
    <definedName name="Mtz_Avance">#REF!</definedName>
    <definedName name="MU" localSheetId="2">#REF!</definedName>
    <definedName name="MU">#REF!</definedName>
    <definedName name="Mv" localSheetId="2">#REF!</definedName>
    <definedName name="Mv">#REF!</definedName>
    <definedName name="MZ" localSheetId="2">#REF!</definedName>
    <definedName name="MZ">#REF!</definedName>
    <definedName name="n" hidden="1">{"via1",#N/A,TRUE,"general";"via2",#N/A,TRUE,"general";"via3",#N/A,TRUE,"general"}</definedName>
    <definedName name="Nada" localSheetId="28">[50]!Nada</definedName>
    <definedName name="Nada" localSheetId="3">[50]!Nada</definedName>
    <definedName name="Nada" localSheetId="22">[50]!Nada</definedName>
    <definedName name="Nada" localSheetId="17">[50]!Nada</definedName>
    <definedName name="Nada" localSheetId="18">[50]!Nada</definedName>
    <definedName name="Nada" localSheetId="20">[50]!Nada</definedName>
    <definedName name="Nada" localSheetId="21">[50]!Nada</definedName>
    <definedName name="Nada" localSheetId="16">[50]!Nada</definedName>
    <definedName name="Nada" localSheetId="19">[50]!Nada</definedName>
    <definedName name="Nada" localSheetId="2">[50]!Nada</definedName>
    <definedName name="Nada" localSheetId="13">[50]!Nada</definedName>
    <definedName name="Nada" localSheetId="0">[50]!Nada</definedName>
    <definedName name="Nada" localSheetId="15">[50]!Nada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OV" localSheetId="2">#REF!</definedName>
    <definedName name="NOV">#REF!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MATCH(0.01,'PRECIOS DE REFERENCIA INSUMOS'!End_Bal,-1)+1</definedName>
    <definedName name="Number_of_Payments">MATCH(0.01,End_Bal,-1)+1</definedName>
    <definedName name="NUNI" localSheetId="2">#REF!</definedName>
    <definedName name="NUNI">#REF!</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8">DATE(YEAR([91]!Loan_Start),MONTH([91]!Loan_Start)+Payment_Number,DAY([91]!Loan_Start))</definedName>
    <definedName name="obras1" localSheetId="3">DATE(YEAR([91]!Loan_Start),MONTH([91]!Loan_Start)+Payment_Number,DAY([91]!Loan_Start))</definedName>
    <definedName name="obras1" localSheetId="22">DATE(YEAR([91]!Loan_Start),MONTH([91]!Loan_Start)+Payment_Number,DAY([91]!Loan_Start))</definedName>
    <definedName name="obras1" localSheetId="17">DATE(YEAR([91]!Loan_Start),MONTH([91]!Loan_Start)+Payment_Number,DAY([91]!Loan_Start))</definedName>
    <definedName name="obras1" localSheetId="18">DATE(YEAR([91]!Loan_Start),MONTH([91]!Loan_Start)+Payment_Number,DAY([91]!Loan_Start))</definedName>
    <definedName name="obras1" localSheetId="20">DATE(YEAR([91]!Loan_Start),MONTH([91]!Loan_Start)+Payment_Number,DAY([91]!Loan_Start))</definedName>
    <definedName name="obras1" localSheetId="21">DATE(YEAR([91]!Loan_Start),MONTH([91]!Loan_Start)+Payment_Number,DAY([91]!Loan_Start))</definedName>
    <definedName name="obras1" localSheetId="16">DATE(YEAR([91]!Loan_Start),MONTH([91]!Loan_Start)+Payment_Number,DAY([91]!Loan_Start))</definedName>
    <definedName name="obras1" localSheetId="19">DATE(YEAR([91]!Loan_Start),MONTH([91]!Loan_Start)+Payment_Number,DAY([91]!Loan_Start))</definedName>
    <definedName name="obras1" localSheetId="2">DATE(YEAR([91]!Loan_Start),MONTH([91]!Loan_Start)+Payment_Number,DAY([91]!Loan_Start))</definedName>
    <definedName name="obras1" localSheetId="13">DATE(YEAR([91]!Loan_Start),MONTH([91]!Loan_Start)+Payment_Number,DAY([91]!Loan_Start))</definedName>
    <definedName name="obras1" localSheetId="0">DATE(YEAR([91]!Loan_Start),MONTH([91]!Loan_Start)+Payment_Number,DAY([91]!Loan_Start))</definedName>
    <definedName name="obras1" localSheetId="15">DATE(YEAR([91]!Loan_Start),MONTH([91]!Loan_Start)+Payment_Number,DAY([91]!Loan_Start))</definedName>
    <definedName name="obras1">DATE(YEAR([91]!Loan_Start),MONTH([91]!Loan_Start)+Payment_Number,DAY([91]!Loan_Start))</definedName>
    <definedName name="obras11" localSheetId="2" hidden="1">#REF!</definedName>
    <definedName name="obras11" hidden="1">#REF!</definedName>
    <definedName name="obras111" localSheetId="28">DATE(YEAR([92]!Loan_Start),MONTH([92]!Loan_Start)+Payment_Number,DAY([92]!Loan_Start))</definedName>
    <definedName name="obras111" localSheetId="3">DATE(YEAR([92]!Loan_Start),MONTH([92]!Loan_Start)+Payment_Number,DAY([92]!Loan_Start))</definedName>
    <definedName name="obras111" localSheetId="22">DATE(YEAR([92]!Loan_Start),MONTH([92]!Loan_Start)+Payment_Number,DAY([92]!Loan_Start))</definedName>
    <definedName name="obras111" localSheetId="17">DATE(YEAR([92]!Loan_Start),MONTH([92]!Loan_Start)+Payment_Number,DAY([92]!Loan_Start))</definedName>
    <definedName name="obras111" localSheetId="18">DATE(YEAR([92]!Loan_Start),MONTH([92]!Loan_Start)+Payment_Number,DAY([92]!Loan_Start))</definedName>
    <definedName name="obras111" localSheetId="20">DATE(YEAR([92]!Loan_Start),MONTH([92]!Loan_Start)+Payment_Number,DAY([92]!Loan_Start))</definedName>
    <definedName name="obras111" localSheetId="21">DATE(YEAR([92]!Loan_Start),MONTH([92]!Loan_Start)+Payment_Number,DAY([92]!Loan_Start))</definedName>
    <definedName name="obras111" localSheetId="16">DATE(YEAR([92]!Loan_Start),MONTH([92]!Loan_Start)+Payment_Number,DAY([92]!Loan_Start))</definedName>
    <definedName name="obras111" localSheetId="19">DATE(YEAR([92]!Loan_Start),MONTH([92]!Loan_Start)+Payment_Number,DAY([92]!Loan_Start))</definedName>
    <definedName name="obras111" localSheetId="2">DATE(YEAR([92]!Loan_Start),MONTH([92]!Loan_Start)+Payment_Number,DAY([92]!Loan_Start))</definedName>
    <definedName name="obras111" localSheetId="13">DATE(YEAR([92]!Loan_Start),MONTH([92]!Loan_Start)+Payment_Number,DAY([92]!Loan_Start))</definedName>
    <definedName name="obras111" localSheetId="0">DATE(YEAR([92]!Loan_Start),MONTH([92]!Loan_Start)+Payment_Number,DAY([92]!Loan_Start))</definedName>
    <definedName name="obras111" localSheetId="15">DATE(YEAR([92]!Loan_Start),MONTH([92]!Loan_Start)+Payment_Number,DAY([92]!Loan_Start))</definedName>
    <definedName name="obras111">DATE(YEAR([92]!Loan_Start),MONTH([92]!Loan_Start)+Payment_Number,DAY([92]!Loan_Start))</definedName>
    <definedName name="obser">[93]BD_SITP_08!$AP:$AV</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 localSheetId="2">#REF!</definedName>
    <definedName name="OCT">#REF!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 localSheetId="2">#REF!</definedName>
    <definedName name="ORO">#REF!</definedName>
    <definedName name="OROZCO" localSheetId="2" hidden="1">[7]INST!#REF!</definedName>
    <definedName name="OROZCO" hidden="1">[7]INST!#REF!</definedName>
    <definedName name="otros">[68]otros!$A$6:$A$1235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[56]Tablas!$A$1:$A$65536</definedName>
    <definedName name="Pay_Date" localSheetId="2">#REF!</definedName>
    <definedName name="Pay_Date">#REF!</definedName>
    <definedName name="Pay_Num" localSheetId="2">#REF!</definedName>
    <definedName name="Pay_Num">#REF!</definedName>
    <definedName name="Payment_Date" localSheetId="28">DATE(YEAR([0]!Loan_Start),MONTH([0]!Loan_Start)+Payment_Number,DAY([0]!Loan_Start))</definedName>
    <definedName name="Payment_Date" localSheetId="3">DATE(YEAR([0]!Loan_Start),MONTH([0]!Loan_Start)+Payment_Number,DAY([0]!Loan_Start))</definedName>
    <definedName name="Payment_Date" localSheetId="22">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16">DATE(YEAR([0]!Loan_Start),MONTH([0]!Loan_Start)+Payment_Number,DAY([0]!Loan_Start))</definedName>
    <definedName name="Payment_Date" localSheetId="19">DATE(YEAR([0]!Loan_Start),MONTH([0]!Loan_Start)+Payment_Number,DAY([0]!Loan_Start))</definedName>
    <definedName name="Payment_Date" localSheetId="2">DATE(YEAR('PRECIOS DE REFERENCIA INSUMOS'!Loan_Start),MONTH('PRECIOS DE REFERENCIA INSUMOS'!Loan_Start)+Payment_Number,DAY('PRECIOS DE REFERENCIA INSUMOS'!Loan_Start))</definedName>
    <definedName name="Payment_Date" localSheetId="13">DATE(YEAR([0]!Loan_Start),MONTH([0]!Loan_Start)+Payment_Number,DAY([0]!Loan_Start))</definedName>
    <definedName name="Payment_Date" localSheetId="0">DATE(YEAR([0]!Loan_Start),MONTH([0]!Loan_Start)+Payment_Number,DAY([0]!Loan_Start))</definedName>
    <definedName name="Payment_Date" localSheetId="15">DATE(YEAR([0]!Loan_Start),MONTH([0]!Loan_Start)+Payment_Number,DAY([0]!Loan_Start))</definedName>
    <definedName name="Payment_Date">DATE(YEAR(Loan_Start),MONTH(Loan_Start)+Payment_Number,DAY(Loan_Start))</definedName>
    <definedName name="Payment_Date1" localSheetId="28">DATE(YEAR([92]!Loan_Start),MONTH([92]!Loan_Start)+Payment_Number,DAY([92]!Loan_Start))</definedName>
    <definedName name="Payment_Date1" localSheetId="3">DATE(YEAR([92]!Loan_Start),MONTH([92]!Loan_Start)+Payment_Number,DAY([92]!Loan_Start))</definedName>
    <definedName name="Payment_Date1" localSheetId="22">DATE(YEAR([92]!Loan_Start),MONTH([92]!Loan_Start)+Payment_Number,DAY([92]!Loan_Start))</definedName>
    <definedName name="Payment_Date1" localSheetId="17">DATE(YEAR([92]!Loan_Start),MONTH([92]!Loan_Start)+Payment_Number,DAY([92]!Loan_Start))</definedName>
    <definedName name="Payment_Date1" localSheetId="18">DATE(YEAR([92]!Loan_Start),MONTH([92]!Loan_Start)+Payment_Number,DAY([92]!Loan_Start))</definedName>
    <definedName name="Payment_Date1" localSheetId="20">DATE(YEAR([92]!Loan_Start),MONTH([92]!Loan_Start)+Payment_Number,DAY([92]!Loan_Start))</definedName>
    <definedName name="Payment_Date1" localSheetId="21">DATE(YEAR([92]!Loan_Start),MONTH([92]!Loan_Start)+Payment_Number,DAY([92]!Loan_Start))</definedName>
    <definedName name="Payment_Date1" localSheetId="16">DATE(YEAR([92]!Loan_Start),MONTH([92]!Loan_Start)+Payment_Number,DAY([92]!Loan_Start))</definedName>
    <definedName name="Payment_Date1" localSheetId="19">DATE(YEAR([92]!Loan_Start),MONTH([92]!Loan_Start)+Payment_Number,DAY([92]!Loan_Start))</definedName>
    <definedName name="Payment_Date1" localSheetId="2">DATE(YEAR([92]!Loan_Start),MONTH([92]!Loan_Start)+Payment_Number,DAY([92]!Loan_Start))</definedName>
    <definedName name="Payment_Date1" localSheetId="13">DATE(YEAR([92]!Loan_Start),MONTH([92]!Loan_Start)+Payment_Number,DAY([92]!Loan_Start))</definedName>
    <definedName name="Payment_Date1" localSheetId="0">DATE(YEAR([92]!Loan_Start),MONTH([92]!Loan_Start)+Payment_Number,DAY([92]!Loan_Start))</definedName>
    <definedName name="Payment_Date1" localSheetId="15">DATE(YEAR([92]!Loan_Start),MONTH([92]!Loan_Start)+Payment_Number,DAY([92]!Loan_Start))</definedName>
    <definedName name="Payment_Date1">DATE(YEAR([92]!Loan_Start),MONTH([92]!Loan_Start)+Payment_Number,DAY([92]!Loan_Start))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[42]Hoja1!$C$1</definedName>
    <definedName name="PeriodoPago">'[40]LIQUIDA-NOMINA'!$C$4</definedName>
    <definedName name="PeriodoRepago" localSheetId="2">#REF!</definedName>
    <definedName name="PeriodoRepago">#REF!</definedName>
    <definedName name="PeriodoRepagoCCP" localSheetId="2">#REF!</definedName>
    <definedName name="PeriodoRepagoCCP">#REF!</definedName>
    <definedName name="PESO14.2" localSheetId="2">#REF!</definedName>
    <definedName name="PESO14.2">#REF!</definedName>
    <definedName name="PESO14.3" localSheetId="2">#REF!</definedName>
    <definedName name="PESO14.3">#REF!</definedName>
    <definedName name="PESO14.4" localSheetId="2">#REF!</definedName>
    <definedName name="PESO14.4">#REF!</definedName>
    <definedName name="phed">[54]Hoja1!$C$4</definedName>
    <definedName name="phen">[54]Hoja1!$C$5</definedName>
    <definedName name="Pindis" localSheetId="2">#REF!</definedName>
    <definedName name="Pindis">#REF!</definedName>
    <definedName name="pint" localSheetId="2">'[74]7422CW00'!#REF!</definedName>
    <definedName name="pint">'[74]7422CW00'!#REF!</definedName>
    <definedName name="pintura" localSheetId="2">'[74]7422CW00'!#REF!</definedName>
    <definedName name="pintura">'[74]7422CW00'!#REF!</definedName>
    <definedName name="pintyura" localSheetId="2">[94]STRSUMM0!#REF!</definedName>
    <definedName name="pintyura">[94]STRSUMM0!#REF!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[35]BASES!$E$27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MT" localSheetId="2">#REF!</definedName>
    <definedName name="PMT">#REF!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 localSheetId="2">#REF!</definedName>
    <definedName name="Porcentaje">#REF!</definedName>
    <definedName name="PORCENTAJE1" localSheetId="2">#REF!</definedName>
    <definedName name="PORCENTAJE1">#REF!</definedName>
    <definedName name="PORTADA2" localSheetId="2">'[95]Hoja 1 '!#REF!</definedName>
    <definedName name="PORTADA2">'[95]Hoja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[46]medelo!$D$46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ESUPUESTADO" localSheetId="2">#REF!</definedName>
    <definedName name="PRESUPUESTADO">#REF!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2">#REF!</definedName>
    <definedName name="Princ">#REF!</definedName>
    <definedName name="Print_Area_MI" localSheetId="2">#REF!</definedName>
    <definedName name="Print_Area_MI">#REF!</definedName>
    <definedName name="Print_Area_Reset" localSheetId="2">OFFSET('PRECIOS DE REFERENCIA INSUMOS'!Full_Print,0,0,[0]!Last_Row)</definedName>
    <definedName name="Print_Area_Reset">OFFSET(Full_Print,0,0,Last_Row)</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[54]Hoja1!$C$3</definedName>
    <definedName name="prnf">[54]Hoja1!$C$6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[35]BASES!$B$31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OVISIONALES" localSheetId="6" hidden="1">#REF!</definedName>
    <definedName name="PROVISIONALES" localSheetId="2">#REF!</definedName>
    <definedName name="PROVISIONALES">#REF!</definedName>
    <definedName name="PRUEBA" localSheetId="28">[96]!absc</definedName>
    <definedName name="PRUEBA" localSheetId="3">[96]!absc</definedName>
    <definedName name="PRUEBA" localSheetId="22">[96]!absc</definedName>
    <definedName name="PRUEBA" localSheetId="17">[96]!absc</definedName>
    <definedName name="PRUEBA" localSheetId="18">[96]!absc</definedName>
    <definedName name="PRUEBA" localSheetId="20">[96]!absc</definedName>
    <definedName name="PRUEBA" localSheetId="21">[96]!absc</definedName>
    <definedName name="PRUEBA" localSheetId="16">[96]!absc</definedName>
    <definedName name="PRUEBA" localSheetId="19">[96]!absc</definedName>
    <definedName name="PRUEBA" localSheetId="2">[96]!absc</definedName>
    <definedName name="PRUEBA" localSheetId="13">[96]!absc</definedName>
    <definedName name="PRUEBA" localSheetId="0">[96]!absc</definedName>
    <definedName name="PRUEBA" localSheetId="15">[96]!absc</definedName>
    <definedName name="PRUEBA">[96]!absc</definedName>
    <definedName name="prueba1" localSheetId="28">[96]!absc</definedName>
    <definedName name="prueba1" localSheetId="3">[96]!absc</definedName>
    <definedName name="prueba1" localSheetId="22">[96]!absc</definedName>
    <definedName name="prueba1" localSheetId="17">[96]!absc</definedName>
    <definedName name="prueba1" localSheetId="18">[96]!absc</definedName>
    <definedName name="prueba1" localSheetId="20">[96]!absc</definedName>
    <definedName name="prueba1" localSheetId="21">[96]!absc</definedName>
    <definedName name="prueba1" localSheetId="16">[96]!absc</definedName>
    <definedName name="prueba1" localSheetId="19">[96]!absc</definedName>
    <definedName name="prueba1" localSheetId="2">[96]!absc</definedName>
    <definedName name="prueba1" localSheetId="13">[96]!absc</definedName>
    <definedName name="prueba1" localSheetId="0">[96]!absc</definedName>
    <definedName name="prueba1" localSheetId="15">[96]!absc</definedName>
    <definedName name="prueba1">[96]!absc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'[97]ORITO 02 '!$A$12</definedName>
    <definedName name="Pwf_actual">'[97]ORITO 02 '!$E$6</definedName>
    <definedName name="Pwf_i">[46]medelo!$A$66:$A$83</definedName>
    <definedName name="Pwf_min">'[97]ORITO 02 '!$E$8</definedName>
    <definedName name="Pwfd" localSheetId="2">#REF!</definedName>
    <definedName name="Pwfd">#REF!</definedName>
    <definedName name="Q" localSheetId="2">#REF!</definedName>
    <definedName name="Q">#REF!</definedName>
    <definedName name="Q_actual">'[97]ORITO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 localSheetId="2">#REF!</definedName>
    <definedName name="qqq">#REF!</definedName>
    <definedName name="qqqqqw" hidden="1">{"via1",#N/A,TRUE,"general";"via2",#N/A,TRUE,"general";"via3",#N/A,TRUE,"general"}</definedName>
    <definedName name="QS" localSheetId="2">#REF!</definedName>
    <definedName name="QS">#REF!</definedName>
    <definedName name="Qt">'[97]ORITO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'[90] ASR+Nafta'!$E$9:$E$21</definedName>
    <definedName name="Recall_3">'[90]Todos+Nafta'!$E$9:$E$21</definedName>
    <definedName name="recursos">[98]RECURSOS!$A$8:$A$204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enciaconductor" localSheetId="2">#REF!</definedName>
    <definedName name="Resistenciaconductor">#REF!</definedName>
    <definedName name="Resistividad" localSheetId="2">#REF!</definedName>
    <definedName name="Resistividad">#REF!</definedName>
    <definedName name="RESU" localSheetId="2">#REF!</definedName>
    <definedName name="RESU">#REF!</definedName>
    <definedName name="resu8" localSheetId="28">[9]!resu8</definedName>
    <definedName name="resu8" localSheetId="3">[9]!resu8</definedName>
    <definedName name="resu8" localSheetId="22">[9]!resu8</definedName>
    <definedName name="resu8" localSheetId="17">[9]!resu8</definedName>
    <definedName name="resu8" localSheetId="18">[9]!resu8</definedName>
    <definedName name="resu8" localSheetId="20">[9]!resu8</definedName>
    <definedName name="resu8" localSheetId="21">[9]!resu8</definedName>
    <definedName name="resu8" localSheetId="16">[9]!resu8</definedName>
    <definedName name="resu8" localSheetId="19">[9]!resu8</definedName>
    <definedName name="resu8" localSheetId="2">[9]!resu8</definedName>
    <definedName name="resu8" localSheetId="13">[9]!resu8</definedName>
    <definedName name="resu8" localSheetId="0">[9]!resu8</definedName>
    <definedName name="resu8" localSheetId="15">[9]!resu8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[99]Ingenieria!#REF!</definedName>
    <definedName name="RID">[99]Ingenieria!#REF!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2">#REF!,#REF!,#REF!</definedName>
    <definedName name="Ro">#REF!,#REF!,#REF!</definedName>
    <definedName name="rr">[0]!ERR</definedName>
    <definedName name="rrr" hidden="1">{"via1",#N/A,TRUE,"general";"via2",#N/A,TRUE,"general";"via3",#N/A,TRUE,"general"}</definedName>
    <definedName name="rrrr" localSheetId="2">'[100]Form5 _Pág_ 1'!#REF!</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[35]BASES!$E$41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[54]Hoja1!$C$14</definedName>
    <definedName name="SEP" localSheetId="2">#REF!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2">#REF!</definedName>
    <definedName name="SGI_V_INDICES_CIRCUITO_CAUSA">#REF!</definedName>
    <definedName name="SHEE_INT" localSheetId="2">[45]steel!#REF!</definedName>
    <definedName name="SHEE_INT">[45]steel!#REF!</definedName>
    <definedName name="SHEET" localSheetId="2">'[3]7422CW00'!#REF!</definedName>
    <definedName name="SHEET">'[3]7422CW00'!#REF!</definedName>
    <definedName name="SHEET_KP">[45]steel!$C$7:$L$47</definedName>
    <definedName name="SHEET_MR">[45]steel!$C$7:$J$47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J" localSheetId="2">#REF!</definedName>
    <definedName name="SJ">#REF!</definedName>
    <definedName name="SM" localSheetId="2">#REF!</definedName>
    <definedName name="SM">#REF!</definedName>
    <definedName name="Smlv">'[10]DATOS CONTRATO'!$I$9</definedName>
    <definedName name="smlv01">[40]CONTRATO!$I$9</definedName>
    <definedName name="smlv2001">[40]CONTRATO!$H$9</definedName>
    <definedName name="SMML">'[64]ASPECTOS TECNICOS'!$O$12:$P$32</definedName>
    <definedName name="SN">[10]EMPRESA!$G$29</definedName>
    <definedName name="SOCIAL" localSheetId="2">#REF!</definedName>
    <definedName name="SOCIAL">#REF!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7" hidden="1">'AIU COMP. AMBIENTAL'!$M$37</definedName>
    <definedName name="solver_adj" localSheetId="11" hidden="1">'AIU COMP. PMT'!$M$38</definedName>
    <definedName name="solver_adj" localSheetId="9" hidden="1">'AIU COMP. SOCIAL'!$M$37</definedName>
    <definedName name="solver_adj" localSheetId="3" hidden="1">'FORMULARIO 1 PROPUESTA ECONOMIC'!#REF!</definedName>
    <definedName name="solver_adj" localSheetId="22" hidden="1">'PPTO FLEXIBLE MANT'!#REF!</definedName>
    <definedName name="solver_adj" localSheetId="17" hidden="1">'PPTO FLEXIBLE RECONS'!#REF!</definedName>
    <definedName name="solver_adj" localSheetId="18" hidden="1">'PPTO FLEXIBLE RECONS RUR'!#REF!</definedName>
    <definedName name="solver_adj" localSheetId="20" hidden="1">'PPTO FLEXIBLE REHAB'!#REF!</definedName>
    <definedName name="solver_adj" localSheetId="21" hidden="1">'PPTO RIGIDOS MANT'!#REF!</definedName>
    <definedName name="solver_adj" localSheetId="16" hidden="1">'PPTO RIGIDOS RECONS'!#REF!</definedName>
    <definedName name="solver_adj" localSheetId="19" hidden="1">'PPTO RIGIDOS REHAB'!#REF!</definedName>
    <definedName name="solver_adj" localSheetId="0" hidden="1">'PRESUPUESTO OFICIAL (Entidad)'!#REF!</definedName>
    <definedName name="solver_cvg" localSheetId="7" hidden="1">0.0001</definedName>
    <definedName name="solver_cvg" localSheetId="11" hidden="1">0.0001</definedName>
    <definedName name="solver_cvg" localSheetId="9" hidden="1">0.0001</definedName>
    <definedName name="solver_cvg" localSheetId="3" hidden="1">0.0001</definedName>
    <definedName name="solver_cvg" localSheetId="22" hidden="1">0.0001</definedName>
    <definedName name="solver_cvg" localSheetId="17" hidden="1">0.0001</definedName>
    <definedName name="solver_cvg" localSheetId="18" hidden="1">0.0001</definedName>
    <definedName name="solver_cvg" localSheetId="20" hidden="1">0.0001</definedName>
    <definedName name="solver_cvg" localSheetId="21" hidden="1">0.0001</definedName>
    <definedName name="solver_cvg" localSheetId="16" hidden="1">0.0001</definedName>
    <definedName name="solver_cvg" localSheetId="19" hidden="1">0.0001</definedName>
    <definedName name="solver_cvg" localSheetId="0" hidden="1">0.0001</definedName>
    <definedName name="solver_drv" localSheetId="7" hidden="1">1</definedName>
    <definedName name="solver_drv" localSheetId="11" hidden="1">1</definedName>
    <definedName name="solver_drv" localSheetId="9" hidden="1">1</definedName>
    <definedName name="solver_drv" localSheetId="3" hidden="1">1</definedName>
    <definedName name="solver_drv" localSheetId="22" hidden="1">1</definedName>
    <definedName name="solver_drv" localSheetId="17" hidden="1">1</definedName>
    <definedName name="solver_drv" localSheetId="18" hidden="1">1</definedName>
    <definedName name="solver_drv" localSheetId="20" hidden="1">1</definedName>
    <definedName name="solver_drv" localSheetId="21" hidden="1">1</definedName>
    <definedName name="solver_drv" localSheetId="16" hidden="1">1</definedName>
    <definedName name="solver_drv" localSheetId="19" hidden="1">1</definedName>
    <definedName name="solver_drv" localSheetId="0" hidden="1">1</definedName>
    <definedName name="solver_eng" localSheetId="7" hidden="1">1</definedName>
    <definedName name="solver_eng" localSheetId="11" hidden="1">1</definedName>
    <definedName name="solver_eng" localSheetId="9" hidden="1">1</definedName>
    <definedName name="solver_est" localSheetId="7" hidden="1">1</definedName>
    <definedName name="solver_est" localSheetId="11" hidden="1">1</definedName>
    <definedName name="solver_est" localSheetId="9" hidden="1">1</definedName>
    <definedName name="solver_est" localSheetId="3" hidden="1">1</definedName>
    <definedName name="solver_est" localSheetId="22" hidden="1">1</definedName>
    <definedName name="solver_est" localSheetId="17" hidden="1">1</definedName>
    <definedName name="solver_est" localSheetId="18" hidden="1">1</definedName>
    <definedName name="solver_est" localSheetId="20" hidden="1">1</definedName>
    <definedName name="solver_est" localSheetId="21" hidden="1">1</definedName>
    <definedName name="solver_est" localSheetId="16" hidden="1">1</definedName>
    <definedName name="solver_est" localSheetId="19" hidden="1">1</definedName>
    <definedName name="solver_est" localSheetId="0" hidden="1">1</definedName>
    <definedName name="solver_itr" localSheetId="7" hidden="1">2147483647</definedName>
    <definedName name="solver_itr" localSheetId="11" hidden="1">2147483647</definedName>
    <definedName name="solver_itr" localSheetId="9" hidden="1">2147483647</definedName>
    <definedName name="solver_itr" localSheetId="3" hidden="1">100</definedName>
    <definedName name="solver_itr" localSheetId="22" hidden="1">100</definedName>
    <definedName name="solver_itr" localSheetId="17" hidden="1">100</definedName>
    <definedName name="solver_itr" localSheetId="18" hidden="1">100</definedName>
    <definedName name="solver_itr" localSheetId="20" hidden="1">100</definedName>
    <definedName name="solver_itr" localSheetId="21" hidden="1">100</definedName>
    <definedName name="solver_itr" localSheetId="16" hidden="1">100</definedName>
    <definedName name="solver_itr" localSheetId="19" hidden="1">100</definedName>
    <definedName name="solver_itr" localSheetId="0" hidden="1">100</definedName>
    <definedName name="solver_lhs1" localSheetId="7" hidden="1">'AIU COMP. AMBIENTAL'!$L$37</definedName>
    <definedName name="solver_lhs1" localSheetId="11" hidden="1">'AIU COMP. PMT'!$L$38</definedName>
    <definedName name="solver_lhs1" localSheetId="9" hidden="1">'AIU COMP. SOCIAL'!$L$37</definedName>
    <definedName name="solver_lhs1" localSheetId="3" hidden="1">'FORMULARIO 1 PROPUESTA ECONOMIC'!$I$218</definedName>
    <definedName name="solver_lhs1" localSheetId="22" hidden="1">'PPTO FLEXIBLE MANT'!$J$190</definedName>
    <definedName name="solver_lhs1" localSheetId="17" hidden="1">'PPTO FLEXIBLE RECONS'!$J$190</definedName>
    <definedName name="solver_lhs1" localSheetId="18" hidden="1">'PPTO FLEXIBLE RECONS RUR'!$J$190</definedName>
    <definedName name="solver_lhs1" localSheetId="20" hidden="1">'PPTO FLEXIBLE REHAB'!$J$190</definedName>
    <definedName name="solver_lhs1" localSheetId="21" hidden="1">'PPTO RIGIDOS MANT'!$J$190</definedName>
    <definedName name="solver_lhs1" localSheetId="16" hidden="1">'PPTO RIGIDOS RECONS'!$J$190</definedName>
    <definedName name="solver_lhs1" localSheetId="19" hidden="1">'PPTO RIGIDOS REHAB'!$J$190</definedName>
    <definedName name="solver_lhs1" localSheetId="0" hidden="1">'PRESUPUESTO OFICIAL (Entidad)'!$J$115</definedName>
    <definedName name="solver_lin" localSheetId="3" hidden="1">2</definedName>
    <definedName name="solver_lin" localSheetId="22" hidden="1">2</definedName>
    <definedName name="solver_lin" localSheetId="17" hidden="1">2</definedName>
    <definedName name="solver_lin" localSheetId="18" hidden="1">2</definedName>
    <definedName name="solver_lin" localSheetId="20" hidden="1">2</definedName>
    <definedName name="solver_lin" localSheetId="21" hidden="1">2</definedName>
    <definedName name="solver_lin" localSheetId="16" hidden="1">2</definedName>
    <definedName name="solver_lin" localSheetId="19" hidden="1">2</definedName>
    <definedName name="solver_lin" localSheetId="0" hidden="1">2</definedName>
    <definedName name="solver_mip" localSheetId="7" hidden="1">2147483647</definedName>
    <definedName name="solver_mip" localSheetId="11" hidden="1">2147483647</definedName>
    <definedName name="solver_mip" localSheetId="9" hidden="1">2147483647</definedName>
    <definedName name="solver_mni" localSheetId="7" hidden="1">30</definedName>
    <definedName name="solver_mni" localSheetId="11" hidden="1">30</definedName>
    <definedName name="solver_mni" localSheetId="9" hidden="1">30</definedName>
    <definedName name="solver_mrt" localSheetId="7" hidden="1">0.075</definedName>
    <definedName name="solver_mrt" localSheetId="11" hidden="1">0.075</definedName>
    <definedName name="solver_mrt" localSheetId="9" hidden="1">0.075</definedName>
    <definedName name="solver_msl" localSheetId="7" hidden="1">2</definedName>
    <definedName name="solver_msl" localSheetId="11" hidden="1">2</definedName>
    <definedName name="solver_msl" localSheetId="9" hidden="1">2</definedName>
    <definedName name="solver_neg" localSheetId="7" hidden="1">1</definedName>
    <definedName name="solver_neg" localSheetId="11" hidden="1">1</definedName>
    <definedName name="solver_neg" localSheetId="9" hidden="1">1</definedName>
    <definedName name="solver_neg" localSheetId="3" hidden="1">2</definedName>
    <definedName name="solver_neg" localSheetId="22" hidden="1">2</definedName>
    <definedName name="solver_neg" localSheetId="17" hidden="1">2</definedName>
    <definedName name="solver_neg" localSheetId="18" hidden="1">2</definedName>
    <definedName name="solver_neg" localSheetId="20" hidden="1">2</definedName>
    <definedName name="solver_neg" localSheetId="21" hidden="1">2</definedName>
    <definedName name="solver_neg" localSheetId="16" hidden="1">2</definedName>
    <definedName name="solver_neg" localSheetId="19" hidden="1">2</definedName>
    <definedName name="solver_neg" localSheetId="0" hidden="1">2</definedName>
    <definedName name="solver_nod" localSheetId="7" hidden="1">2147483647</definedName>
    <definedName name="solver_nod" localSheetId="11" hidden="1">2147483647</definedName>
    <definedName name="solver_nod" localSheetId="9" hidden="1">2147483647</definedName>
    <definedName name="solver_num" localSheetId="7" hidden="1">1</definedName>
    <definedName name="solver_num" localSheetId="11" hidden="1">1</definedName>
    <definedName name="solver_num" localSheetId="9" hidden="1">1</definedName>
    <definedName name="solver_num" localSheetId="3" hidden="1">1</definedName>
    <definedName name="solver_num" localSheetId="22" hidden="1">1</definedName>
    <definedName name="solver_num" localSheetId="17" hidden="1">1</definedName>
    <definedName name="solver_num" localSheetId="18" hidden="1">1</definedName>
    <definedName name="solver_num" localSheetId="20" hidden="1">1</definedName>
    <definedName name="solver_num" localSheetId="21" hidden="1">1</definedName>
    <definedName name="solver_num" localSheetId="16" hidden="1">1</definedName>
    <definedName name="solver_num" localSheetId="19" hidden="1">1</definedName>
    <definedName name="solver_num" localSheetId="0" hidden="1">1</definedName>
    <definedName name="solver_nwt" localSheetId="7" hidden="1">1</definedName>
    <definedName name="solver_nwt" localSheetId="11" hidden="1">1</definedName>
    <definedName name="solver_nwt" localSheetId="9" hidden="1">1</definedName>
    <definedName name="solver_nwt" localSheetId="3" hidden="1">1</definedName>
    <definedName name="solver_nwt" localSheetId="22" hidden="1">1</definedName>
    <definedName name="solver_nwt" localSheetId="17" hidden="1">1</definedName>
    <definedName name="solver_nwt" localSheetId="18" hidden="1">1</definedName>
    <definedName name="solver_nwt" localSheetId="20" hidden="1">1</definedName>
    <definedName name="solver_nwt" localSheetId="21" hidden="1">1</definedName>
    <definedName name="solver_nwt" localSheetId="16" hidden="1">1</definedName>
    <definedName name="solver_nwt" localSheetId="19" hidden="1">1</definedName>
    <definedName name="solver_nwt" localSheetId="0" hidden="1">1</definedName>
    <definedName name="solver_opt" localSheetId="7" hidden="1">'AIU COMP. AMBIENTAL'!$L$37</definedName>
    <definedName name="solver_opt" localSheetId="11" hidden="1">'AIU COMP. PMT'!$L$38</definedName>
    <definedName name="solver_opt" localSheetId="9" hidden="1">'AIU COMP. SOCIAL'!$L$37</definedName>
    <definedName name="solver_opt" localSheetId="3" hidden="1">'FORMULARIO 1 PROPUESTA ECONOMIC'!$I$218</definedName>
    <definedName name="solver_opt" localSheetId="22" hidden="1">'PPTO FLEXIBLE MANT'!$J$190</definedName>
    <definedName name="solver_opt" localSheetId="17" hidden="1">'PPTO FLEXIBLE RECONS'!$J$190</definedName>
    <definedName name="solver_opt" localSheetId="18" hidden="1">'PPTO FLEXIBLE RECONS RUR'!$J$190</definedName>
    <definedName name="solver_opt" localSheetId="20" hidden="1">'PPTO FLEXIBLE REHAB'!$J$190</definedName>
    <definedName name="solver_opt" localSheetId="21" hidden="1">'PPTO RIGIDOS MANT'!$J$190</definedName>
    <definedName name="solver_opt" localSheetId="16" hidden="1">'PPTO RIGIDOS RECONS'!$J$190</definedName>
    <definedName name="solver_opt" localSheetId="19" hidden="1">'PPTO RIGIDOS REHAB'!$J$190</definedName>
    <definedName name="solver_opt" localSheetId="0" hidden="1">'PRESUPUESTO OFICIAL (Entidad)'!$J$115</definedName>
    <definedName name="solver_pre" localSheetId="7" hidden="1">0.000001</definedName>
    <definedName name="solver_pre" localSheetId="11" hidden="1">0.000001</definedName>
    <definedName name="solver_pre" localSheetId="9" hidden="1">0.000001</definedName>
    <definedName name="solver_pre" localSheetId="3" hidden="1">0.000001</definedName>
    <definedName name="solver_pre" localSheetId="22" hidden="1">0.000001</definedName>
    <definedName name="solver_pre" localSheetId="17" hidden="1">0.000001</definedName>
    <definedName name="solver_pre" localSheetId="18" hidden="1">0.000001</definedName>
    <definedName name="solver_pre" localSheetId="20" hidden="1">0.000001</definedName>
    <definedName name="solver_pre" localSheetId="21" hidden="1">0.000001</definedName>
    <definedName name="solver_pre" localSheetId="16" hidden="1">0.000001</definedName>
    <definedName name="solver_pre" localSheetId="19" hidden="1">0.000001</definedName>
    <definedName name="solver_pre" localSheetId="0" hidden="1">0.000001</definedName>
    <definedName name="solver_rbv" localSheetId="7" hidden="1">1</definedName>
    <definedName name="solver_rbv" localSheetId="11" hidden="1">1</definedName>
    <definedName name="solver_rbv" localSheetId="9" hidden="1">1</definedName>
    <definedName name="solver_rel1" localSheetId="7" hidden="1">2</definedName>
    <definedName name="solver_rel1" localSheetId="11" hidden="1">2</definedName>
    <definedName name="solver_rel1" localSheetId="9" hidden="1">2</definedName>
    <definedName name="solver_rel1" localSheetId="3" hidden="1">2</definedName>
    <definedName name="solver_rel1" localSheetId="22" hidden="1">2</definedName>
    <definedName name="solver_rel1" localSheetId="17" hidden="1">2</definedName>
    <definedName name="solver_rel1" localSheetId="18" hidden="1">2</definedName>
    <definedName name="solver_rel1" localSheetId="20" hidden="1">2</definedName>
    <definedName name="solver_rel1" localSheetId="21" hidden="1">2</definedName>
    <definedName name="solver_rel1" localSheetId="16" hidden="1">2</definedName>
    <definedName name="solver_rel1" localSheetId="19" hidden="1">2</definedName>
    <definedName name="solver_rel1" localSheetId="0" hidden="1">2</definedName>
    <definedName name="solver_rhs1" localSheetId="7" hidden="1">'AIU COMP. AMBIENTAL'!$M$37</definedName>
    <definedName name="solver_rhs1" localSheetId="11" hidden="1">'AIU COMP. PMT'!$M$38</definedName>
    <definedName name="solver_rhs1" localSheetId="9" hidden="1">'AIU COMP. SOCIAL'!$M$37</definedName>
    <definedName name="solver_rhs1" localSheetId="3" hidden="1">'FORMULARIO 1 PROPUESTA ECONOMIC'!$I$219</definedName>
    <definedName name="solver_rhs1" localSheetId="22" hidden="1">'PPTO FLEXIBLE MANT'!$J$191</definedName>
    <definedName name="solver_rhs1" localSheetId="17" hidden="1">'PPTO FLEXIBLE RECONS'!$J$191</definedName>
    <definedName name="solver_rhs1" localSheetId="18" hidden="1">'PPTO FLEXIBLE RECONS RUR'!$J$191</definedName>
    <definedName name="solver_rhs1" localSheetId="20" hidden="1">'PPTO FLEXIBLE REHAB'!$J$191</definedName>
    <definedName name="solver_rhs1" localSheetId="21" hidden="1">'PPTO RIGIDOS MANT'!$J$191</definedName>
    <definedName name="solver_rhs1" localSheetId="16" hidden="1">'PPTO RIGIDOS RECONS'!$J$191</definedName>
    <definedName name="solver_rhs1" localSheetId="19" hidden="1">'PPTO RIGIDOS REHAB'!$J$191</definedName>
    <definedName name="solver_rhs1" localSheetId="0" hidden="1">'PRESUPUESTO OFICIAL (Entidad)'!$J$116</definedName>
    <definedName name="solver_rlx" localSheetId="7" hidden="1">2</definedName>
    <definedName name="solver_rlx" localSheetId="11" hidden="1">2</definedName>
    <definedName name="solver_rlx" localSheetId="9" hidden="1">2</definedName>
    <definedName name="solver_rsd" localSheetId="7" hidden="1">0</definedName>
    <definedName name="solver_rsd" localSheetId="11" hidden="1">0</definedName>
    <definedName name="solver_rsd" localSheetId="9" hidden="1">0</definedName>
    <definedName name="solver_scl" localSheetId="7" hidden="1">1</definedName>
    <definedName name="solver_scl" localSheetId="11" hidden="1">1</definedName>
    <definedName name="solver_scl" localSheetId="9" hidden="1">1</definedName>
    <definedName name="solver_scl" localSheetId="3" hidden="1">2</definedName>
    <definedName name="solver_scl" localSheetId="22" hidden="1">2</definedName>
    <definedName name="solver_scl" localSheetId="17" hidden="1">2</definedName>
    <definedName name="solver_scl" localSheetId="18" hidden="1">2</definedName>
    <definedName name="solver_scl" localSheetId="20" hidden="1">2</definedName>
    <definedName name="solver_scl" localSheetId="21" hidden="1">2</definedName>
    <definedName name="solver_scl" localSheetId="16" hidden="1">2</definedName>
    <definedName name="solver_scl" localSheetId="19" hidden="1">2</definedName>
    <definedName name="solver_scl" localSheetId="0" hidden="1">2</definedName>
    <definedName name="solver_sho" localSheetId="7" hidden="1">2</definedName>
    <definedName name="solver_sho" localSheetId="11" hidden="1">2</definedName>
    <definedName name="solver_sho" localSheetId="9" hidden="1">2</definedName>
    <definedName name="solver_sho" localSheetId="3" hidden="1">2</definedName>
    <definedName name="solver_sho" localSheetId="22" hidden="1">2</definedName>
    <definedName name="solver_sho" localSheetId="17" hidden="1">2</definedName>
    <definedName name="solver_sho" localSheetId="18" hidden="1">2</definedName>
    <definedName name="solver_sho" localSheetId="20" hidden="1">2</definedName>
    <definedName name="solver_sho" localSheetId="21" hidden="1">2</definedName>
    <definedName name="solver_sho" localSheetId="16" hidden="1">2</definedName>
    <definedName name="solver_sho" localSheetId="19" hidden="1">2</definedName>
    <definedName name="solver_sho" localSheetId="0" hidden="1">2</definedName>
    <definedName name="solver_ssz" localSheetId="7" hidden="1">100</definedName>
    <definedName name="solver_ssz" localSheetId="11" hidden="1">100</definedName>
    <definedName name="solver_ssz" localSheetId="9" hidden="1">100</definedName>
    <definedName name="solver_tim" localSheetId="7" hidden="1">2147483647</definedName>
    <definedName name="solver_tim" localSheetId="11" hidden="1">2147483647</definedName>
    <definedName name="solver_tim" localSheetId="9" hidden="1">2147483647</definedName>
    <definedName name="solver_tim" localSheetId="3" hidden="1">100</definedName>
    <definedName name="solver_tim" localSheetId="22" hidden="1">100</definedName>
    <definedName name="solver_tim" localSheetId="17" hidden="1">100</definedName>
    <definedName name="solver_tim" localSheetId="18" hidden="1">100</definedName>
    <definedName name="solver_tim" localSheetId="20" hidden="1">100</definedName>
    <definedName name="solver_tim" localSheetId="21" hidden="1">100</definedName>
    <definedName name="solver_tim" localSheetId="16" hidden="1">100</definedName>
    <definedName name="solver_tim" localSheetId="19" hidden="1">100</definedName>
    <definedName name="solver_tim" localSheetId="0" hidden="1">100</definedName>
    <definedName name="solver_tol" localSheetId="7" hidden="1">0.01</definedName>
    <definedName name="solver_tol" localSheetId="11" hidden="1">0.01</definedName>
    <definedName name="solver_tol" localSheetId="9" hidden="1">0.01</definedName>
    <definedName name="solver_tol" localSheetId="3" hidden="1">0.05</definedName>
    <definedName name="solver_tol" localSheetId="22" hidden="1">0.05</definedName>
    <definedName name="solver_tol" localSheetId="17" hidden="1">0.05</definedName>
    <definedName name="solver_tol" localSheetId="18" hidden="1">0.05</definedName>
    <definedName name="solver_tol" localSheetId="20" hidden="1">0.05</definedName>
    <definedName name="solver_tol" localSheetId="21" hidden="1">0.05</definedName>
    <definedName name="solver_tol" localSheetId="16" hidden="1">0.05</definedName>
    <definedName name="solver_tol" localSheetId="19" hidden="1">0.05</definedName>
    <definedName name="solver_tol" localSheetId="0" hidden="1">0.05</definedName>
    <definedName name="solver_typ" localSheetId="7" hidden="1">1</definedName>
    <definedName name="solver_typ" localSheetId="11" hidden="1">1</definedName>
    <definedName name="solver_typ" localSheetId="9" hidden="1">1</definedName>
    <definedName name="solver_typ" localSheetId="3" hidden="1">3</definedName>
    <definedName name="solver_typ" localSheetId="22" hidden="1">3</definedName>
    <definedName name="solver_typ" localSheetId="17" hidden="1">3</definedName>
    <definedName name="solver_typ" localSheetId="18" hidden="1">3</definedName>
    <definedName name="solver_typ" localSheetId="20" hidden="1">3</definedName>
    <definedName name="solver_typ" localSheetId="21" hidden="1">3</definedName>
    <definedName name="solver_typ" localSheetId="16" hidden="1">3</definedName>
    <definedName name="solver_typ" localSheetId="19" hidden="1">3</definedName>
    <definedName name="solver_typ" localSheetId="0" hidden="1">3</definedName>
    <definedName name="solver_val" localSheetId="7" hidden="1">0</definedName>
    <definedName name="solver_val" localSheetId="11" hidden="1">0</definedName>
    <definedName name="solver_val" localSheetId="9" hidden="1">0</definedName>
    <definedName name="solver_val" localSheetId="3" hidden="1">63899000000</definedName>
    <definedName name="solver_val" localSheetId="22" hidden="1">63899000000</definedName>
    <definedName name="solver_val" localSheetId="17" hidden="1">63899000000</definedName>
    <definedName name="solver_val" localSheetId="18" hidden="1">63899000000</definedName>
    <definedName name="solver_val" localSheetId="20" hidden="1">63899000000</definedName>
    <definedName name="solver_val" localSheetId="21" hidden="1">63899000000</definedName>
    <definedName name="solver_val" localSheetId="16" hidden="1">63899000000</definedName>
    <definedName name="solver_val" localSheetId="19" hidden="1">63899000000</definedName>
    <definedName name="solver_val" localSheetId="0" hidden="1">63899000000</definedName>
    <definedName name="solver_ver" localSheetId="7" hidden="1">3</definedName>
    <definedName name="solver_ver" localSheetId="11" hidden="1">3</definedName>
    <definedName name="solver_ver" localSheetId="9" hidden="1">3</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[54]Hoja1!$C$25</definedName>
    <definedName name="ssh">[54]Hoja1!$C$24</definedName>
    <definedName name="sss" localSheetId="28">MODULO10.auto_abrir</definedName>
    <definedName name="sss" localSheetId="3">MODULO10.auto_abrir</definedName>
    <definedName name="sss" localSheetId="22">MODULO10.auto_abrir</definedName>
    <definedName name="sss" localSheetId="17">MODULO10.auto_abrir</definedName>
    <definedName name="sss" localSheetId="18">MODULO10.auto_abrir</definedName>
    <definedName name="sss" localSheetId="20">MODULO10.auto_abrir</definedName>
    <definedName name="sss" localSheetId="21">MODULO10.auto_abrir</definedName>
    <definedName name="sss" localSheetId="16">MODULO10.auto_abrir</definedName>
    <definedName name="sss" localSheetId="19">MODULO10.auto_abrir</definedName>
    <definedName name="sss" localSheetId="2">MODULO10.auto_abrir</definedName>
    <definedName name="sss" localSheetId="13">MODULO10.auto_abrir</definedName>
    <definedName name="sss" localSheetId="0">MODULO10.auto_abrir</definedName>
    <definedName name="sss" localSheetId="15">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'[101]PxQ Cantidades'!#REF!</definedName>
    <definedName name="Stock">'[101]PxQ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 localSheetId="2">#REF!</definedName>
    <definedName name="SU">#REF!</definedName>
    <definedName name="SUBESTACIONES" localSheetId="2">#REF!</definedName>
    <definedName name="SUBESTACIONES">#REF!</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[52]Hoja1!$F$60</definedName>
    <definedName name="Summary" localSheetId="2">#REF!</definedName>
    <definedName name="Summary">#REF!</definedName>
    <definedName name="SUP_ART" localSheetId="2">[45]steel!#REF!</definedName>
    <definedName name="SUP_ART">[45]steel!#REF!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[56]Tablas!$H$1:$H$65536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8">[21]!absc</definedName>
    <definedName name="t" localSheetId="3">[21]!absc</definedName>
    <definedName name="t" localSheetId="22">[21]!absc</definedName>
    <definedName name="t" localSheetId="17">[21]!absc</definedName>
    <definedName name="t" localSheetId="18">[21]!absc</definedName>
    <definedName name="t" localSheetId="20">[21]!absc</definedName>
    <definedName name="t" localSheetId="21">[21]!absc</definedName>
    <definedName name="t" localSheetId="16">[21]!absc</definedName>
    <definedName name="t" localSheetId="19">[21]!absc</definedName>
    <definedName name="t" localSheetId="2">[21]!absc</definedName>
    <definedName name="t" localSheetId="13">[21]!absc</definedName>
    <definedName name="t" localSheetId="0">[21]!absc</definedName>
    <definedName name="t" localSheetId="15">[21]!absc</definedName>
    <definedName name="t">[21]!absc</definedName>
    <definedName name="t_1" localSheetId="28">Scheduled_Payment+Extra_Payment</definedName>
    <definedName name="t_1" localSheetId="3">Scheduled_Payment+Extra_Payment</definedName>
    <definedName name="t_1" localSheetId="22">Scheduled_Payment+Extra_Payment</definedName>
    <definedName name="t_1" localSheetId="17">Scheduled_Payment+Extra_Payment</definedName>
    <definedName name="t_1" localSheetId="18">Scheduled_Payment+Extra_Payment</definedName>
    <definedName name="t_1" localSheetId="20">Scheduled_Payment+Extra_Payment</definedName>
    <definedName name="t_1" localSheetId="21">Scheduled_Payment+Extra_Payment</definedName>
    <definedName name="t_1" localSheetId="16">Scheduled_Payment+Extra_Payment</definedName>
    <definedName name="t_1" localSheetId="19">Scheduled_Payment+Extra_Payment</definedName>
    <definedName name="t_1" localSheetId="2">Scheduled_Payment+Extra_Payment</definedName>
    <definedName name="t_1" localSheetId="13">Scheduled_Payment+Extra_Payment</definedName>
    <definedName name="t_1" localSheetId="0">Scheduled_Payment+Extra_Payment</definedName>
    <definedName name="t_1" localSheetId="15">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[102]Hoja3!$B$4:$F$28</definedName>
    <definedName name="tabla2" localSheetId="2">#REF!</definedName>
    <definedName name="tabla2">#REF!</definedName>
    <definedName name="TABLEKP" localSheetId="2">'[3]7422CW00'!#REF!</definedName>
    <definedName name="TABLEKP">'[3]7422CW00'!#REF!</definedName>
    <definedName name="TABLEPRI" localSheetId="2">#REF!</definedName>
    <definedName name="TABLEPRI">#REF!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[40]EMPRESA!$F$24</definedName>
    <definedName name="TARIFAS">[103]TARIFAS!$A$1:$F$52</definedName>
    <definedName name="TarifaSalud">[40]EMPRESA!$F$26</definedName>
    <definedName name="Tasa" localSheetId="2">#REF!</definedName>
    <definedName name="Tasa">#REF!</definedName>
    <definedName name="TASA_DE_CAMBIO" localSheetId="2">#REF!</definedName>
    <definedName name="TASA_DE_CAMBIO">#REF!</definedName>
    <definedName name="Tasa1">'[104]Bases 2A'!$C$20</definedName>
    <definedName name="TasaCCP" localSheetId="2">#REF!</definedName>
    <definedName name="TasaCCP">#REF!</definedName>
    <definedName name="Tax" localSheetId="2">#REF!</definedName>
    <definedName name="Tax">#REF!</definedName>
    <definedName name="TB" localSheetId="2">#REF!</definedName>
    <definedName name="TB">#REF!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 localSheetId="2">#REF!</definedName>
    <definedName name="TE">#REF!</definedName>
    <definedName name="telefono">[40]EMPRESA!$F$16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[36]BASES!$E$27</definedName>
    <definedName name="TIPO" localSheetId="2">#REF!</definedName>
    <definedName name="TIPO">#REF!</definedName>
    <definedName name="TIPO_GRUPO" localSheetId="2">#REF!</definedName>
    <definedName name="TIPO_GRUPO">#REF!</definedName>
    <definedName name="TipoGC">[89]Tablas!$U$6:$U$15</definedName>
    <definedName name="TipoNeces">[89]Tablas!$Q$6:$Q$8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6">'COMPONENTE AMBIENTAL'!$3:$9</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[54]Datos!$D$14</definedName>
    <definedName name="To" localSheetId="2">#REF!</definedName>
    <definedName name="To">#REF!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Kilometro_típico_aereo_11.4_kV" localSheetId="2">#REF!</definedName>
    <definedName name="Total_Kilometro_típico_aereo_11.4_kV">#REF!</definedName>
    <definedName name="Total_Kilometro_típico_aereo_34.5_kV" localSheetId="2">#REF!</definedName>
    <definedName name="Total_Kilometro_típico_aereo_34.5_kV">#REF!</definedName>
    <definedName name="Total_Kilometro_típico_aereo_rural_11.4kV" localSheetId="2">#REF!</definedName>
    <definedName name="Total_Kilometro_típico_aereo_rural_11.4kV">#REF!</definedName>
    <definedName name="Total_Kilometro_típico_aereo_rural_34.5kV" localSheetId="2">#REF!</definedName>
    <definedName name="Total_Kilometro_típico_aereo_rural_34.5kV">#REF!</definedName>
    <definedName name="Total_Kilometro_típico_subterraneo_11.4_kV" localSheetId="2">#REF!</definedName>
    <definedName name="Total_Kilometro_típico_subterraneo_11.4_kV">#REF!</definedName>
    <definedName name="Total_Kilometro_típico_subterraneo_34.5_kV" localSheetId="2">#REF!</definedName>
    <definedName name="Total_Kilometro_típico_subterraneo_34.5_kV">#REF!</definedName>
    <definedName name="Total_Pay" localSheetId="2">#REF!</definedName>
    <definedName name="Total_Pay">#REF!</definedName>
    <definedName name="Total_Payment" localSheetId="28">Scheduled_Payment+Extra_Payment</definedName>
    <definedName name="Total_Payment" localSheetId="3">Scheduled_Payment+Extra_Payment</definedName>
    <definedName name="Total_Payment" localSheetId="22">Scheduled_Payment+Extra_Payment</definedName>
    <definedName name="Total_Payment" localSheetId="17">Scheduled_Payment+Extra_Payment</definedName>
    <definedName name="Total_Payment" localSheetId="18">Scheduled_Payment+Extra_Payment</definedName>
    <definedName name="Total_Payment" localSheetId="20">Scheduled_Payment+Extra_Payment</definedName>
    <definedName name="Total_Payment" localSheetId="21">Scheduled_Payment+Extra_Payment</definedName>
    <definedName name="Total_Payment" localSheetId="16">Scheduled_Payment+Extra_Payment</definedName>
    <definedName name="Total_Payment" localSheetId="19">Scheduled_Payment+Extra_Payment</definedName>
    <definedName name="Total_Payment" localSheetId="2">Scheduled_Payment+Extra_Payment</definedName>
    <definedName name="Total_Payment" localSheetId="13">Scheduled_Payment+Extra_Payment</definedName>
    <definedName name="Total_Payment" localSheetId="0">Scheduled_Payment+Extra_Payment</definedName>
    <definedName name="Total_Payment" localSheetId="15">Scheduled_Payment+Extra_Payment</definedName>
    <definedName name="Total_Payment">Scheduled_Payment+Extra_Payment</definedName>
    <definedName name="Total_Payment1" localSheetId="28">Scheduled_Payment+Extra_Payment</definedName>
    <definedName name="Total_Payment1" localSheetId="3">Scheduled_Payment+Extra_Payment</definedName>
    <definedName name="Total_Payment1" localSheetId="22">Scheduled_Payment+Extra_Payment</definedName>
    <definedName name="Total_Payment1" localSheetId="17">Scheduled_Payment+Extra_Payment</definedName>
    <definedName name="Total_Payment1" localSheetId="18">Scheduled_Payment+Extra_Payment</definedName>
    <definedName name="Total_Payment1" localSheetId="20">Scheduled_Payment+Extra_Payment</definedName>
    <definedName name="Total_Payment1" localSheetId="21">Scheduled_Payment+Extra_Payment</definedName>
    <definedName name="Total_Payment1" localSheetId="16">Scheduled_Payment+Extra_Payment</definedName>
    <definedName name="Total_Payment1" localSheetId="19">Scheduled_Payment+Extra_Payment</definedName>
    <definedName name="Total_Payment1" localSheetId="2">Scheduled_Payment+Extra_Payment</definedName>
    <definedName name="Total_Payment1" localSheetId="13">Scheduled_Payment+Extra_Payment</definedName>
    <definedName name="Total_Payment1" localSheetId="0">Scheduled_Payment+Extra_Payment</definedName>
    <definedName name="Total_Payment1" localSheetId="15">Scheduled_Payment+Extra_Payment</definedName>
    <definedName name="Total_Payment1">Scheduled_Payment+Extra_Payment</definedName>
    <definedName name="total1" localSheetId="2">#REF!</definedName>
    <definedName name="total1">#REF!</definedName>
    <definedName name="TotalCesantias">'[40]NOMINA 1'!$N$38</definedName>
    <definedName name="TOTALHH" localSheetId="2">#REF!</definedName>
    <definedName name="TOTALHH">#REF!</definedName>
    <definedName name="TOTALHH1" localSheetId="2">#REF!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[105]desmonte!$E$48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M" localSheetId="2">#REF!</definedName>
    <definedName name="UM">#REF!</definedName>
    <definedName name="UN_PRI" localSheetId="2">#REF!</definedName>
    <definedName name="UN_PRI">#REF!</definedName>
    <definedName name="UNIT">'[107]Lista APU'!$A$3:$D$479</definedName>
    <definedName name="UNITARIO">[108]Unitarios!$A$3:$D$13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2">#REF!</definedName>
    <definedName name="US">#REF!</definedName>
    <definedName name="USxCOL" localSheetId="2">#REF!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[109]CONTRATO!$E$9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IF('PRECIOS DE REFERENCIA INSUMOS'!Loan_Amount*'PRECIOS DE REFERENCIA INSUMOS'!Interest_Rate*'PRECIOS DE REFERENCIA INSUMOS'!Loan_Years*'PRECIOS DE REFERENCIA INSUMOS'!Loan_Start&gt;0,1,0)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 localSheetId="2">#REF!</definedName>
    <definedName name="VE">#REF!</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'[74]7422CW00'!#REF!</definedName>
    <definedName name="vfh">'[74]7422CW00'!#REF!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2">#REF!</definedName>
    <definedName name="VI">#REF!</definedName>
    <definedName name="VIA" localSheetId="2">#REF!</definedName>
    <definedName name="VIA">#REF!</definedName>
    <definedName name="VICEP_DIRECC">[89]Tablas!$A$6:$A$26</definedName>
    <definedName name="VigenciaDolares" localSheetId="2">#REF!</definedName>
    <definedName name="VigenciaDolares">#REF!</definedName>
    <definedName name="VigenciaPesos" localSheetId="2">#REF!</definedName>
    <definedName name="VigenciaPesos">#REF!</definedName>
    <definedName name="VIGFUTURA">[89]Tablas!$J$6:$J$8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'[110]2004'!#REF!</definedName>
    <definedName name="WBS">'[110]2004'!#REF!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 localSheetId="2">#REF!</definedName>
    <definedName name="wedw">#REF!</definedName>
    <definedName name="WEFWE" localSheetId="2">'[37]Res-Accide-10'!#REF!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 localSheetId="2">#REF!</definedName>
    <definedName name="WQ">#REF!</definedName>
    <definedName name="WQEEWQ" hidden="1">{"TAB1",#N/A,TRUE,"GENERAL";"TAB2",#N/A,TRUE,"GENERAL";"TAB3",#N/A,TRUE,"GENERAL";"TAB4",#N/A,TRUE,"GENERAL";"TAB5",#N/A,TRUE,"GENERAL"}</definedName>
    <definedName name="wrn.civil._.works." localSheetId="7" hidden="1">{#N/A,#N/A,TRUE,"1842CWN0"}</definedName>
    <definedName name="wrn.civil._.works." localSheetId="11" hidden="1">{#N/A,#N/A,TRUE,"1842CWN0"}</definedName>
    <definedName name="wrn.civil._.works." localSheetId="9" hidden="1">{#N/A,#N/A,TRUE,"1842CWN0"}</definedName>
    <definedName name="wrn.civil._.works." localSheetId="6" hidden="1">{#N/A,#N/A,TRUE,"1842CWN0"}</definedName>
    <definedName name="wrn.civil._.works." localSheetId="10" hidden="1">{#N/A,#N/A,TRUE,"1842CWN0"}</definedName>
    <definedName name="wrn.civil._.works." localSheetId="8" hidden="1">{#N/A,#N/A,TRUE,"1842CWN0"}</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11" hidden="1">{#N/A,#N/A,TRUE,"INGENIERIA";#N/A,#N/A,TRUE,"COMPRAS";#N/A,#N/A,TRUE,"DIRECCION";#N/A,#N/A,TRUE,"RESUMEN"}</definedName>
    <definedName name="wrn.GERENCIA." localSheetId="9" hidden="1">{#N/A,#N/A,TRUE,"INGENIERIA";#N/A,#N/A,TRUE,"COMPRAS";#N/A,#N/A,TRUE,"DIRECCION";#N/A,#N/A,TRUE,"RESUMEN"}</definedName>
    <definedName name="wrn.GERENCIA." localSheetId="6" hidden="1">{#N/A,#N/A,TRUE,"INGENIERIA";#N/A,#N/A,TRUE,"COMPRAS";#N/A,#N/A,TRUE,"DIRECCION";#N/A,#N/A,TRUE,"RESUMEN"}</definedName>
    <definedName name="wrn.GERENCIA." localSheetId="10" hidden="1">{#N/A,#N/A,TRUE,"INGENIERIA";#N/A,#N/A,TRUE,"COMPRAS";#N/A,#N/A,TRUE,"DIRECCION";#N/A,#N/A,TRUE,"RESUMEN"}</definedName>
    <definedName name="wrn.GERENCIA." localSheetId="8"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 localSheetId="2">#REF!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localSheetId="7" hidden="1">{#N/A,#N/A,TRUE,"1842CWN0"}</definedName>
    <definedName name="XSW" localSheetId="11" hidden="1">{#N/A,#N/A,TRUE,"1842CWN0"}</definedName>
    <definedName name="XSW" localSheetId="9" hidden="1">{#N/A,#N/A,TRUE,"1842CWN0"}</definedName>
    <definedName name="XSW" localSheetId="6" hidden="1">{#N/A,#N/A,TRUE,"1842CWN0"}</definedName>
    <definedName name="XSW" localSheetId="10" hidden="1">{#N/A,#N/A,TRUE,"1842CWN0"}</definedName>
    <definedName name="XSW" localSheetId="8" hidden="1">{#N/A,#N/A,TRUE,"1842CWN0"}</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 localSheetId="2">#REF!</definedName>
    <definedName name="xxx">#REF!</definedName>
    <definedName name="XXXX" localSheetId="6" hidden="1">#REF!</definedName>
    <definedName name="XXXX" localSheetId="2" hidden="1">#REF!</definedName>
    <definedName name="XXXX" hidden="1">#REF!</definedName>
    <definedName name="xxxxx" localSheetId="28">[111]!absc</definedName>
    <definedName name="xxxxx" localSheetId="3">[111]!absc</definedName>
    <definedName name="xxxxx" localSheetId="22">[111]!absc</definedName>
    <definedName name="xxxxx" localSheetId="17">[111]!absc</definedName>
    <definedName name="xxxxx" localSheetId="18">[111]!absc</definedName>
    <definedName name="xxxxx" localSheetId="20">[111]!absc</definedName>
    <definedName name="xxxxx" localSheetId="21">[111]!absc</definedName>
    <definedName name="xxxxx" localSheetId="16">[111]!absc</definedName>
    <definedName name="xxxxx" localSheetId="19">[111]!absc</definedName>
    <definedName name="xxxxx" localSheetId="2">[111]!absc</definedName>
    <definedName name="xxxxx" localSheetId="13">[111]!absc</definedName>
    <definedName name="xxxxx" localSheetId="0">[111]!absc</definedName>
    <definedName name="xxxxx" localSheetId="15">[111]!absc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6" hidden="1">#REF!</definedName>
    <definedName name="XZS" localSheetId="2" hidden="1">#REF!</definedName>
    <definedName name="XZS" hidden="1">#REF!</definedName>
    <definedName name="XZXZV" hidden="1">{"via1",#N/A,TRUE,"general";"via2",#N/A,TRUE,"general";"via3",#N/A,TRUE,"general"}</definedName>
    <definedName name="Y" localSheetId="28">[26]!absc</definedName>
    <definedName name="Y" localSheetId="3">[26]!absc</definedName>
    <definedName name="Y" localSheetId="22">[26]!absc</definedName>
    <definedName name="Y" localSheetId="17">[26]!absc</definedName>
    <definedName name="Y" localSheetId="18">[26]!absc</definedName>
    <definedName name="Y" localSheetId="20">[26]!absc</definedName>
    <definedName name="Y" localSheetId="21">[26]!absc</definedName>
    <definedName name="Y" localSheetId="16">[26]!absc</definedName>
    <definedName name="Y" localSheetId="19">[26]!absc</definedName>
    <definedName name="Y" localSheetId="2">[26]!absc</definedName>
    <definedName name="Y" localSheetId="13">[26]!absc</definedName>
    <definedName name="Y" localSheetId="0">[26]!absc</definedName>
    <definedName name="Y" localSheetId="15">[26]!absc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localSheetId="7" hidden="1">{#N/A,#N/A,TRUE,"INGENIERIA";#N/A,#N/A,TRUE,"COMPRAS";#N/A,#N/A,TRUE,"DIRECCION";#N/A,#N/A,TRUE,"RESUMEN"}</definedName>
    <definedName name="ZAQ" localSheetId="11" hidden="1">{#N/A,#N/A,TRUE,"INGENIERIA";#N/A,#N/A,TRUE,"COMPRAS";#N/A,#N/A,TRUE,"DIRECCION";#N/A,#N/A,TRUE,"RESUMEN"}</definedName>
    <definedName name="ZAQ" localSheetId="9" hidden="1">{#N/A,#N/A,TRUE,"INGENIERIA";#N/A,#N/A,TRUE,"COMPRAS";#N/A,#N/A,TRUE,"DIRECCION";#N/A,#N/A,TRUE,"RESUMEN"}</definedName>
    <definedName name="ZAQ" localSheetId="6" hidden="1">{#N/A,#N/A,TRUE,"INGENIERIA";#N/A,#N/A,TRUE,"COMPRAS";#N/A,#N/A,TRUE,"DIRECCION";#N/A,#N/A,TRUE,"RESUMEN"}</definedName>
    <definedName name="ZAQ" localSheetId="10" hidden="1">{#N/A,#N/A,TRUE,"INGENIERIA";#N/A,#N/A,TRUE,"COMPRAS";#N/A,#N/A,TRUE,"DIRECCION";#N/A,#N/A,TRUE,"RESUMEN"}</definedName>
    <definedName name="ZAQ" localSheetId="8" hidden="1">{#N/A,#N/A,TRUE,"INGENIERIA";#N/A,#N/A,TRUE,"COMPRAS";#N/A,#N/A,TRUE,"DIRECCION";#N/A,#N/A,TRUE,"RESUMEN"}</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6" i="54" l="1"/>
  <c r="N106" i="54"/>
  <c r="AE65" i="54"/>
  <c r="AE76" i="54" s="1"/>
  <c r="AE81" i="54" s="1"/>
  <c r="AA16" i="54"/>
  <c r="AA17" i="54" s="1"/>
  <c r="AB16" i="54"/>
  <c r="U16" i="54"/>
  <c r="U17" i="54" s="1"/>
  <c r="V16" i="54"/>
  <c r="O81" i="54"/>
  <c r="O73" i="54"/>
  <c r="Q16" i="54"/>
  <c r="R16" i="54"/>
  <c r="Q17" i="54" s="1"/>
  <c r="O113" i="54"/>
  <c r="O112" i="54"/>
  <c r="P113" i="54"/>
  <c r="N116" i="54" a="1"/>
  <c r="N116" i="54" s="1"/>
  <c r="B20" i="43"/>
  <c r="B21" i="43"/>
  <c r="B22" i="43" s="1"/>
  <c r="B23" i="43" s="1"/>
  <c r="O114" i="54" l="1"/>
  <c r="P112" i="54"/>
  <c r="P114" i="54" s="1"/>
  <c r="J106" i="54" l="1"/>
  <c r="G75" i="54"/>
  <c r="G80" i="54"/>
  <c r="G46" i="54"/>
  <c r="G47" i="54"/>
  <c r="AF24" i="54"/>
  <c r="AE17" i="54"/>
  <c r="AE64" i="54" s="1"/>
  <c r="N50" i="45"/>
  <c r="L16" i="45"/>
  <c r="G29" i="54"/>
  <c r="G32" i="54"/>
  <c r="G33" i="54"/>
  <c r="G34" i="54"/>
  <c r="G35" i="54"/>
  <c r="G36" i="54"/>
  <c r="G38" i="54"/>
  <c r="G39" i="54"/>
  <c r="G40" i="54"/>
  <c r="G44" i="54"/>
  <c r="G45" i="54"/>
  <c r="G50" i="54"/>
  <c r="G53" i="54"/>
  <c r="G55" i="54"/>
  <c r="G57" i="54"/>
  <c r="G58" i="54"/>
  <c r="G61" i="54"/>
  <c r="G62" i="54"/>
  <c r="G63" i="54"/>
  <c r="G82" i="54"/>
  <c r="G83" i="54"/>
  <c r="G84" i="54"/>
  <c r="G85" i="54"/>
  <c r="G86" i="54"/>
  <c r="G87" i="54"/>
  <c r="G88" i="54"/>
  <c r="G89" i="54"/>
  <c r="G90" i="54"/>
  <c r="G91" i="54"/>
  <c r="G92" i="54"/>
  <c r="G93" i="54"/>
  <c r="G94" i="54"/>
  <c r="G95" i="54"/>
  <c r="G96" i="54"/>
  <c r="G97" i="54"/>
  <c r="G24" i="54"/>
  <c r="E33" i="54"/>
  <c r="F33" i="54"/>
  <c r="H33" i="54"/>
  <c r="E34" i="54"/>
  <c r="F34" i="54"/>
  <c r="H34" i="54"/>
  <c r="G43" i="54"/>
  <c r="G42" i="54"/>
  <c r="AO47" i="54"/>
  <c r="AO59" i="54" s="1"/>
  <c r="AO46" i="54"/>
  <c r="AO60" i="54" s="1"/>
  <c r="AM47" i="54"/>
  <c r="AM59" i="54" s="1"/>
  <c r="AM46" i="54"/>
  <c r="AM60" i="54" s="1"/>
  <c r="AK47" i="54"/>
  <c r="AK59" i="54" s="1"/>
  <c r="AK46" i="54"/>
  <c r="AK60" i="54" s="1"/>
  <c r="AI47" i="54"/>
  <c r="AI59" i="54" s="1"/>
  <c r="AI46" i="54"/>
  <c r="AI60" i="54" s="1"/>
  <c r="G60" i="54" s="1"/>
  <c r="AG47" i="54"/>
  <c r="AG59" i="54" s="1"/>
  <c r="G59" i="54" s="1"/>
  <c r="AG46" i="54"/>
  <c r="AG52" i="54" s="1"/>
  <c r="G52" i="54" s="1"/>
  <c r="AE66" i="54" l="1"/>
  <c r="AE78" i="54"/>
  <c r="AE69" i="54"/>
  <c r="AE73" i="54" s="1"/>
  <c r="AE71" i="54"/>
  <c r="AE72" i="54" s="1"/>
  <c r="G79" i="54"/>
  <c r="G31" i="54"/>
  <c r="G25" i="54"/>
  <c r="G26" i="54"/>
  <c r="G27" i="54"/>
  <c r="AG54" i="54"/>
  <c r="G54" i="54" s="1"/>
  <c r="AG48" i="54"/>
  <c r="AD16" i="54"/>
  <c r="AC16" i="54"/>
  <c r="AC65" i="54" s="1"/>
  <c r="AC76" i="54" s="1"/>
  <c r="AC81" i="54" s="1"/>
  <c r="AC13" i="54"/>
  <c r="AC12" i="54"/>
  <c r="AD11" i="54"/>
  <c r="AB11" i="54"/>
  <c r="AA13" i="54"/>
  <c r="AA12" i="54"/>
  <c r="Z16" i="54"/>
  <c r="Y16" i="54"/>
  <c r="Y65" i="54" s="1"/>
  <c r="Y76" i="54" s="1"/>
  <c r="Y81" i="54" s="1"/>
  <c r="Z11" i="54"/>
  <c r="Y13" i="54"/>
  <c r="Y12" i="54"/>
  <c r="X16" i="54"/>
  <c r="W16" i="54"/>
  <c r="W65" i="54" s="1"/>
  <c r="W76" i="54" s="1"/>
  <c r="W81" i="54" s="1"/>
  <c r="W13" i="54"/>
  <c r="X11" i="54"/>
  <c r="W12" i="54"/>
  <c r="V11" i="54"/>
  <c r="U13" i="54"/>
  <c r="U12" i="54"/>
  <c r="T16" i="54"/>
  <c r="S16" i="54"/>
  <c r="S65" i="54" s="1"/>
  <c r="S76" i="54" s="1"/>
  <c r="S81" i="54" s="1"/>
  <c r="S13" i="54"/>
  <c r="T11" i="54"/>
  <c r="S12" i="54"/>
  <c r="H56" i="43"/>
  <c r="H55" i="43"/>
  <c r="I18" i="43"/>
  <c r="I19" i="43"/>
  <c r="I20" i="43"/>
  <c r="I21" i="43"/>
  <c r="I22" i="43"/>
  <c r="I23" i="43"/>
  <c r="N114" i="54"/>
  <c r="AE67" i="54" l="1"/>
  <c r="AE70" i="54"/>
  <c r="G74" i="54"/>
  <c r="G68" i="54"/>
  <c r="AG49" i="54"/>
  <c r="G49" i="54" s="1"/>
  <c r="G48" i="54"/>
  <c r="BA28" i="54"/>
  <c r="G41" i="54"/>
  <c r="J38" i="43"/>
  <c r="Q65" i="54"/>
  <c r="Q76" i="54" s="1"/>
  <c r="Q81" i="54" s="1"/>
  <c r="Q13" i="54"/>
  <c r="R11" i="54"/>
  <c r="Q12" i="54"/>
  <c r="P11" i="54"/>
  <c r="P16" i="54"/>
  <c r="O16" i="54"/>
  <c r="O65" i="54" s="1"/>
  <c r="G17" i="43"/>
  <c r="H17" i="43"/>
  <c r="S17" i="54"/>
  <c r="S64" i="54" s="1"/>
  <c r="W17" i="54"/>
  <c r="W64" i="54" s="1"/>
  <c r="Y17" i="54"/>
  <c r="Y64" i="54" s="1"/>
  <c r="AC17" i="54"/>
  <c r="AC64" i="54" s="1"/>
  <c r="AG17" i="54"/>
  <c r="AI17" i="54"/>
  <c r="AK17" i="54"/>
  <c r="AM17" i="54"/>
  <c r="AO17" i="54"/>
  <c r="AQ17" i="54"/>
  <c r="AS17" i="54"/>
  <c r="AU17" i="54"/>
  <c r="AW17" i="54"/>
  <c r="AY17" i="54"/>
  <c r="BA17" i="54"/>
  <c r="G65" i="54" l="1"/>
  <c r="G76" i="54"/>
  <c r="G81" i="54"/>
  <c r="G77" i="54"/>
  <c r="AC69" i="54"/>
  <c r="AC73" i="54" s="1"/>
  <c r="AC71" i="54"/>
  <c r="AC72" i="54" s="1"/>
  <c r="AC78" i="54"/>
  <c r="AC66" i="54"/>
  <c r="AG51" i="54"/>
  <c r="G51" i="54" s="1"/>
  <c r="AG56" i="54"/>
  <c r="G56" i="54" s="1"/>
  <c r="O76" i="54"/>
  <c r="BA30" i="54"/>
  <c r="G28" i="54"/>
  <c r="O17" i="54"/>
  <c r="O64" i="54" s="1"/>
  <c r="O66" i="54" s="1"/>
  <c r="G78" i="54"/>
  <c r="S71" i="54"/>
  <c r="S72" i="54" s="1"/>
  <c r="S69" i="54"/>
  <c r="S73" i="54" s="1"/>
  <c r="S66" i="54"/>
  <c r="S78" i="54"/>
  <c r="Q64" i="54"/>
  <c r="Q78" i="54" s="1"/>
  <c r="Y78" i="54"/>
  <c r="Y69" i="54"/>
  <c r="Y73" i="54" s="1"/>
  <c r="Y66" i="54"/>
  <c r="Y71" i="54"/>
  <c r="Y72" i="54" s="1"/>
  <c r="W71" i="54"/>
  <c r="W72" i="54" s="1"/>
  <c r="W78" i="54"/>
  <c r="W69" i="54"/>
  <c r="W73" i="54" s="1"/>
  <c r="W66" i="54"/>
  <c r="AR24" i="54"/>
  <c r="AT24" i="54"/>
  <c r="AV24" i="54"/>
  <c r="AX24" i="54"/>
  <c r="AZ24" i="54"/>
  <c r="AR45" i="54"/>
  <c r="AT45" i="54"/>
  <c r="AV45" i="54"/>
  <c r="AX45" i="54"/>
  <c r="AZ45" i="54"/>
  <c r="AR107" i="54"/>
  <c r="AT107" i="54"/>
  <c r="AV107" i="54"/>
  <c r="AX107" i="54"/>
  <c r="AZ107" i="54"/>
  <c r="G64" i="54" l="1"/>
  <c r="G69" i="54"/>
  <c r="AC67" i="54"/>
  <c r="AC70" i="54"/>
  <c r="O69" i="54"/>
  <c r="O67" i="54"/>
  <c r="O71" i="54"/>
  <c r="G37" i="54"/>
  <c r="G30" i="54"/>
  <c r="O78" i="54"/>
  <c r="Q69" i="54"/>
  <c r="Q73" i="54" s="1"/>
  <c r="Q66" i="54"/>
  <c r="Q70" i="54" s="1"/>
  <c r="Q71" i="54"/>
  <c r="Q72" i="54" s="1"/>
  <c r="S67" i="54"/>
  <c r="S70" i="54"/>
  <c r="Y70" i="54"/>
  <c r="Y67" i="54"/>
  <c r="W70" i="54"/>
  <c r="W67" i="54"/>
  <c r="AJ107" i="54"/>
  <c r="O70" i="54"/>
  <c r="G71" i="54" l="1"/>
  <c r="G72" i="54"/>
  <c r="G73" i="54"/>
  <c r="G66" i="54"/>
  <c r="G70" i="54"/>
  <c r="O72" i="54"/>
  <c r="Q67" i="54"/>
  <c r="G67" i="54" s="1"/>
  <c r="BB24" i="54"/>
  <c r="AP24" i="54"/>
  <c r="AN45" i="54"/>
  <c r="AN24" i="54"/>
  <c r="AL24" i="54"/>
  <c r="AJ24" i="54"/>
  <c r="AH24" i="54"/>
  <c r="AD24" i="54"/>
  <c r="AB24" i="54"/>
  <c r="Z24" i="54"/>
  <c r="X24" i="54"/>
  <c r="V24" i="54"/>
  <c r="T24" i="54"/>
  <c r="R24" i="54"/>
  <c r="P24" i="54"/>
  <c r="H16" i="49" l="1"/>
  <c r="H18" i="49"/>
  <c r="D15" i="47"/>
  <c r="H60" i="54"/>
  <c r="F69" i="54"/>
  <c r="E69" i="54"/>
  <c r="H32" i="54" l="1"/>
  <c r="H73" i="54"/>
  <c r="H78" i="54"/>
  <c r="H97" i="54"/>
  <c r="H96" i="54"/>
  <c r="H95" i="54"/>
  <c r="H94" i="54"/>
  <c r="H93" i="54"/>
  <c r="H92" i="54"/>
  <c r="H91" i="54"/>
  <c r="H90" i="54"/>
  <c r="H89" i="54"/>
  <c r="H88" i="54"/>
  <c r="H87" i="54"/>
  <c r="H86" i="54"/>
  <c r="H85" i="54"/>
  <c r="H84" i="54"/>
  <c r="H83" i="54"/>
  <c r="H81" i="54"/>
  <c r="H80" i="54"/>
  <c r="H79" i="54"/>
  <c r="H77" i="54"/>
  <c r="H76" i="54"/>
  <c r="H75" i="54"/>
  <c r="H74" i="54"/>
  <c r="H72" i="54"/>
  <c r="H71" i="54"/>
  <c r="H69" i="54"/>
  <c r="H68" i="54"/>
  <c r="H67" i="54"/>
  <c r="H66" i="54"/>
  <c r="H65" i="54"/>
  <c r="H64" i="54"/>
  <c r="H62" i="54"/>
  <c r="H61" i="54"/>
  <c r="H59" i="54"/>
  <c r="H58" i="54"/>
  <c r="H57" i="54"/>
  <c r="H56" i="54"/>
  <c r="H55" i="54"/>
  <c r="H54" i="54"/>
  <c r="H53" i="54"/>
  <c r="H52" i="54"/>
  <c r="H51" i="54"/>
  <c r="H50" i="54"/>
  <c r="H49" i="54"/>
  <c r="H48" i="54"/>
  <c r="H47" i="54"/>
  <c r="H46" i="54"/>
  <c r="H44" i="54"/>
  <c r="H43" i="54"/>
  <c r="H42" i="54"/>
  <c r="H41" i="54"/>
  <c r="H40" i="54"/>
  <c r="H39" i="54"/>
  <c r="H38" i="54"/>
  <c r="H37" i="54"/>
  <c r="H36" i="54"/>
  <c r="H35" i="54"/>
  <c r="H31" i="54"/>
  <c r="H30" i="54"/>
  <c r="H29" i="54"/>
  <c r="H28" i="54"/>
  <c r="H27" i="54"/>
  <c r="H26" i="54"/>
  <c r="H25" i="54"/>
  <c r="S32" i="49" l="1"/>
  <c r="K46" i="47"/>
  <c r="N51" i="45"/>
  <c r="F202" i="55"/>
  <c r="E202" i="55"/>
  <c r="F201" i="55"/>
  <c r="E201" i="55"/>
  <c r="F200" i="55"/>
  <c r="E200" i="55"/>
  <c r="F199" i="55"/>
  <c r="E199" i="55"/>
  <c r="F198" i="55"/>
  <c r="E198" i="55"/>
  <c r="F197" i="55"/>
  <c r="E197" i="55"/>
  <c r="F196" i="55"/>
  <c r="E196" i="55"/>
  <c r="F195" i="55"/>
  <c r="E195" i="55"/>
  <c r="F194" i="55"/>
  <c r="E194" i="55"/>
  <c r="F193" i="55"/>
  <c r="E193" i="55"/>
  <c r="F192" i="55"/>
  <c r="E192" i="55"/>
  <c r="F191" i="55"/>
  <c r="E191" i="55"/>
  <c r="F190" i="55"/>
  <c r="E190" i="55"/>
  <c r="F189" i="55"/>
  <c r="E189" i="55"/>
  <c r="F188" i="55"/>
  <c r="E188" i="55"/>
  <c r="F186" i="55"/>
  <c r="E186" i="55"/>
  <c r="F185" i="55"/>
  <c r="E185" i="55"/>
  <c r="F184" i="55"/>
  <c r="E184" i="55"/>
  <c r="F183" i="55"/>
  <c r="E183" i="55"/>
  <c r="F182" i="55"/>
  <c r="E182" i="55"/>
  <c r="F181" i="55"/>
  <c r="E181" i="55"/>
  <c r="F180" i="55"/>
  <c r="E180" i="55"/>
  <c r="F179" i="55"/>
  <c r="E179" i="55"/>
  <c r="F178" i="55"/>
  <c r="E178" i="55"/>
  <c r="F177" i="55"/>
  <c r="E177" i="55"/>
  <c r="F176" i="55"/>
  <c r="E176" i="55"/>
  <c r="F175" i="55"/>
  <c r="E175" i="55"/>
  <c r="F174" i="55"/>
  <c r="E174" i="55"/>
  <c r="F173" i="55"/>
  <c r="E173" i="55"/>
  <c r="F172" i="55"/>
  <c r="E172" i="55"/>
  <c r="F171" i="55"/>
  <c r="E171" i="55"/>
  <c r="F170" i="55"/>
  <c r="E170" i="55"/>
  <c r="F169" i="55"/>
  <c r="E169" i="55"/>
  <c r="F168" i="55"/>
  <c r="E168" i="55"/>
  <c r="F167" i="55"/>
  <c r="E167" i="55"/>
  <c r="F166" i="55"/>
  <c r="E166" i="55"/>
  <c r="F165" i="55"/>
  <c r="E165" i="55"/>
  <c r="F164" i="55"/>
  <c r="E164" i="55"/>
  <c r="F163" i="55"/>
  <c r="E163" i="55"/>
  <c r="F162" i="55"/>
  <c r="E162" i="55"/>
  <c r="F161" i="55"/>
  <c r="E161" i="55"/>
  <c r="F160" i="55"/>
  <c r="E160" i="55"/>
  <c r="F159" i="55"/>
  <c r="E159" i="55"/>
  <c r="F158" i="55"/>
  <c r="E158" i="55"/>
  <c r="F157" i="55"/>
  <c r="E157" i="55"/>
  <c r="F156" i="55"/>
  <c r="E156" i="55"/>
  <c r="F154" i="55"/>
  <c r="E154" i="55"/>
  <c r="F153" i="55"/>
  <c r="E153" i="55"/>
  <c r="F152" i="55"/>
  <c r="E152" i="55"/>
  <c r="F151" i="55"/>
  <c r="E151" i="55"/>
  <c r="F150" i="55"/>
  <c r="E150" i="55"/>
  <c r="F149" i="55"/>
  <c r="E149" i="55"/>
  <c r="F148" i="55"/>
  <c r="E148" i="55"/>
  <c r="F147" i="55"/>
  <c r="E147" i="55"/>
  <c r="F146" i="55"/>
  <c r="E146" i="55"/>
  <c r="F145" i="55"/>
  <c r="E145" i="55"/>
  <c r="F144" i="55"/>
  <c r="E144" i="55"/>
  <c r="F143" i="55"/>
  <c r="E143" i="55"/>
  <c r="F142" i="55"/>
  <c r="E142" i="55"/>
  <c r="F141" i="55"/>
  <c r="E141" i="55"/>
  <c r="F140" i="55"/>
  <c r="E140" i="55"/>
  <c r="F139" i="55"/>
  <c r="E139" i="55"/>
  <c r="F138" i="55"/>
  <c r="E138" i="55"/>
  <c r="F136" i="55"/>
  <c r="E136" i="55"/>
  <c r="F135" i="55"/>
  <c r="E135" i="55"/>
  <c r="F134" i="55"/>
  <c r="E134" i="55"/>
  <c r="F133" i="55"/>
  <c r="E133" i="55"/>
  <c r="F132" i="55"/>
  <c r="E132" i="55"/>
  <c r="F131" i="55"/>
  <c r="E131" i="55"/>
  <c r="F130" i="55"/>
  <c r="E130" i="55"/>
  <c r="F129" i="55"/>
  <c r="E129" i="55"/>
  <c r="F128" i="55"/>
  <c r="E128" i="55"/>
  <c r="F127" i="55"/>
  <c r="E127" i="55"/>
  <c r="F126" i="55"/>
  <c r="E126" i="55"/>
  <c r="F125" i="55"/>
  <c r="E125" i="55"/>
  <c r="F124" i="55"/>
  <c r="E124" i="55"/>
  <c r="F123" i="55"/>
  <c r="E123" i="55"/>
  <c r="F122" i="55"/>
  <c r="E122" i="55"/>
  <c r="F121" i="55"/>
  <c r="E121" i="55"/>
  <c r="F120" i="55"/>
  <c r="E120" i="55"/>
  <c r="F119" i="55"/>
  <c r="E119" i="55"/>
  <c r="F118" i="55"/>
  <c r="E118" i="55"/>
  <c r="F116" i="55"/>
  <c r="E116" i="55"/>
  <c r="F115" i="55"/>
  <c r="E115" i="55"/>
  <c r="F114" i="55"/>
  <c r="E114" i="55"/>
  <c r="F113" i="55"/>
  <c r="E113" i="55"/>
  <c r="F112" i="55"/>
  <c r="E112" i="55"/>
  <c r="F111" i="55"/>
  <c r="E111" i="55"/>
  <c r="F110" i="55"/>
  <c r="E110" i="55"/>
  <c r="F109" i="55"/>
  <c r="E109" i="55"/>
  <c r="F108" i="55"/>
  <c r="E108" i="55"/>
  <c r="F107" i="55"/>
  <c r="E107" i="55"/>
  <c r="F106" i="55"/>
  <c r="E106" i="55"/>
  <c r="F105" i="55"/>
  <c r="E105" i="55"/>
  <c r="F104" i="55"/>
  <c r="E104" i="55"/>
  <c r="F103" i="55"/>
  <c r="E103" i="55"/>
  <c r="F102" i="55"/>
  <c r="E102" i="55"/>
  <c r="F101" i="55"/>
  <c r="E101" i="55"/>
  <c r="F99" i="55"/>
  <c r="E99" i="55"/>
  <c r="F98" i="55"/>
  <c r="E98" i="55"/>
  <c r="F97" i="55"/>
  <c r="E97" i="55"/>
  <c r="F96" i="55"/>
  <c r="E96" i="55"/>
  <c r="F95" i="55"/>
  <c r="E95" i="55"/>
  <c r="F94" i="55"/>
  <c r="E94" i="55"/>
  <c r="F93" i="55"/>
  <c r="E93" i="55"/>
  <c r="F92" i="55"/>
  <c r="E92" i="55"/>
  <c r="F91" i="55"/>
  <c r="E91" i="55"/>
  <c r="F90" i="55"/>
  <c r="E90" i="55"/>
  <c r="F89" i="55"/>
  <c r="E89" i="55"/>
  <c r="F88" i="55"/>
  <c r="E88" i="55"/>
  <c r="F87" i="55"/>
  <c r="E87" i="55"/>
  <c r="F86" i="55"/>
  <c r="E86" i="55"/>
  <c r="F85" i="55"/>
  <c r="E85" i="55"/>
  <c r="F84" i="55"/>
  <c r="E84" i="55"/>
  <c r="F83" i="55"/>
  <c r="E83" i="55"/>
  <c r="F82" i="55"/>
  <c r="E82" i="55"/>
  <c r="F81" i="55"/>
  <c r="E81" i="55"/>
  <c r="F80" i="55"/>
  <c r="E80" i="55"/>
  <c r="F79" i="55"/>
  <c r="E79" i="55"/>
  <c r="F78" i="55"/>
  <c r="E78" i="55"/>
  <c r="F77" i="55"/>
  <c r="E77" i="55"/>
  <c r="F76" i="55"/>
  <c r="E76" i="55"/>
  <c r="F75" i="55"/>
  <c r="E75" i="55"/>
  <c r="F73" i="55"/>
  <c r="E73" i="55"/>
  <c r="F72" i="55"/>
  <c r="E72" i="55"/>
  <c r="F69" i="55"/>
  <c r="E69" i="55"/>
  <c r="F68" i="55"/>
  <c r="E68" i="55"/>
  <c r="F67" i="55"/>
  <c r="E67" i="55"/>
  <c r="F66" i="55"/>
  <c r="E66" i="55"/>
  <c r="F65" i="55"/>
  <c r="E65" i="55"/>
  <c r="F63" i="55"/>
  <c r="E63" i="55"/>
  <c r="F62" i="55"/>
  <c r="E62" i="55"/>
  <c r="F61" i="55"/>
  <c r="E61" i="55"/>
  <c r="F60" i="55"/>
  <c r="E60" i="55"/>
  <c r="F59" i="55"/>
  <c r="E59" i="55"/>
  <c r="F58" i="55"/>
  <c r="E58" i="55"/>
  <c r="F57" i="55"/>
  <c r="E57" i="55"/>
  <c r="F56" i="55"/>
  <c r="E56" i="55"/>
  <c r="F55" i="55"/>
  <c r="E55" i="55"/>
  <c r="F54" i="55"/>
  <c r="E54" i="55"/>
  <c r="F53" i="55"/>
  <c r="E53" i="55"/>
  <c r="F52" i="55"/>
  <c r="E52" i="55"/>
  <c r="F51" i="55"/>
  <c r="E51" i="55"/>
  <c r="F50" i="55"/>
  <c r="E50" i="55"/>
  <c r="F49" i="55"/>
  <c r="E49" i="55"/>
  <c r="F48" i="55"/>
  <c r="E48" i="55"/>
  <c r="F35" i="55"/>
  <c r="E35" i="55"/>
  <c r="F34" i="55"/>
  <c r="E34" i="55"/>
  <c r="F33" i="55"/>
  <c r="E33" i="55"/>
  <c r="F32" i="55"/>
  <c r="E32" i="55"/>
  <c r="F29" i="55"/>
  <c r="E29" i="55"/>
  <c r="F28" i="55"/>
  <c r="E28" i="55"/>
  <c r="F27" i="55"/>
  <c r="E27" i="55"/>
  <c r="F26" i="55"/>
  <c r="E26" i="55"/>
  <c r="F25" i="55"/>
  <c r="E25" i="55"/>
  <c r="F24" i="55"/>
  <c r="E24" i="55"/>
  <c r="F23" i="55"/>
  <c r="E23" i="55"/>
  <c r="F22" i="55"/>
  <c r="E22" i="55"/>
  <c r="F21" i="55"/>
  <c r="E21" i="55"/>
  <c r="F20" i="55"/>
  <c r="E20" i="55"/>
  <c r="F19" i="55"/>
  <c r="E19" i="55"/>
  <c r="F18" i="55"/>
  <c r="E18" i="55"/>
  <c r="F97" i="54"/>
  <c r="E97" i="54"/>
  <c r="F96" i="54"/>
  <c r="E96" i="54"/>
  <c r="F95" i="54"/>
  <c r="E95" i="54"/>
  <c r="F94" i="54"/>
  <c r="E94" i="54"/>
  <c r="F93" i="54"/>
  <c r="E93" i="54"/>
  <c r="F92" i="54"/>
  <c r="E92" i="54"/>
  <c r="F91" i="54"/>
  <c r="E91" i="54"/>
  <c r="F90" i="54"/>
  <c r="E90" i="54"/>
  <c r="F89" i="54"/>
  <c r="E89" i="54"/>
  <c r="F88" i="54"/>
  <c r="E88" i="54"/>
  <c r="F87" i="54"/>
  <c r="E87" i="54"/>
  <c r="F86" i="54"/>
  <c r="E86" i="54"/>
  <c r="F85" i="54"/>
  <c r="E85" i="54"/>
  <c r="F84" i="54"/>
  <c r="E84" i="54"/>
  <c r="F83" i="54"/>
  <c r="E83" i="54"/>
  <c r="F81" i="54"/>
  <c r="E81" i="54"/>
  <c r="F80" i="54"/>
  <c r="E80" i="54"/>
  <c r="F79" i="54"/>
  <c r="E79" i="54"/>
  <c r="F78" i="54"/>
  <c r="E78" i="54"/>
  <c r="F77" i="54"/>
  <c r="E77" i="54"/>
  <c r="F76" i="54"/>
  <c r="E76" i="54"/>
  <c r="F75" i="54"/>
  <c r="E75" i="54"/>
  <c r="F74" i="54"/>
  <c r="E74" i="54"/>
  <c r="F73" i="54"/>
  <c r="E73" i="54"/>
  <c r="F72" i="54"/>
  <c r="E72" i="54"/>
  <c r="F71" i="54"/>
  <c r="E71" i="54"/>
  <c r="F68" i="54"/>
  <c r="E68" i="54"/>
  <c r="F67" i="54"/>
  <c r="E67" i="54"/>
  <c r="F66" i="54"/>
  <c r="E66" i="54"/>
  <c r="F65" i="54"/>
  <c r="E65" i="54"/>
  <c r="F64" i="54"/>
  <c r="E64" i="54"/>
  <c r="F62" i="54"/>
  <c r="E62" i="54"/>
  <c r="F61" i="54"/>
  <c r="E61" i="54"/>
  <c r="F59" i="54"/>
  <c r="E59" i="54"/>
  <c r="F58" i="54"/>
  <c r="E58" i="54"/>
  <c r="F57" i="54"/>
  <c r="E57" i="54"/>
  <c r="F56" i="54"/>
  <c r="E56" i="54"/>
  <c r="F55" i="54"/>
  <c r="E55" i="54"/>
  <c r="F54" i="54"/>
  <c r="E54" i="54"/>
  <c r="F53" i="54"/>
  <c r="E53" i="54"/>
  <c r="F52" i="54"/>
  <c r="E52" i="54"/>
  <c r="F51" i="54"/>
  <c r="E51" i="54"/>
  <c r="F50" i="54"/>
  <c r="E50" i="54"/>
  <c r="F49" i="54"/>
  <c r="E49" i="54"/>
  <c r="F48" i="54"/>
  <c r="E48" i="54"/>
  <c r="F47" i="54"/>
  <c r="E47" i="54"/>
  <c r="F46" i="54"/>
  <c r="E46" i="54"/>
  <c r="F44" i="54"/>
  <c r="E44" i="54"/>
  <c r="F43" i="54"/>
  <c r="E43" i="54"/>
  <c r="F42" i="54"/>
  <c r="E42" i="54"/>
  <c r="F41" i="54"/>
  <c r="E41" i="54"/>
  <c r="F40" i="54"/>
  <c r="E40" i="54"/>
  <c r="F39" i="54"/>
  <c r="E39" i="54"/>
  <c r="F38" i="54"/>
  <c r="E38" i="54"/>
  <c r="F37" i="54"/>
  <c r="E37" i="54"/>
  <c r="F36" i="54"/>
  <c r="E36" i="54"/>
  <c r="F35" i="54"/>
  <c r="E35" i="54"/>
  <c r="F32" i="54"/>
  <c r="E32" i="54"/>
  <c r="F31" i="54"/>
  <c r="E31" i="54"/>
  <c r="F30" i="54"/>
  <c r="E30" i="54"/>
  <c r="F29" i="54"/>
  <c r="E29" i="54"/>
  <c r="F28" i="54"/>
  <c r="E28" i="54"/>
  <c r="F27" i="54"/>
  <c r="E27" i="54"/>
  <c r="F26" i="54"/>
  <c r="E26" i="54"/>
  <c r="F25" i="54"/>
  <c r="E25" i="54"/>
  <c r="W12" i="18"/>
  <c r="W18" i="18" s="1"/>
  <c r="G18" i="18" s="1"/>
  <c r="W11" i="18"/>
  <c r="N38" i="22"/>
  <c r="N37" i="22"/>
  <c r="N35" i="22"/>
  <c r="N34" i="22"/>
  <c r="N33" i="22"/>
  <c r="N32" i="22"/>
  <c r="N29" i="22"/>
  <c r="N27" i="22"/>
  <c r="N24" i="22"/>
  <c r="N23" i="22"/>
  <c r="N21" i="22"/>
  <c r="N20" i="22"/>
  <c r="N18" i="22"/>
  <c r="N17" i="22"/>
  <c r="N16" i="22"/>
  <c r="N14" i="22"/>
  <c r="N11" i="22"/>
  <c r="N10" i="22"/>
  <c r="N9" i="22"/>
  <c r="N8" i="22"/>
  <c r="D18" i="49"/>
  <c r="E18" i="49"/>
  <c r="E16" i="49"/>
  <c r="D16" i="49"/>
  <c r="F38" i="47"/>
  <c r="F37" i="47"/>
  <c r="L37" i="47" s="1"/>
  <c r="F36" i="47"/>
  <c r="F35" i="47"/>
  <c r="L35" i="47" s="1"/>
  <c r="F34" i="47"/>
  <c r="L34" i="47" s="1"/>
  <c r="E38" i="47"/>
  <c r="E37" i="47"/>
  <c r="E36" i="47"/>
  <c r="E35" i="47"/>
  <c r="E34" i="47"/>
  <c r="D38" i="47"/>
  <c r="D37" i="47"/>
  <c r="D36" i="47"/>
  <c r="D35" i="47"/>
  <c r="D34" i="47"/>
  <c r="F28" i="47"/>
  <c r="F27" i="47"/>
  <c r="L27" i="47" s="1"/>
  <c r="F26" i="47"/>
  <c r="F23" i="47"/>
  <c r="L23" i="47" s="1"/>
  <c r="L24" i="47" s="1"/>
  <c r="F17" i="47"/>
  <c r="E28" i="47"/>
  <c r="E27" i="47"/>
  <c r="E26" i="47"/>
  <c r="D28" i="47"/>
  <c r="D27" i="47"/>
  <c r="D26" i="47"/>
  <c r="E23" i="47"/>
  <c r="D23" i="47"/>
  <c r="H37" i="43"/>
  <c r="C37" i="43"/>
  <c r="H35" i="43"/>
  <c r="J35" i="43" s="1"/>
  <c r="C36" i="43"/>
  <c r="C35" i="43"/>
  <c r="H33" i="43"/>
  <c r="H34" i="43"/>
  <c r="C33" i="43"/>
  <c r="C34" i="43"/>
  <c r="H32" i="43"/>
  <c r="C32" i="43"/>
  <c r="G27" i="43"/>
  <c r="G26" i="43"/>
  <c r="G18" i="43"/>
  <c r="G19" i="43"/>
  <c r="G20" i="43"/>
  <c r="G21" i="43"/>
  <c r="G22" i="43"/>
  <c r="G23" i="43"/>
  <c r="D16" i="45"/>
  <c r="H16" i="45"/>
  <c r="E15" i="47"/>
  <c r="K90" i="45"/>
  <c r="N90" i="45" s="1"/>
  <c r="K91" i="45"/>
  <c r="N91" i="45" s="1"/>
  <c r="K92" i="45"/>
  <c r="H90" i="45"/>
  <c r="H91" i="45"/>
  <c r="H92" i="45"/>
  <c r="G90" i="45"/>
  <c r="G91" i="45"/>
  <c r="G92" i="45"/>
  <c r="K89" i="45"/>
  <c r="N89" i="45" s="1"/>
  <c r="H89" i="45"/>
  <c r="G89" i="45"/>
  <c r="D77" i="45"/>
  <c r="K78" i="45"/>
  <c r="K79" i="45"/>
  <c r="N79" i="45" s="1"/>
  <c r="K80" i="45"/>
  <c r="N80" i="45" s="1"/>
  <c r="H78" i="45"/>
  <c r="H79" i="45"/>
  <c r="H80" i="45"/>
  <c r="D78" i="45"/>
  <c r="D79" i="45"/>
  <c r="D80" i="45"/>
  <c r="K77" i="45"/>
  <c r="N77" i="45" s="1"/>
  <c r="H77" i="45"/>
  <c r="K60" i="45"/>
  <c r="N60" i="45" s="1"/>
  <c r="K61" i="45"/>
  <c r="N61" i="45" s="1"/>
  <c r="K62" i="45"/>
  <c r="N62" i="45" s="1"/>
  <c r="K63" i="45"/>
  <c r="K64" i="45"/>
  <c r="N64" i="45" s="1"/>
  <c r="K65" i="45"/>
  <c r="N65" i="45" s="1"/>
  <c r="K66" i="45"/>
  <c r="K67" i="45"/>
  <c r="N67" i="45" s="1"/>
  <c r="K68" i="45"/>
  <c r="N68" i="45" s="1"/>
  <c r="K69" i="45"/>
  <c r="N69" i="45" s="1"/>
  <c r="K70" i="45"/>
  <c r="N70" i="45" s="1"/>
  <c r="K71" i="45"/>
  <c r="N71" i="45" s="1"/>
  <c r="K72" i="45"/>
  <c r="N72" i="45" s="1"/>
  <c r="K73" i="45"/>
  <c r="N73" i="45" s="1"/>
  <c r="K74" i="45"/>
  <c r="K75" i="45"/>
  <c r="N75" i="45" s="1"/>
  <c r="H60" i="45"/>
  <c r="H61" i="45"/>
  <c r="H62" i="45"/>
  <c r="H63" i="45"/>
  <c r="H64" i="45"/>
  <c r="H65" i="45"/>
  <c r="H66" i="45"/>
  <c r="H67" i="45"/>
  <c r="H68" i="45"/>
  <c r="H69" i="45"/>
  <c r="H70" i="45"/>
  <c r="H71" i="45"/>
  <c r="H72" i="45"/>
  <c r="H73" i="45"/>
  <c r="H74" i="45"/>
  <c r="H75" i="45"/>
  <c r="D60" i="45"/>
  <c r="D61" i="45"/>
  <c r="D62" i="45"/>
  <c r="D63" i="45"/>
  <c r="D64" i="45"/>
  <c r="D65" i="45"/>
  <c r="D66" i="45"/>
  <c r="D67" i="45"/>
  <c r="D68" i="45"/>
  <c r="D69" i="45"/>
  <c r="D70" i="45"/>
  <c r="D71" i="45"/>
  <c r="D72" i="45"/>
  <c r="D73" i="45"/>
  <c r="D74" i="45"/>
  <c r="D75" i="45"/>
  <c r="G39" i="45"/>
  <c r="G53" i="45"/>
  <c r="G52" i="45"/>
  <c r="G51" i="45"/>
  <c r="G50" i="45"/>
  <c r="G46" i="45"/>
  <c r="G44" i="45"/>
  <c r="G43" i="45"/>
  <c r="G42" i="45"/>
  <c r="G41" i="45"/>
  <c r="G35" i="45"/>
  <c r="G34" i="45"/>
  <c r="G33" i="45"/>
  <c r="G29" i="45"/>
  <c r="G23" i="45"/>
  <c r="G22" i="45"/>
  <c r="K22" i="45"/>
  <c r="N22" i="45" s="1"/>
  <c r="K50" i="45"/>
  <c r="K42" i="45"/>
  <c r="N42" i="45" s="1"/>
  <c r="K41" i="45"/>
  <c r="N41" i="45" s="1"/>
  <c r="K39" i="45"/>
  <c r="K35" i="45"/>
  <c r="K34" i="45"/>
  <c r="K33" i="45"/>
  <c r="N33" i="45" s="1"/>
  <c r="K29" i="45"/>
  <c r="N29" i="45" s="1"/>
  <c r="N30" i="45" s="1"/>
  <c r="K23" i="45"/>
  <c r="M16" i="45"/>
  <c r="J36" i="43"/>
  <c r="I35" i="45"/>
  <c r="I33" i="45"/>
  <c r="F107" i="22"/>
  <c r="E107" i="22"/>
  <c r="D107" i="22"/>
  <c r="B21" i="50"/>
  <c r="B23" i="50" s="1"/>
  <c r="B24" i="50"/>
  <c r="B25" i="50" s="1"/>
  <c r="B26" i="50" s="1"/>
  <c r="B27" i="50" s="1"/>
  <c r="J16" i="50"/>
  <c r="B15" i="50"/>
  <c r="B16" i="50" s="1"/>
  <c r="B17" i="50" s="1"/>
  <c r="B18" i="50" s="1"/>
  <c r="E10" i="50"/>
  <c r="I27" i="50" s="1"/>
  <c r="J9" i="50"/>
  <c r="S28" i="49"/>
  <c r="T28" i="49" s="1"/>
  <c r="S27" i="49"/>
  <c r="T27" i="49" s="1"/>
  <c r="S26" i="49"/>
  <c r="T26" i="49" s="1"/>
  <c r="S25" i="49"/>
  <c r="T25" i="49" s="1"/>
  <c r="S24" i="49"/>
  <c r="T24" i="49" s="1"/>
  <c r="S23" i="49"/>
  <c r="T23" i="49" s="1"/>
  <c r="S22" i="49"/>
  <c r="T22" i="49" s="1"/>
  <c r="S18" i="49"/>
  <c r="S16" i="49"/>
  <c r="G10" i="49"/>
  <c r="B21" i="48"/>
  <c r="B23" i="48" s="1"/>
  <c r="B24" i="48" s="1"/>
  <c r="B25" i="48" s="1"/>
  <c r="B26" i="48" s="1"/>
  <c r="B27" i="48" s="1"/>
  <c r="J16" i="48"/>
  <c r="B15" i="48"/>
  <c r="B16" i="48" s="1"/>
  <c r="B17" i="48" s="1"/>
  <c r="B18" i="48"/>
  <c r="E10" i="48"/>
  <c r="I23" i="48" s="1"/>
  <c r="J9" i="48"/>
  <c r="L38" i="47"/>
  <c r="L36" i="47"/>
  <c r="L28" i="47"/>
  <c r="L26" i="47"/>
  <c r="B21" i="46"/>
  <c r="B23" i="46" s="1"/>
  <c r="B24" i="46" s="1"/>
  <c r="B25" i="46" s="1"/>
  <c r="B26" i="46" s="1"/>
  <c r="J16" i="46"/>
  <c r="B15" i="46"/>
  <c r="B16" i="46" s="1"/>
  <c r="B17" i="46" s="1"/>
  <c r="B18" i="46" s="1"/>
  <c r="J9" i="46"/>
  <c r="N92" i="45"/>
  <c r="N78" i="45"/>
  <c r="N74" i="45"/>
  <c r="N66" i="45"/>
  <c r="N63" i="45"/>
  <c r="C77" i="45"/>
  <c r="C78" i="45" s="1"/>
  <c r="C79" i="45" s="1"/>
  <c r="C80" i="45" s="1"/>
  <c r="N53" i="45"/>
  <c r="H53" i="45"/>
  <c r="N52" i="45"/>
  <c r="H52" i="45"/>
  <c r="H51" i="45"/>
  <c r="H50" i="45"/>
  <c r="N46" i="45"/>
  <c r="H46" i="45"/>
  <c r="N45" i="45"/>
  <c r="N44" i="45"/>
  <c r="H44" i="45"/>
  <c r="N43" i="45"/>
  <c r="H43" i="45"/>
  <c r="H42" i="45"/>
  <c r="H41" i="45"/>
  <c r="N40" i="45"/>
  <c r="H40" i="45"/>
  <c r="H39" i="45"/>
  <c r="H35" i="45"/>
  <c r="H34" i="45"/>
  <c r="H33" i="45"/>
  <c r="H29" i="45"/>
  <c r="N23" i="45"/>
  <c r="H23" i="45"/>
  <c r="H22" i="45"/>
  <c r="D22" i="44"/>
  <c r="D17" i="44"/>
  <c r="D12" i="44"/>
  <c r="C10" i="44"/>
  <c r="C9" i="44"/>
  <c r="C7" i="44"/>
  <c r="E2" i="44"/>
  <c r="N12" i="45" s="1"/>
  <c r="E10" i="46" s="1"/>
  <c r="I26" i="46" s="1"/>
  <c r="H58" i="43"/>
  <c r="J58" i="43" s="1"/>
  <c r="F47" i="43"/>
  <c r="H47" i="43" s="1"/>
  <c r="J34" i="43"/>
  <c r="I33" i="43"/>
  <c r="I32" i="43"/>
  <c r="G32" i="43"/>
  <c r="I27" i="43"/>
  <c r="I26" i="43"/>
  <c r="I17" i="43"/>
  <c r="B17" i="43"/>
  <c r="B18" i="43" s="1"/>
  <c r="B19" i="43" s="1"/>
  <c r="K15" i="47"/>
  <c r="L15" i="47" s="1"/>
  <c r="G104" i="17"/>
  <c r="G79" i="20"/>
  <c r="G179" i="36"/>
  <c r="G177" i="36"/>
  <c r="G176" i="36"/>
  <c r="G173" i="36"/>
  <c r="G172" i="36"/>
  <c r="G170" i="36"/>
  <c r="J170" i="36" s="1"/>
  <c r="G169" i="36"/>
  <c r="G167" i="36"/>
  <c r="G166" i="36"/>
  <c r="G163" i="36"/>
  <c r="G162" i="36"/>
  <c r="G161" i="36"/>
  <c r="G160" i="36"/>
  <c r="G159" i="36"/>
  <c r="G158" i="36"/>
  <c r="G157" i="36"/>
  <c r="G156" i="36"/>
  <c r="G155" i="36"/>
  <c r="G154" i="36"/>
  <c r="G153" i="36"/>
  <c r="G152" i="36"/>
  <c r="G151" i="36"/>
  <c r="G150" i="36"/>
  <c r="G149" i="36"/>
  <c r="G148" i="36"/>
  <c r="G147" i="36"/>
  <c r="G146" i="36"/>
  <c r="G145" i="36"/>
  <c r="G144" i="36"/>
  <c r="G143" i="36"/>
  <c r="G142" i="36"/>
  <c r="G141" i="36"/>
  <c r="G140" i="36"/>
  <c r="G139" i="36"/>
  <c r="G138" i="36"/>
  <c r="G137" i="36"/>
  <c r="G136" i="36"/>
  <c r="G135" i="36"/>
  <c r="G134" i="36"/>
  <c r="G133" i="36"/>
  <c r="G132" i="36"/>
  <c r="G131" i="36"/>
  <c r="G130" i="36"/>
  <c r="G128" i="36"/>
  <c r="G127" i="36"/>
  <c r="G126" i="36"/>
  <c r="G125" i="36"/>
  <c r="G124" i="36"/>
  <c r="G122" i="36"/>
  <c r="G121" i="36"/>
  <c r="G120" i="36"/>
  <c r="G119" i="36"/>
  <c r="G118" i="36"/>
  <c r="G117" i="36"/>
  <c r="G116" i="36"/>
  <c r="J116" i="36" s="1"/>
  <c r="G115" i="36"/>
  <c r="G114" i="36"/>
  <c r="G113" i="36"/>
  <c r="G112" i="36"/>
  <c r="G110" i="36"/>
  <c r="G109" i="36"/>
  <c r="G108" i="36"/>
  <c r="G107" i="36"/>
  <c r="G106" i="36"/>
  <c r="G105" i="36"/>
  <c r="G104" i="36"/>
  <c r="G103" i="36"/>
  <c r="G102" i="36"/>
  <c r="G101" i="36"/>
  <c r="G100" i="36"/>
  <c r="G99" i="36"/>
  <c r="G98" i="36"/>
  <c r="G97" i="36"/>
  <c r="G96" i="36"/>
  <c r="G95" i="36"/>
  <c r="G94" i="36"/>
  <c r="G93" i="36"/>
  <c r="G92" i="36"/>
  <c r="G91" i="36"/>
  <c r="G90" i="36"/>
  <c r="G89" i="36"/>
  <c r="G88" i="36"/>
  <c r="G87" i="36"/>
  <c r="G85" i="36"/>
  <c r="G84" i="36"/>
  <c r="G83" i="36"/>
  <c r="G82" i="36"/>
  <c r="G81" i="36"/>
  <c r="G80" i="36"/>
  <c r="J80" i="36" s="1"/>
  <c r="G79" i="36"/>
  <c r="G78" i="36"/>
  <c r="G77" i="36"/>
  <c r="G76" i="36"/>
  <c r="G75" i="36"/>
  <c r="G74" i="36"/>
  <c r="G73" i="36"/>
  <c r="G72" i="36"/>
  <c r="G71" i="36"/>
  <c r="G70" i="36"/>
  <c r="G69" i="36"/>
  <c r="G67" i="36"/>
  <c r="G66" i="36"/>
  <c r="G65" i="36"/>
  <c r="G64" i="36"/>
  <c r="G63" i="36"/>
  <c r="G62" i="36"/>
  <c r="G61" i="36"/>
  <c r="G60" i="36"/>
  <c r="G59" i="36"/>
  <c r="G58" i="36"/>
  <c r="G57" i="36"/>
  <c r="G56" i="36"/>
  <c r="G55" i="36"/>
  <c r="J55" i="36" s="1"/>
  <c r="G54" i="36"/>
  <c r="G53" i="36"/>
  <c r="G52" i="36"/>
  <c r="G51" i="36"/>
  <c r="G50" i="36"/>
  <c r="G49" i="36"/>
  <c r="G48" i="36"/>
  <c r="G47" i="36"/>
  <c r="G46" i="36"/>
  <c r="G45" i="36"/>
  <c r="G44" i="36"/>
  <c r="G43" i="36"/>
  <c r="G42" i="36"/>
  <c r="G41" i="36"/>
  <c r="G40" i="36"/>
  <c r="G34" i="36"/>
  <c r="G25" i="36"/>
  <c r="G18" i="36"/>
  <c r="G179" i="20"/>
  <c r="G178" i="20"/>
  <c r="G177" i="20"/>
  <c r="G176" i="20"/>
  <c r="G175" i="20"/>
  <c r="G174" i="20"/>
  <c r="G173" i="20"/>
  <c r="G172" i="20"/>
  <c r="G171" i="20"/>
  <c r="G170" i="20"/>
  <c r="G169" i="20"/>
  <c r="G168" i="20"/>
  <c r="G167" i="20"/>
  <c r="G166" i="20"/>
  <c r="G165" i="20"/>
  <c r="G163" i="20"/>
  <c r="G162" i="20"/>
  <c r="G161" i="20"/>
  <c r="G160" i="20"/>
  <c r="G159" i="20"/>
  <c r="G158" i="20"/>
  <c r="G157" i="20"/>
  <c r="G156" i="20"/>
  <c r="G155" i="20"/>
  <c r="G154" i="20"/>
  <c r="G153" i="20"/>
  <c r="G152" i="20"/>
  <c r="G151" i="20"/>
  <c r="G150" i="20"/>
  <c r="G149" i="20"/>
  <c r="G148" i="20"/>
  <c r="G147" i="20"/>
  <c r="G146" i="20"/>
  <c r="G145" i="20"/>
  <c r="G144" i="20"/>
  <c r="G143" i="20"/>
  <c r="G142" i="20"/>
  <c r="G141" i="20"/>
  <c r="G140" i="20"/>
  <c r="G139" i="20"/>
  <c r="G138" i="20"/>
  <c r="G137" i="20"/>
  <c r="G136" i="20"/>
  <c r="G135" i="20"/>
  <c r="G134" i="20"/>
  <c r="G133" i="20"/>
  <c r="G132" i="20"/>
  <c r="G131" i="20"/>
  <c r="G130" i="20"/>
  <c r="G128" i="20"/>
  <c r="G127" i="20"/>
  <c r="G126" i="20"/>
  <c r="G125" i="20"/>
  <c r="G124" i="20"/>
  <c r="G123" i="20"/>
  <c r="G122" i="20"/>
  <c r="G121" i="20"/>
  <c r="G120" i="20"/>
  <c r="G119" i="20"/>
  <c r="G118" i="20"/>
  <c r="G117" i="20"/>
  <c r="G116" i="20"/>
  <c r="G115" i="20"/>
  <c r="G114" i="20"/>
  <c r="G113" i="20"/>
  <c r="G112" i="20"/>
  <c r="G110" i="20"/>
  <c r="G109" i="20"/>
  <c r="G108" i="20"/>
  <c r="G107" i="20"/>
  <c r="G106" i="20"/>
  <c r="G105" i="20"/>
  <c r="G104" i="20"/>
  <c r="G103" i="20"/>
  <c r="G102" i="20"/>
  <c r="G101" i="20"/>
  <c r="G100" i="20"/>
  <c r="G99" i="20"/>
  <c r="G98" i="20"/>
  <c r="G97" i="20"/>
  <c r="G96" i="20"/>
  <c r="G95" i="20"/>
  <c r="G94" i="20"/>
  <c r="G93" i="20"/>
  <c r="G92" i="20"/>
  <c r="G91" i="20"/>
  <c r="G90" i="20"/>
  <c r="G89" i="20"/>
  <c r="G88" i="20"/>
  <c r="G87" i="20"/>
  <c r="G85" i="20"/>
  <c r="G84" i="20"/>
  <c r="G83" i="20"/>
  <c r="G82" i="20"/>
  <c r="G81" i="20"/>
  <c r="G80" i="20"/>
  <c r="G78" i="20"/>
  <c r="G77" i="20"/>
  <c r="G76" i="20"/>
  <c r="G75" i="20"/>
  <c r="G74" i="20"/>
  <c r="G73" i="20"/>
  <c r="G72" i="20"/>
  <c r="G71" i="20"/>
  <c r="G70" i="20"/>
  <c r="G69" i="20"/>
  <c r="G67" i="20"/>
  <c r="G66" i="20"/>
  <c r="G65" i="20"/>
  <c r="G64" i="20"/>
  <c r="G63" i="20"/>
  <c r="G62" i="20"/>
  <c r="G61" i="20"/>
  <c r="G60" i="20"/>
  <c r="G59" i="20"/>
  <c r="G58" i="20"/>
  <c r="G57" i="20"/>
  <c r="G56" i="20"/>
  <c r="G55" i="20"/>
  <c r="G54" i="20"/>
  <c r="G53" i="20"/>
  <c r="G52" i="20"/>
  <c r="G51" i="20"/>
  <c r="G50" i="20"/>
  <c r="G49" i="20"/>
  <c r="G48" i="20"/>
  <c r="G47" i="20"/>
  <c r="G46" i="20"/>
  <c r="G45" i="20"/>
  <c r="G44" i="20"/>
  <c r="G43" i="20"/>
  <c r="G42" i="20"/>
  <c r="G41" i="20"/>
  <c r="G40" i="20"/>
  <c r="G38" i="20"/>
  <c r="G37" i="20"/>
  <c r="G36" i="20"/>
  <c r="G35" i="20"/>
  <c r="G34" i="20"/>
  <c r="G33" i="20"/>
  <c r="G32" i="20"/>
  <c r="G31" i="20"/>
  <c r="G30" i="20"/>
  <c r="G29" i="20"/>
  <c r="G28" i="20"/>
  <c r="G27" i="20"/>
  <c r="G26" i="20"/>
  <c r="G25" i="20"/>
  <c r="G24" i="20"/>
  <c r="G23" i="20"/>
  <c r="G22" i="20"/>
  <c r="G21" i="20"/>
  <c r="G20" i="20"/>
  <c r="G19" i="20"/>
  <c r="G18" i="20"/>
  <c r="G17" i="20"/>
  <c r="G177" i="17"/>
  <c r="G172" i="17"/>
  <c r="G170" i="17"/>
  <c r="G169" i="17"/>
  <c r="G166" i="17"/>
  <c r="G163" i="17"/>
  <c r="G162" i="17"/>
  <c r="G161" i="17"/>
  <c r="G160" i="17"/>
  <c r="G159" i="17"/>
  <c r="G158" i="17"/>
  <c r="G157" i="17"/>
  <c r="G156" i="17"/>
  <c r="G155" i="17"/>
  <c r="G154" i="17"/>
  <c r="G153" i="17"/>
  <c r="G152" i="17"/>
  <c r="G151" i="17"/>
  <c r="G150" i="17"/>
  <c r="G149" i="17"/>
  <c r="G148" i="17"/>
  <c r="G147" i="17"/>
  <c r="G146" i="17"/>
  <c r="G145" i="17"/>
  <c r="G144" i="17"/>
  <c r="G143" i="17"/>
  <c r="G142" i="17"/>
  <c r="G141" i="17"/>
  <c r="G140" i="17"/>
  <c r="G139" i="17"/>
  <c r="G138" i="17"/>
  <c r="G137" i="17"/>
  <c r="G136" i="17"/>
  <c r="G135" i="17"/>
  <c r="G134" i="17"/>
  <c r="G133" i="17"/>
  <c r="G132" i="17"/>
  <c r="G131" i="17"/>
  <c r="G130" i="17"/>
  <c r="G128" i="17"/>
  <c r="G127" i="17"/>
  <c r="G126" i="17"/>
  <c r="G125" i="17"/>
  <c r="G124" i="17"/>
  <c r="G123" i="17"/>
  <c r="G122" i="17"/>
  <c r="G121" i="17"/>
  <c r="G120" i="17"/>
  <c r="G119" i="17"/>
  <c r="G118" i="17"/>
  <c r="G117" i="17"/>
  <c r="G116" i="17"/>
  <c r="G115" i="17"/>
  <c r="G114" i="17"/>
  <c r="G113" i="17"/>
  <c r="G112" i="17"/>
  <c r="G110" i="17"/>
  <c r="G109" i="17"/>
  <c r="G97" i="17"/>
  <c r="G85" i="17"/>
  <c r="G84" i="17"/>
  <c r="G83" i="17"/>
  <c r="G82" i="17"/>
  <c r="G81" i="17"/>
  <c r="G80" i="17"/>
  <c r="G79" i="17"/>
  <c r="G78" i="17"/>
  <c r="G77" i="17"/>
  <c r="G76" i="17"/>
  <c r="G75" i="17"/>
  <c r="G74" i="17"/>
  <c r="G73" i="17"/>
  <c r="G72" i="17"/>
  <c r="G71" i="17"/>
  <c r="G70" i="17"/>
  <c r="G69" i="17"/>
  <c r="G67" i="17"/>
  <c r="G66" i="17"/>
  <c r="G65" i="17"/>
  <c r="G64" i="17"/>
  <c r="G63" i="17"/>
  <c r="G62" i="17"/>
  <c r="G61" i="17"/>
  <c r="G60" i="17"/>
  <c r="G59" i="17"/>
  <c r="G58" i="17"/>
  <c r="G57" i="17"/>
  <c r="G56" i="17"/>
  <c r="G55" i="17"/>
  <c r="G54" i="17"/>
  <c r="G53" i="17"/>
  <c r="G52" i="17"/>
  <c r="G51" i="17"/>
  <c r="G50" i="17"/>
  <c r="G49" i="17"/>
  <c r="G48" i="17"/>
  <c r="G47" i="17"/>
  <c r="G46" i="17"/>
  <c r="G45" i="17"/>
  <c r="G44" i="17"/>
  <c r="G43" i="17"/>
  <c r="G42" i="17"/>
  <c r="G41" i="17"/>
  <c r="G40" i="17"/>
  <c r="G38" i="17"/>
  <c r="G37" i="17"/>
  <c r="G36" i="17"/>
  <c r="G35" i="17"/>
  <c r="G34" i="17"/>
  <c r="G33" i="17"/>
  <c r="G32" i="17"/>
  <c r="G31" i="17"/>
  <c r="G30" i="17"/>
  <c r="G29" i="17"/>
  <c r="G28" i="17"/>
  <c r="G27" i="17"/>
  <c r="G26" i="17"/>
  <c r="G25" i="17"/>
  <c r="G24" i="17"/>
  <c r="G23" i="17"/>
  <c r="G22" i="17"/>
  <c r="G21" i="17"/>
  <c r="G20" i="17"/>
  <c r="G19" i="17"/>
  <c r="G18" i="17"/>
  <c r="G17" i="17"/>
  <c r="G177" i="21"/>
  <c r="G172" i="21"/>
  <c r="G170" i="21"/>
  <c r="G169" i="21"/>
  <c r="G166" i="21"/>
  <c r="G163" i="21"/>
  <c r="G162" i="21"/>
  <c r="G161" i="21"/>
  <c r="G160" i="21"/>
  <c r="G159" i="21"/>
  <c r="G158" i="21"/>
  <c r="G157" i="21"/>
  <c r="G156" i="21"/>
  <c r="G155" i="21"/>
  <c r="G154" i="21"/>
  <c r="G153" i="21"/>
  <c r="G152" i="21"/>
  <c r="G151" i="21"/>
  <c r="G150" i="21"/>
  <c r="G149" i="21"/>
  <c r="G148" i="21"/>
  <c r="G147" i="21"/>
  <c r="G146" i="21"/>
  <c r="G145" i="21"/>
  <c r="G144" i="21"/>
  <c r="G143" i="21"/>
  <c r="G142" i="21"/>
  <c r="G141" i="21"/>
  <c r="G140" i="21"/>
  <c r="G139" i="21"/>
  <c r="G138" i="21"/>
  <c r="G137" i="21"/>
  <c r="G136" i="21"/>
  <c r="G135" i="21"/>
  <c r="G134" i="21"/>
  <c r="G133" i="21"/>
  <c r="G132" i="21"/>
  <c r="G131" i="21"/>
  <c r="G130" i="21"/>
  <c r="G128" i="21"/>
  <c r="G127" i="21"/>
  <c r="G126" i="21"/>
  <c r="G125" i="21"/>
  <c r="G124" i="21"/>
  <c r="G123" i="21"/>
  <c r="G122" i="21"/>
  <c r="G121" i="21"/>
  <c r="G120" i="21"/>
  <c r="G119" i="21"/>
  <c r="G118" i="21"/>
  <c r="G117" i="21"/>
  <c r="G116" i="21"/>
  <c r="G115" i="21"/>
  <c r="G114" i="21"/>
  <c r="G113" i="21"/>
  <c r="G112" i="21"/>
  <c r="G110" i="21"/>
  <c r="G109" i="21"/>
  <c r="G108" i="21"/>
  <c r="G107" i="21"/>
  <c r="G106" i="21"/>
  <c r="G105" i="21"/>
  <c r="G104" i="21"/>
  <c r="G103" i="21"/>
  <c r="G102" i="21"/>
  <c r="G101" i="21"/>
  <c r="G100" i="21"/>
  <c r="G99" i="21"/>
  <c r="G98" i="21"/>
  <c r="G97" i="21"/>
  <c r="G96" i="21"/>
  <c r="G95" i="21"/>
  <c r="G94" i="21"/>
  <c r="G93" i="21"/>
  <c r="G92" i="21"/>
  <c r="G91" i="21"/>
  <c r="G90" i="21"/>
  <c r="G89" i="21"/>
  <c r="G88" i="21"/>
  <c r="G87" i="21"/>
  <c r="G85" i="21"/>
  <c r="G84" i="21"/>
  <c r="G83" i="21"/>
  <c r="G82" i="21"/>
  <c r="G81" i="21"/>
  <c r="G80" i="21"/>
  <c r="G79" i="21"/>
  <c r="G78" i="21"/>
  <c r="G77" i="21"/>
  <c r="G76" i="21"/>
  <c r="G75" i="21"/>
  <c r="G74" i="21"/>
  <c r="G73" i="21"/>
  <c r="G72" i="21"/>
  <c r="G71" i="21"/>
  <c r="G70" i="21"/>
  <c r="G69" i="21"/>
  <c r="G67" i="21"/>
  <c r="G66" i="21"/>
  <c r="G65" i="21"/>
  <c r="G64" i="21"/>
  <c r="G63" i="21"/>
  <c r="G62" i="21"/>
  <c r="G61" i="21"/>
  <c r="G60" i="21"/>
  <c r="G59" i="21"/>
  <c r="G58" i="21"/>
  <c r="G57" i="21"/>
  <c r="G56" i="21"/>
  <c r="G55" i="21"/>
  <c r="G54" i="21"/>
  <c r="G53" i="21"/>
  <c r="G52" i="21"/>
  <c r="G51" i="21"/>
  <c r="G50" i="21"/>
  <c r="G49" i="21"/>
  <c r="G48" i="21"/>
  <c r="G47" i="21"/>
  <c r="G46" i="21"/>
  <c r="G45" i="21"/>
  <c r="G44" i="21"/>
  <c r="G43" i="21"/>
  <c r="G42" i="21"/>
  <c r="G41" i="21"/>
  <c r="G40" i="21"/>
  <c r="G37" i="21"/>
  <c r="G36" i="21"/>
  <c r="G35" i="21"/>
  <c r="G25" i="21"/>
  <c r="G24" i="21"/>
  <c r="G177" i="16"/>
  <c r="G172" i="16"/>
  <c r="G170" i="16"/>
  <c r="G169" i="16"/>
  <c r="G166" i="16"/>
  <c r="G163" i="16"/>
  <c r="G162" i="16"/>
  <c r="G161" i="16"/>
  <c r="G160" i="16"/>
  <c r="G159" i="16"/>
  <c r="G158" i="16"/>
  <c r="G157" i="16"/>
  <c r="G156" i="16"/>
  <c r="G155" i="16"/>
  <c r="G154" i="16"/>
  <c r="G153" i="16"/>
  <c r="G152" i="16"/>
  <c r="G151" i="16"/>
  <c r="G150" i="16"/>
  <c r="G149" i="16"/>
  <c r="G148" i="16"/>
  <c r="G147" i="16"/>
  <c r="G146" i="16"/>
  <c r="G145" i="16"/>
  <c r="G144" i="16"/>
  <c r="G143" i="16"/>
  <c r="G142" i="16"/>
  <c r="G141" i="16"/>
  <c r="G140" i="16"/>
  <c r="G139" i="16"/>
  <c r="G138" i="16"/>
  <c r="G137" i="16"/>
  <c r="G136" i="16"/>
  <c r="G135" i="16"/>
  <c r="G134" i="16"/>
  <c r="G133" i="16"/>
  <c r="G132" i="16"/>
  <c r="G131" i="16"/>
  <c r="G130" i="16"/>
  <c r="G110" i="16"/>
  <c r="G109" i="16"/>
  <c r="G108" i="16"/>
  <c r="G107" i="16"/>
  <c r="G106" i="16"/>
  <c r="G105" i="16"/>
  <c r="G104" i="16"/>
  <c r="G103" i="16"/>
  <c r="G102" i="16"/>
  <c r="G101" i="16"/>
  <c r="G100" i="16"/>
  <c r="G99" i="16"/>
  <c r="G98" i="16"/>
  <c r="G97" i="16"/>
  <c r="G96" i="16"/>
  <c r="G95" i="16"/>
  <c r="G94" i="16"/>
  <c r="G93" i="16"/>
  <c r="G92" i="16"/>
  <c r="G91" i="16"/>
  <c r="G90" i="16"/>
  <c r="G89" i="16"/>
  <c r="G88" i="16"/>
  <c r="G87" i="16"/>
  <c r="G85" i="16"/>
  <c r="G84" i="16"/>
  <c r="G83" i="16"/>
  <c r="G82" i="16"/>
  <c r="G81" i="16"/>
  <c r="G80" i="16"/>
  <c r="G79" i="16"/>
  <c r="G78" i="16"/>
  <c r="G77" i="16"/>
  <c r="G76" i="16"/>
  <c r="G75" i="16"/>
  <c r="G74" i="16"/>
  <c r="G73" i="16"/>
  <c r="G72" i="16"/>
  <c r="G71" i="16"/>
  <c r="G70" i="16"/>
  <c r="G69" i="16"/>
  <c r="G64" i="16"/>
  <c r="G57" i="16"/>
  <c r="G49" i="16"/>
  <c r="G48" i="16"/>
  <c r="G38" i="16"/>
  <c r="G37" i="16"/>
  <c r="G36" i="16"/>
  <c r="G35" i="16"/>
  <c r="G34" i="16"/>
  <c r="G33" i="16"/>
  <c r="G32" i="16"/>
  <c r="G31" i="16"/>
  <c r="G30" i="16"/>
  <c r="G29" i="16"/>
  <c r="G28" i="16"/>
  <c r="G27" i="16"/>
  <c r="G26" i="16"/>
  <c r="G25" i="16"/>
  <c r="G24" i="16"/>
  <c r="G23" i="16"/>
  <c r="G22" i="16"/>
  <c r="G21" i="16"/>
  <c r="G20" i="16"/>
  <c r="G19" i="16"/>
  <c r="G18" i="16"/>
  <c r="G17" i="16"/>
  <c r="G177" i="18"/>
  <c r="G172" i="18"/>
  <c r="G170" i="18"/>
  <c r="G169" i="18"/>
  <c r="G166" i="18"/>
  <c r="G163" i="18"/>
  <c r="G161" i="18"/>
  <c r="G157" i="18"/>
  <c r="G156" i="18"/>
  <c r="G155" i="18"/>
  <c r="G153" i="18"/>
  <c r="G151" i="18"/>
  <c r="G150" i="18"/>
  <c r="G149" i="18"/>
  <c r="G147" i="18"/>
  <c r="G144" i="18"/>
  <c r="G139" i="18"/>
  <c r="G136" i="18"/>
  <c r="G135" i="18"/>
  <c r="G133" i="18"/>
  <c r="G132" i="18"/>
  <c r="G131" i="18"/>
  <c r="G110" i="18"/>
  <c r="G109" i="18"/>
  <c r="G108" i="18"/>
  <c r="G107" i="18"/>
  <c r="G106" i="18"/>
  <c r="G105" i="18"/>
  <c r="G104" i="18"/>
  <c r="G103" i="18"/>
  <c r="G102" i="18"/>
  <c r="G101" i="18"/>
  <c r="G100" i="18"/>
  <c r="G99" i="18"/>
  <c r="G98" i="18"/>
  <c r="G97" i="18"/>
  <c r="G96" i="18"/>
  <c r="G95" i="18"/>
  <c r="G94" i="18"/>
  <c r="G93" i="18"/>
  <c r="G92" i="18"/>
  <c r="G91" i="18"/>
  <c r="G90" i="18"/>
  <c r="G89" i="18"/>
  <c r="G88" i="18"/>
  <c r="G87" i="18"/>
  <c r="G85" i="18"/>
  <c r="G84" i="18"/>
  <c r="G83" i="18"/>
  <c r="G82" i="18"/>
  <c r="G81" i="18"/>
  <c r="G80" i="18"/>
  <c r="G79" i="18"/>
  <c r="G78" i="18"/>
  <c r="G77" i="18"/>
  <c r="G76" i="18"/>
  <c r="G75" i="18"/>
  <c r="G74" i="18"/>
  <c r="G73" i="18"/>
  <c r="G72" i="18"/>
  <c r="G71" i="18"/>
  <c r="G70" i="18"/>
  <c r="G69" i="18"/>
  <c r="G67" i="18"/>
  <c r="G66" i="18"/>
  <c r="G65" i="18"/>
  <c r="G64" i="18"/>
  <c r="G63" i="18"/>
  <c r="G62" i="18"/>
  <c r="G61" i="18"/>
  <c r="G60" i="18"/>
  <c r="G59" i="18"/>
  <c r="G58" i="18"/>
  <c r="G57" i="18"/>
  <c r="G56" i="18"/>
  <c r="G55" i="18"/>
  <c r="G54" i="18"/>
  <c r="G53" i="18"/>
  <c r="G52" i="18"/>
  <c r="G51" i="18"/>
  <c r="G50" i="18"/>
  <c r="G49" i="18"/>
  <c r="G48" i="18"/>
  <c r="G47" i="18"/>
  <c r="G46" i="18"/>
  <c r="G45" i="18"/>
  <c r="G44" i="18"/>
  <c r="G43" i="18"/>
  <c r="G42" i="18"/>
  <c r="G41" i="18"/>
  <c r="G37" i="18"/>
  <c r="G36" i="18"/>
  <c r="G35" i="18"/>
  <c r="G25" i="18"/>
  <c r="J192" i="11"/>
  <c r="G17" i="11"/>
  <c r="G177" i="11"/>
  <c r="G172" i="11"/>
  <c r="G170" i="11"/>
  <c r="G169" i="11"/>
  <c r="G166" i="11"/>
  <c r="G163" i="11"/>
  <c r="G161" i="11"/>
  <c r="G157" i="11"/>
  <c r="G156" i="11"/>
  <c r="G155" i="11"/>
  <c r="G153" i="11"/>
  <c r="G151" i="11"/>
  <c r="G150" i="11"/>
  <c r="G149" i="11"/>
  <c r="G147" i="11"/>
  <c r="G144" i="11"/>
  <c r="G139" i="11"/>
  <c r="G136" i="11"/>
  <c r="G135" i="11"/>
  <c r="G133" i="11"/>
  <c r="G132" i="11"/>
  <c r="G131" i="11"/>
  <c r="G110" i="11"/>
  <c r="G109" i="11"/>
  <c r="G108" i="11"/>
  <c r="G107" i="11"/>
  <c r="G106" i="11"/>
  <c r="G105" i="11"/>
  <c r="G104" i="11"/>
  <c r="G103" i="11"/>
  <c r="G102" i="11"/>
  <c r="G101" i="11"/>
  <c r="G100" i="11"/>
  <c r="G99" i="11"/>
  <c r="G98" i="11"/>
  <c r="G97" i="11"/>
  <c r="G96" i="11"/>
  <c r="G95" i="11"/>
  <c r="G94" i="11"/>
  <c r="G93" i="11"/>
  <c r="G92" i="11"/>
  <c r="G91" i="11"/>
  <c r="G90" i="11"/>
  <c r="G89" i="11"/>
  <c r="G88" i="11"/>
  <c r="G87" i="11"/>
  <c r="G85" i="11"/>
  <c r="G84" i="11"/>
  <c r="G83" i="11"/>
  <c r="G82" i="11"/>
  <c r="G81" i="11"/>
  <c r="G80" i="11"/>
  <c r="G79" i="11"/>
  <c r="G78" i="11"/>
  <c r="G77" i="11"/>
  <c r="G76" i="11"/>
  <c r="G75" i="11"/>
  <c r="G74" i="11"/>
  <c r="G73" i="11"/>
  <c r="G72" i="11"/>
  <c r="G71" i="11"/>
  <c r="G70" i="11"/>
  <c r="G69" i="11"/>
  <c r="G64" i="11"/>
  <c r="G57" i="11"/>
  <c r="G49" i="11"/>
  <c r="G18" i="11"/>
  <c r="G19" i="11"/>
  <c r="G20" i="11"/>
  <c r="G21" i="11"/>
  <c r="G22" i="11"/>
  <c r="G23" i="11"/>
  <c r="G24" i="11"/>
  <c r="G25" i="11"/>
  <c r="G26" i="11"/>
  <c r="G27" i="11"/>
  <c r="G28" i="11"/>
  <c r="G29" i="11"/>
  <c r="G30" i="11"/>
  <c r="G31" i="11"/>
  <c r="G32" i="11"/>
  <c r="G33" i="11"/>
  <c r="G34" i="11"/>
  <c r="G35" i="11"/>
  <c r="G36" i="11"/>
  <c r="G37" i="11"/>
  <c r="G38" i="11"/>
  <c r="J5" i="39"/>
  <c r="K5" i="39" s="1"/>
  <c r="J4" i="39"/>
  <c r="K4" i="39" s="1"/>
  <c r="J3" i="39"/>
  <c r="K3" i="39" s="1"/>
  <c r="AX1" i="38"/>
  <c r="AV1" i="38"/>
  <c r="AT1" i="38"/>
  <c r="AR1" i="38"/>
  <c r="AP1" i="38"/>
  <c r="AN1" i="38"/>
  <c r="AL1" i="38"/>
  <c r="AJ1" i="38"/>
  <c r="AH1" i="38"/>
  <c r="AF1" i="38"/>
  <c r="AB1" i="38"/>
  <c r="Z1" i="38"/>
  <c r="X1" i="38"/>
  <c r="V1" i="38"/>
  <c r="T1" i="38"/>
  <c r="R1" i="38"/>
  <c r="P1" i="38"/>
  <c r="N1" i="38"/>
  <c r="L1" i="38"/>
  <c r="J1" i="38"/>
  <c r="H1" i="38"/>
  <c r="F1" i="38"/>
  <c r="D1" i="38"/>
  <c r="AO184" i="36"/>
  <c r="AD1" i="38" s="1"/>
  <c r="AP164" i="36"/>
  <c r="AP129" i="36"/>
  <c r="AP111" i="36"/>
  <c r="AP86" i="36"/>
  <c r="AP68" i="36"/>
  <c r="AP39" i="36"/>
  <c r="AO12" i="36"/>
  <c r="AO11" i="36"/>
  <c r="AO10" i="36"/>
  <c r="AO9" i="36"/>
  <c r="H37" i="36"/>
  <c r="I37" i="36" s="1"/>
  <c r="F37" i="36"/>
  <c r="E37" i="36"/>
  <c r="H36" i="36"/>
  <c r="F36" i="36"/>
  <c r="E36" i="36"/>
  <c r="H37" i="20"/>
  <c r="F37" i="20"/>
  <c r="E37" i="20"/>
  <c r="H36" i="20"/>
  <c r="F36" i="20"/>
  <c r="E36" i="20"/>
  <c r="H37" i="21"/>
  <c r="F37" i="21"/>
  <c r="E37" i="21"/>
  <c r="H36" i="21"/>
  <c r="F36" i="21"/>
  <c r="E36" i="21"/>
  <c r="H37" i="18"/>
  <c r="F37" i="18"/>
  <c r="E37" i="18"/>
  <c r="H36" i="18"/>
  <c r="F36" i="18"/>
  <c r="E36" i="18"/>
  <c r="H37" i="17"/>
  <c r="F37" i="17"/>
  <c r="E37" i="17"/>
  <c r="H36" i="17"/>
  <c r="F36" i="17"/>
  <c r="E36" i="17"/>
  <c r="H37" i="16"/>
  <c r="F37" i="16"/>
  <c r="E37" i="16"/>
  <c r="H36" i="16"/>
  <c r="F36" i="16"/>
  <c r="E36" i="16"/>
  <c r="E38" i="16"/>
  <c r="F38" i="16"/>
  <c r="H38" i="16"/>
  <c r="H37" i="11"/>
  <c r="F37" i="11"/>
  <c r="E37" i="11"/>
  <c r="H36" i="11"/>
  <c r="F36" i="11"/>
  <c r="E36" i="11"/>
  <c r="M12" i="36"/>
  <c r="M11" i="36"/>
  <c r="M165" i="36" s="1"/>
  <c r="M10" i="36"/>
  <c r="M9" i="36"/>
  <c r="J192" i="36"/>
  <c r="I60" i="36" s="1"/>
  <c r="M184" i="36"/>
  <c r="B1" i="38" s="1"/>
  <c r="H179" i="36"/>
  <c r="I179" i="36" s="1"/>
  <c r="F179" i="36"/>
  <c r="E179" i="36"/>
  <c r="H178" i="36"/>
  <c r="F178" i="36"/>
  <c r="E178" i="36"/>
  <c r="H177" i="36"/>
  <c r="F177" i="36"/>
  <c r="E177" i="36"/>
  <c r="H176" i="36"/>
  <c r="I176" i="36" s="1"/>
  <c r="AP176" i="36" s="1"/>
  <c r="F176" i="36"/>
  <c r="E176" i="36"/>
  <c r="H175" i="36"/>
  <c r="I175" i="36" s="1"/>
  <c r="AP175" i="36" s="1"/>
  <c r="F175" i="36"/>
  <c r="E175" i="36"/>
  <c r="H174" i="36"/>
  <c r="F174" i="36"/>
  <c r="E174" i="36"/>
  <c r="H173" i="36"/>
  <c r="F173" i="36"/>
  <c r="E173" i="36"/>
  <c r="H172" i="36"/>
  <c r="I172" i="36" s="1"/>
  <c r="F172" i="36"/>
  <c r="E172" i="36"/>
  <c r="H171" i="36"/>
  <c r="I171" i="36" s="1"/>
  <c r="F171" i="36"/>
  <c r="E171" i="36"/>
  <c r="H170" i="36"/>
  <c r="F170" i="36"/>
  <c r="E170" i="36"/>
  <c r="H169" i="36"/>
  <c r="I169" i="36" s="1"/>
  <c r="F169" i="36"/>
  <c r="E169" i="36"/>
  <c r="H168" i="36"/>
  <c r="I168" i="36" s="1"/>
  <c r="AP168" i="36" s="1"/>
  <c r="F168" i="36"/>
  <c r="E168" i="36"/>
  <c r="H167" i="36"/>
  <c r="I167" i="36" s="1"/>
  <c r="AP167" i="36" s="1"/>
  <c r="F167" i="36"/>
  <c r="E167" i="36"/>
  <c r="H166" i="36"/>
  <c r="F166" i="36"/>
  <c r="E166" i="36"/>
  <c r="H165" i="36"/>
  <c r="F165" i="36"/>
  <c r="E165" i="36"/>
  <c r="N164" i="36"/>
  <c r="H163" i="36"/>
  <c r="I163" i="36" s="1"/>
  <c r="F163" i="36"/>
  <c r="E163" i="36"/>
  <c r="H162" i="36"/>
  <c r="I162" i="36" s="1"/>
  <c r="F162" i="36"/>
  <c r="E162" i="36"/>
  <c r="H161" i="36"/>
  <c r="F161" i="36"/>
  <c r="E161" i="36"/>
  <c r="H160" i="36"/>
  <c r="I160" i="36" s="1"/>
  <c r="AP160" i="36" s="1"/>
  <c r="F160" i="36"/>
  <c r="E160" i="36"/>
  <c r="H159" i="36"/>
  <c r="F159" i="36"/>
  <c r="E159" i="36"/>
  <c r="H158" i="36"/>
  <c r="I158" i="36" s="1"/>
  <c r="J158" i="36" s="1"/>
  <c r="F158" i="36"/>
  <c r="E158" i="36"/>
  <c r="H157" i="36"/>
  <c r="I157" i="36" s="1"/>
  <c r="F157" i="36"/>
  <c r="E157" i="36"/>
  <c r="H156" i="36"/>
  <c r="F156" i="36"/>
  <c r="E156" i="36"/>
  <c r="H155" i="36"/>
  <c r="I155" i="36" s="1"/>
  <c r="AP155" i="36" s="1"/>
  <c r="F155" i="36"/>
  <c r="E155" i="36"/>
  <c r="H154" i="36"/>
  <c r="I154" i="36" s="1"/>
  <c r="F154" i="36"/>
  <c r="E154" i="36"/>
  <c r="H153" i="36"/>
  <c r="I153" i="36" s="1"/>
  <c r="F153" i="36"/>
  <c r="E153" i="36"/>
  <c r="H152" i="36"/>
  <c r="I152" i="36" s="1"/>
  <c r="F152" i="36"/>
  <c r="E152" i="36"/>
  <c r="H151" i="36"/>
  <c r="F151" i="36"/>
  <c r="E151" i="36"/>
  <c r="H150" i="36"/>
  <c r="I150" i="36" s="1"/>
  <c r="F150" i="36"/>
  <c r="E150" i="36"/>
  <c r="H149" i="36"/>
  <c r="I149" i="36" s="1"/>
  <c r="F149" i="36"/>
  <c r="E149" i="36"/>
  <c r="H148" i="36"/>
  <c r="F148" i="36"/>
  <c r="E148" i="36"/>
  <c r="H147" i="36"/>
  <c r="I147" i="36" s="1"/>
  <c r="AP147" i="36" s="1"/>
  <c r="F147" i="36"/>
  <c r="E147" i="36"/>
  <c r="H146" i="36"/>
  <c r="I146" i="36" s="1"/>
  <c r="N146" i="36" s="1"/>
  <c r="F146" i="36"/>
  <c r="E146" i="36"/>
  <c r="H145" i="36"/>
  <c r="I145" i="36" s="1"/>
  <c r="F145" i="36"/>
  <c r="E145" i="36"/>
  <c r="H144" i="36"/>
  <c r="I144" i="36" s="1"/>
  <c r="F144" i="36"/>
  <c r="E144" i="36"/>
  <c r="H143" i="36"/>
  <c r="F143" i="36"/>
  <c r="E143" i="36"/>
  <c r="H142" i="36"/>
  <c r="I142" i="36" s="1"/>
  <c r="F142" i="36"/>
  <c r="E142" i="36"/>
  <c r="H141" i="36"/>
  <c r="F141" i="36"/>
  <c r="E141" i="36"/>
  <c r="H140" i="36"/>
  <c r="I140" i="36" s="1"/>
  <c r="J140" i="36" s="1"/>
  <c r="F140" i="36"/>
  <c r="E140" i="36"/>
  <c r="H139" i="36"/>
  <c r="I139" i="36" s="1"/>
  <c r="F139" i="36"/>
  <c r="E139" i="36"/>
  <c r="H138" i="36"/>
  <c r="I138" i="36" s="1"/>
  <c r="AP138" i="36" s="1"/>
  <c r="F138" i="36"/>
  <c r="E138" i="36"/>
  <c r="H137" i="36"/>
  <c r="I137" i="36" s="1"/>
  <c r="N137" i="36" s="1"/>
  <c r="F137" i="36"/>
  <c r="E137" i="36"/>
  <c r="H136" i="36"/>
  <c r="I136" i="36" s="1"/>
  <c r="F136" i="36"/>
  <c r="E136" i="36"/>
  <c r="H135" i="36"/>
  <c r="F135" i="36"/>
  <c r="E135" i="36"/>
  <c r="H134" i="36"/>
  <c r="I134" i="36" s="1"/>
  <c r="F134" i="36"/>
  <c r="E134" i="36"/>
  <c r="H133" i="36"/>
  <c r="I133" i="36" s="1"/>
  <c r="F133" i="36"/>
  <c r="E133" i="36"/>
  <c r="H132" i="36"/>
  <c r="I132" i="36" s="1"/>
  <c r="AP132" i="36" s="1"/>
  <c r="F132" i="36"/>
  <c r="E132" i="36"/>
  <c r="H131" i="36"/>
  <c r="F131" i="36"/>
  <c r="E131" i="36"/>
  <c r="H130" i="36"/>
  <c r="I130" i="36" s="1"/>
  <c r="F130" i="36"/>
  <c r="E130" i="36"/>
  <c r="N129" i="36"/>
  <c r="H128" i="36"/>
  <c r="I128" i="36" s="1"/>
  <c r="J128" i="36" s="1"/>
  <c r="F128" i="36"/>
  <c r="E128" i="36"/>
  <c r="H127" i="36"/>
  <c r="F127" i="36"/>
  <c r="E127" i="36"/>
  <c r="H126" i="36"/>
  <c r="F126" i="36"/>
  <c r="E126" i="36"/>
  <c r="H125" i="36"/>
  <c r="F125" i="36"/>
  <c r="E125" i="36"/>
  <c r="H124" i="36"/>
  <c r="I124" i="36" s="1"/>
  <c r="F124" i="36"/>
  <c r="E124" i="36"/>
  <c r="H123" i="36"/>
  <c r="I123" i="36" s="1"/>
  <c r="F123" i="36"/>
  <c r="E123" i="36"/>
  <c r="H122" i="36"/>
  <c r="I122" i="36" s="1"/>
  <c r="F122" i="36"/>
  <c r="E122" i="36"/>
  <c r="H121" i="36"/>
  <c r="F121" i="36"/>
  <c r="E121" i="36"/>
  <c r="H120" i="36"/>
  <c r="F120" i="36"/>
  <c r="E120" i="36"/>
  <c r="H119" i="36"/>
  <c r="F119" i="36"/>
  <c r="E119" i="36"/>
  <c r="H118" i="36"/>
  <c r="F118" i="36"/>
  <c r="E118" i="36"/>
  <c r="H117" i="36"/>
  <c r="F117" i="36"/>
  <c r="E117" i="36"/>
  <c r="H116" i="36"/>
  <c r="I116" i="36" s="1"/>
  <c r="AP116" i="36" s="1"/>
  <c r="F116" i="36"/>
  <c r="E116" i="36"/>
  <c r="H115" i="36"/>
  <c r="I115" i="36" s="1"/>
  <c r="F115" i="36"/>
  <c r="E115" i="36"/>
  <c r="H114" i="36"/>
  <c r="F114" i="36"/>
  <c r="E114" i="36"/>
  <c r="H113" i="36"/>
  <c r="F113" i="36"/>
  <c r="E113" i="36"/>
  <c r="H112" i="36"/>
  <c r="I112" i="36" s="1"/>
  <c r="F112" i="36"/>
  <c r="E112" i="36"/>
  <c r="N111" i="36"/>
  <c r="H110" i="36"/>
  <c r="I110" i="36" s="1"/>
  <c r="J110" i="36" s="1"/>
  <c r="F110" i="36"/>
  <c r="E110" i="36"/>
  <c r="H109" i="36"/>
  <c r="I109" i="36" s="1"/>
  <c r="F109" i="36"/>
  <c r="E109" i="36"/>
  <c r="H108" i="36"/>
  <c r="F108" i="36"/>
  <c r="E108" i="36"/>
  <c r="H107" i="36"/>
  <c r="I107" i="36" s="1"/>
  <c r="N107" i="36" s="1"/>
  <c r="F107" i="36"/>
  <c r="E107" i="36"/>
  <c r="H106" i="36"/>
  <c r="I106" i="36" s="1"/>
  <c r="F106" i="36"/>
  <c r="E106" i="36"/>
  <c r="H105" i="36"/>
  <c r="I105" i="36" s="1"/>
  <c r="F105" i="36"/>
  <c r="E105" i="36"/>
  <c r="H104" i="36"/>
  <c r="F104" i="36"/>
  <c r="E104" i="36"/>
  <c r="H103" i="36"/>
  <c r="I103" i="36" s="1"/>
  <c r="F103" i="36"/>
  <c r="E103" i="36"/>
  <c r="H102" i="36"/>
  <c r="I102" i="36" s="1"/>
  <c r="F102" i="36"/>
  <c r="E102" i="36"/>
  <c r="H101" i="36"/>
  <c r="I101" i="36" s="1"/>
  <c r="F101" i="36"/>
  <c r="E101" i="36"/>
  <c r="H100" i="36"/>
  <c r="I100" i="36" s="1"/>
  <c r="F100" i="36"/>
  <c r="E100" i="36"/>
  <c r="H99" i="36"/>
  <c r="F99" i="36"/>
  <c r="E99" i="36"/>
  <c r="H98" i="36"/>
  <c r="F98" i="36"/>
  <c r="E98" i="36"/>
  <c r="H97" i="36"/>
  <c r="F97" i="36"/>
  <c r="E97" i="36"/>
  <c r="H96" i="36"/>
  <c r="F96" i="36"/>
  <c r="E96" i="36"/>
  <c r="H95" i="36"/>
  <c r="I95" i="36"/>
  <c r="F95" i="36"/>
  <c r="E95" i="36"/>
  <c r="H94" i="36"/>
  <c r="F94" i="36"/>
  <c r="E94" i="36"/>
  <c r="H93" i="36"/>
  <c r="I93" i="36" s="1"/>
  <c r="F93" i="36"/>
  <c r="E93" i="36"/>
  <c r="H92" i="36"/>
  <c r="F92" i="36"/>
  <c r="E92" i="36"/>
  <c r="H91" i="36"/>
  <c r="I91" i="36" s="1"/>
  <c r="F91" i="36"/>
  <c r="E91" i="36"/>
  <c r="H90" i="36"/>
  <c r="I90" i="36" s="1"/>
  <c r="F90" i="36"/>
  <c r="E90" i="36"/>
  <c r="H89" i="36"/>
  <c r="F89" i="36"/>
  <c r="E89" i="36"/>
  <c r="H88" i="36"/>
  <c r="I88" i="36" s="1"/>
  <c r="F88" i="36"/>
  <c r="E88" i="36"/>
  <c r="H87" i="36"/>
  <c r="I87" i="36" s="1"/>
  <c r="J87" i="36" s="1"/>
  <c r="F87" i="36"/>
  <c r="E87" i="36"/>
  <c r="N86" i="36"/>
  <c r="H85" i="36"/>
  <c r="I85" i="36" s="1"/>
  <c r="F85" i="36"/>
  <c r="E85" i="36"/>
  <c r="H84" i="36"/>
  <c r="F84" i="36"/>
  <c r="E84" i="36"/>
  <c r="H83" i="36"/>
  <c r="I83" i="36" s="1"/>
  <c r="F83" i="36"/>
  <c r="E83" i="36"/>
  <c r="H82" i="36"/>
  <c r="I82" i="36" s="1"/>
  <c r="F82" i="36"/>
  <c r="E82" i="36"/>
  <c r="H81" i="36"/>
  <c r="I81" i="36" s="1"/>
  <c r="J81" i="36" s="1"/>
  <c r="F81" i="36"/>
  <c r="E81" i="36"/>
  <c r="H80" i="36"/>
  <c r="I80" i="36" s="1"/>
  <c r="F80" i="36"/>
  <c r="E80" i="36"/>
  <c r="H79" i="36"/>
  <c r="I79" i="36" s="1"/>
  <c r="F79" i="36"/>
  <c r="E79" i="36"/>
  <c r="H78" i="36"/>
  <c r="I78" i="36" s="1"/>
  <c r="F78" i="36"/>
  <c r="E78" i="36"/>
  <c r="H77" i="36"/>
  <c r="I77" i="36" s="1"/>
  <c r="J77" i="36" s="1"/>
  <c r="F77" i="36"/>
  <c r="E77" i="36"/>
  <c r="H76" i="36"/>
  <c r="F76" i="36"/>
  <c r="E76" i="36"/>
  <c r="H75" i="36"/>
  <c r="I75" i="36" s="1"/>
  <c r="AP75" i="36" s="1"/>
  <c r="F75" i="36"/>
  <c r="E75" i="36"/>
  <c r="H74" i="36"/>
  <c r="I74" i="36" s="1"/>
  <c r="F74" i="36"/>
  <c r="E74" i="36"/>
  <c r="H73" i="36"/>
  <c r="F73" i="36"/>
  <c r="E73" i="36"/>
  <c r="H72" i="36"/>
  <c r="I72" i="36" s="1"/>
  <c r="F72" i="36"/>
  <c r="E72" i="36"/>
  <c r="H71" i="36"/>
  <c r="I71" i="36" s="1"/>
  <c r="AP71" i="36" s="1"/>
  <c r="F71" i="36"/>
  <c r="E71" i="36"/>
  <c r="H70" i="36"/>
  <c r="I70" i="36" s="1"/>
  <c r="F70" i="36"/>
  <c r="E70" i="36"/>
  <c r="H69" i="36"/>
  <c r="I69" i="36" s="1"/>
  <c r="F69" i="36"/>
  <c r="E69" i="36"/>
  <c r="N68" i="36"/>
  <c r="H67" i="36"/>
  <c r="F67" i="36"/>
  <c r="E67" i="36"/>
  <c r="H66" i="36"/>
  <c r="I66" i="36" s="1"/>
  <c r="N66" i="36" s="1"/>
  <c r="F66" i="36"/>
  <c r="E66" i="36"/>
  <c r="H65" i="36"/>
  <c r="I65" i="36" s="1"/>
  <c r="F65" i="36"/>
  <c r="E65" i="36"/>
  <c r="H64" i="36"/>
  <c r="F64" i="36"/>
  <c r="E64" i="36"/>
  <c r="H63" i="36"/>
  <c r="I63" i="36" s="1"/>
  <c r="F63" i="36"/>
  <c r="E63" i="36"/>
  <c r="H62" i="36"/>
  <c r="I62" i="36" s="1"/>
  <c r="F62" i="36"/>
  <c r="E62" i="36"/>
  <c r="H61" i="36"/>
  <c r="I61" i="36" s="1"/>
  <c r="AP61" i="36" s="1"/>
  <c r="F61" i="36"/>
  <c r="E61" i="36"/>
  <c r="H60" i="36"/>
  <c r="F60" i="36"/>
  <c r="E60" i="36"/>
  <c r="H59" i="36"/>
  <c r="I59" i="36" s="1"/>
  <c r="F59" i="36"/>
  <c r="E59" i="36"/>
  <c r="H58" i="36"/>
  <c r="I58" i="36" s="1"/>
  <c r="F58" i="36"/>
  <c r="E58" i="36"/>
  <c r="H57" i="36"/>
  <c r="F57" i="36"/>
  <c r="E57" i="36"/>
  <c r="H56" i="36"/>
  <c r="F56" i="36"/>
  <c r="E56" i="36"/>
  <c r="H55" i="36"/>
  <c r="I55" i="36" s="1"/>
  <c r="F55" i="36"/>
  <c r="E55" i="36"/>
  <c r="H54" i="36"/>
  <c r="I54" i="36" s="1"/>
  <c r="F54" i="36"/>
  <c r="E54" i="36"/>
  <c r="H53" i="36"/>
  <c r="I53" i="36" s="1"/>
  <c r="F53" i="36"/>
  <c r="E53" i="36"/>
  <c r="H52" i="36"/>
  <c r="F52" i="36"/>
  <c r="E52" i="36"/>
  <c r="H51" i="36"/>
  <c r="I51" i="36" s="1"/>
  <c r="F51" i="36"/>
  <c r="E51" i="36"/>
  <c r="H50" i="36"/>
  <c r="I50" i="36" s="1"/>
  <c r="AP50" i="36" s="1"/>
  <c r="F50" i="36"/>
  <c r="E50" i="36"/>
  <c r="H49" i="36"/>
  <c r="F49" i="36"/>
  <c r="E49" i="36"/>
  <c r="H48" i="36"/>
  <c r="F48" i="36"/>
  <c r="E48" i="36"/>
  <c r="H47" i="36"/>
  <c r="I47" i="36" s="1"/>
  <c r="F47" i="36"/>
  <c r="E47" i="36"/>
  <c r="H46" i="36"/>
  <c r="I46" i="36" s="1"/>
  <c r="F46" i="36"/>
  <c r="E46" i="36"/>
  <c r="H45" i="36"/>
  <c r="I45" i="36" s="1"/>
  <c r="AP45" i="36" s="1"/>
  <c r="F45" i="36"/>
  <c r="E45" i="36"/>
  <c r="H44" i="36"/>
  <c r="F44" i="36"/>
  <c r="E44" i="36"/>
  <c r="H43" i="36"/>
  <c r="I43" i="36" s="1"/>
  <c r="F43" i="36"/>
  <c r="E43" i="36"/>
  <c r="H42" i="36"/>
  <c r="I42" i="36" s="1"/>
  <c r="N42" i="36" s="1"/>
  <c r="F42" i="36"/>
  <c r="E42" i="36"/>
  <c r="H41" i="36"/>
  <c r="I41" i="36" s="1"/>
  <c r="F41" i="36"/>
  <c r="E41" i="36"/>
  <c r="H40" i="36"/>
  <c r="F40" i="36"/>
  <c r="E40" i="36"/>
  <c r="N39" i="36"/>
  <c r="H38" i="36"/>
  <c r="F38" i="36"/>
  <c r="E38" i="36"/>
  <c r="H35" i="36"/>
  <c r="I35" i="36" s="1"/>
  <c r="F35" i="36"/>
  <c r="E35" i="36"/>
  <c r="H34" i="36"/>
  <c r="I34" i="36" s="1"/>
  <c r="J34" i="36" s="1"/>
  <c r="F34" i="36"/>
  <c r="E34" i="36"/>
  <c r="H33" i="36"/>
  <c r="I33" i="36" s="1"/>
  <c r="F33" i="36"/>
  <c r="E33" i="36"/>
  <c r="H32" i="36"/>
  <c r="I32" i="36" s="1"/>
  <c r="AP32" i="36" s="1"/>
  <c r="F32" i="36"/>
  <c r="E32" i="36"/>
  <c r="H31" i="36"/>
  <c r="I31" i="36" s="1"/>
  <c r="AP31" i="36" s="1"/>
  <c r="F31" i="36"/>
  <c r="E31" i="36"/>
  <c r="H30" i="36"/>
  <c r="I30" i="36" s="1"/>
  <c r="F30" i="36"/>
  <c r="E30" i="36"/>
  <c r="H29" i="36"/>
  <c r="I29" i="36" s="1"/>
  <c r="AP29" i="36" s="1"/>
  <c r="F29" i="36"/>
  <c r="E29" i="36"/>
  <c r="H28" i="36"/>
  <c r="I28" i="36" s="1"/>
  <c r="AP28" i="36" s="1"/>
  <c r="F28" i="36"/>
  <c r="E28" i="36"/>
  <c r="H27" i="36"/>
  <c r="I27" i="36" s="1"/>
  <c r="AP27" i="36" s="1"/>
  <c r="F27" i="36"/>
  <c r="E27" i="36"/>
  <c r="H26" i="36"/>
  <c r="F26" i="36"/>
  <c r="E26" i="36"/>
  <c r="H25" i="36"/>
  <c r="I25" i="36" s="1"/>
  <c r="F25" i="36"/>
  <c r="E25" i="36"/>
  <c r="H24" i="36"/>
  <c r="I24" i="36"/>
  <c r="F24" i="36"/>
  <c r="E24" i="36"/>
  <c r="H23" i="36"/>
  <c r="F23" i="36"/>
  <c r="E23" i="36"/>
  <c r="H22" i="36"/>
  <c r="I22" i="36" s="1"/>
  <c r="F22" i="36"/>
  <c r="E22" i="36"/>
  <c r="H21" i="36"/>
  <c r="F21" i="36"/>
  <c r="E21" i="36"/>
  <c r="H20" i="36"/>
  <c r="I20" i="36" s="1"/>
  <c r="F20" i="36"/>
  <c r="E20" i="36"/>
  <c r="H19" i="36"/>
  <c r="I19" i="36" s="1"/>
  <c r="F19" i="36"/>
  <c r="E19" i="36"/>
  <c r="H18" i="36"/>
  <c r="I18" i="36" s="1"/>
  <c r="F18" i="36"/>
  <c r="E18" i="36"/>
  <c r="H17" i="36"/>
  <c r="I17" i="36" s="1"/>
  <c r="AP17" i="36" s="1"/>
  <c r="F17" i="36"/>
  <c r="E17" i="36"/>
  <c r="I56" i="36"/>
  <c r="I98" i="36"/>
  <c r="N98" i="36" s="1"/>
  <c r="J115" i="36"/>
  <c r="AP123" i="36"/>
  <c r="I161" i="36"/>
  <c r="AP161" i="36" s="1"/>
  <c r="I23" i="36"/>
  <c r="AP23" i="36" s="1"/>
  <c r="I48" i="36"/>
  <c r="I84" i="36"/>
  <c r="N84" i="36" s="1"/>
  <c r="I114" i="36"/>
  <c r="J114" i="36" s="1"/>
  <c r="N122" i="36"/>
  <c r="I170" i="36"/>
  <c r="AP170" i="36"/>
  <c r="AP77" i="36"/>
  <c r="I120" i="36"/>
  <c r="I174" i="36"/>
  <c r="AP174" i="36"/>
  <c r="I118" i="36"/>
  <c r="I126" i="36"/>
  <c r="I67" i="36"/>
  <c r="AP67" i="36" s="1"/>
  <c r="I97" i="36"/>
  <c r="I121" i="36"/>
  <c r="AP121" i="36" s="1"/>
  <c r="I143" i="36"/>
  <c r="N143" i="36" s="1"/>
  <c r="I49" i="36"/>
  <c r="AP49" i="36" s="1"/>
  <c r="I57" i="36"/>
  <c r="I92" i="36"/>
  <c r="N92" i="36" s="1"/>
  <c r="J100" i="36"/>
  <c r="I108" i="36"/>
  <c r="N108" i="36" s="1"/>
  <c r="I119" i="36"/>
  <c r="I127" i="36"/>
  <c r="I131" i="36"/>
  <c r="I36" i="36"/>
  <c r="AP36" i="36" s="1"/>
  <c r="AP18" i="36"/>
  <c r="AP122" i="36"/>
  <c r="AP66" i="36"/>
  <c r="N116" i="36"/>
  <c r="AP69" i="36"/>
  <c r="AP118" i="36"/>
  <c r="J122" i="36"/>
  <c r="N3" i="38"/>
  <c r="AX3" i="38"/>
  <c r="AV3" i="38"/>
  <c r="AT3" i="38"/>
  <c r="AR3" i="38"/>
  <c r="AP3" i="38"/>
  <c r="AN3" i="38"/>
  <c r="AL3" i="38"/>
  <c r="AJ3" i="38"/>
  <c r="AH3" i="38"/>
  <c r="AF3" i="38"/>
  <c r="AB3" i="38"/>
  <c r="Z3" i="38"/>
  <c r="X3" i="38"/>
  <c r="V3" i="38"/>
  <c r="T3" i="38"/>
  <c r="R3" i="38"/>
  <c r="P3" i="38"/>
  <c r="L3" i="38"/>
  <c r="J3" i="38"/>
  <c r="H3" i="38"/>
  <c r="F3" i="38"/>
  <c r="D3" i="38"/>
  <c r="N57" i="36"/>
  <c r="N72" i="36"/>
  <c r="N131" i="36"/>
  <c r="N90" i="36"/>
  <c r="J153" i="36"/>
  <c r="N170" i="36"/>
  <c r="J105" i="36"/>
  <c r="I141" i="36"/>
  <c r="J141" i="36" s="1"/>
  <c r="I177" i="36"/>
  <c r="I5" i="22"/>
  <c r="J5" i="22" s="1"/>
  <c r="I4" i="22"/>
  <c r="J4" i="22" s="1"/>
  <c r="O184" i="20"/>
  <c r="O184" i="21"/>
  <c r="M184" i="21"/>
  <c r="W184" i="18"/>
  <c r="Q184" i="18"/>
  <c r="O184" i="18"/>
  <c r="M184" i="18"/>
  <c r="BO184" i="17"/>
  <c r="AY184" i="17"/>
  <c r="AG184" i="16"/>
  <c r="AC184" i="16"/>
  <c r="AA184" i="16"/>
  <c r="W184" i="16"/>
  <c r="U184" i="16"/>
  <c r="M184" i="16"/>
  <c r="AA184" i="11"/>
  <c r="W184" i="11"/>
  <c r="U184" i="11"/>
  <c r="S184" i="11"/>
  <c r="O184" i="11"/>
  <c r="O12" i="20"/>
  <c r="O11" i="20"/>
  <c r="O10" i="20"/>
  <c r="O9" i="20"/>
  <c r="O12" i="21"/>
  <c r="O11" i="21"/>
  <c r="O10" i="21"/>
  <c r="O9" i="21"/>
  <c r="M12" i="21"/>
  <c r="M11" i="21"/>
  <c r="M10" i="21"/>
  <c r="M9" i="21"/>
  <c r="W10" i="18"/>
  <c r="W9" i="18"/>
  <c r="T98" i="25"/>
  <c r="S98" i="25"/>
  <c r="T94" i="25"/>
  <c r="S94" i="25"/>
  <c r="T93" i="25"/>
  <c r="S93" i="25"/>
  <c r="T97" i="25"/>
  <c r="S97" i="25"/>
  <c r="T96" i="25"/>
  <c r="S96" i="25"/>
  <c r="T95" i="25"/>
  <c r="S95" i="25"/>
  <c r="T92" i="25"/>
  <c r="S92" i="25"/>
  <c r="T91" i="25"/>
  <c r="S91" i="25"/>
  <c r="T90" i="25"/>
  <c r="S90" i="25"/>
  <c r="T76" i="25"/>
  <c r="S76" i="25"/>
  <c r="T87" i="25"/>
  <c r="S87" i="25"/>
  <c r="T88" i="25"/>
  <c r="S88" i="25"/>
  <c r="T81" i="25"/>
  <c r="S81" i="25"/>
  <c r="T85" i="25"/>
  <c r="S85" i="25"/>
  <c r="T86" i="25"/>
  <c r="S86" i="25"/>
  <c r="T89" i="25"/>
  <c r="S89" i="25"/>
  <c r="T84" i="25"/>
  <c r="S84" i="25"/>
  <c r="T83" i="25"/>
  <c r="S83" i="25"/>
  <c r="T82" i="25"/>
  <c r="S82" i="25"/>
  <c r="T80" i="25"/>
  <c r="S80" i="25"/>
  <c r="T79" i="25"/>
  <c r="S79" i="25"/>
  <c r="T78" i="25"/>
  <c r="S78" i="25"/>
  <c r="T77" i="25"/>
  <c r="S77" i="25"/>
  <c r="T74" i="25"/>
  <c r="S74" i="25"/>
  <c r="T75" i="25"/>
  <c r="S75" i="25"/>
  <c r="T68" i="25"/>
  <c r="S68" i="25"/>
  <c r="T73" i="25"/>
  <c r="S73" i="25"/>
  <c r="T72" i="25"/>
  <c r="S72" i="25"/>
  <c r="T69" i="25"/>
  <c r="S69" i="25"/>
  <c r="T70" i="25"/>
  <c r="S70" i="25"/>
  <c r="T71" i="25"/>
  <c r="S71" i="25"/>
  <c r="T67" i="25"/>
  <c r="S67" i="25"/>
  <c r="T66" i="25"/>
  <c r="S66" i="25"/>
  <c r="T64" i="25"/>
  <c r="S64" i="25"/>
  <c r="T65" i="25"/>
  <c r="S65" i="25"/>
  <c r="T46" i="25"/>
  <c r="S46" i="25"/>
  <c r="T48" i="25"/>
  <c r="S48" i="25"/>
  <c r="T53" i="25"/>
  <c r="S53" i="25"/>
  <c r="T55" i="25"/>
  <c r="S55" i="25"/>
  <c r="T57" i="25"/>
  <c r="S57" i="25"/>
  <c r="T60" i="25"/>
  <c r="S60" i="25"/>
  <c r="T62" i="25"/>
  <c r="S62" i="25"/>
  <c r="T56" i="25"/>
  <c r="S56" i="25"/>
  <c r="T63" i="25"/>
  <c r="S63" i="25"/>
  <c r="T47" i="25"/>
  <c r="S47" i="25"/>
  <c r="T50" i="25"/>
  <c r="S50" i="25"/>
  <c r="T52" i="25"/>
  <c r="S52" i="25"/>
  <c r="T61" i="25"/>
  <c r="S61" i="25"/>
  <c r="T59" i="25"/>
  <c r="S59" i="25"/>
  <c r="T58" i="25"/>
  <c r="S58" i="25"/>
  <c r="T54" i="25"/>
  <c r="S54" i="25"/>
  <c r="T51" i="25"/>
  <c r="S51" i="25"/>
  <c r="T49" i="25"/>
  <c r="S49" i="25"/>
  <c r="T44" i="25"/>
  <c r="S44" i="25"/>
  <c r="T41" i="25"/>
  <c r="S41" i="25"/>
  <c r="T36" i="25"/>
  <c r="S36" i="25"/>
  <c r="T37" i="25"/>
  <c r="S37" i="25"/>
  <c r="T38" i="25"/>
  <c r="S38" i="25"/>
  <c r="T39" i="25"/>
  <c r="S39" i="25"/>
  <c r="T40" i="25"/>
  <c r="S40" i="25"/>
  <c r="T43" i="25"/>
  <c r="S43" i="25"/>
  <c r="T42" i="25"/>
  <c r="S42" i="25"/>
  <c r="T45" i="25"/>
  <c r="S45" i="25"/>
  <c r="T29" i="25"/>
  <c r="S29" i="25"/>
  <c r="T30" i="25"/>
  <c r="S30" i="25"/>
  <c r="T32" i="25"/>
  <c r="S32" i="25"/>
  <c r="T35" i="25"/>
  <c r="S35" i="25"/>
  <c r="T31" i="25"/>
  <c r="S31" i="25"/>
  <c r="T34" i="25"/>
  <c r="S34" i="25"/>
  <c r="T33" i="25"/>
  <c r="S33" i="25"/>
  <c r="T28" i="25"/>
  <c r="S28" i="25"/>
  <c r="T27" i="25"/>
  <c r="S27" i="25"/>
  <c r="T19" i="25"/>
  <c r="S19" i="25"/>
  <c r="T21" i="25"/>
  <c r="S21" i="25"/>
  <c r="T26" i="25"/>
  <c r="S26" i="25"/>
  <c r="T20" i="25"/>
  <c r="S20" i="25"/>
  <c r="T22" i="25"/>
  <c r="S22" i="25"/>
  <c r="T23" i="25"/>
  <c r="S23" i="25"/>
  <c r="T25" i="25"/>
  <c r="S25" i="25"/>
  <c r="T24" i="25"/>
  <c r="S24" i="25"/>
  <c r="T17" i="25"/>
  <c r="S17" i="25"/>
  <c r="T16" i="25"/>
  <c r="S16" i="25"/>
  <c r="T18" i="25"/>
  <c r="S18" i="25"/>
  <c r="T11" i="25"/>
  <c r="S11" i="25"/>
  <c r="T12" i="25"/>
  <c r="S12" i="25"/>
  <c r="T13" i="25"/>
  <c r="S13" i="25"/>
  <c r="T15" i="25"/>
  <c r="S15" i="25"/>
  <c r="T10" i="25"/>
  <c r="S10" i="25"/>
  <c r="T14" i="25"/>
  <c r="S14" i="25"/>
  <c r="T9" i="25"/>
  <c r="S9" i="25"/>
  <c r="T6" i="25"/>
  <c r="S6" i="25"/>
  <c r="T7" i="25"/>
  <c r="S7" i="25"/>
  <c r="T8" i="25"/>
  <c r="S8" i="25"/>
  <c r="T5" i="25"/>
  <c r="S5" i="25"/>
  <c r="T4" i="25"/>
  <c r="S4" i="25"/>
  <c r="T3" i="25"/>
  <c r="S3" i="25"/>
  <c r="N77" i="36"/>
  <c r="N74" i="36"/>
  <c r="N118" i="36"/>
  <c r="N101" i="36"/>
  <c r="J88" i="36"/>
  <c r="J75" i="36"/>
  <c r="J167" i="36"/>
  <c r="AP30" i="36"/>
  <c r="N169" i="36"/>
  <c r="N167" i="36"/>
  <c r="J155" i="36"/>
  <c r="J147" i="36"/>
  <c r="N141" i="36"/>
  <c r="GJ3" i="28"/>
  <c r="GH3" i="28"/>
  <c r="GF3" i="28"/>
  <c r="GD3" i="28"/>
  <c r="GB3" i="28"/>
  <c r="FZ3" i="28"/>
  <c r="FX3" i="28"/>
  <c r="FV3" i="28"/>
  <c r="FT3" i="28"/>
  <c r="FR3" i="28"/>
  <c r="FP3" i="28"/>
  <c r="FN3" i="28"/>
  <c r="FL3" i="28"/>
  <c r="FJ3" i="28"/>
  <c r="FH3" i="28"/>
  <c r="FF3" i="28"/>
  <c r="FD3" i="28"/>
  <c r="FB3" i="28"/>
  <c r="EZ3" i="28"/>
  <c r="EX3" i="28"/>
  <c r="EV3" i="28"/>
  <c r="ET3" i="28"/>
  <c r="ER3" i="28"/>
  <c r="EP3" i="28"/>
  <c r="EN3" i="28"/>
  <c r="EL3" i="28"/>
  <c r="EJ3" i="28"/>
  <c r="EH3" i="28"/>
  <c r="EF3" i="28"/>
  <c r="P164" i="20"/>
  <c r="P129" i="20"/>
  <c r="P111" i="20"/>
  <c r="O186" i="20" s="1"/>
  <c r="ED3" i="28" s="1"/>
  <c r="P86" i="20"/>
  <c r="P68" i="20"/>
  <c r="P39" i="20"/>
  <c r="J192" i="21"/>
  <c r="H179" i="21"/>
  <c r="F179" i="21"/>
  <c r="E179" i="21"/>
  <c r="H178" i="21"/>
  <c r="F178" i="21"/>
  <c r="E178" i="21"/>
  <c r="H177" i="21"/>
  <c r="F177" i="21"/>
  <c r="E177" i="21"/>
  <c r="H176" i="21"/>
  <c r="F176" i="21"/>
  <c r="E176" i="21"/>
  <c r="H175" i="21"/>
  <c r="F175" i="21"/>
  <c r="E175" i="21"/>
  <c r="H174" i="21"/>
  <c r="F174" i="21"/>
  <c r="E174" i="21"/>
  <c r="H173" i="21"/>
  <c r="F173" i="21"/>
  <c r="E173" i="21"/>
  <c r="H172" i="21"/>
  <c r="F172" i="21"/>
  <c r="E172" i="21"/>
  <c r="H171" i="21"/>
  <c r="F171" i="21"/>
  <c r="E171" i="21"/>
  <c r="H170" i="21"/>
  <c r="F170" i="21"/>
  <c r="E170" i="21"/>
  <c r="H169" i="21"/>
  <c r="F169" i="21"/>
  <c r="E169" i="21"/>
  <c r="H168" i="21"/>
  <c r="F168" i="21"/>
  <c r="E168" i="21"/>
  <c r="H167" i="21"/>
  <c r="I167" i="21" s="1"/>
  <c r="N167" i="21" s="1"/>
  <c r="F167" i="21"/>
  <c r="E167" i="21"/>
  <c r="H166" i="21"/>
  <c r="F166" i="21"/>
  <c r="E166" i="21"/>
  <c r="H165" i="21"/>
  <c r="F165" i="21"/>
  <c r="E165" i="21"/>
  <c r="P164" i="21"/>
  <c r="N164" i="21"/>
  <c r="H163" i="21"/>
  <c r="I163" i="21" s="1"/>
  <c r="P163" i="21" s="1"/>
  <c r="F163" i="21"/>
  <c r="E163" i="21"/>
  <c r="H162" i="21"/>
  <c r="F162" i="21"/>
  <c r="E162" i="21"/>
  <c r="H161" i="21"/>
  <c r="F161" i="21"/>
  <c r="E161" i="21"/>
  <c r="H160" i="21"/>
  <c r="F160" i="21"/>
  <c r="E160" i="21"/>
  <c r="H159" i="21"/>
  <c r="F159" i="21"/>
  <c r="E159" i="21"/>
  <c r="H158" i="21"/>
  <c r="F158" i="21"/>
  <c r="E158" i="21"/>
  <c r="H157" i="21"/>
  <c r="F157" i="21"/>
  <c r="E157" i="21"/>
  <c r="H156" i="21"/>
  <c r="F156" i="21"/>
  <c r="E156" i="21"/>
  <c r="H155" i="21"/>
  <c r="F155" i="21"/>
  <c r="E155" i="21"/>
  <c r="H154" i="21"/>
  <c r="F154" i="21"/>
  <c r="E154" i="21"/>
  <c r="H153" i="21"/>
  <c r="F153" i="21"/>
  <c r="E153" i="21"/>
  <c r="H152" i="21"/>
  <c r="F152" i="21"/>
  <c r="E152" i="21"/>
  <c r="H151" i="21"/>
  <c r="F151" i="21"/>
  <c r="E151" i="21"/>
  <c r="H150" i="21"/>
  <c r="F150" i="21"/>
  <c r="E150" i="21"/>
  <c r="H149" i="21"/>
  <c r="F149" i="21"/>
  <c r="E149" i="21"/>
  <c r="H148" i="21"/>
  <c r="F148" i="21"/>
  <c r="E148" i="21"/>
  <c r="H147" i="21"/>
  <c r="F147" i="21"/>
  <c r="E147" i="21"/>
  <c r="H146" i="21"/>
  <c r="I146" i="21" s="1"/>
  <c r="F146" i="21"/>
  <c r="E146" i="21"/>
  <c r="H145" i="21"/>
  <c r="F145" i="21"/>
  <c r="E145" i="21"/>
  <c r="H144" i="21"/>
  <c r="F144" i="21"/>
  <c r="E144" i="21"/>
  <c r="H143" i="21"/>
  <c r="F143" i="21"/>
  <c r="E143" i="21"/>
  <c r="H142" i="21"/>
  <c r="F142" i="21"/>
  <c r="E142" i="21"/>
  <c r="H141" i="21"/>
  <c r="I141" i="21" s="1"/>
  <c r="J141" i="21" s="1"/>
  <c r="F141" i="21"/>
  <c r="E141" i="21"/>
  <c r="H140" i="21"/>
  <c r="F140" i="21"/>
  <c r="E140" i="21"/>
  <c r="H139" i="21"/>
  <c r="F139" i="21"/>
  <c r="E139" i="21"/>
  <c r="H138" i="21"/>
  <c r="F138" i="21"/>
  <c r="E138" i="21"/>
  <c r="H137" i="21"/>
  <c r="F137" i="21"/>
  <c r="E137" i="21"/>
  <c r="H136" i="21"/>
  <c r="F136" i="21"/>
  <c r="E136" i="21"/>
  <c r="H135" i="21"/>
  <c r="F135" i="21"/>
  <c r="E135" i="21"/>
  <c r="H134" i="21"/>
  <c r="F134" i="21"/>
  <c r="E134" i="21"/>
  <c r="H133" i="21"/>
  <c r="I133" i="21" s="1"/>
  <c r="P133" i="21" s="1"/>
  <c r="F133" i="21"/>
  <c r="E133" i="21"/>
  <c r="H132" i="21"/>
  <c r="F132" i="21"/>
  <c r="E132" i="21"/>
  <c r="H131" i="21"/>
  <c r="F131" i="21"/>
  <c r="E131" i="21"/>
  <c r="H130" i="21"/>
  <c r="F130" i="21"/>
  <c r="E130" i="21"/>
  <c r="P129" i="21"/>
  <c r="N129" i="21"/>
  <c r="H128" i="21"/>
  <c r="F128" i="21"/>
  <c r="E128" i="21"/>
  <c r="H127" i="21"/>
  <c r="I127" i="21" s="1"/>
  <c r="J127" i="21" s="1"/>
  <c r="F127" i="21"/>
  <c r="E127" i="21"/>
  <c r="H126" i="21"/>
  <c r="I126" i="21" s="1"/>
  <c r="F126" i="21"/>
  <c r="E126" i="21"/>
  <c r="H125" i="21"/>
  <c r="F125" i="21"/>
  <c r="E125" i="21"/>
  <c r="H124" i="21"/>
  <c r="F124" i="21"/>
  <c r="E124" i="21"/>
  <c r="H123" i="21"/>
  <c r="F123" i="21"/>
  <c r="E123" i="21"/>
  <c r="H122" i="21"/>
  <c r="F122" i="21"/>
  <c r="E122" i="21"/>
  <c r="H121" i="21"/>
  <c r="I121" i="21"/>
  <c r="J121" i="21" s="1"/>
  <c r="F121" i="21"/>
  <c r="E121" i="21"/>
  <c r="H120" i="21"/>
  <c r="F120" i="21"/>
  <c r="E120" i="21"/>
  <c r="H119" i="21"/>
  <c r="I119" i="21" s="1"/>
  <c r="F119" i="21"/>
  <c r="E119" i="21"/>
  <c r="H118" i="21"/>
  <c r="F118" i="21"/>
  <c r="E118" i="21"/>
  <c r="H117" i="21"/>
  <c r="I117" i="21" s="1"/>
  <c r="J117" i="21" s="1"/>
  <c r="F117" i="21"/>
  <c r="E117" i="21"/>
  <c r="H116" i="21"/>
  <c r="F116" i="21"/>
  <c r="E116" i="21"/>
  <c r="H115" i="21"/>
  <c r="I115" i="21"/>
  <c r="J115" i="21" s="1"/>
  <c r="F115" i="21"/>
  <c r="E115" i="21"/>
  <c r="H114" i="21"/>
  <c r="F114" i="21"/>
  <c r="E114" i="21"/>
  <c r="H113" i="21"/>
  <c r="F113" i="21"/>
  <c r="E113" i="21"/>
  <c r="H112" i="21"/>
  <c r="F112" i="21"/>
  <c r="E112" i="21"/>
  <c r="P111" i="21"/>
  <c r="N111" i="21"/>
  <c r="H110" i="21"/>
  <c r="I110" i="21" s="1"/>
  <c r="N110" i="21" s="1"/>
  <c r="F110" i="21"/>
  <c r="E110" i="21"/>
  <c r="H109" i="21"/>
  <c r="I109" i="21" s="1"/>
  <c r="F109" i="21"/>
  <c r="E109" i="21"/>
  <c r="H108" i="21"/>
  <c r="I108" i="21"/>
  <c r="F108" i="21"/>
  <c r="E108" i="21"/>
  <c r="H107" i="21"/>
  <c r="F107" i="21"/>
  <c r="E107" i="21"/>
  <c r="H106" i="21"/>
  <c r="F106" i="21"/>
  <c r="E106" i="21"/>
  <c r="H105" i="21"/>
  <c r="F105" i="21"/>
  <c r="E105" i="21"/>
  <c r="H104" i="21"/>
  <c r="F104" i="21"/>
  <c r="E104" i="21"/>
  <c r="H103" i="21"/>
  <c r="I103" i="21" s="1"/>
  <c r="P103" i="21" s="1"/>
  <c r="F103" i="21"/>
  <c r="E103" i="21"/>
  <c r="H102" i="21"/>
  <c r="F102" i="21"/>
  <c r="E102" i="21"/>
  <c r="H101" i="21"/>
  <c r="F101" i="21"/>
  <c r="E101" i="21"/>
  <c r="H100" i="21"/>
  <c r="F100" i="21"/>
  <c r="E100" i="21"/>
  <c r="H99" i="21"/>
  <c r="F99" i="21"/>
  <c r="E99" i="21"/>
  <c r="H98" i="21"/>
  <c r="F98" i="21"/>
  <c r="E98" i="21"/>
  <c r="H97" i="21"/>
  <c r="I97" i="21" s="1"/>
  <c r="N97" i="21" s="1"/>
  <c r="F97" i="21"/>
  <c r="E97" i="21"/>
  <c r="H96" i="21"/>
  <c r="F96" i="21"/>
  <c r="E96" i="21"/>
  <c r="H95" i="21"/>
  <c r="F95" i="21"/>
  <c r="E95" i="21"/>
  <c r="H94" i="21"/>
  <c r="F94" i="21"/>
  <c r="E94" i="21"/>
  <c r="H93" i="21"/>
  <c r="I93" i="21" s="1"/>
  <c r="F93" i="21"/>
  <c r="E93" i="21"/>
  <c r="H92" i="21"/>
  <c r="F92" i="21"/>
  <c r="E92" i="21"/>
  <c r="H91" i="21"/>
  <c r="F91" i="21"/>
  <c r="E91" i="21"/>
  <c r="H90" i="21"/>
  <c r="F90" i="21"/>
  <c r="E90" i="21"/>
  <c r="H89" i="21"/>
  <c r="F89" i="21"/>
  <c r="E89" i="21"/>
  <c r="H88" i="21"/>
  <c r="F88" i="21"/>
  <c r="E88" i="21"/>
  <c r="H87" i="21"/>
  <c r="F87" i="21"/>
  <c r="E87" i="21"/>
  <c r="P86" i="21"/>
  <c r="N86" i="21"/>
  <c r="H85" i="21"/>
  <c r="F85" i="21"/>
  <c r="E85" i="21"/>
  <c r="H84" i="21"/>
  <c r="F84" i="21"/>
  <c r="E84" i="21"/>
  <c r="H83" i="21"/>
  <c r="F83" i="21"/>
  <c r="E83" i="21"/>
  <c r="H82" i="21"/>
  <c r="F82" i="21"/>
  <c r="E82" i="21"/>
  <c r="H81" i="21"/>
  <c r="I81" i="21" s="1"/>
  <c r="F81" i="21"/>
  <c r="E81" i="21"/>
  <c r="H80" i="21"/>
  <c r="F80" i="21"/>
  <c r="E80" i="21"/>
  <c r="H79" i="21"/>
  <c r="F79" i="21"/>
  <c r="E79" i="21"/>
  <c r="H78" i="21"/>
  <c r="F78" i="21"/>
  <c r="E78" i="21"/>
  <c r="H77" i="21"/>
  <c r="F77" i="21"/>
  <c r="E77" i="21"/>
  <c r="H76" i="21"/>
  <c r="F76" i="21"/>
  <c r="E76" i="21"/>
  <c r="H75" i="21"/>
  <c r="F75" i="21"/>
  <c r="E75" i="21"/>
  <c r="H74" i="21"/>
  <c r="F74" i="21"/>
  <c r="E74" i="21"/>
  <c r="H73" i="21"/>
  <c r="F73" i="21"/>
  <c r="E73" i="21"/>
  <c r="H72" i="21"/>
  <c r="F72" i="21"/>
  <c r="E72" i="21"/>
  <c r="H71" i="21"/>
  <c r="F71" i="21"/>
  <c r="E71" i="21"/>
  <c r="H70" i="21"/>
  <c r="I70" i="21" s="1"/>
  <c r="P70" i="21" s="1"/>
  <c r="F70" i="21"/>
  <c r="E70" i="21"/>
  <c r="H69" i="21"/>
  <c r="F69" i="21"/>
  <c r="E69" i="21"/>
  <c r="P68" i="21"/>
  <c r="N68" i="21"/>
  <c r="H67" i="21"/>
  <c r="F67" i="21"/>
  <c r="E67" i="21"/>
  <c r="H66" i="21"/>
  <c r="F66" i="21"/>
  <c r="E66" i="21"/>
  <c r="H65" i="21"/>
  <c r="F65" i="21"/>
  <c r="E65" i="21"/>
  <c r="H64" i="21"/>
  <c r="F64" i="21"/>
  <c r="E64" i="21"/>
  <c r="H63" i="21"/>
  <c r="F63" i="21"/>
  <c r="E63" i="21"/>
  <c r="H62" i="21"/>
  <c r="F62" i="21"/>
  <c r="E62" i="21"/>
  <c r="H61" i="21"/>
  <c r="F61" i="21"/>
  <c r="E61" i="21"/>
  <c r="H60" i="21"/>
  <c r="F60" i="21"/>
  <c r="E60" i="21"/>
  <c r="H59" i="21"/>
  <c r="F59" i="21"/>
  <c r="E59" i="21"/>
  <c r="H58" i="21"/>
  <c r="I58" i="21" s="1"/>
  <c r="N58" i="21" s="1"/>
  <c r="F58" i="21"/>
  <c r="E58" i="21"/>
  <c r="H57" i="21"/>
  <c r="F57" i="21"/>
  <c r="E57" i="21"/>
  <c r="H56" i="21"/>
  <c r="F56" i="21"/>
  <c r="E56" i="21"/>
  <c r="H55" i="21"/>
  <c r="F55" i="21"/>
  <c r="E55" i="21"/>
  <c r="H54" i="21"/>
  <c r="I54" i="21" s="1"/>
  <c r="P54" i="21" s="1"/>
  <c r="F54" i="21"/>
  <c r="E54" i="21"/>
  <c r="H53" i="21"/>
  <c r="F53" i="21"/>
  <c r="E53" i="21"/>
  <c r="H52" i="21"/>
  <c r="F52" i="21"/>
  <c r="E52" i="21"/>
  <c r="H51" i="21"/>
  <c r="F51" i="21"/>
  <c r="E51" i="21"/>
  <c r="H50" i="21"/>
  <c r="F50" i="21"/>
  <c r="E50" i="21"/>
  <c r="H49" i="21"/>
  <c r="F49" i="21"/>
  <c r="E49" i="21"/>
  <c r="H48" i="21"/>
  <c r="F48" i="21"/>
  <c r="E48" i="21"/>
  <c r="H47" i="21"/>
  <c r="F47" i="21"/>
  <c r="E47" i="21"/>
  <c r="H46" i="21"/>
  <c r="F46" i="21"/>
  <c r="E46" i="21"/>
  <c r="H45" i="21"/>
  <c r="F45" i="21"/>
  <c r="E45" i="21"/>
  <c r="H44" i="21"/>
  <c r="F44" i="21"/>
  <c r="E44" i="21"/>
  <c r="H43" i="21"/>
  <c r="I43" i="21" s="1"/>
  <c r="F43" i="21"/>
  <c r="E43" i="21"/>
  <c r="H42" i="21"/>
  <c r="F42" i="21"/>
  <c r="E42" i="21"/>
  <c r="H41" i="21"/>
  <c r="F41" i="21"/>
  <c r="E41" i="21"/>
  <c r="H40" i="21"/>
  <c r="F40" i="21"/>
  <c r="E40" i="21"/>
  <c r="P39" i="21"/>
  <c r="N39" i="21"/>
  <c r="H38" i="21"/>
  <c r="I38" i="21"/>
  <c r="F38" i="21"/>
  <c r="E38" i="21"/>
  <c r="H35" i="21"/>
  <c r="F35" i="21"/>
  <c r="E35" i="21"/>
  <c r="H34" i="21"/>
  <c r="F34" i="21"/>
  <c r="E34" i="21"/>
  <c r="H33" i="21"/>
  <c r="I33" i="21" s="1"/>
  <c r="F33" i="21"/>
  <c r="E33" i="21"/>
  <c r="H32" i="21"/>
  <c r="F32" i="21"/>
  <c r="E32" i="21"/>
  <c r="H31" i="21"/>
  <c r="F31" i="21"/>
  <c r="E31" i="21"/>
  <c r="H30" i="21"/>
  <c r="F30" i="21"/>
  <c r="E30" i="21"/>
  <c r="H29" i="21"/>
  <c r="F29" i="21"/>
  <c r="E29" i="21"/>
  <c r="H28" i="21"/>
  <c r="I28" i="21" s="1"/>
  <c r="F28" i="21"/>
  <c r="E28" i="21"/>
  <c r="H27" i="21"/>
  <c r="F27" i="21"/>
  <c r="E27" i="21"/>
  <c r="H26" i="21"/>
  <c r="F26" i="21"/>
  <c r="E26" i="21"/>
  <c r="H25" i="21"/>
  <c r="I25" i="21" s="1"/>
  <c r="P25" i="21" s="1"/>
  <c r="F25" i="21"/>
  <c r="E25" i="21"/>
  <c r="H24" i="21"/>
  <c r="F24" i="21"/>
  <c r="E24" i="21"/>
  <c r="H23" i="21"/>
  <c r="I23" i="21" s="1"/>
  <c r="F23" i="21"/>
  <c r="E23" i="21"/>
  <c r="H22" i="21"/>
  <c r="F22" i="21"/>
  <c r="E22" i="21"/>
  <c r="H21" i="21"/>
  <c r="F21" i="21"/>
  <c r="E21" i="21"/>
  <c r="H20" i="21"/>
  <c r="F20" i="21"/>
  <c r="E20" i="21"/>
  <c r="H19" i="21"/>
  <c r="F19" i="21"/>
  <c r="E19" i="21"/>
  <c r="H18" i="21"/>
  <c r="F18" i="21"/>
  <c r="E18" i="21"/>
  <c r="H17" i="21"/>
  <c r="F17" i="21"/>
  <c r="E17" i="21"/>
  <c r="J192" i="20"/>
  <c r="H179" i="20"/>
  <c r="I179" i="20" s="1"/>
  <c r="J179" i="20" s="1"/>
  <c r="F179" i="20"/>
  <c r="E179" i="20"/>
  <c r="H178" i="20"/>
  <c r="F178" i="20"/>
  <c r="E178" i="20"/>
  <c r="H177" i="20"/>
  <c r="F177" i="20"/>
  <c r="E177" i="20"/>
  <c r="H176" i="20"/>
  <c r="F176" i="20"/>
  <c r="E176" i="20"/>
  <c r="H175" i="20"/>
  <c r="F175" i="20"/>
  <c r="E175" i="20"/>
  <c r="H174" i="20"/>
  <c r="F174" i="20"/>
  <c r="E174" i="20"/>
  <c r="H173" i="20"/>
  <c r="F173" i="20"/>
  <c r="E173" i="20"/>
  <c r="H172" i="20"/>
  <c r="F172" i="20"/>
  <c r="E172" i="20"/>
  <c r="H171" i="20"/>
  <c r="F171" i="20"/>
  <c r="E171" i="20"/>
  <c r="H170" i="20"/>
  <c r="I170" i="20"/>
  <c r="F170" i="20"/>
  <c r="E170" i="20"/>
  <c r="H169" i="20"/>
  <c r="I169" i="20" s="1"/>
  <c r="F169" i="20"/>
  <c r="E169" i="20"/>
  <c r="H168" i="20"/>
  <c r="F168" i="20"/>
  <c r="E168" i="20"/>
  <c r="H167" i="20"/>
  <c r="I167" i="20" s="1"/>
  <c r="F167" i="20"/>
  <c r="E167" i="20"/>
  <c r="H166" i="20"/>
  <c r="I166" i="20" s="1"/>
  <c r="P166" i="20" s="1"/>
  <c r="F166" i="20"/>
  <c r="E166" i="20"/>
  <c r="H165" i="20"/>
  <c r="F165" i="20"/>
  <c r="E165" i="20"/>
  <c r="H163" i="20"/>
  <c r="F163" i="20"/>
  <c r="E163" i="20"/>
  <c r="H162" i="20"/>
  <c r="I162" i="20" s="1"/>
  <c r="J162" i="20" s="1"/>
  <c r="F162" i="20"/>
  <c r="E162" i="20"/>
  <c r="H161" i="20"/>
  <c r="F161" i="20"/>
  <c r="E161" i="20"/>
  <c r="H160" i="20"/>
  <c r="F160" i="20"/>
  <c r="E160" i="20"/>
  <c r="H159" i="20"/>
  <c r="F159" i="20"/>
  <c r="E159" i="20"/>
  <c r="H158" i="20"/>
  <c r="F158" i="20"/>
  <c r="E158" i="20"/>
  <c r="H157" i="20"/>
  <c r="I157" i="20" s="1"/>
  <c r="P157" i="20" s="1"/>
  <c r="F157" i="20"/>
  <c r="E157" i="20"/>
  <c r="H156" i="20"/>
  <c r="I156" i="20" s="1"/>
  <c r="P156" i="20" s="1"/>
  <c r="F156" i="20"/>
  <c r="E156" i="20"/>
  <c r="H155" i="20"/>
  <c r="F155" i="20"/>
  <c r="E155" i="20"/>
  <c r="H154" i="20"/>
  <c r="F154" i="20"/>
  <c r="E154" i="20"/>
  <c r="H153" i="20"/>
  <c r="F153" i="20"/>
  <c r="E153" i="20"/>
  <c r="H152" i="20"/>
  <c r="F152" i="20"/>
  <c r="E152" i="20"/>
  <c r="H151" i="20"/>
  <c r="I151" i="20" s="1"/>
  <c r="P151" i="20" s="1"/>
  <c r="F151" i="20"/>
  <c r="E151" i="20"/>
  <c r="H150" i="20"/>
  <c r="I150" i="20"/>
  <c r="F150" i="20"/>
  <c r="E150" i="20"/>
  <c r="H149" i="20"/>
  <c r="F149" i="20"/>
  <c r="E149" i="20"/>
  <c r="H148" i="20"/>
  <c r="I148" i="20" s="1"/>
  <c r="F148" i="20"/>
  <c r="E148" i="20"/>
  <c r="H147" i="20"/>
  <c r="F147" i="20"/>
  <c r="E147" i="20"/>
  <c r="H146" i="20"/>
  <c r="I146" i="20" s="1"/>
  <c r="F146" i="20"/>
  <c r="E146" i="20"/>
  <c r="H145" i="20"/>
  <c r="F145" i="20"/>
  <c r="E145" i="20"/>
  <c r="H144" i="20"/>
  <c r="F144" i="20"/>
  <c r="E144" i="20"/>
  <c r="H143" i="20"/>
  <c r="F143" i="20"/>
  <c r="E143" i="20"/>
  <c r="H142" i="20"/>
  <c r="I142" i="20" s="1"/>
  <c r="P142" i="20" s="1"/>
  <c r="F142" i="20"/>
  <c r="E142" i="20"/>
  <c r="H141" i="20"/>
  <c r="F141" i="20"/>
  <c r="E141" i="20"/>
  <c r="H140" i="20"/>
  <c r="F140" i="20"/>
  <c r="E140" i="20"/>
  <c r="H139" i="20"/>
  <c r="F139" i="20"/>
  <c r="E139" i="20"/>
  <c r="H138" i="20"/>
  <c r="I138" i="20" s="1"/>
  <c r="J138" i="20" s="1"/>
  <c r="F138" i="20"/>
  <c r="E138" i="20"/>
  <c r="H137" i="20"/>
  <c r="F137" i="20"/>
  <c r="E137" i="20"/>
  <c r="H136" i="20"/>
  <c r="F136" i="20"/>
  <c r="E136" i="20"/>
  <c r="H135" i="20"/>
  <c r="F135" i="20"/>
  <c r="E135" i="20"/>
  <c r="H134" i="20"/>
  <c r="I134" i="20" s="1"/>
  <c r="P134" i="20" s="1"/>
  <c r="F134" i="20"/>
  <c r="E134" i="20"/>
  <c r="H133" i="20"/>
  <c r="F133" i="20"/>
  <c r="E133" i="20"/>
  <c r="H132" i="20"/>
  <c r="F132" i="20"/>
  <c r="E132" i="20"/>
  <c r="H131" i="20"/>
  <c r="F131" i="20"/>
  <c r="E131" i="20"/>
  <c r="H130" i="20"/>
  <c r="F130" i="20"/>
  <c r="E130" i="20"/>
  <c r="H128" i="20"/>
  <c r="F128" i="20"/>
  <c r="E128" i="20"/>
  <c r="H127" i="20"/>
  <c r="I127" i="20" s="1"/>
  <c r="J127" i="20" s="1"/>
  <c r="F127" i="20"/>
  <c r="E127" i="20"/>
  <c r="H126" i="20"/>
  <c r="F126" i="20"/>
  <c r="E126" i="20"/>
  <c r="H125" i="20"/>
  <c r="I125" i="20"/>
  <c r="J125" i="20" s="1"/>
  <c r="F125" i="20"/>
  <c r="E125" i="20"/>
  <c r="H124" i="20"/>
  <c r="I124" i="20" s="1"/>
  <c r="J124" i="20" s="1"/>
  <c r="F124" i="20"/>
  <c r="E124" i="20"/>
  <c r="H123" i="20"/>
  <c r="F123" i="20"/>
  <c r="E123" i="20"/>
  <c r="H122" i="20"/>
  <c r="F122" i="20"/>
  <c r="E122" i="20"/>
  <c r="H121" i="20"/>
  <c r="F121" i="20"/>
  <c r="E121" i="20"/>
  <c r="H120" i="20"/>
  <c r="F120" i="20"/>
  <c r="E120" i="20"/>
  <c r="H119" i="20"/>
  <c r="F119" i="20"/>
  <c r="E119" i="20"/>
  <c r="H118" i="20"/>
  <c r="F118" i="20"/>
  <c r="E118" i="20"/>
  <c r="H117" i="20"/>
  <c r="I117" i="20" s="1"/>
  <c r="J117" i="20" s="1"/>
  <c r="F117" i="20"/>
  <c r="E117" i="20"/>
  <c r="H116" i="20"/>
  <c r="I116" i="20" s="1"/>
  <c r="J116" i="20" s="1"/>
  <c r="F116" i="20"/>
  <c r="E116" i="20"/>
  <c r="H115" i="20"/>
  <c r="I115" i="20" s="1"/>
  <c r="J115" i="20" s="1"/>
  <c r="F115" i="20"/>
  <c r="E115" i="20"/>
  <c r="H114" i="20"/>
  <c r="I114" i="20"/>
  <c r="J114" i="20" s="1"/>
  <c r="F114" i="20"/>
  <c r="E114" i="20"/>
  <c r="H113" i="20"/>
  <c r="I113" i="20" s="1"/>
  <c r="J113" i="20" s="1"/>
  <c r="F113" i="20"/>
  <c r="E113" i="20"/>
  <c r="H112" i="20"/>
  <c r="I112" i="20" s="1"/>
  <c r="J112" i="20" s="1"/>
  <c r="F112" i="20"/>
  <c r="E112" i="20"/>
  <c r="EB3" i="28"/>
  <c r="H110" i="20"/>
  <c r="I110" i="20" s="1"/>
  <c r="F110" i="20"/>
  <c r="E110" i="20"/>
  <c r="H109" i="20"/>
  <c r="I109" i="20" s="1"/>
  <c r="F109" i="20"/>
  <c r="E109" i="20"/>
  <c r="H108" i="20"/>
  <c r="I108" i="20" s="1"/>
  <c r="F108" i="20"/>
  <c r="E108" i="20"/>
  <c r="H107" i="20"/>
  <c r="F107" i="20"/>
  <c r="E107" i="20"/>
  <c r="H106" i="20"/>
  <c r="F106" i="20"/>
  <c r="E106" i="20"/>
  <c r="H105" i="20"/>
  <c r="F105" i="20"/>
  <c r="E105" i="20"/>
  <c r="H104" i="20"/>
  <c r="I104" i="20" s="1"/>
  <c r="J104" i="20" s="1"/>
  <c r="F104" i="20"/>
  <c r="E104" i="20"/>
  <c r="H103" i="20"/>
  <c r="F103" i="20"/>
  <c r="E103" i="20"/>
  <c r="H102" i="20"/>
  <c r="F102" i="20"/>
  <c r="E102" i="20"/>
  <c r="H101" i="20"/>
  <c r="F101" i="20"/>
  <c r="E101" i="20"/>
  <c r="H100" i="20"/>
  <c r="I100" i="20"/>
  <c r="J100" i="20" s="1"/>
  <c r="F100" i="20"/>
  <c r="E100" i="20"/>
  <c r="H99" i="20"/>
  <c r="I99" i="20" s="1"/>
  <c r="F99" i="20"/>
  <c r="E99" i="20"/>
  <c r="H98" i="20"/>
  <c r="F98" i="20"/>
  <c r="E98" i="20"/>
  <c r="H97" i="20"/>
  <c r="I97" i="20" s="1"/>
  <c r="P97" i="20" s="1"/>
  <c r="F97" i="20"/>
  <c r="E97" i="20"/>
  <c r="H96" i="20"/>
  <c r="F96" i="20"/>
  <c r="E96" i="20"/>
  <c r="H95" i="20"/>
  <c r="F95" i="20"/>
  <c r="E95" i="20"/>
  <c r="H94" i="20"/>
  <c r="F94" i="20"/>
  <c r="E94" i="20"/>
  <c r="H93" i="20"/>
  <c r="I93" i="20" s="1"/>
  <c r="F93" i="20"/>
  <c r="E93" i="20"/>
  <c r="H92" i="20"/>
  <c r="F92" i="20"/>
  <c r="E92" i="20"/>
  <c r="H91" i="20"/>
  <c r="F91" i="20"/>
  <c r="E91" i="20"/>
  <c r="H90" i="20"/>
  <c r="F90" i="20"/>
  <c r="E90" i="20"/>
  <c r="H89" i="20"/>
  <c r="I89" i="20" s="1"/>
  <c r="J89" i="20" s="1"/>
  <c r="F89" i="20"/>
  <c r="E89" i="20"/>
  <c r="H88" i="20"/>
  <c r="F88" i="20"/>
  <c r="E88" i="20"/>
  <c r="H87" i="20"/>
  <c r="F87" i="20"/>
  <c r="E87" i="20"/>
  <c r="H85" i="20"/>
  <c r="F85" i="20"/>
  <c r="E85" i="20"/>
  <c r="H84" i="20"/>
  <c r="I84" i="20" s="1"/>
  <c r="F84" i="20"/>
  <c r="E84" i="20"/>
  <c r="H83" i="20"/>
  <c r="F83" i="20"/>
  <c r="E83" i="20"/>
  <c r="H82" i="20"/>
  <c r="F82" i="20"/>
  <c r="E82" i="20"/>
  <c r="H81" i="20"/>
  <c r="F81" i="20"/>
  <c r="E81" i="20"/>
  <c r="H80" i="20"/>
  <c r="I80" i="20" s="1"/>
  <c r="F80" i="20"/>
  <c r="E80" i="20"/>
  <c r="H79" i="20"/>
  <c r="I79" i="20" s="1"/>
  <c r="F79" i="20"/>
  <c r="E79" i="20"/>
  <c r="H78" i="20"/>
  <c r="I78" i="20" s="1"/>
  <c r="J78" i="20" s="1"/>
  <c r="F78" i="20"/>
  <c r="E78" i="20"/>
  <c r="H77" i="20"/>
  <c r="I77" i="20" s="1"/>
  <c r="F77" i="20"/>
  <c r="E77" i="20"/>
  <c r="H76" i="20"/>
  <c r="I76" i="20" s="1"/>
  <c r="F76" i="20"/>
  <c r="E76" i="20"/>
  <c r="H75" i="20"/>
  <c r="F75" i="20"/>
  <c r="E75" i="20"/>
  <c r="H74" i="20"/>
  <c r="I74" i="20" s="1"/>
  <c r="F74" i="20"/>
  <c r="E74" i="20"/>
  <c r="H73" i="20"/>
  <c r="I73" i="20" s="1"/>
  <c r="J73" i="20" s="1"/>
  <c r="F73" i="20"/>
  <c r="E73" i="20"/>
  <c r="H72" i="20"/>
  <c r="I72" i="20" s="1"/>
  <c r="J72" i="20" s="1"/>
  <c r="F72" i="20"/>
  <c r="E72" i="20"/>
  <c r="H71" i="20"/>
  <c r="F71" i="20"/>
  <c r="E71" i="20"/>
  <c r="H70" i="20"/>
  <c r="I70" i="20" s="1"/>
  <c r="P70" i="20" s="1"/>
  <c r="F70" i="20"/>
  <c r="E70" i="20"/>
  <c r="H69" i="20"/>
  <c r="I69" i="20" s="1"/>
  <c r="F69" i="20"/>
  <c r="E69" i="20"/>
  <c r="H67" i="20"/>
  <c r="F67" i="20"/>
  <c r="E67" i="20"/>
  <c r="H66" i="20"/>
  <c r="F66" i="20"/>
  <c r="E66" i="20"/>
  <c r="H65" i="20"/>
  <c r="F65" i="20"/>
  <c r="E65" i="20"/>
  <c r="H64" i="20"/>
  <c r="I64" i="20" s="1"/>
  <c r="P64" i="20" s="1"/>
  <c r="F64" i="20"/>
  <c r="E64" i="20"/>
  <c r="H63" i="20"/>
  <c r="I63" i="20" s="1"/>
  <c r="F63" i="20"/>
  <c r="E63" i="20"/>
  <c r="H62" i="20"/>
  <c r="F62" i="20"/>
  <c r="E62" i="20"/>
  <c r="H61" i="20"/>
  <c r="F61" i="20"/>
  <c r="E61" i="20"/>
  <c r="H60" i="20"/>
  <c r="F60" i="20"/>
  <c r="E60" i="20"/>
  <c r="H59" i="20"/>
  <c r="I59" i="20" s="1"/>
  <c r="P59" i="20" s="1"/>
  <c r="F59" i="20"/>
  <c r="E59" i="20"/>
  <c r="H58" i="20"/>
  <c r="I58" i="20"/>
  <c r="J58" i="20" s="1"/>
  <c r="F58" i="20"/>
  <c r="E58" i="20"/>
  <c r="H57" i="20"/>
  <c r="I57" i="20"/>
  <c r="J57" i="20" s="1"/>
  <c r="F57" i="20"/>
  <c r="E57" i="20"/>
  <c r="H56" i="20"/>
  <c r="I56" i="20"/>
  <c r="F56" i="20"/>
  <c r="E56" i="20"/>
  <c r="H55" i="20"/>
  <c r="I55" i="20"/>
  <c r="P55" i="20" s="1"/>
  <c r="F55" i="20"/>
  <c r="E55" i="20"/>
  <c r="H54" i="20"/>
  <c r="I54" i="20"/>
  <c r="F54" i="20"/>
  <c r="E54" i="20"/>
  <c r="H53" i="20"/>
  <c r="F53" i="20"/>
  <c r="E53" i="20"/>
  <c r="H52" i="20"/>
  <c r="I52" i="20"/>
  <c r="F52" i="20"/>
  <c r="E52" i="20"/>
  <c r="H51" i="20"/>
  <c r="F51" i="20"/>
  <c r="E51" i="20"/>
  <c r="H50" i="20"/>
  <c r="F50" i="20"/>
  <c r="E50" i="20"/>
  <c r="H49" i="20"/>
  <c r="I49" i="20" s="1"/>
  <c r="P49" i="20" s="1"/>
  <c r="F49" i="20"/>
  <c r="E49" i="20"/>
  <c r="H48" i="20"/>
  <c r="I48" i="20" s="1"/>
  <c r="F48" i="20"/>
  <c r="E48" i="20"/>
  <c r="H47" i="20"/>
  <c r="F47" i="20"/>
  <c r="E47" i="20"/>
  <c r="H46" i="20"/>
  <c r="I46" i="20"/>
  <c r="F46" i="20"/>
  <c r="E46" i="20"/>
  <c r="H45" i="20"/>
  <c r="F45" i="20"/>
  <c r="E45" i="20"/>
  <c r="H44" i="20"/>
  <c r="I44" i="20" s="1"/>
  <c r="P44" i="20" s="1"/>
  <c r="F44" i="20"/>
  <c r="E44" i="20"/>
  <c r="H43" i="20"/>
  <c r="I43" i="20" s="1"/>
  <c r="F43" i="20"/>
  <c r="E43" i="20"/>
  <c r="H42" i="20"/>
  <c r="I42" i="20" s="1"/>
  <c r="F42" i="20"/>
  <c r="E42" i="20"/>
  <c r="H41" i="20"/>
  <c r="F41" i="20"/>
  <c r="E41" i="20"/>
  <c r="H40" i="20"/>
  <c r="I40" i="20" s="1"/>
  <c r="P40" i="20" s="1"/>
  <c r="F40" i="20"/>
  <c r="E40" i="20"/>
  <c r="H38" i="20"/>
  <c r="I38" i="20" s="1"/>
  <c r="J38" i="20" s="1"/>
  <c r="F38" i="20"/>
  <c r="E38" i="20"/>
  <c r="H35" i="20"/>
  <c r="I35" i="20" s="1"/>
  <c r="F35" i="20"/>
  <c r="E35" i="20"/>
  <c r="H34" i="20"/>
  <c r="F34" i="20"/>
  <c r="E34" i="20"/>
  <c r="H33" i="20"/>
  <c r="F33" i="20"/>
  <c r="E33" i="20"/>
  <c r="H32" i="20"/>
  <c r="F32" i="20"/>
  <c r="E32" i="20"/>
  <c r="H31" i="20"/>
  <c r="I31" i="20" s="1"/>
  <c r="J31" i="20" s="1"/>
  <c r="F31" i="20"/>
  <c r="E31" i="20"/>
  <c r="H30" i="20"/>
  <c r="I30" i="20" s="1"/>
  <c r="P30" i="20" s="1"/>
  <c r="F30" i="20"/>
  <c r="E30" i="20"/>
  <c r="H29" i="20"/>
  <c r="F29" i="20"/>
  <c r="E29" i="20"/>
  <c r="H28" i="20"/>
  <c r="F28" i="20"/>
  <c r="E28" i="20"/>
  <c r="H27" i="20"/>
  <c r="I27" i="20" s="1"/>
  <c r="P27" i="20" s="1"/>
  <c r="F27" i="20"/>
  <c r="E27" i="20"/>
  <c r="H26" i="20"/>
  <c r="I26" i="20" s="1"/>
  <c r="F26" i="20"/>
  <c r="E26" i="20"/>
  <c r="H25" i="20"/>
  <c r="F25" i="20"/>
  <c r="E25" i="20"/>
  <c r="H24" i="20"/>
  <c r="F24" i="20"/>
  <c r="E24" i="20"/>
  <c r="H23" i="20"/>
  <c r="I23" i="20" s="1"/>
  <c r="J23" i="20" s="1"/>
  <c r="F23" i="20"/>
  <c r="E23" i="20"/>
  <c r="H22" i="20"/>
  <c r="I22" i="20" s="1"/>
  <c r="F22" i="20"/>
  <c r="E22" i="20"/>
  <c r="H21" i="20"/>
  <c r="I21" i="20" s="1"/>
  <c r="F21" i="20"/>
  <c r="E21" i="20"/>
  <c r="H20" i="20"/>
  <c r="I20" i="20" s="1"/>
  <c r="F20" i="20"/>
  <c r="E20" i="20"/>
  <c r="H19" i="20"/>
  <c r="I19" i="20" s="1"/>
  <c r="J19" i="20" s="1"/>
  <c r="F19" i="20"/>
  <c r="E19" i="20"/>
  <c r="H18" i="20"/>
  <c r="I18" i="20" s="1"/>
  <c r="F18" i="20"/>
  <c r="E18" i="20"/>
  <c r="H17" i="20"/>
  <c r="I17" i="20" s="1"/>
  <c r="F17" i="20"/>
  <c r="E17" i="20"/>
  <c r="W179" i="18"/>
  <c r="G179" i="18" s="1"/>
  <c r="X164" i="18"/>
  <c r="X129" i="18"/>
  <c r="X111" i="18"/>
  <c r="X86" i="18"/>
  <c r="X68" i="18"/>
  <c r="X39" i="18"/>
  <c r="Q186" i="18"/>
  <c r="DP3" i="28" s="1"/>
  <c r="O186" i="18"/>
  <c r="DN3" i="28" s="1"/>
  <c r="J192" i="18"/>
  <c r="H179" i="18"/>
  <c r="F179" i="18"/>
  <c r="E179" i="18"/>
  <c r="H178" i="18"/>
  <c r="F178" i="18"/>
  <c r="E178" i="18"/>
  <c r="H177" i="18"/>
  <c r="F177" i="18"/>
  <c r="E177" i="18"/>
  <c r="H176" i="18"/>
  <c r="F176" i="18"/>
  <c r="E176" i="18"/>
  <c r="H175" i="18"/>
  <c r="I175" i="18" s="1"/>
  <c r="J175" i="18" s="1"/>
  <c r="F175" i="18"/>
  <c r="E175" i="18"/>
  <c r="H174" i="18"/>
  <c r="F174" i="18"/>
  <c r="E174" i="18"/>
  <c r="H173" i="18"/>
  <c r="F173" i="18"/>
  <c r="E173" i="18"/>
  <c r="H172" i="18"/>
  <c r="F172" i="18"/>
  <c r="E172" i="18"/>
  <c r="H171" i="18"/>
  <c r="I171" i="18" s="1"/>
  <c r="X171" i="18" s="1"/>
  <c r="F171" i="18"/>
  <c r="E171" i="18"/>
  <c r="H170" i="18"/>
  <c r="F170" i="18"/>
  <c r="E170" i="18"/>
  <c r="H169" i="18"/>
  <c r="F169" i="18"/>
  <c r="E169" i="18"/>
  <c r="H168" i="18"/>
  <c r="F168" i="18"/>
  <c r="E168" i="18"/>
  <c r="H167" i="18"/>
  <c r="F167" i="18"/>
  <c r="E167" i="18"/>
  <c r="H166" i="18"/>
  <c r="F166" i="18"/>
  <c r="E166" i="18"/>
  <c r="H165" i="18"/>
  <c r="F165" i="18"/>
  <c r="E165" i="18"/>
  <c r="H163" i="18"/>
  <c r="F163" i="18"/>
  <c r="E163" i="18"/>
  <c r="H162" i="18"/>
  <c r="I162" i="18" s="1"/>
  <c r="F162" i="18"/>
  <c r="E162" i="18"/>
  <c r="H161" i="18"/>
  <c r="F161" i="18"/>
  <c r="E161" i="18"/>
  <c r="H160" i="18"/>
  <c r="F160" i="18"/>
  <c r="E160" i="18"/>
  <c r="H159" i="18"/>
  <c r="F159" i="18"/>
  <c r="E159" i="18"/>
  <c r="H158" i="18"/>
  <c r="F158" i="18"/>
  <c r="E158" i="18"/>
  <c r="H157" i="18"/>
  <c r="F157" i="18"/>
  <c r="E157" i="18"/>
  <c r="H156" i="18"/>
  <c r="F156" i="18"/>
  <c r="E156" i="18"/>
  <c r="H155" i="18"/>
  <c r="F155" i="18"/>
  <c r="E155" i="18"/>
  <c r="H154" i="18"/>
  <c r="F154" i="18"/>
  <c r="E154" i="18"/>
  <c r="H153" i="18"/>
  <c r="F153" i="18"/>
  <c r="E153" i="18"/>
  <c r="H152" i="18"/>
  <c r="F152" i="18"/>
  <c r="E152" i="18"/>
  <c r="H151" i="18"/>
  <c r="F151" i="18"/>
  <c r="E151" i="18"/>
  <c r="H150" i="18"/>
  <c r="F150" i="18"/>
  <c r="E150" i="18"/>
  <c r="H149" i="18"/>
  <c r="F149" i="18"/>
  <c r="E149" i="18"/>
  <c r="H148" i="18"/>
  <c r="F148" i="18"/>
  <c r="E148" i="18"/>
  <c r="H147" i="18"/>
  <c r="F147" i="18"/>
  <c r="E147" i="18"/>
  <c r="H146" i="18"/>
  <c r="I146" i="18" s="1"/>
  <c r="F146" i="18"/>
  <c r="E146" i="18"/>
  <c r="H145" i="18"/>
  <c r="F145" i="18"/>
  <c r="E145" i="18"/>
  <c r="H144" i="18"/>
  <c r="F144" i="18"/>
  <c r="E144" i="18"/>
  <c r="H143" i="18"/>
  <c r="F143" i="18"/>
  <c r="E143" i="18"/>
  <c r="H142" i="18"/>
  <c r="F142" i="18"/>
  <c r="E142" i="18"/>
  <c r="H141" i="18"/>
  <c r="F141" i="18"/>
  <c r="E141" i="18"/>
  <c r="H140" i="18"/>
  <c r="F140" i="18"/>
  <c r="E140" i="18"/>
  <c r="H139" i="18"/>
  <c r="F139" i="18"/>
  <c r="E139" i="18"/>
  <c r="H138" i="18"/>
  <c r="F138" i="18"/>
  <c r="E138" i="18"/>
  <c r="H137" i="18"/>
  <c r="F137" i="18"/>
  <c r="E137" i="18"/>
  <c r="H136" i="18"/>
  <c r="F136" i="18"/>
  <c r="E136" i="18"/>
  <c r="H135" i="18"/>
  <c r="F135" i="18"/>
  <c r="E135" i="18"/>
  <c r="H134" i="18"/>
  <c r="F134" i="18"/>
  <c r="E134" i="18"/>
  <c r="H133" i="18"/>
  <c r="F133" i="18"/>
  <c r="E133" i="18"/>
  <c r="H132" i="18"/>
  <c r="F132" i="18"/>
  <c r="E132" i="18"/>
  <c r="H131" i="18"/>
  <c r="F131" i="18"/>
  <c r="E131" i="18"/>
  <c r="H130" i="18"/>
  <c r="F130" i="18"/>
  <c r="E130" i="18"/>
  <c r="H128" i="18"/>
  <c r="F128" i="18"/>
  <c r="E128" i="18"/>
  <c r="H127" i="18"/>
  <c r="F127" i="18"/>
  <c r="E127" i="18"/>
  <c r="H126" i="18"/>
  <c r="F126" i="18"/>
  <c r="E126" i="18"/>
  <c r="H125" i="18"/>
  <c r="F125" i="18"/>
  <c r="E125" i="18"/>
  <c r="H124" i="18"/>
  <c r="F124" i="18"/>
  <c r="E124" i="18"/>
  <c r="H123" i="18"/>
  <c r="F123" i="18"/>
  <c r="E123" i="18"/>
  <c r="H122" i="18"/>
  <c r="F122" i="18"/>
  <c r="E122" i="18"/>
  <c r="H121" i="18"/>
  <c r="F121" i="18"/>
  <c r="E121" i="18"/>
  <c r="H120" i="18"/>
  <c r="F120" i="18"/>
  <c r="E120" i="18"/>
  <c r="H119" i="18"/>
  <c r="F119" i="18"/>
  <c r="E119" i="18"/>
  <c r="H118" i="18"/>
  <c r="F118" i="18"/>
  <c r="E118" i="18"/>
  <c r="H117" i="18"/>
  <c r="F117" i="18"/>
  <c r="E117" i="18"/>
  <c r="H116" i="18"/>
  <c r="F116" i="18"/>
  <c r="E116" i="18"/>
  <c r="H115" i="18"/>
  <c r="F115" i="18"/>
  <c r="E115" i="18"/>
  <c r="H114" i="18"/>
  <c r="F114" i="18"/>
  <c r="E114" i="18"/>
  <c r="H113" i="18"/>
  <c r="F113" i="18"/>
  <c r="E113" i="18"/>
  <c r="H112" i="18"/>
  <c r="F112" i="18"/>
  <c r="E112" i="18"/>
  <c r="M186" i="18"/>
  <c r="DL3" i="28" s="1"/>
  <c r="H110" i="18"/>
  <c r="F110" i="18"/>
  <c r="E110" i="18"/>
  <c r="H109" i="18"/>
  <c r="F109" i="18"/>
  <c r="E109" i="18"/>
  <c r="H108" i="18"/>
  <c r="F108" i="18"/>
  <c r="E108" i="18"/>
  <c r="H107" i="18"/>
  <c r="F107" i="18"/>
  <c r="E107" i="18"/>
  <c r="H106" i="18"/>
  <c r="F106" i="18"/>
  <c r="E106" i="18"/>
  <c r="H105" i="18"/>
  <c r="F105" i="18"/>
  <c r="E105" i="18"/>
  <c r="H104" i="18"/>
  <c r="F104" i="18"/>
  <c r="E104" i="18"/>
  <c r="H103" i="18"/>
  <c r="F103" i="18"/>
  <c r="E103" i="18"/>
  <c r="H102" i="18"/>
  <c r="F102" i="18"/>
  <c r="E102" i="18"/>
  <c r="H101" i="18"/>
  <c r="F101" i="18"/>
  <c r="E101" i="18"/>
  <c r="H100" i="18"/>
  <c r="F100" i="18"/>
  <c r="E100" i="18"/>
  <c r="H99" i="18"/>
  <c r="F99" i="18"/>
  <c r="E99" i="18"/>
  <c r="H98" i="18"/>
  <c r="F98" i="18"/>
  <c r="E98" i="18"/>
  <c r="H97" i="18"/>
  <c r="F97" i="18"/>
  <c r="E97" i="18"/>
  <c r="H96" i="18"/>
  <c r="F96" i="18"/>
  <c r="E96" i="18"/>
  <c r="H95" i="18"/>
  <c r="F95" i="18"/>
  <c r="E95" i="18"/>
  <c r="H94" i="18"/>
  <c r="F94" i="18"/>
  <c r="E94" i="18"/>
  <c r="H93" i="18"/>
  <c r="F93" i="18"/>
  <c r="E93" i="18"/>
  <c r="H92" i="18"/>
  <c r="F92" i="18"/>
  <c r="E92" i="18"/>
  <c r="H91" i="18"/>
  <c r="F91" i="18"/>
  <c r="E91" i="18"/>
  <c r="H90" i="18"/>
  <c r="F90" i="18"/>
  <c r="E90" i="18"/>
  <c r="H89" i="18"/>
  <c r="F89" i="18"/>
  <c r="E89" i="18"/>
  <c r="H88" i="18"/>
  <c r="F88" i="18"/>
  <c r="E88" i="18"/>
  <c r="H87" i="18"/>
  <c r="F87" i="18"/>
  <c r="E87" i="18"/>
  <c r="H85" i="18"/>
  <c r="F85" i="18"/>
  <c r="E85" i="18"/>
  <c r="H84" i="18"/>
  <c r="F84" i="18"/>
  <c r="E84" i="18"/>
  <c r="H83" i="18"/>
  <c r="F83" i="18"/>
  <c r="E83" i="18"/>
  <c r="H82" i="18"/>
  <c r="F82" i="18"/>
  <c r="E82" i="18"/>
  <c r="H81" i="18"/>
  <c r="F81" i="18"/>
  <c r="E81" i="18"/>
  <c r="H80" i="18"/>
  <c r="F80" i="18"/>
  <c r="E80" i="18"/>
  <c r="H79" i="18"/>
  <c r="F79" i="18"/>
  <c r="E79" i="18"/>
  <c r="H78" i="18"/>
  <c r="F78" i="18"/>
  <c r="E78" i="18"/>
  <c r="H77" i="18"/>
  <c r="F77" i="18"/>
  <c r="E77" i="18"/>
  <c r="H76" i="18"/>
  <c r="F76" i="18"/>
  <c r="E76" i="18"/>
  <c r="H75" i="18"/>
  <c r="F75" i="18"/>
  <c r="E75" i="18"/>
  <c r="H74" i="18"/>
  <c r="F74" i="18"/>
  <c r="E74" i="18"/>
  <c r="H73" i="18"/>
  <c r="F73" i="18"/>
  <c r="E73" i="18"/>
  <c r="H72" i="18"/>
  <c r="F72" i="18"/>
  <c r="E72" i="18"/>
  <c r="H71" i="18"/>
  <c r="F71" i="18"/>
  <c r="E71" i="18"/>
  <c r="H70" i="18"/>
  <c r="F70" i="18"/>
  <c r="E70" i="18"/>
  <c r="H69" i="18"/>
  <c r="F69" i="18"/>
  <c r="E69" i="18"/>
  <c r="H67" i="18"/>
  <c r="F67" i="18"/>
  <c r="E67" i="18"/>
  <c r="H66" i="18"/>
  <c r="F66" i="18"/>
  <c r="E66" i="18"/>
  <c r="H65" i="18"/>
  <c r="F65" i="18"/>
  <c r="E65" i="18"/>
  <c r="H64" i="18"/>
  <c r="F64" i="18"/>
  <c r="E64" i="18"/>
  <c r="H63" i="18"/>
  <c r="F63" i="18"/>
  <c r="E63" i="18"/>
  <c r="H62" i="18"/>
  <c r="F62" i="18"/>
  <c r="E62" i="18"/>
  <c r="H61" i="18"/>
  <c r="F61" i="18"/>
  <c r="E61" i="18"/>
  <c r="H60" i="18"/>
  <c r="F60" i="18"/>
  <c r="E60" i="18"/>
  <c r="H59" i="18"/>
  <c r="F59" i="18"/>
  <c r="E59" i="18"/>
  <c r="H58" i="18"/>
  <c r="F58" i="18"/>
  <c r="E58" i="18"/>
  <c r="H57" i="18"/>
  <c r="F57" i="18"/>
  <c r="E57" i="18"/>
  <c r="H56" i="18"/>
  <c r="F56" i="18"/>
  <c r="E56" i="18"/>
  <c r="H55" i="18"/>
  <c r="F55" i="18"/>
  <c r="E55" i="18"/>
  <c r="H54" i="18"/>
  <c r="F54" i="18"/>
  <c r="E54" i="18"/>
  <c r="H53" i="18"/>
  <c r="F53" i="18"/>
  <c r="E53" i="18"/>
  <c r="H52" i="18"/>
  <c r="F52" i="18"/>
  <c r="E52" i="18"/>
  <c r="H51" i="18"/>
  <c r="F51" i="18"/>
  <c r="E51" i="18"/>
  <c r="H50" i="18"/>
  <c r="F50" i="18"/>
  <c r="E50" i="18"/>
  <c r="H49" i="18"/>
  <c r="F49" i="18"/>
  <c r="E49" i="18"/>
  <c r="H48" i="18"/>
  <c r="F48" i="18"/>
  <c r="E48" i="18"/>
  <c r="H47" i="18"/>
  <c r="F47" i="18"/>
  <c r="E47" i="18"/>
  <c r="H46" i="18"/>
  <c r="F46" i="18"/>
  <c r="E46" i="18"/>
  <c r="H45" i="18"/>
  <c r="F45" i="18"/>
  <c r="E45" i="18"/>
  <c r="H44" i="18"/>
  <c r="F44" i="18"/>
  <c r="E44" i="18"/>
  <c r="H43" i="18"/>
  <c r="F43" i="18"/>
  <c r="E43" i="18"/>
  <c r="H42" i="18"/>
  <c r="F42" i="18"/>
  <c r="E42" i="18"/>
  <c r="H41" i="18"/>
  <c r="F41" i="18"/>
  <c r="E41" i="18"/>
  <c r="H40" i="18"/>
  <c r="F40" i="18"/>
  <c r="E40" i="18"/>
  <c r="H38" i="18"/>
  <c r="F38" i="18"/>
  <c r="E38" i="18"/>
  <c r="H35" i="18"/>
  <c r="F35" i="18"/>
  <c r="E35" i="18"/>
  <c r="H34" i="18"/>
  <c r="F34" i="18"/>
  <c r="E34" i="18"/>
  <c r="H33" i="18"/>
  <c r="F33" i="18"/>
  <c r="E33" i="18"/>
  <c r="H32" i="18"/>
  <c r="F32" i="18"/>
  <c r="E32" i="18"/>
  <c r="H31" i="18"/>
  <c r="F31" i="18"/>
  <c r="E31" i="18"/>
  <c r="H30" i="18"/>
  <c r="F30" i="18"/>
  <c r="E30" i="18"/>
  <c r="H29" i="18"/>
  <c r="F29" i="18"/>
  <c r="E29" i="18"/>
  <c r="H28" i="18"/>
  <c r="F28" i="18"/>
  <c r="E28" i="18"/>
  <c r="H27" i="18"/>
  <c r="F27" i="18"/>
  <c r="E27" i="18"/>
  <c r="H26" i="18"/>
  <c r="F26" i="18"/>
  <c r="E26" i="18"/>
  <c r="H25" i="18"/>
  <c r="F25" i="18"/>
  <c r="E25" i="18"/>
  <c r="H24" i="18"/>
  <c r="F24" i="18"/>
  <c r="E24" i="18"/>
  <c r="H23" i="18"/>
  <c r="F23" i="18"/>
  <c r="E23" i="18"/>
  <c r="H22" i="18"/>
  <c r="F22" i="18"/>
  <c r="E22" i="18"/>
  <c r="H21" i="18"/>
  <c r="F21" i="18"/>
  <c r="E21" i="18"/>
  <c r="H20" i="18"/>
  <c r="F20" i="18"/>
  <c r="E20" i="18"/>
  <c r="H19" i="18"/>
  <c r="F19" i="18"/>
  <c r="E19" i="18"/>
  <c r="H18" i="18"/>
  <c r="F18" i="18"/>
  <c r="E18" i="18"/>
  <c r="H17" i="18"/>
  <c r="F17" i="18"/>
  <c r="E17" i="18"/>
  <c r="DJ3" i="28"/>
  <c r="DH3" i="28"/>
  <c r="DF3" i="28"/>
  <c r="DD3" i="28"/>
  <c r="DB3" i="28"/>
  <c r="CZ3" i="28"/>
  <c r="CX3" i="28"/>
  <c r="CV3" i="28"/>
  <c r="BP164" i="17"/>
  <c r="BP129" i="17"/>
  <c r="BP111" i="17"/>
  <c r="BO186" i="17" s="1"/>
  <c r="CT3" i="28" s="1"/>
  <c r="BP86" i="17"/>
  <c r="BP68" i="17"/>
  <c r="BP39" i="17"/>
  <c r="CR3" i="28"/>
  <c r="CP3" i="28"/>
  <c r="CN3" i="28"/>
  <c r="CL3" i="28"/>
  <c r="CJ3" i="28"/>
  <c r="CH3" i="28"/>
  <c r="CF3" i="28"/>
  <c r="AZ164" i="17"/>
  <c r="AZ129" i="17"/>
  <c r="AZ111" i="17"/>
  <c r="AY186" i="17" s="1"/>
  <c r="CD3" i="28" s="1"/>
  <c r="AZ86" i="17"/>
  <c r="AZ68" i="17"/>
  <c r="AZ39" i="17"/>
  <c r="CB3" i="28"/>
  <c r="BZ3" i="28"/>
  <c r="BX3" i="28"/>
  <c r="BV3" i="28"/>
  <c r="BT3" i="28"/>
  <c r="BR3" i="28"/>
  <c r="BP3" i="28"/>
  <c r="BN3" i="28"/>
  <c r="BL3" i="28"/>
  <c r="BJ3" i="28"/>
  <c r="BH3" i="28"/>
  <c r="BF3" i="28"/>
  <c r="BD3" i="28"/>
  <c r="BB3" i="28"/>
  <c r="AZ3" i="28"/>
  <c r="AX3" i="28"/>
  <c r="AV3" i="28"/>
  <c r="AT3" i="28"/>
  <c r="BO12" i="17"/>
  <c r="BO179" i="17" s="1"/>
  <c r="BO11" i="17"/>
  <c r="BO171" i="17" s="1"/>
  <c r="G171" i="17" s="1"/>
  <c r="BO10" i="17"/>
  <c r="BO9" i="17"/>
  <c r="AY12" i="17"/>
  <c r="AY11" i="17"/>
  <c r="AY10" i="17"/>
  <c r="AY9" i="17"/>
  <c r="AR3" i="28"/>
  <c r="H100" i="17"/>
  <c r="F100" i="17"/>
  <c r="E100" i="17"/>
  <c r="H100" i="16"/>
  <c r="F100" i="16"/>
  <c r="E100" i="16"/>
  <c r="H100" i="11"/>
  <c r="I100" i="11" s="1"/>
  <c r="J100" i="11" s="1"/>
  <c r="F100" i="11"/>
  <c r="E100" i="11"/>
  <c r="J192" i="17"/>
  <c r="H179" i="17"/>
  <c r="F179" i="17"/>
  <c r="E179" i="17"/>
  <c r="H178" i="17"/>
  <c r="F178" i="17"/>
  <c r="E178" i="17"/>
  <c r="H177" i="17"/>
  <c r="F177" i="17"/>
  <c r="E177" i="17"/>
  <c r="H176" i="17"/>
  <c r="I176" i="17" s="1"/>
  <c r="BP176" i="17" s="1"/>
  <c r="F176" i="17"/>
  <c r="E176" i="17"/>
  <c r="H175" i="17"/>
  <c r="I175" i="17" s="1"/>
  <c r="F175" i="17"/>
  <c r="E175" i="17"/>
  <c r="H174" i="17"/>
  <c r="F174" i="17"/>
  <c r="E174" i="17"/>
  <c r="H173" i="17"/>
  <c r="F173" i="17"/>
  <c r="E173" i="17"/>
  <c r="H172" i="17"/>
  <c r="I172" i="17" s="1"/>
  <c r="J172" i="17" s="1"/>
  <c r="F172" i="17"/>
  <c r="E172" i="17"/>
  <c r="H171" i="17"/>
  <c r="F171" i="17"/>
  <c r="E171" i="17"/>
  <c r="H170" i="17"/>
  <c r="F170" i="17"/>
  <c r="E170" i="17"/>
  <c r="H169" i="17"/>
  <c r="F169" i="17"/>
  <c r="E169" i="17"/>
  <c r="H168" i="17"/>
  <c r="I168" i="17" s="1"/>
  <c r="F168" i="17"/>
  <c r="E168" i="17"/>
  <c r="H167" i="17"/>
  <c r="I167" i="17" s="1"/>
  <c r="AZ167" i="17" s="1"/>
  <c r="F167" i="17"/>
  <c r="E167" i="17"/>
  <c r="H166" i="17"/>
  <c r="F166" i="17"/>
  <c r="E166" i="17"/>
  <c r="H165" i="17"/>
  <c r="F165" i="17"/>
  <c r="E165" i="17"/>
  <c r="H163" i="17"/>
  <c r="F163" i="17"/>
  <c r="E163" i="17"/>
  <c r="H162" i="17"/>
  <c r="F162" i="17"/>
  <c r="E162" i="17"/>
  <c r="H161" i="17"/>
  <c r="F161" i="17"/>
  <c r="E161" i="17"/>
  <c r="H160" i="17"/>
  <c r="F160" i="17"/>
  <c r="E160" i="17"/>
  <c r="H159" i="17"/>
  <c r="I159" i="17" s="1"/>
  <c r="J159" i="17" s="1"/>
  <c r="F159" i="17"/>
  <c r="E159" i="17"/>
  <c r="H158" i="17"/>
  <c r="F158" i="17"/>
  <c r="E158" i="17"/>
  <c r="H157" i="17"/>
  <c r="F157" i="17"/>
  <c r="E157" i="17"/>
  <c r="H156" i="17"/>
  <c r="F156" i="17"/>
  <c r="E156" i="17"/>
  <c r="H155" i="17"/>
  <c r="I155" i="17" s="1"/>
  <c r="J155" i="17" s="1"/>
  <c r="F155" i="17"/>
  <c r="E155" i="17"/>
  <c r="H154" i="17"/>
  <c r="I154" i="17" s="1"/>
  <c r="BP154" i="17" s="1"/>
  <c r="F154" i="17"/>
  <c r="E154" i="17"/>
  <c r="H153" i="17"/>
  <c r="F153" i="17"/>
  <c r="E153" i="17"/>
  <c r="H152" i="17"/>
  <c r="F152" i="17"/>
  <c r="E152" i="17"/>
  <c r="H151" i="17"/>
  <c r="I151" i="17" s="1"/>
  <c r="F151" i="17"/>
  <c r="E151" i="17"/>
  <c r="H150" i="17"/>
  <c r="I150" i="17" s="1"/>
  <c r="F150" i="17"/>
  <c r="E150" i="17"/>
  <c r="H149" i="17"/>
  <c r="F149" i="17"/>
  <c r="E149" i="17"/>
  <c r="H148" i="17"/>
  <c r="F148" i="17"/>
  <c r="E148" i="17"/>
  <c r="H147" i="17"/>
  <c r="I147" i="17" s="1"/>
  <c r="F147" i="17"/>
  <c r="E147" i="17"/>
  <c r="H146" i="17"/>
  <c r="F146" i="17"/>
  <c r="E146" i="17"/>
  <c r="H145" i="17"/>
  <c r="F145" i="17"/>
  <c r="E145" i="17"/>
  <c r="H144" i="17"/>
  <c r="F144" i="17"/>
  <c r="E144" i="17"/>
  <c r="H143" i="17"/>
  <c r="I143" i="17" s="1"/>
  <c r="F143" i="17"/>
  <c r="E143" i="17"/>
  <c r="H142" i="17"/>
  <c r="F142" i="17"/>
  <c r="E142" i="17"/>
  <c r="H141" i="17"/>
  <c r="F141" i="17"/>
  <c r="E141" i="17"/>
  <c r="H140" i="17"/>
  <c r="F140" i="17"/>
  <c r="E140" i="17"/>
  <c r="H139" i="17"/>
  <c r="I139" i="17" s="1"/>
  <c r="F139" i="17"/>
  <c r="E139" i="17"/>
  <c r="H138" i="17"/>
  <c r="I138" i="17" s="1"/>
  <c r="BP138" i="17" s="1"/>
  <c r="F138" i="17"/>
  <c r="E138" i="17"/>
  <c r="H137" i="17"/>
  <c r="F137" i="17"/>
  <c r="E137" i="17"/>
  <c r="H136" i="17"/>
  <c r="F136" i="17"/>
  <c r="E136" i="17"/>
  <c r="H135" i="17"/>
  <c r="I135" i="17" s="1"/>
  <c r="F135" i="17"/>
  <c r="E135" i="17"/>
  <c r="H134" i="17"/>
  <c r="I134" i="17" s="1"/>
  <c r="BP134" i="17" s="1"/>
  <c r="F134" i="17"/>
  <c r="E134" i="17"/>
  <c r="H133" i="17"/>
  <c r="F133" i="17"/>
  <c r="E133" i="17"/>
  <c r="H132" i="17"/>
  <c r="F132" i="17"/>
  <c r="E132" i="17"/>
  <c r="H131" i="17"/>
  <c r="I131" i="17" s="1"/>
  <c r="J131" i="17" s="1"/>
  <c r="F131" i="17"/>
  <c r="E131" i="17"/>
  <c r="H130" i="17"/>
  <c r="F130" i="17"/>
  <c r="E130" i="17"/>
  <c r="H128" i="17"/>
  <c r="F128" i="17"/>
  <c r="E128" i="17"/>
  <c r="H127" i="17"/>
  <c r="F127" i="17"/>
  <c r="E127" i="17"/>
  <c r="H126" i="17"/>
  <c r="I126" i="17" s="1"/>
  <c r="J126" i="17" s="1"/>
  <c r="F126" i="17"/>
  <c r="E126" i="17"/>
  <c r="H125" i="17"/>
  <c r="I125" i="17" s="1"/>
  <c r="J125" i="17" s="1"/>
  <c r="F125" i="17"/>
  <c r="E125" i="17"/>
  <c r="H124" i="17"/>
  <c r="F124" i="17"/>
  <c r="E124" i="17"/>
  <c r="H123" i="17"/>
  <c r="F123" i="17"/>
  <c r="E123" i="17"/>
  <c r="H122" i="17"/>
  <c r="I122" i="17" s="1"/>
  <c r="J122" i="17" s="1"/>
  <c r="F122" i="17"/>
  <c r="E122" i="17"/>
  <c r="H121" i="17"/>
  <c r="I121" i="17" s="1"/>
  <c r="J121" i="17" s="1"/>
  <c r="F121" i="17"/>
  <c r="E121" i="17"/>
  <c r="H120" i="17"/>
  <c r="F120" i="17"/>
  <c r="E120" i="17"/>
  <c r="H119" i="17"/>
  <c r="F119" i="17"/>
  <c r="E119" i="17"/>
  <c r="H118" i="17"/>
  <c r="I118" i="17" s="1"/>
  <c r="J118" i="17" s="1"/>
  <c r="F118" i="17"/>
  <c r="E118" i="17"/>
  <c r="H117" i="17"/>
  <c r="F117" i="17"/>
  <c r="E117" i="17"/>
  <c r="H116" i="17"/>
  <c r="F116" i="17"/>
  <c r="E116" i="17"/>
  <c r="H115" i="17"/>
  <c r="F115" i="17"/>
  <c r="E115" i="17"/>
  <c r="H114" i="17"/>
  <c r="I114" i="17" s="1"/>
  <c r="J114" i="17" s="1"/>
  <c r="F114" i="17"/>
  <c r="E114" i="17"/>
  <c r="H113" i="17"/>
  <c r="F113" i="17"/>
  <c r="E113" i="17"/>
  <c r="H112" i="17"/>
  <c r="F112" i="17"/>
  <c r="E112" i="17"/>
  <c r="H110" i="17"/>
  <c r="F110" i="17"/>
  <c r="E110" i="17"/>
  <c r="H109" i="17"/>
  <c r="I109" i="17" s="1"/>
  <c r="J109" i="17" s="1"/>
  <c r="F109" i="17"/>
  <c r="E109" i="17"/>
  <c r="H108" i="17"/>
  <c r="F108" i="17"/>
  <c r="E108" i="17"/>
  <c r="H107" i="17"/>
  <c r="F107" i="17"/>
  <c r="E107" i="17"/>
  <c r="H106" i="17"/>
  <c r="F106" i="17"/>
  <c r="E106" i="17"/>
  <c r="H105" i="17"/>
  <c r="F105" i="17"/>
  <c r="E105" i="17"/>
  <c r="H104" i="17"/>
  <c r="I104" i="17" s="1"/>
  <c r="F104" i="17"/>
  <c r="E104" i="17"/>
  <c r="H103" i="17"/>
  <c r="F103" i="17"/>
  <c r="E103" i="17"/>
  <c r="H102" i="17"/>
  <c r="F102" i="17"/>
  <c r="E102" i="17"/>
  <c r="H101" i="17"/>
  <c r="I101" i="17" s="1"/>
  <c r="F101" i="17"/>
  <c r="E101" i="17"/>
  <c r="H99" i="17"/>
  <c r="I99" i="17" s="1"/>
  <c r="F99" i="17"/>
  <c r="E99" i="17"/>
  <c r="H98" i="17"/>
  <c r="F98" i="17"/>
  <c r="E98" i="17"/>
  <c r="H97" i="17"/>
  <c r="F97" i="17"/>
  <c r="E97" i="17"/>
  <c r="H96" i="17"/>
  <c r="F96" i="17"/>
  <c r="E96" i="17"/>
  <c r="H95" i="17"/>
  <c r="I95" i="17" s="1"/>
  <c r="AZ95" i="17" s="1"/>
  <c r="F95" i="17"/>
  <c r="E95" i="17"/>
  <c r="H94" i="17"/>
  <c r="F94" i="17"/>
  <c r="E94" i="17"/>
  <c r="H93" i="17"/>
  <c r="F93" i="17"/>
  <c r="E93" i="17"/>
  <c r="H92" i="17"/>
  <c r="I92" i="17" s="1"/>
  <c r="F92" i="17"/>
  <c r="E92" i="17"/>
  <c r="H91" i="17"/>
  <c r="I91" i="17" s="1"/>
  <c r="F91" i="17"/>
  <c r="E91" i="17"/>
  <c r="H90" i="17"/>
  <c r="F90" i="17"/>
  <c r="E90" i="17"/>
  <c r="H89" i="17"/>
  <c r="F89" i="17"/>
  <c r="E89" i="17"/>
  <c r="H88" i="17"/>
  <c r="I88" i="17" s="1"/>
  <c r="F88" i="17"/>
  <c r="E88" i="17"/>
  <c r="H87" i="17"/>
  <c r="I87" i="17" s="1"/>
  <c r="AZ87" i="17" s="1"/>
  <c r="F87" i="17"/>
  <c r="E87" i="17"/>
  <c r="H85" i="17"/>
  <c r="F85" i="17"/>
  <c r="E85" i="17"/>
  <c r="H84" i="17"/>
  <c r="F84" i="17"/>
  <c r="E84" i="17"/>
  <c r="H83" i="17"/>
  <c r="F83" i="17"/>
  <c r="E83" i="17"/>
  <c r="H82" i="17"/>
  <c r="I82" i="17" s="1"/>
  <c r="AZ82" i="17" s="1"/>
  <c r="F82" i="17"/>
  <c r="E82" i="17"/>
  <c r="H81" i="17"/>
  <c r="F81" i="17"/>
  <c r="E81" i="17"/>
  <c r="H80" i="17"/>
  <c r="F80" i="17"/>
  <c r="E80" i="17"/>
  <c r="H79" i="17"/>
  <c r="I79" i="17" s="1"/>
  <c r="F79" i="17"/>
  <c r="E79" i="17"/>
  <c r="H78" i="17"/>
  <c r="I78" i="17" s="1"/>
  <c r="AZ78" i="17" s="1"/>
  <c r="F78" i="17"/>
  <c r="E78" i="17"/>
  <c r="H77" i="17"/>
  <c r="F77" i="17"/>
  <c r="E77" i="17"/>
  <c r="H76" i="17"/>
  <c r="F76" i="17"/>
  <c r="E76" i="17"/>
  <c r="H75" i="17"/>
  <c r="I75" i="17" s="1"/>
  <c r="AZ75" i="17" s="1"/>
  <c r="F75" i="17"/>
  <c r="E75" i="17"/>
  <c r="H74" i="17"/>
  <c r="I74" i="17" s="1"/>
  <c r="AZ74" i="17" s="1"/>
  <c r="F74" i="17"/>
  <c r="E74" i="17"/>
  <c r="H73" i="17"/>
  <c r="I73" i="17" s="1"/>
  <c r="F73" i="17"/>
  <c r="E73" i="17"/>
  <c r="H72" i="17"/>
  <c r="F72" i="17"/>
  <c r="E72" i="17"/>
  <c r="H71" i="17"/>
  <c r="F71" i="17"/>
  <c r="E71" i="17"/>
  <c r="H70" i="17"/>
  <c r="F70" i="17"/>
  <c r="E70" i="17"/>
  <c r="H69" i="17"/>
  <c r="F69" i="17"/>
  <c r="E69" i="17"/>
  <c r="H67" i="17"/>
  <c r="F67" i="17"/>
  <c r="E67" i="17"/>
  <c r="H66" i="17"/>
  <c r="F66" i="17"/>
  <c r="E66" i="17"/>
  <c r="H65" i="17"/>
  <c r="F65" i="17"/>
  <c r="E65" i="17"/>
  <c r="H64" i="17"/>
  <c r="F64" i="17"/>
  <c r="E64" i="17"/>
  <c r="H63" i="17"/>
  <c r="F63" i="17"/>
  <c r="E63" i="17"/>
  <c r="H62" i="17"/>
  <c r="F62" i="17"/>
  <c r="E62" i="17"/>
  <c r="H61" i="17"/>
  <c r="F61" i="17"/>
  <c r="E61" i="17"/>
  <c r="H60" i="17"/>
  <c r="F60" i="17"/>
  <c r="E60" i="17"/>
  <c r="H59" i="17"/>
  <c r="F59" i="17"/>
  <c r="E59" i="17"/>
  <c r="H58" i="17"/>
  <c r="F58" i="17"/>
  <c r="E58" i="17"/>
  <c r="H57" i="17"/>
  <c r="F57" i="17"/>
  <c r="E57" i="17"/>
  <c r="H56" i="17"/>
  <c r="F56" i="17"/>
  <c r="E56" i="17"/>
  <c r="H55" i="17"/>
  <c r="F55" i="17"/>
  <c r="E55" i="17"/>
  <c r="H54" i="17"/>
  <c r="F54" i="17"/>
  <c r="E54" i="17"/>
  <c r="H53" i="17"/>
  <c r="F53" i="17"/>
  <c r="E53" i="17"/>
  <c r="H52" i="17"/>
  <c r="F52" i="17"/>
  <c r="E52" i="17"/>
  <c r="H51" i="17"/>
  <c r="F51" i="17"/>
  <c r="E51" i="17"/>
  <c r="H50" i="17"/>
  <c r="F50" i="17"/>
  <c r="E50" i="17"/>
  <c r="H49" i="17"/>
  <c r="F49" i="17"/>
  <c r="E49" i="17"/>
  <c r="H48" i="17"/>
  <c r="F48" i="17"/>
  <c r="E48" i="17"/>
  <c r="H47" i="17"/>
  <c r="F47" i="17"/>
  <c r="E47" i="17"/>
  <c r="H46" i="17"/>
  <c r="F46" i="17"/>
  <c r="E46" i="17"/>
  <c r="H45" i="17"/>
  <c r="F45" i="17"/>
  <c r="E45" i="17"/>
  <c r="H44" i="17"/>
  <c r="F44" i="17"/>
  <c r="E44" i="17"/>
  <c r="H43" i="17"/>
  <c r="F43" i="17"/>
  <c r="E43" i="17"/>
  <c r="H42" i="17"/>
  <c r="F42" i="17"/>
  <c r="E42" i="17"/>
  <c r="H41" i="17"/>
  <c r="F41" i="17"/>
  <c r="E41" i="17"/>
  <c r="H40" i="17"/>
  <c r="F40" i="17"/>
  <c r="E40" i="17"/>
  <c r="H38" i="17"/>
  <c r="F38" i="17"/>
  <c r="E38" i="17"/>
  <c r="H35" i="17"/>
  <c r="F35" i="17"/>
  <c r="E35" i="17"/>
  <c r="H34" i="17"/>
  <c r="F34" i="17"/>
  <c r="E34" i="17"/>
  <c r="H33" i="17"/>
  <c r="F33" i="17"/>
  <c r="E33" i="17"/>
  <c r="H32" i="17"/>
  <c r="F32" i="17"/>
  <c r="E32" i="17"/>
  <c r="H31" i="17"/>
  <c r="F31" i="17"/>
  <c r="E31" i="17"/>
  <c r="H30" i="17"/>
  <c r="F30" i="17"/>
  <c r="E30" i="17"/>
  <c r="H29" i="17"/>
  <c r="F29" i="17"/>
  <c r="E29" i="17"/>
  <c r="H28" i="17"/>
  <c r="F28" i="17"/>
  <c r="E28" i="17"/>
  <c r="H27" i="17"/>
  <c r="F27" i="17"/>
  <c r="E27" i="17"/>
  <c r="H26" i="17"/>
  <c r="F26" i="17"/>
  <c r="E26" i="17"/>
  <c r="H25" i="17"/>
  <c r="F25" i="17"/>
  <c r="E25" i="17"/>
  <c r="H24" i="17"/>
  <c r="F24" i="17"/>
  <c r="E24" i="17"/>
  <c r="H23" i="17"/>
  <c r="F23" i="17"/>
  <c r="E23" i="17"/>
  <c r="H22" i="17"/>
  <c r="F22" i="17"/>
  <c r="E22" i="17"/>
  <c r="H21" i="17"/>
  <c r="F21" i="17"/>
  <c r="E21" i="17"/>
  <c r="H20" i="17"/>
  <c r="F20" i="17"/>
  <c r="E20" i="17"/>
  <c r="H19" i="17"/>
  <c r="F19" i="17"/>
  <c r="E19" i="17"/>
  <c r="H18" i="17"/>
  <c r="F18" i="17"/>
  <c r="E18" i="17"/>
  <c r="H17" i="17"/>
  <c r="F17" i="17"/>
  <c r="E17" i="17"/>
  <c r="AH164" i="16"/>
  <c r="AH129" i="16"/>
  <c r="AH111" i="16"/>
  <c r="AH86" i="16"/>
  <c r="AH68" i="16"/>
  <c r="AH39" i="16"/>
  <c r="AG12" i="16"/>
  <c r="AG179" i="16" s="1"/>
  <c r="AG11" i="16"/>
  <c r="AG123" i="16" s="1"/>
  <c r="AG10" i="16"/>
  <c r="AG9" i="16"/>
  <c r="AD164" i="16"/>
  <c r="AD129" i="16"/>
  <c r="AD111" i="16"/>
  <c r="AD86" i="16"/>
  <c r="AD68" i="16"/>
  <c r="AD39" i="16"/>
  <c r="AB164" i="16"/>
  <c r="AB129" i="16"/>
  <c r="AB111" i="16"/>
  <c r="AB86" i="16"/>
  <c r="AB68" i="16"/>
  <c r="AB39" i="16"/>
  <c r="X164" i="16"/>
  <c r="X129" i="16"/>
  <c r="X111" i="16"/>
  <c r="X86" i="16"/>
  <c r="X68" i="16"/>
  <c r="X39" i="16"/>
  <c r="V164" i="16"/>
  <c r="V129" i="16"/>
  <c r="V111" i="16"/>
  <c r="V86" i="16"/>
  <c r="V68" i="16"/>
  <c r="V39" i="16"/>
  <c r="J192" i="16"/>
  <c r="H179" i="16"/>
  <c r="F179" i="16"/>
  <c r="E179" i="16"/>
  <c r="H178" i="16"/>
  <c r="I178" i="16" s="1"/>
  <c r="V178" i="16" s="1"/>
  <c r="F178" i="16"/>
  <c r="E178" i="16"/>
  <c r="H177" i="16"/>
  <c r="I177" i="16" s="1"/>
  <c r="F177" i="16"/>
  <c r="E177" i="16"/>
  <c r="H176" i="16"/>
  <c r="F176" i="16"/>
  <c r="E176" i="16"/>
  <c r="H175" i="16"/>
  <c r="I175" i="16" s="1"/>
  <c r="F175" i="16"/>
  <c r="E175" i="16"/>
  <c r="H174" i="16"/>
  <c r="I174" i="16" s="1"/>
  <c r="F174" i="16"/>
  <c r="E174" i="16"/>
  <c r="H173" i="16"/>
  <c r="I173" i="16" s="1"/>
  <c r="F173" i="16"/>
  <c r="E173" i="16"/>
  <c r="H172" i="16"/>
  <c r="I172" i="16" s="1"/>
  <c r="AH172" i="16" s="1"/>
  <c r="F172" i="16"/>
  <c r="E172" i="16"/>
  <c r="H171" i="16"/>
  <c r="I171" i="16" s="1"/>
  <c r="F171" i="16"/>
  <c r="E171" i="16"/>
  <c r="H170" i="16"/>
  <c r="I170" i="16" s="1"/>
  <c r="F170" i="16"/>
  <c r="E170" i="16"/>
  <c r="H169" i="16"/>
  <c r="F169" i="16"/>
  <c r="E169" i="16"/>
  <c r="H168" i="16"/>
  <c r="F168" i="16"/>
  <c r="E168" i="16"/>
  <c r="H167" i="16"/>
  <c r="I167" i="16" s="1"/>
  <c r="F167" i="16"/>
  <c r="E167" i="16"/>
  <c r="H166" i="16"/>
  <c r="I166" i="16" s="1"/>
  <c r="F166" i="16"/>
  <c r="E166" i="16"/>
  <c r="H165" i="16"/>
  <c r="I165" i="16" s="1"/>
  <c r="F165" i="16"/>
  <c r="E165" i="16"/>
  <c r="N164" i="16"/>
  <c r="H163" i="16"/>
  <c r="F163" i="16"/>
  <c r="E163" i="16"/>
  <c r="H162" i="16"/>
  <c r="F162" i="16"/>
  <c r="E162" i="16"/>
  <c r="H161" i="16"/>
  <c r="F161" i="16"/>
  <c r="E161" i="16"/>
  <c r="H160" i="16"/>
  <c r="F160" i="16"/>
  <c r="E160" i="16"/>
  <c r="H159" i="16"/>
  <c r="F159" i="16"/>
  <c r="E159" i="16"/>
  <c r="H158" i="16"/>
  <c r="F158" i="16"/>
  <c r="E158" i="16"/>
  <c r="H157" i="16"/>
  <c r="F157" i="16"/>
  <c r="E157" i="16"/>
  <c r="H156" i="16"/>
  <c r="F156" i="16"/>
  <c r="E156" i="16"/>
  <c r="H155" i="16"/>
  <c r="F155" i="16"/>
  <c r="E155" i="16"/>
  <c r="H154" i="16"/>
  <c r="F154" i="16"/>
  <c r="E154" i="16"/>
  <c r="H153" i="16"/>
  <c r="F153" i="16"/>
  <c r="E153" i="16"/>
  <c r="H152" i="16"/>
  <c r="F152" i="16"/>
  <c r="E152" i="16"/>
  <c r="H151" i="16"/>
  <c r="F151" i="16"/>
  <c r="E151" i="16"/>
  <c r="H150" i="16"/>
  <c r="F150" i="16"/>
  <c r="E150" i="16"/>
  <c r="H149" i="16"/>
  <c r="F149" i="16"/>
  <c r="E149" i="16"/>
  <c r="H148" i="16"/>
  <c r="F148" i="16"/>
  <c r="E148" i="16"/>
  <c r="H147" i="16"/>
  <c r="I147" i="16" s="1"/>
  <c r="AB147" i="16" s="1"/>
  <c r="F147" i="16"/>
  <c r="E147" i="16"/>
  <c r="H146" i="16"/>
  <c r="F146" i="16"/>
  <c r="E146" i="16"/>
  <c r="H145" i="16"/>
  <c r="F145" i="16"/>
  <c r="E145" i="16"/>
  <c r="H144" i="16"/>
  <c r="F144" i="16"/>
  <c r="E144" i="16"/>
  <c r="H143" i="16"/>
  <c r="F143" i="16"/>
  <c r="E143" i="16"/>
  <c r="H142" i="16"/>
  <c r="F142" i="16"/>
  <c r="E142" i="16"/>
  <c r="H141" i="16"/>
  <c r="F141" i="16"/>
  <c r="E141" i="16"/>
  <c r="H140" i="16"/>
  <c r="F140" i="16"/>
  <c r="E140" i="16"/>
  <c r="H139" i="16"/>
  <c r="I139" i="16" s="1"/>
  <c r="F139" i="16"/>
  <c r="E139" i="16"/>
  <c r="H138" i="16"/>
  <c r="F138" i="16"/>
  <c r="E138" i="16"/>
  <c r="H137" i="16"/>
  <c r="F137" i="16"/>
  <c r="E137" i="16"/>
  <c r="H136" i="16"/>
  <c r="F136" i="16"/>
  <c r="E136" i="16"/>
  <c r="H135" i="16"/>
  <c r="F135" i="16"/>
  <c r="E135" i="16"/>
  <c r="H134" i="16"/>
  <c r="F134" i="16"/>
  <c r="E134" i="16"/>
  <c r="H133" i="16"/>
  <c r="F133" i="16"/>
  <c r="E133" i="16"/>
  <c r="H132" i="16"/>
  <c r="F132" i="16"/>
  <c r="E132" i="16"/>
  <c r="H131" i="16"/>
  <c r="I131" i="16" s="1"/>
  <c r="F131" i="16"/>
  <c r="E131" i="16"/>
  <c r="H130" i="16"/>
  <c r="F130" i="16"/>
  <c r="E130" i="16"/>
  <c r="N129" i="16"/>
  <c r="H128" i="16"/>
  <c r="I128" i="16" s="1"/>
  <c r="F128" i="16"/>
  <c r="E128" i="16"/>
  <c r="H127" i="16"/>
  <c r="F127" i="16"/>
  <c r="E127" i="16"/>
  <c r="H126" i="16"/>
  <c r="I126" i="16" s="1"/>
  <c r="F126" i="16"/>
  <c r="E126" i="16"/>
  <c r="H125" i="16"/>
  <c r="I125" i="16" s="1"/>
  <c r="F125" i="16"/>
  <c r="E125" i="16"/>
  <c r="H124" i="16"/>
  <c r="I124" i="16" s="1"/>
  <c r="F124" i="16"/>
  <c r="E124" i="16"/>
  <c r="H123" i="16"/>
  <c r="F123" i="16"/>
  <c r="E123" i="16"/>
  <c r="H122" i="16"/>
  <c r="F122" i="16"/>
  <c r="E122" i="16"/>
  <c r="H121" i="16"/>
  <c r="I121" i="16" s="1"/>
  <c r="X121" i="16" s="1"/>
  <c r="F121" i="16"/>
  <c r="E121" i="16"/>
  <c r="H120" i="16"/>
  <c r="F120" i="16"/>
  <c r="E120" i="16"/>
  <c r="H119" i="16"/>
  <c r="F119" i="16"/>
  <c r="E119" i="16"/>
  <c r="H118" i="16"/>
  <c r="I118" i="16" s="1"/>
  <c r="F118" i="16"/>
  <c r="E118" i="16"/>
  <c r="H117" i="16"/>
  <c r="I117" i="16" s="1"/>
  <c r="V117" i="16" s="1"/>
  <c r="F117" i="16"/>
  <c r="E117" i="16"/>
  <c r="H116" i="16"/>
  <c r="I116" i="16" s="1"/>
  <c r="V116" i="16" s="1"/>
  <c r="F116" i="16"/>
  <c r="E116" i="16"/>
  <c r="H115" i="16"/>
  <c r="F115" i="16"/>
  <c r="E115" i="16"/>
  <c r="H114" i="16"/>
  <c r="F114" i="16"/>
  <c r="E114" i="16"/>
  <c r="H113" i="16"/>
  <c r="I113" i="16" s="1"/>
  <c r="V113" i="16" s="1"/>
  <c r="F113" i="16"/>
  <c r="E113" i="16"/>
  <c r="H112" i="16"/>
  <c r="F112" i="16"/>
  <c r="E112" i="16"/>
  <c r="N111" i="16"/>
  <c r="H110" i="16"/>
  <c r="F110" i="16"/>
  <c r="E110" i="16"/>
  <c r="H109" i="16"/>
  <c r="I109" i="16" s="1"/>
  <c r="X109" i="16" s="1"/>
  <c r="F109" i="16"/>
  <c r="E109" i="16"/>
  <c r="H108" i="16"/>
  <c r="F108" i="16"/>
  <c r="E108" i="16"/>
  <c r="H107" i="16"/>
  <c r="F107" i="16"/>
  <c r="E107" i="16"/>
  <c r="H106" i="16"/>
  <c r="I106" i="16" s="1"/>
  <c r="F106" i="16"/>
  <c r="E106" i="16"/>
  <c r="H105" i="16"/>
  <c r="F105" i="16"/>
  <c r="E105" i="16"/>
  <c r="H104" i="16"/>
  <c r="F104" i="16"/>
  <c r="E104" i="16"/>
  <c r="H103" i="16"/>
  <c r="F103" i="16"/>
  <c r="E103" i="16"/>
  <c r="H102" i="16"/>
  <c r="F102" i="16"/>
  <c r="E102" i="16"/>
  <c r="H101" i="16"/>
  <c r="I101" i="16" s="1"/>
  <c r="J101" i="16" s="1"/>
  <c r="F101" i="16"/>
  <c r="E101" i="16"/>
  <c r="H99" i="16"/>
  <c r="F99" i="16"/>
  <c r="E99" i="16"/>
  <c r="H98" i="16"/>
  <c r="F98" i="16"/>
  <c r="E98" i="16"/>
  <c r="H97" i="16"/>
  <c r="F97" i="16"/>
  <c r="E97" i="16"/>
  <c r="H96" i="16"/>
  <c r="F96" i="16"/>
  <c r="E96" i="16"/>
  <c r="H95" i="16"/>
  <c r="F95" i="16"/>
  <c r="E95" i="16"/>
  <c r="H94" i="16"/>
  <c r="F94" i="16"/>
  <c r="E94" i="16"/>
  <c r="H93" i="16"/>
  <c r="I93" i="16" s="1"/>
  <c r="N93" i="16" s="1"/>
  <c r="F93" i="16"/>
  <c r="E93" i="16"/>
  <c r="H92" i="16"/>
  <c r="I92" i="16" s="1"/>
  <c r="X92" i="16" s="1"/>
  <c r="F92" i="16"/>
  <c r="E92" i="16"/>
  <c r="H91" i="16"/>
  <c r="F91" i="16"/>
  <c r="E91" i="16"/>
  <c r="H90" i="16"/>
  <c r="F90" i="16"/>
  <c r="E90" i="16"/>
  <c r="H89" i="16"/>
  <c r="I89" i="16" s="1"/>
  <c r="F89" i="16"/>
  <c r="E89" i="16"/>
  <c r="H88" i="16"/>
  <c r="I88" i="16" s="1"/>
  <c r="J88" i="16" s="1"/>
  <c r="F88" i="16"/>
  <c r="E88" i="16"/>
  <c r="H87" i="16"/>
  <c r="F87" i="16"/>
  <c r="E87" i="16"/>
  <c r="N86" i="16"/>
  <c r="H85" i="16"/>
  <c r="F85" i="16"/>
  <c r="E85" i="16"/>
  <c r="H84" i="16"/>
  <c r="F84" i="16"/>
  <c r="E84" i="16"/>
  <c r="H83" i="16"/>
  <c r="F83" i="16"/>
  <c r="E83" i="16"/>
  <c r="H82" i="16"/>
  <c r="F82" i="16"/>
  <c r="E82" i="16"/>
  <c r="H81" i="16"/>
  <c r="F81" i="16"/>
  <c r="E81" i="16"/>
  <c r="H80" i="16"/>
  <c r="I80" i="16" s="1"/>
  <c r="F80" i="16"/>
  <c r="E80" i="16"/>
  <c r="H79" i="16"/>
  <c r="I79" i="16" s="1"/>
  <c r="F79" i="16"/>
  <c r="E79" i="16"/>
  <c r="H78" i="16"/>
  <c r="F78" i="16"/>
  <c r="E78" i="16"/>
  <c r="H77" i="16"/>
  <c r="F77" i="16"/>
  <c r="E77" i="16"/>
  <c r="H76" i="16"/>
  <c r="I76" i="16" s="1"/>
  <c r="F76" i="16"/>
  <c r="E76" i="16"/>
  <c r="H75" i="16"/>
  <c r="F75" i="16"/>
  <c r="E75" i="16"/>
  <c r="H74" i="16"/>
  <c r="F74" i="16"/>
  <c r="E74" i="16"/>
  <c r="H73" i="16"/>
  <c r="F73" i="16"/>
  <c r="E73" i="16"/>
  <c r="H72" i="16"/>
  <c r="I72" i="16" s="1"/>
  <c r="F72" i="16"/>
  <c r="E72" i="16"/>
  <c r="H71" i="16"/>
  <c r="I71" i="16" s="1"/>
  <c r="F71" i="16"/>
  <c r="E71" i="16"/>
  <c r="H70" i="16"/>
  <c r="F70" i="16"/>
  <c r="E70" i="16"/>
  <c r="H69" i="16"/>
  <c r="F69" i="16"/>
  <c r="E69" i="16"/>
  <c r="N68" i="16"/>
  <c r="H67" i="16"/>
  <c r="I67" i="16" s="1"/>
  <c r="F67" i="16"/>
  <c r="E67" i="16"/>
  <c r="H66" i="16"/>
  <c r="F66" i="16"/>
  <c r="E66" i="16"/>
  <c r="H65" i="16"/>
  <c r="I65" i="16" s="1"/>
  <c r="F65" i="16"/>
  <c r="E65" i="16"/>
  <c r="H64" i="16"/>
  <c r="F64" i="16"/>
  <c r="E64" i="16"/>
  <c r="H63" i="16"/>
  <c r="F63" i="16"/>
  <c r="E63" i="16"/>
  <c r="H62" i="16"/>
  <c r="I62" i="16" s="1"/>
  <c r="F62" i="16"/>
  <c r="E62" i="16"/>
  <c r="H61" i="16"/>
  <c r="F61" i="16"/>
  <c r="E61" i="16"/>
  <c r="H60" i="16"/>
  <c r="F60" i="16"/>
  <c r="E60" i="16"/>
  <c r="H59" i="16"/>
  <c r="I59" i="16" s="1"/>
  <c r="F59" i="16"/>
  <c r="E59" i="16"/>
  <c r="H58" i="16"/>
  <c r="F58" i="16"/>
  <c r="E58" i="16"/>
  <c r="H57" i="16"/>
  <c r="I57" i="16" s="1"/>
  <c r="AH57" i="16" s="1"/>
  <c r="F57" i="16"/>
  <c r="E57" i="16"/>
  <c r="H56" i="16"/>
  <c r="F56" i="16"/>
  <c r="E56" i="16"/>
  <c r="H55" i="16"/>
  <c r="I55" i="16" s="1"/>
  <c r="F55" i="16"/>
  <c r="E55" i="16"/>
  <c r="H54" i="16"/>
  <c r="I54" i="16" s="1"/>
  <c r="F54" i="16"/>
  <c r="E54" i="16"/>
  <c r="H53" i="16"/>
  <c r="I53" i="16" s="1"/>
  <c r="F53" i="16"/>
  <c r="E53" i="16"/>
  <c r="H52" i="16"/>
  <c r="I52" i="16" s="1"/>
  <c r="F52" i="16"/>
  <c r="E52" i="16"/>
  <c r="H51" i="16"/>
  <c r="F51" i="16"/>
  <c r="E51" i="16"/>
  <c r="H50" i="16"/>
  <c r="F50" i="16"/>
  <c r="E50" i="16"/>
  <c r="H49" i="16"/>
  <c r="I49" i="16" s="1"/>
  <c r="F49" i="16"/>
  <c r="E49" i="16"/>
  <c r="H48" i="16"/>
  <c r="I48" i="16" s="1"/>
  <c r="F48" i="16"/>
  <c r="E48" i="16"/>
  <c r="H47" i="16"/>
  <c r="I47" i="16" s="1"/>
  <c r="F47" i="16"/>
  <c r="E47" i="16"/>
  <c r="H46" i="16"/>
  <c r="F46" i="16"/>
  <c r="E46" i="16"/>
  <c r="H45" i="16"/>
  <c r="F45" i="16"/>
  <c r="E45" i="16"/>
  <c r="H44" i="16"/>
  <c r="F44" i="16"/>
  <c r="E44" i="16"/>
  <c r="H43" i="16"/>
  <c r="I43" i="16" s="1"/>
  <c r="F43" i="16"/>
  <c r="E43" i="16"/>
  <c r="H42" i="16"/>
  <c r="I42" i="16" s="1"/>
  <c r="F42" i="16"/>
  <c r="E42" i="16"/>
  <c r="H41" i="16"/>
  <c r="F41" i="16"/>
  <c r="E41" i="16"/>
  <c r="H40" i="16"/>
  <c r="I40" i="16" s="1"/>
  <c r="F40" i="16"/>
  <c r="E40" i="16"/>
  <c r="N39" i="16"/>
  <c r="H35" i="16"/>
  <c r="I35" i="16" s="1"/>
  <c r="F35" i="16"/>
  <c r="E35" i="16"/>
  <c r="H34" i="16"/>
  <c r="F34" i="16"/>
  <c r="E34" i="16"/>
  <c r="H33" i="16"/>
  <c r="F33" i="16"/>
  <c r="E33" i="16"/>
  <c r="H32" i="16"/>
  <c r="I32" i="16" s="1"/>
  <c r="J32" i="16" s="1"/>
  <c r="F32" i="16"/>
  <c r="E32" i="16"/>
  <c r="H31" i="16"/>
  <c r="I31" i="16" s="1"/>
  <c r="F31" i="16"/>
  <c r="E31" i="16"/>
  <c r="H30" i="16"/>
  <c r="I30" i="16" s="1"/>
  <c r="X30" i="16" s="1"/>
  <c r="F30" i="16"/>
  <c r="E30" i="16"/>
  <c r="H29" i="16"/>
  <c r="I29" i="16" s="1"/>
  <c r="AB29" i="16" s="1"/>
  <c r="F29" i="16"/>
  <c r="E29" i="16"/>
  <c r="H28" i="16"/>
  <c r="F28" i="16"/>
  <c r="E28" i="16"/>
  <c r="H27" i="16"/>
  <c r="I27" i="16" s="1"/>
  <c r="AH27" i="16" s="1"/>
  <c r="F27" i="16"/>
  <c r="E27" i="16"/>
  <c r="H26" i="16"/>
  <c r="I26" i="16" s="1"/>
  <c r="N26" i="16" s="1"/>
  <c r="F26" i="16"/>
  <c r="E26" i="16"/>
  <c r="H25" i="16"/>
  <c r="F25" i="16"/>
  <c r="E25" i="16"/>
  <c r="H24" i="16"/>
  <c r="F24" i="16"/>
  <c r="E24" i="16"/>
  <c r="H23" i="16"/>
  <c r="I23" i="16" s="1"/>
  <c r="AB23" i="16" s="1"/>
  <c r="F23" i="16"/>
  <c r="E23" i="16"/>
  <c r="H22" i="16"/>
  <c r="I22" i="16" s="1"/>
  <c r="N22" i="16" s="1"/>
  <c r="F22" i="16"/>
  <c r="E22" i="16"/>
  <c r="H21" i="16"/>
  <c r="F21" i="16"/>
  <c r="E21" i="16"/>
  <c r="H20" i="16"/>
  <c r="I20" i="16" s="1"/>
  <c r="F20" i="16"/>
  <c r="E20" i="16"/>
  <c r="H19" i="16"/>
  <c r="F19" i="16"/>
  <c r="E19" i="16"/>
  <c r="H18" i="16"/>
  <c r="I18" i="16" s="1"/>
  <c r="F18" i="16"/>
  <c r="E18" i="16"/>
  <c r="H17" i="16"/>
  <c r="I17" i="16" s="1"/>
  <c r="X17" i="16" s="1"/>
  <c r="F17" i="16"/>
  <c r="E17" i="16"/>
  <c r="AC12" i="16"/>
  <c r="AA12" i="16"/>
  <c r="AA167" i="16" s="1"/>
  <c r="W12" i="16"/>
  <c r="W178" i="16" s="1"/>
  <c r="U12" i="16"/>
  <c r="U179" i="16" s="1"/>
  <c r="M12" i="16"/>
  <c r="AC11" i="16"/>
  <c r="AA11" i="16"/>
  <c r="AA121" i="16" s="1"/>
  <c r="W11" i="16"/>
  <c r="U11" i="16"/>
  <c r="M11" i="16"/>
  <c r="AC10" i="16"/>
  <c r="AA10" i="16"/>
  <c r="W10" i="16"/>
  <c r="U10" i="16"/>
  <c r="M10" i="16"/>
  <c r="AC9" i="16"/>
  <c r="AA9" i="16"/>
  <c r="W9" i="16"/>
  <c r="U9" i="16"/>
  <c r="M9" i="16"/>
  <c r="AB164" i="11"/>
  <c r="AB129" i="11"/>
  <c r="AB111" i="11"/>
  <c r="AB86" i="11"/>
  <c r="AB68" i="11"/>
  <c r="AB39" i="11"/>
  <c r="X164" i="11"/>
  <c r="X129" i="11"/>
  <c r="X111" i="11"/>
  <c r="X86" i="11"/>
  <c r="X68" i="11"/>
  <c r="X39" i="11"/>
  <c r="V164" i="11"/>
  <c r="V129" i="11"/>
  <c r="V111" i="11"/>
  <c r="V86" i="11"/>
  <c r="V68" i="11"/>
  <c r="V39" i="11"/>
  <c r="T164" i="11"/>
  <c r="T129" i="11"/>
  <c r="T111" i="11"/>
  <c r="T86" i="11"/>
  <c r="T68" i="11"/>
  <c r="T39" i="11"/>
  <c r="P164" i="11"/>
  <c r="P129" i="11"/>
  <c r="P111" i="11"/>
  <c r="P86" i="11"/>
  <c r="P68" i="11"/>
  <c r="P39" i="11"/>
  <c r="E59" i="11"/>
  <c r="F59" i="11"/>
  <c r="H59" i="11"/>
  <c r="AA12" i="11"/>
  <c r="AA11" i="11"/>
  <c r="AA43" i="11" s="1"/>
  <c r="AA10" i="11"/>
  <c r="AA9" i="11"/>
  <c r="W12" i="11"/>
  <c r="W179" i="11" s="1"/>
  <c r="W11" i="11"/>
  <c r="W10" i="11"/>
  <c r="W9" i="11"/>
  <c r="U12" i="11"/>
  <c r="U11" i="11"/>
  <c r="U119" i="11" s="1"/>
  <c r="U10" i="11"/>
  <c r="U9" i="11"/>
  <c r="S12" i="11"/>
  <c r="S167" i="11" s="1"/>
  <c r="S11" i="11"/>
  <c r="S121" i="11" s="1"/>
  <c r="S127" i="11" s="1"/>
  <c r="T127" i="11" s="1"/>
  <c r="S10" i="11"/>
  <c r="S9" i="11"/>
  <c r="O12" i="11"/>
  <c r="O13" i="11" s="1"/>
  <c r="O11" i="11"/>
  <c r="O10" i="11"/>
  <c r="O9" i="11"/>
  <c r="E173" i="11"/>
  <c r="F173" i="11"/>
  <c r="H173" i="11"/>
  <c r="E174" i="11"/>
  <c r="F174" i="11"/>
  <c r="H174" i="11"/>
  <c r="I174" i="11" s="1"/>
  <c r="E175" i="11"/>
  <c r="F175" i="11"/>
  <c r="H175" i="11"/>
  <c r="E176" i="11"/>
  <c r="F176" i="11"/>
  <c r="H176" i="11"/>
  <c r="E177" i="11"/>
  <c r="F177" i="11"/>
  <c r="H177" i="11"/>
  <c r="E172" i="11"/>
  <c r="F172" i="11"/>
  <c r="H172" i="11"/>
  <c r="E178" i="11"/>
  <c r="F178" i="11"/>
  <c r="H178" i="11"/>
  <c r="I178" i="11" s="1"/>
  <c r="E179" i="11"/>
  <c r="F179" i="11"/>
  <c r="H179" i="11"/>
  <c r="I179" i="11" s="1"/>
  <c r="P179" i="11" s="1"/>
  <c r="E120" i="11"/>
  <c r="F120" i="11"/>
  <c r="H120" i="11"/>
  <c r="H116" i="11"/>
  <c r="F116" i="11"/>
  <c r="E116" i="11"/>
  <c r="E75" i="11"/>
  <c r="F75" i="11"/>
  <c r="H75" i="11"/>
  <c r="E94" i="11"/>
  <c r="F94" i="11"/>
  <c r="H94" i="11"/>
  <c r="I94" i="11" s="1"/>
  <c r="E95" i="11"/>
  <c r="F95" i="11"/>
  <c r="H95" i="11"/>
  <c r="E96" i="11"/>
  <c r="F96" i="11"/>
  <c r="H96" i="11"/>
  <c r="I96" i="11" s="1"/>
  <c r="AB96" i="11" s="1"/>
  <c r="E97" i="11"/>
  <c r="F97" i="11"/>
  <c r="H97" i="11"/>
  <c r="I97" i="11" s="1"/>
  <c r="E98" i="11"/>
  <c r="F98" i="11"/>
  <c r="H98" i="11"/>
  <c r="I98" i="11" s="1"/>
  <c r="E91" i="11"/>
  <c r="F91" i="11"/>
  <c r="H91" i="11"/>
  <c r="E92" i="11"/>
  <c r="F92" i="11"/>
  <c r="H92" i="11"/>
  <c r="I92" i="11" s="1"/>
  <c r="AB92" i="11" s="1"/>
  <c r="E93" i="11"/>
  <c r="F93" i="11"/>
  <c r="H93" i="11"/>
  <c r="E99" i="11"/>
  <c r="F99" i="11"/>
  <c r="H99" i="11"/>
  <c r="I99" i="11" s="1"/>
  <c r="E101" i="11"/>
  <c r="F101" i="11"/>
  <c r="H101" i="11"/>
  <c r="E105" i="11"/>
  <c r="H47" i="11"/>
  <c r="F47" i="11"/>
  <c r="E47" i="11"/>
  <c r="H23" i="11"/>
  <c r="F23" i="11"/>
  <c r="E23" i="11"/>
  <c r="H43" i="11"/>
  <c r="F43" i="11"/>
  <c r="E43" i="11"/>
  <c r="H31" i="11"/>
  <c r="F31" i="11"/>
  <c r="E31" i="11"/>
  <c r="H30" i="11"/>
  <c r="I30" i="11" s="1"/>
  <c r="F30" i="11"/>
  <c r="E30" i="11"/>
  <c r="E82" i="11"/>
  <c r="F82" i="11"/>
  <c r="H82" i="11"/>
  <c r="E83" i="11"/>
  <c r="F83" i="11"/>
  <c r="H83" i="11"/>
  <c r="I83" i="11" s="1"/>
  <c r="T83" i="11" s="1"/>
  <c r="E84" i="11"/>
  <c r="F84" i="11"/>
  <c r="H84" i="11"/>
  <c r="I84" i="11" s="1"/>
  <c r="E85" i="11"/>
  <c r="F85" i="11"/>
  <c r="H85" i="11"/>
  <c r="H21" i="11"/>
  <c r="F21" i="11"/>
  <c r="E21" i="11"/>
  <c r="H18" i="11"/>
  <c r="F18" i="11"/>
  <c r="E18" i="11"/>
  <c r="E77" i="11"/>
  <c r="F77" i="11"/>
  <c r="H77" i="11"/>
  <c r="E78" i="11"/>
  <c r="F78" i="11"/>
  <c r="H78" i="11"/>
  <c r="E79" i="11"/>
  <c r="F79" i="11"/>
  <c r="H79" i="11"/>
  <c r="H171" i="11"/>
  <c r="F171" i="11"/>
  <c r="E171" i="11"/>
  <c r="H170" i="11"/>
  <c r="F170" i="11"/>
  <c r="E170" i="11"/>
  <c r="H169" i="11"/>
  <c r="F169" i="11"/>
  <c r="E169" i="11"/>
  <c r="H168" i="11"/>
  <c r="F168" i="11"/>
  <c r="E168" i="11"/>
  <c r="H167" i="11"/>
  <c r="F167" i="11"/>
  <c r="E167" i="11"/>
  <c r="H166" i="11"/>
  <c r="I166" i="11" s="1"/>
  <c r="F166" i="11"/>
  <c r="E166" i="11"/>
  <c r="H165" i="11"/>
  <c r="F165" i="11"/>
  <c r="E165" i="11"/>
  <c r="E38" i="11"/>
  <c r="F38" i="11"/>
  <c r="H38" i="11"/>
  <c r="H33" i="11"/>
  <c r="F33" i="11"/>
  <c r="E33" i="11"/>
  <c r="H32" i="11"/>
  <c r="F32" i="11"/>
  <c r="E32" i="11"/>
  <c r="H27" i="11"/>
  <c r="F27" i="11"/>
  <c r="E27" i="11"/>
  <c r="H25" i="11"/>
  <c r="F25" i="11"/>
  <c r="E25" i="11"/>
  <c r="H24" i="11"/>
  <c r="F24" i="11"/>
  <c r="E24" i="11"/>
  <c r="E51" i="11"/>
  <c r="F51" i="11"/>
  <c r="H51" i="11"/>
  <c r="H163" i="11"/>
  <c r="F163" i="11"/>
  <c r="E163" i="11"/>
  <c r="H162" i="11"/>
  <c r="F162" i="11"/>
  <c r="E162" i="11"/>
  <c r="H161" i="11"/>
  <c r="F161" i="11"/>
  <c r="E161" i="11"/>
  <c r="H160" i="11"/>
  <c r="F160" i="11"/>
  <c r="E160" i="11"/>
  <c r="H159" i="11"/>
  <c r="F159" i="11"/>
  <c r="E159" i="11"/>
  <c r="H158" i="11"/>
  <c r="I158" i="11" s="1"/>
  <c r="F158" i="11"/>
  <c r="E158" i="11"/>
  <c r="H157" i="11"/>
  <c r="F157" i="11"/>
  <c r="E157" i="11"/>
  <c r="H156" i="11"/>
  <c r="F156" i="11"/>
  <c r="E156" i="11"/>
  <c r="H155" i="11"/>
  <c r="F155" i="11"/>
  <c r="E155" i="11"/>
  <c r="H154" i="11"/>
  <c r="F154" i="11"/>
  <c r="E154" i="11"/>
  <c r="H153" i="11"/>
  <c r="F153" i="11"/>
  <c r="E153" i="11"/>
  <c r="H152" i="11"/>
  <c r="F152" i="11"/>
  <c r="E152" i="11"/>
  <c r="H151" i="11"/>
  <c r="F151" i="11"/>
  <c r="E151" i="11"/>
  <c r="H150" i="11"/>
  <c r="I150" i="11"/>
  <c r="X150" i="11" s="1"/>
  <c r="F150" i="11"/>
  <c r="E150" i="11"/>
  <c r="H149" i="11"/>
  <c r="I149" i="11" s="1"/>
  <c r="AB149" i="11" s="1"/>
  <c r="F149" i="11"/>
  <c r="E149" i="11"/>
  <c r="H148" i="11"/>
  <c r="F148" i="11"/>
  <c r="E148" i="11"/>
  <c r="H147" i="11"/>
  <c r="I147" i="11" s="1"/>
  <c r="AB147" i="11" s="1"/>
  <c r="F147" i="11"/>
  <c r="E147" i="11"/>
  <c r="H146" i="11"/>
  <c r="F146" i="11"/>
  <c r="E146" i="11"/>
  <c r="H145" i="11"/>
  <c r="I145" i="11" s="1"/>
  <c r="F145" i="11"/>
  <c r="E145" i="11"/>
  <c r="H144" i="11"/>
  <c r="F144" i="11"/>
  <c r="E144" i="11"/>
  <c r="H143" i="11"/>
  <c r="I143" i="11" s="1"/>
  <c r="P143" i="11" s="1"/>
  <c r="F143" i="11"/>
  <c r="E143" i="11"/>
  <c r="H142" i="11"/>
  <c r="I142" i="11" s="1"/>
  <c r="P142" i="11" s="1"/>
  <c r="F142" i="11"/>
  <c r="E142" i="11"/>
  <c r="H141" i="11"/>
  <c r="I141" i="11" s="1"/>
  <c r="X141" i="11" s="1"/>
  <c r="F141" i="11"/>
  <c r="E141" i="11"/>
  <c r="H140" i="11"/>
  <c r="F140" i="11"/>
  <c r="E140" i="11"/>
  <c r="H139" i="11"/>
  <c r="I139" i="11" s="1"/>
  <c r="F139" i="11"/>
  <c r="E139" i="11"/>
  <c r="H138" i="11"/>
  <c r="F138" i="11"/>
  <c r="E138" i="11"/>
  <c r="H137" i="11"/>
  <c r="I137" i="11" s="1"/>
  <c r="X137" i="11" s="1"/>
  <c r="F137" i="11"/>
  <c r="E137" i="11"/>
  <c r="H136" i="11"/>
  <c r="F136" i="11"/>
  <c r="E136" i="11"/>
  <c r="H135" i="11"/>
  <c r="I135" i="11" s="1"/>
  <c r="F135" i="11"/>
  <c r="E135" i="11"/>
  <c r="H134" i="11"/>
  <c r="I134" i="11" s="1"/>
  <c r="F134" i="11"/>
  <c r="E134" i="11"/>
  <c r="H133" i="11"/>
  <c r="I133" i="11" s="1"/>
  <c r="F133" i="11"/>
  <c r="E133" i="11"/>
  <c r="H132" i="11"/>
  <c r="F132" i="11"/>
  <c r="E132" i="11"/>
  <c r="H131" i="11"/>
  <c r="I131" i="11" s="1"/>
  <c r="P131" i="11" s="1"/>
  <c r="F131" i="11"/>
  <c r="E131" i="11"/>
  <c r="H130" i="11"/>
  <c r="I130" i="11" s="1"/>
  <c r="P130" i="11" s="1"/>
  <c r="F130" i="11"/>
  <c r="E130" i="11"/>
  <c r="H128" i="11"/>
  <c r="I128" i="11" s="1"/>
  <c r="F128" i="11"/>
  <c r="E128" i="11"/>
  <c r="H127" i="11"/>
  <c r="F127" i="11"/>
  <c r="E127" i="11"/>
  <c r="H126" i="11"/>
  <c r="I126" i="11" s="1"/>
  <c r="P126" i="11" s="1"/>
  <c r="F126" i="11"/>
  <c r="E126" i="11"/>
  <c r="H125" i="11"/>
  <c r="I125" i="11" s="1"/>
  <c r="F125" i="11"/>
  <c r="E125" i="11"/>
  <c r="H124" i="11"/>
  <c r="I124" i="11" s="1"/>
  <c r="P124" i="11" s="1"/>
  <c r="F124" i="11"/>
  <c r="E124" i="11"/>
  <c r="H123" i="11"/>
  <c r="F123" i="11"/>
  <c r="E123" i="11"/>
  <c r="H122" i="11"/>
  <c r="I122" i="11" s="1"/>
  <c r="X122" i="11" s="1"/>
  <c r="F122" i="11"/>
  <c r="E122" i="11"/>
  <c r="H121" i="11"/>
  <c r="I121" i="11" s="1"/>
  <c r="F121" i="11"/>
  <c r="E121" i="11"/>
  <c r="H119" i="11"/>
  <c r="I119" i="11" s="1"/>
  <c r="F119" i="11"/>
  <c r="E119" i="11"/>
  <c r="H118" i="11"/>
  <c r="F118" i="11"/>
  <c r="E118" i="11"/>
  <c r="H117" i="11"/>
  <c r="I117" i="11" s="1"/>
  <c r="F117" i="11"/>
  <c r="E117" i="11"/>
  <c r="H115" i="11"/>
  <c r="F115" i="11"/>
  <c r="E115" i="11"/>
  <c r="H114" i="11"/>
  <c r="I114" i="11" s="1"/>
  <c r="P114" i="11" s="1"/>
  <c r="F114" i="11"/>
  <c r="E114" i="11"/>
  <c r="H113" i="11"/>
  <c r="F113" i="11"/>
  <c r="E113" i="11"/>
  <c r="H112" i="11"/>
  <c r="F112" i="11"/>
  <c r="E112" i="11"/>
  <c r="H110" i="11"/>
  <c r="F110" i="11"/>
  <c r="E110" i="11"/>
  <c r="H109" i="11"/>
  <c r="I109" i="11" s="1"/>
  <c r="F109" i="11"/>
  <c r="E109" i="11"/>
  <c r="H108" i="11"/>
  <c r="F108" i="11"/>
  <c r="E108" i="11"/>
  <c r="H107" i="11"/>
  <c r="I107" i="11" s="1"/>
  <c r="F107" i="11"/>
  <c r="E107" i="11"/>
  <c r="H106" i="11"/>
  <c r="I106" i="11" s="1"/>
  <c r="F106" i="11"/>
  <c r="E106" i="11"/>
  <c r="H105" i="11"/>
  <c r="I105" i="11" s="1"/>
  <c r="T105" i="11" s="1"/>
  <c r="F105" i="11"/>
  <c r="H104" i="11"/>
  <c r="F104" i="11"/>
  <c r="E104" i="11"/>
  <c r="H103" i="11"/>
  <c r="F103" i="11"/>
  <c r="E103" i="11"/>
  <c r="H102" i="11"/>
  <c r="F102" i="11"/>
  <c r="E102" i="11"/>
  <c r="H90" i="11"/>
  <c r="F90" i="11"/>
  <c r="E90" i="11"/>
  <c r="H89" i="11"/>
  <c r="F89" i="11"/>
  <c r="E89" i="11"/>
  <c r="H88" i="11"/>
  <c r="F88" i="11"/>
  <c r="E88" i="11"/>
  <c r="H87" i="11"/>
  <c r="F87" i="11"/>
  <c r="E87" i="11"/>
  <c r="H81" i="11"/>
  <c r="F81" i="11"/>
  <c r="E81" i="11"/>
  <c r="H80" i="11"/>
  <c r="F80" i="11"/>
  <c r="E80" i="11"/>
  <c r="H76" i="11"/>
  <c r="I76" i="11" s="1"/>
  <c r="AB76" i="11" s="1"/>
  <c r="F76" i="11"/>
  <c r="E76" i="11"/>
  <c r="H74" i="11"/>
  <c r="F74" i="11"/>
  <c r="E74" i="11"/>
  <c r="H73" i="11"/>
  <c r="F73" i="11"/>
  <c r="E73" i="11"/>
  <c r="H72" i="11"/>
  <c r="F72" i="11"/>
  <c r="E72" i="11"/>
  <c r="H71" i="11"/>
  <c r="I71" i="11" s="1"/>
  <c r="V71" i="11" s="1"/>
  <c r="F71" i="11"/>
  <c r="E71" i="11"/>
  <c r="H70" i="11"/>
  <c r="F70" i="11"/>
  <c r="E70" i="11"/>
  <c r="H69" i="11"/>
  <c r="I69" i="11" s="1"/>
  <c r="J69" i="11" s="1"/>
  <c r="F69" i="11"/>
  <c r="E69" i="11"/>
  <c r="H67" i="11"/>
  <c r="F67" i="11"/>
  <c r="E67" i="11"/>
  <c r="H66" i="11"/>
  <c r="F66" i="11"/>
  <c r="E66" i="11"/>
  <c r="H65" i="11"/>
  <c r="I65" i="11" s="1"/>
  <c r="P65" i="11" s="1"/>
  <c r="F65" i="11"/>
  <c r="E65" i="11"/>
  <c r="H64" i="11"/>
  <c r="F64" i="11"/>
  <c r="E64" i="11"/>
  <c r="H63" i="11"/>
  <c r="I63" i="11" s="1"/>
  <c r="F63" i="11"/>
  <c r="E63" i="11"/>
  <c r="H62" i="11"/>
  <c r="F62" i="11"/>
  <c r="E62" i="11"/>
  <c r="H61" i="11"/>
  <c r="F61" i="11"/>
  <c r="E61" i="11"/>
  <c r="H60" i="11"/>
  <c r="F60" i="11"/>
  <c r="E60" i="11"/>
  <c r="H58" i="11"/>
  <c r="I58" i="11" s="1"/>
  <c r="F58" i="11"/>
  <c r="E58" i="11"/>
  <c r="H57" i="11"/>
  <c r="F57" i="11"/>
  <c r="E57" i="11"/>
  <c r="H56" i="11"/>
  <c r="F56" i="11"/>
  <c r="E56" i="11"/>
  <c r="H55" i="11"/>
  <c r="F55" i="11"/>
  <c r="E55" i="11"/>
  <c r="H54" i="11"/>
  <c r="F54" i="11"/>
  <c r="E54" i="11"/>
  <c r="H53" i="11"/>
  <c r="I53" i="11" s="1"/>
  <c r="F53" i="11"/>
  <c r="E53" i="11"/>
  <c r="H52" i="11"/>
  <c r="F52" i="11"/>
  <c r="E52" i="11"/>
  <c r="H50" i="11"/>
  <c r="F50" i="11"/>
  <c r="E50" i="11"/>
  <c r="H49" i="11"/>
  <c r="I49" i="11" s="1"/>
  <c r="F49" i="11"/>
  <c r="E49" i="11"/>
  <c r="H48" i="11"/>
  <c r="F48" i="11"/>
  <c r="E48" i="11"/>
  <c r="H46" i="11"/>
  <c r="F46" i="11"/>
  <c r="E46" i="11"/>
  <c r="H45" i="11"/>
  <c r="F45" i="11"/>
  <c r="E45" i="11"/>
  <c r="H44" i="11"/>
  <c r="I44" i="11" s="1"/>
  <c r="F44" i="11"/>
  <c r="E44" i="11"/>
  <c r="H42" i="11"/>
  <c r="F42" i="11"/>
  <c r="E42" i="11"/>
  <c r="H41" i="11"/>
  <c r="F41" i="11"/>
  <c r="E41" i="11"/>
  <c r="H40" i="11"/>
  <c r="F40" i="11"/>
  <c r="E40" i="11"/>
  <c r="H35" i="11"/>
  <c r="I35" i="11" s="1"/>
  <c r="AB35" i="11" s="1"/>
  <c r="F35" i="11"/>
  <c r="E35" i="11"/>
  <c r="H34" i="11"/>
  <c r="F34" i="11"/>
  <c r="E34" i="11"/>
  <c r="H29" i="11"/>
  <c r="I29" i="11" s="1"/>
  <c r="AB29" i="11" s="1"/>
  <c r="F29" i="11"/>
  <c r="E29" i="11"/>
  <c r="H28" i="11"/>
  <c r="F28" i="11"/>
  <c r="E28" i="11"/>
  <c r="H26" i="11"/>
  <c r="F26" i="11"/>
  <c r="E26" i="11"/>
  <c r="H22" i="11"/>
  <c r="F22" i="11"/>
  <c r="E22" i="11"/>
  <c r="H20" i="11"/>
  <c r="F20" i="11"/>
  <c r="E20" i="11"/>
  <c r="H19" i="11"/>
  <c r="I19" i="11" s="1"/>
  <c r="F19" i="11"/>
  <c r="E19" i="11"/>
  <c r="H17" i="11"/>
  <c r="F17" i="11"/>
  <c r="E17" i="11"/>
  <c r="I179" i="18"/>
  <c r="J179" i="18" s="1"/>
  <c r="S43" i="11"/>
  <c r="T43" i="11" s="1"/>
  <c r="I21" i="16"/>
  <c r="I64" i="16"/>
  <c r="AD64" i="16" s="1"/>
  <c r="I83" i="16"/>
  <c r="I97" i="16"/>
  <c r="X97" i="16" s="1"/>
  <c r="I120" i="16"/>
  <c r="X120" i="16" s="1"/>
  <c r="I126" i="18"/>
  <c r="I151" i="18"/>
  <c r="X151" i="18" s="1"/>
  <c r="I122" i="20"/>
  <c r="J122" i="20" s="1"/>
  <c r="I131" i="20"/>
  <c r="I147" i="20"/>
  <c r="I155" i="20"/>
  <c r="I163" i="20"/>
  <c r="I172" i="20"/>
  <c r="I135" i="21"/>
  <c r="N135" i="21" s="1"/>
  <c r="I143" i="21"/>
  <c r="J143" i="21" s="1"/>
  <c r="I148" i="21"/>
  <c r="J148" i="21" s="1"/>
  <c r="I155" i="21"/>
  <c r="N155" i="21" s="1"/>
  <c r="I160" i="21"/>
  <c r="J160" i="21" s="1"/>
  <c r="I176" i="21"/>
  <c r="U123" i="11"/>
  <c r="U116" i="11"/>
  <c r="U124" i="11"/>
  <c r="U125" i="11"/>
  <c r="U121" i="11"/>
  <c r="U120" i="11"/>
  <c r="I37" i="18"/>
  <c r="J37" i="18" s="1"/>
  <c r="I178" i="20"/>
  <c r="P178" i="20" s="1"/>
  <c r="I37" i="21"/>
  <c r="J37" i="21" s="1"/>
  <c r="I107" i="16"/>
  <c r="I159" i="16"/>
  <c r="I136" i="18"/>
  <c r="I144" i="18"/>
  <c r="I152" i="18"/>
  <c r="I160" i="18"/>
  <c r="I123" i="20"/>
  <c r="J123" i="20" s="1"/>
  <c r="I132" i="20"/>
  <c r="P132" i="20" s="1"/>
  <c r="I140" i="20"/>
  <c r="P140" i="20" s="1"/>
  <c r="I165" i="20"/>
  <c r="J165" i="20" s="1"/>
  <c r="I173" i="20"/>
  <c r="I144" i="21"/>
  <c r="J144" i="21" s="1"/>
  <c r="I156" i="21"/>
  <c r="I161" i="21"/>
  <c r="I169" i="21"/>
  <c r="N169" i="21" s="1"/>
  <c r="I25" i="16"/>
  <c r="I60" i="16"/>
  <c r="I130" i="16"/>
  <c r="AB130" i="16" s="1"/>
  <c r="I146" i="16"/>
  <c r="V146" i="16" s="1"/>
  <c r="I162" i="16"/>
  <c r="AD162" i="16" s="1"/>
  <c r="I168" i="16"/>
  <c r="I122" i="18"/>
  <c r="I172" i="18"/>
  <c r="X172" i="18" s="1"/>
  <c r="I126" i="20"/>
  <c r="J126" i="20" s="1"/>
  <c r="I159" i="20"/>
  <c r="P159" i="20" s="1"/>
  <c r="I168" i="20"/>
  <c r="I176" i="20"/>
  <c r="I131" i="21"/>
  <c r="I139" i="21"/>
  <c r="J139" i="21" s="1"/>
  <c r="I151" i="21"/>
  <c r="N151" i="21" s="1"/>
  <c r="I172" i="21"/>
  <c r="P172" i="21" s="1"/>
  <c r="I96" i="16"/>
  <c r="I105" i="16"/>
  <c r="I127" i="16"/>
  <c r="X127" i="16" s="1"/>
  <c r="I157" i="16"/>
  <c r="W117" i="11"/>
  <c r="W125" i="11"/>
  <c r="W112" i="11"/>
  <c r="W122" i="11"/>
  <c r="W120" i="11"/>
  <c r="I36" i="16"/>
  <c r="J36" i="16" s="1"/>
  <c r="I37" i="16"/>
  <c r="J37" i="16" s="1"/>
  <c r="I36" i="20"/>
  <c r="J36" i="20"/>
  <c r="I37" i="20"/>
  <c r="J37" i="20" s="1"/>
  <c r="I34" i="16"/>
  <c r="I51" i="16"/>
  <c r="I132" i="18"/>
  <c r="J132" i="18" s="1"/>
  <c r="I140" i="18"/>
  <c r="I148" i="18"/>
  <c r="I156" i="18"/>
  <c r="J156" i="18" s="1"/>
  <c r="I165" i="18"/>
  <c r="I136" i="20"/>
  <c r="P136" i="20" s="1"/>
  <c r="I152" i="20"/>
  <c r="I160" i="20"/>
  <c r="J160" i="20" s="1"/>
  <c r="I140" i="21"/>
  <c r="I152" i="21"/>
  <c r="I173" i="21"/>
  <c r="N173" i="21" s="1"/>
  <c r="N109" i="21"/>
  <c r="I36" i="11"/>
  <c r="J36" i="11" s="1"/>
  <c r="I37" i="11"/>
  <c r="J37" i="11" s="1"/>
  <c r="AP20" i="36"/>
  <c r="AP33" i="36"/>
  <c r="N133" i="21"/>
  <c r="J133" i="21"/>
  <c r="I84" i="17"/>
  <c r="J84" i="17" s="1"/>
  <c r="I160" i="17"/>
  <c r="BP160" i="17" s="1"/>
  <c r="I177" i="17"/>
  <c r="J177" i="17" s="1"/>
  <c r="I46" i="17"/>
  <c r="J46" i="17" s="1"/>
  <c r="I54" i="17"/>
  <c r="AZ54" i="17" s="1"/>
  <c r="I96" i="17"/>
  <c r="I105" i="17"/>
  <c r="AZ105" i="17" s="1"/>
  <c r="I59" i="17"/>
  <c r="J59" i="17" s="1"/>
  <c r="I93" i="17"/>
  <c r="I110" i="17"/>
  <c r="AZ110" i="17" s="1"/>
  <c r="I22" i="17"/>
  <c r="BP22" i="17" s="1"/>
  <c r="I30" i="17"/>
  <c r="I49" i="17"/>
  <c r="J49" i="17" s="1"/>
  <c r="I65" i="17"/>
  <c r="AZ65" i="17" s="1"/>
  <c r="I108" i="17"/>
  <c r="I117" i="17"/>
  <c r="J117" i="17" s="1"/>
  <c r="I51" i="17"/>
  <c r="J51" i="17" s="1"/>
  <c r="I52" i="17"/>
  <c r="I85" i="17"/>
  <c r="I94" i="17"/>
  <c r="AZ94" i="17" s="1"/>
  <c r="I103" i="17"/>
  <c r="AZ103" i="17" s="1"/>
  <c r="I112" i="17"/>
  <c r="J112" i="17"/>
  <c r="I137" i="17"/>
  <c r="I145" i="17"/>
  <c r="I144" i="17"/>
  <c r="BP144" i="17" s="1"/>
  <c r="I28" i="17"/>
  <c r="I38" i="17"/>
  <c r="AZ38" i="17" s="1"/>
  <c r="I47" i="17"/>
  <c r="I55" i="17"/>
  <c r="J55" i="17" s="1"/>
  <c r="I63" i="17"/>
  <c r="AZ63" i="17" s="1"/>
  <c r="I80" i="17"/>
  <c r="I115" i="17"/>
  <c r="J115" i="17" s="1"/>
  <c r="I123" i="17"/>
  <c r="J123" i="17" s="1"/>
  <c r="I152" i="17"/>
  <c r="BP152" i="17" s="1"/>
  <c r="I31" i="17"/>
  <c r="AZ31" i="17" s="1"/>
  <c r="I58" i="17"/>
  <c r="I66" i="17"/>
  <c r="BP66" i="17" s="1"/>
  <c r="I83" i="17"/>
  <c r="J83" i="17" s="1"/>
  <c r="BP109" i="17"/>
  <c r="I136" i="17"/>
  <c r="J136" i="17" s="1"/>
  <c r="I17" i="17"/>
  <c r="I26" i="17"/>
  <c r="I70" i="17"/>
  <c r="BP70" i="17" s="1"/>
  <c r="I113" i="17"/>
  <c r="J113" i="17" s="1"/>
  <c r="I130" i="17"/>
  <c r="I146" i="17"/>
  <c r="BP146" i="17" s="1"/>
  <c r="I162" i="17"/>
  <c r="J162" i="17" s="1"/>
  <c r="I171" i="17"/>
  <c r="I179" i="17"/>
  <c r="AZ179" i="17" s="1"/>
  <c r="AZ134" i="17"/>
  <c r="J58" i="17"/>
  <c r="AZ51" i="17"/>
  <c r="AZ59" i="17"/>
  <c r="AZ144" i="17"/>
  <c r="BP38" i="17"/>
  <c r="I163" i="17"/>
  <c r="I142" i="17"/>
  <c r="I158" i="17"/>
  <c r="AZ158" i="17" s="1"/>
  <c r="I161" i="17"/>
  <c r="I178" i="17"/>
  <c r="BP178" i="17" s="1"/>
  <c r="I148" i="17"/>
  <c r="J148" i="17" s="1"/>
  <c r="I165" i="17"/>
  <c r="AZ171" i="17"/>
  <c r="BO173" i="17"/>
  <c r="G173" i="17" s="1"/>
  <c r="BO176" i="17"/>
  <c r="G176" i="17" s="1"/>
  <c r="BO165" i="17"/>
  <c r="G165" i="17" s="1"/>
  <c r="BO174" i="17"/>
  <c r="BO107" i="17"/>
  <c r="G107" i="17" s="1"/>
  <c r="BO175" i="17"/>
  <c r="G175" i="17" s="1"/>
  <c r="BO89" i="17"/>
  <c r="G89" i="17" s="1"/>
  <c r="BO168" i="17"/>
  <c r="BO90" i="17"/>
  <c r="AZ178" i="17"/>
  <c r="BO167" i="17"/>
  <c r="G167" i="17" s="1"/>
  <c r="J167" i="17" s="1"/>
  <c r="BO178" i="17"/>
  <c r="I100" i="16"/>
  <c r="J100" i="16" s="1"/>
  <c r="N142" i="36"/>
  <c r="N160" i="36"/>
  <c r="P93" i="20"/>
  <c r="P43" i="20"/>
  <c r="P108" i="20"/>
  <c r="P57" i="20"/>
  <c r="P179" i="20"/>
  <c r="P21" i="20"/>
  <c r="P84" i="20"/>
  <c r="O165" i="21"/>
  <c r="G165" i="21" s="1"/>
  <c r="O168" i="21"/>
  <c r="G168" i="21"/>
  <c r="O178" i="21"/>
  <c r="O171" i="21"/>
  <c r="G171" i="21" s="1"/>
  <c r="O173" i="21"/>
  <c r="P173" i="21" s="1"/>
  <c r="O174" i="21"/>
  <c r="G174" i="21" s="1"/>
  <c r="O175" i="21"/>
  <c r="O176" i="21"/>
  <c r="G176" i="21" s="1"/>
  <c r="S159" i="11"/>
  <c r="S158" i="11" s="1"/>
  <c r="P31" i="20"/>
  <c r="P150" i="20"/>
  <c r="P89" i="20"/>
  <c r="P146" i="20"/>
  <c r="J146" i="20"/>
  <c r="P58" i="20"/>
  <c r="J20" i="20"/>
  <c r="P20" i="20"/>
  <c r="J30" i="20"/>
  <c r="P110" i="20"/>
  <c r="J18" i="20"/>
  <c r="P18" i="20"/>
  <c r="P35" i="20"/>
  <c r="P162" i="20"/>
  <c r="P22" i="20"/>
  <c r="P63" i="20"/>
  <c r="J22" i="20"/>
  <c r="P170" i="20"/>
  <c r="J21" i="20"/>
  <c r="P46" i="20"/>
  <c r="P54" i="20"/>
  <c r="P160" i="20"/>
  <c r="P23" i="20"/>
  <c r="J26" i="20"/>
  <c r="P26" i="20"/>
  <c r="P79" i="20"/>
  <c r="P19" i="20"/>
  <c r="P38" i="20"/>
  <c r="P52" i="20"/>
  <c r="J142" i="20"/>
  <c r="J140" i="20"/>
  <c r="J159" i="20"/>
  <c r="P42" i="20"/>
  <c r="P56" i="20"/>
  <c r="P104" i="20"/>
  <c r="P165" i="20"/>
  <c r="O13" i="20"/>
  <c r="J54" i="20"/>
  <c r="J84" i="20"/>
  <c r="J46" i="20"/>
  <c r="J69" i="20"/>
  <c r="J157" i="20"/>
  <c r="J150" i="20"/>
  <c r="J79" i="20"/>
  <c r="O19" i="21"/>
  <c r="M13" i="21"/>
  <c r="J54" i="21"/>
  <c r="J58" i="21"/>
  <c r="P81" i="21"/>
  <c r="N54" i="21"/>
  <c r="J25" i="21"/>
  <c r="P58" i="21"/>
  <c r="P97" i="21"/>
  <c r="J97" i="21"/>
  <c r="N25" i="21"/>
  <c r="N43" i="21"/>
  <c r="N176" i="21"/>
  <c r="N140" i="21"/>
  <c r="N117" i="21"/>
  <c r="P43" i="21"/>
  <c r="P117" i="21"/>
  <c r="P110" i="21"/>
  <c r="J110" i="21"/>
  <c r="P108" i="21"/>
  <c r="N108" i="21"/>
  <c r="J108" i="21"/>
  <c r="N103" i="21"/>
  <c r="J103" i="21"/>
  <c r="J155" i="21"/>
  <c r="P144" i="21"/>
  <c r="N144" i="21"/>
  <c r="J163" i="21"/>
  <c r="P135" i="21"/>
  <c r="N163" i="21"/>
  <c r="J169" i="21"/>
  <c r="N172" i="21"/>
  <c r="J63" i="20"/>
  <c r="J74" i="20"/>
  <c r="J80" i="20"/>
  <c r="J52" i="20"/>
  <c r="J55" i="20"/>
  <c r="J42" i="20"/>
  <c r="J44" i="20"/>
  <c r="J56" i="20"/>
  <c r="J59" i="20"/>
  <c r="J108" i="20"/>
  <c r="J49" i="20"/>
  <c r="J64" i="20"/>
  <c r="J93" i="20"/>
  <c r="J136" i="20"/>
  <c r="J77" i="20"/>
  <c r="J35" i="20"/>
  <c r="J43" i="20"/>
  <c r="J110" i="20"/>
  <c r="J170" i="20"/>
  <c r="J76" i="20"/>
  <c r="J156" i="20"/>
  <c r="J166" i="20"/>
  <c r="X132" i="18"/>
  <c r="X179" i="18"/>
  <c r="X156" i="18"/>
  <c r="W171" i="18"/>
  <c r="G171" i="18" s="1"/>
  <c r="W140" i="18"/>
  <c r="G140" i="18" s="1"/>
  <c r="J140" i="18" s="1"/>
  <c r="W176" i="18"/>
  <c r="W167" i="18"/>
  <c r="W130" i="18"/>
  <c r="W141" i="18"/>
  <c r="G141" i="18" s="1"/>
  <c r="W173" i="18"/>
  <c r="W137" i="18"/>
  <c r="W146" i="18"/>
  <c r="G146" i="18" s="1"/>
  <c r="W168" i="18"/>
  <c r="W178" i="18"/>
  <c r="G178" i="18" s="1"/>
  <c r="W174" i="18"/>
  <c r="W19" i="18"/>
  <c r="W138" i="18"/>
  <c r="G138" i="18" s="1"/>
  <c r="W159" i="18"/>
  <c r="W160" i="18" s="1"/>
  <c r="W148" i="18"/>
  <c r="G148" i="18" s="1"/>
  <c r="J148" i="18" s="1"/>
  <c r="W165" i="18"/>
  <c r="G165" i="18" s="1"/>
  <c r="W175" i="18"/>
  <c r="G175" i="18" s="1"/>
  <c r="J151" i="18"/>
  <c r="I163" i="18"/>
  <c r="J163" i="18" s="1"/>
  <c r="BO13" i="17"/>
  <c r="AB27" i="16"/>
  <c r="X27" i="16"/>
  <c r="AD27" i="16"/>
  <c r="AD23" i="16"/>
  <c r="X23" i="16"/>
  <c r="V23" i="16"/>
  <c r="N23" i="16"/>
  <c r="AA179" i="16"/>
  <c r="AB179" i="16" s="1"/>
  <c r="AB167" i="16"/>
  <c r="AB101" i="16"/>
  <c r="AD101" i="16"/>
  <c r="AH101" i="16"/>
  <c r="X101" i="16"/>
  <c r="V101" i="16"/>
  <c r="I84" i="16"/>
  <c r="I77" i="16"/>
  <c r="N77" i="16" s="1"/>
  <c r="I75" i="16"/>
  <c r="N75" i="16" s="1"/>
  <c r="I69" i="16"/>
  <c r="N69" i="16" s="1"/>
  <c r="I149" i="16"/>
  <c r="I150" i="16"/>
  <c r="AH150" i="16" s="1"/>
  <c r="AD20" i="16"/>
  <c r="AH83" i="16"/>
  <c r="AB83" i="16"/>
  <c r="N83" i="16"/>
  <c r="X83" i="16"/>
  <c r="AC178" i="16"/>
  <c r="AB35" i="16"/>
  <c r="J35" i="16"/>
  <c r="AH35" i="16"/>
  <c r="AH72" i="16"/>
  <c r="X72" i="16"/>
  <c r="V72" i="16"/>
  <c r="AD72" i="16"/>
  <c r="AB72" i="16"/>
  <c r="AH96" i="16"/>
  <c r="X96" i="16"/>
  <c r="J96" i="16"/>
  <c r="J130" i="16"/>
  <c r="AH130" i="16"/>
  <c r="V130" i="16"/>
  <c r="AD130" i="16"/>
  <c r="X130" i="16"/>
  <c r="AH88" i="16"/>
  <c r="AD88" i="16"/>
  <c r="AB159" i="16"/>
  <c r="AH159" i="16"/>
  <c r="J159" i="16"/>
  <c r="AH64" i="16"/>
  <c r="V64" i="16"/>
  <c r="X64" i="16"/>
  <c r="U171" i="16"/>
  <c r="V124" i="16"/>
  <c r="X31" i="16"/>
  <c r="V31" i="16"/>
  <c r="X124" i="16"/>
  <c r="J48" i="16"/>
  <c r="AD48" i="16"/>
  <c r="AH48" i="16"/>
  <c r="X48" i="16"/>
  <c r="V48" i="16"/>
  <c r="AB48" i="16"/>
  <c r="AB131" i="16"/>
  <c r="AD131" i="16"/>
  <c r="N131" i="16"/>
  <c r="AB157" i="16"/>
  <c r="N49" i="16"/>
  <c r="U178" i="16"/>
  <c r="U167" i="16"/>
  <c r="V167" i="16" s="1"/>
  <c r="AB17" i="16"/>
  <c r="X29" i="16"/>
  <c r="AH80" i="16"/>
  <c r="X80" i="16"/>
  <c r="AD80" i="16"/>
  <c r="AB80" i="16"/>
  <c r="V80" i="16"/>
  <c r="AB92" i="16"/>
  <c r="AD92" i="16"/>
  <c r="AH92" i="16"/>
  <c r="V92" i="16"/>
  <c r="V105" i="16"/>
  <c r="AD147" i="16"/>
  <c r="V147" i="16"/>
  <c r="N147" i="16"/>
  <c r="J147" i="16"/>
  <c r="AD71" i="16"/>
  <c r="AB76" i="16"/>
  <c r="X76" i="16"/>
  <c r="I137" i="16"/>
  <c r="N137" i="16" s="1"/>
  <c r="I154" i="16"/>
  <c r="AH154" i="16" s="1"/>
  <c r="I102" i="16"/>
  <c r="I112" i="16"/>
  <c r="X112" i="16" s="1"/>
  <c r="I114" i="16"/>
  <c r="V114" i="16" s="1"/>
  <c r="I133" i="16"/>
  <c r="V133" i="16" s="1"/>
  <c r="I135" i="16"/>
  <c r="AD135" i="16" s="1"/>
  <c r="I169" i="16"/>
  <c r="I46" i="16"/>
  <c r="I61" i="16"/>
  <c r="I74" i="16"/>
  <c r="I163" i="16"/>
  <c r="I28" i="16"/>
  <c r="I44" i="16"/>
  <c r="I66" i="16"/>
  <c r="I138" i="16"/>
  <c r="I155" i="16"/>
  <c r="AB155" i="16" s="1"/>
  <c r="I143" i="16"/>
  <c r="I145" i="16"/>
  <c r="I153" i="16"/>
  <c r="V153" i="16" s="1"/>
  <c r="AA173" i="16"/>
  <c r="AB173" i="16"/>
  <c r="I33" i="16"/>
  <c r="AD33" i="16" s="1"/>
  <c r="I91" i="16"/>
  <c r="I110" i="16"/>
  <c r="N110" i="16" s="1"/>
  <c r="I119" i="16"/>
  <c r="V119" i="16" s="1"/>
  <c r="I136" i="16"/>
  <c r="V136" i="16" s="1"/>
  <c r="I141" i="16"/>
  <c r="AB141" i="16" s="1"/>
  <c r="I176" i="16"/>
  <c r="AC119" i="16"/>
  <c r="I24" i="16"/>
  <c r="J24" i="16" s="1"/>
  <c r="I56" i="16"/>
  <c r="I122" i="16"/>
  <c r="I134" i="16"/>
  <c r="I151" i="16"/>
  <c r="I179" i="16"/>
  <c r="AH179" i="16" s="1"/>
  <c r="AA137" i="11"/>
  <c r="AA146" i="11"/>
  <c r="AA123" i="11"/>
  <c r="AA42" i="11"/>
  <c r="AA171" i="11"/>
  <c r="AB171" i="11" s="1"/>
  <c r="AA130" i="11"/>
  <c r="AA125" i="11"/>
  <c r="AB125" i="11" s="1"/>
  <c r="AA176" i="11"/>
  <c r="AB176" i="11" s="1"/>
  <c r="W173" i="11"/>
  <c r="W159" i="11"/>
  <c r="W160" i="11"/>
  <c r="W141" i="11"/>
  <c r="W148" i="11"/>
  <c r="W140" i="11"/>
  <c r="W176" i="11"/>
  <c r="W171" i="11"/>
  <c r="W138" i="11"/>
  <c r="X138" i="11" s="1"/>
  <c r="W130" i="11"/>
  <c r="W165" i="11"/>
  <c r="W146" i="11"/>
  <c r="W152" i="11" s="1"/>
  <c r="W174" i="11"/>
  <c r="W43" i="11"/>
  <c r="W137" i="11"/>
  <c r="W168" i="11"/>
  <c r="W42" i="11"/>
  <c r="W178" i="11"/>
  <c r="W167" i="11"/>
  <c r="S165" i="11"/>
  <c r="S140" i="11"/>
  <c r="U174" i="11"/>
  <c r="U168" i="11"/>
  <c r="U159" i="11"/>
  <c r="U148" i="11"/>
  <c r="U154" i="11" s="1"/>
  <c r="U140" i="11"/>
  <c r="U173" i="11"/>
  <c r="U138" i="11"/>
  <c r="U146" i="11"/>
  <c r="U152" i="11" s="1"/>
  <c r="U165" i="11"/>
  <c r="U137" i="11"/>
  <c r="U175" i="11"/>
  <c r="U141" i="11"/>
  <c r="U171" i="11"/>
  <c r="U43" i="11"/>
  <c r="V43" i="11" s="1"/>
  <c r="U130" i="11"/>
  <c r="U134" i="11" s="1"/>
  <c r="U176" i="11"/>
  <c r="S178" i="11"/>
  <c r="S179" i="11"/>
  <c r="J144" i="17"/>
  <c r="J78" i="17"/>
  <c r="J31" i="17"/>
  <c r="J26" i="17"/>
  <c r="J143" i="17"/>
  <c r="J70" i="17"/>
  <c r="J154" i="17"/>
  <c r="J134" i="17"/>
  <c r="J151" i="17"/>
  <c r="J150" i="17"/>
  <c r="J137" i="17"/>
  <c r="J147" i="17"/>
  <c r="AG167" i="16"/>
  <c r="AH167" i="16" s="1"/>
  <c r="AG124" i="16"/>
  <c r="AH124" i="16" s="1"/>
  <c r="AG116" i="16"/>
  <c r="AG168" i="16"/>
  <c r="AH168" i="16" s="1"/>
  <c r="AG178" i="16"/>
  <c r="AC120" i="16"/>
  <c r="AC128" i="16"/>
  <c r="AC165" i="16"/>
  <c r="AD165" i="16" s="1"/>
  <c r="AC171" i="16"/>
  <c r="AD171" i="16" s="1"/>
  <c r="AA43" i="16"/>
  <c r="AB43" i="16" s="1"/>
  <c r="AA168" i="16"/>
  <c r="AB168" i="16" s="1"/>
  <c r="AA112" i="16"/>
  <c r="AA114" i="16"/>
  <c r="AA115" i="16" s="1"/>
  <c r="AA116" i="16"/>
  <c r="AB116" i="16" s="1"/>
  <c r="AA178" i="16"/>
  <c r="AA122" i="16"/>
  <c r="W167" i="16"/>
  <c r="W173" i="16"/>
  <c r="X173" i="16" s="1"/>
  <c r="W42" i="16"/>
  <c r="W174" i="16"/>
  <c r="X113" i="16"/>
  <c r="W168" i="16"/>
  <c r="W175" i="16"/>
  <c r="W43" i="16"/>
  <c r="X43" i="16" s="1"/>
  <c r="W66" i="16"/>
  <c r="W176" i="16"/>
  <c r="W165" i="16"/>
  <c r="X165" i="16" s="1"/>
  <c r="W171" i="16"/>
  <c r="X171" i="16" s="1"/>
  <c r="W179" i="16"/>
  <c r="X179" i="16" s="1"/>
  <c r="U43" i="16"/>
  <c r="V43" i="16" s="1"/>
  <c r="U165" i="16"/>
  <c r="V165" i="16" s="1"/>
  <c r="V120" i="16"/>
  <c r="U168" i="16"/>
  <c r="U174" i="16"/>
  <c r="U66" i="16"/>
  <c r="N20" i="16"/>
  <c r="J20" i="16"/>
  <c r="N28" i="16"/>
  <c r="N24" i="16"/>
  <c r="N29" i="16"/>
  <c r="M176" i="16"/>
  <c r="M175" i="16"/>
  <c r="N175" i="16" s="1"/>
  <c r="M168" i="16"/>
  <c r="M128" i="16"/>
  <c r="M165" i="16"/>
  <c r="N165" i="16" s="1"/>
  <c r="M173" i="16"/>
  <c r="N173" i="16" s="1"/>
  <c r="M124" i="16"/>
  <c r="M114" i="16"/>
  <c r="M121" i="16"/>
  <c r="M127" i="16" s="1"/>
  <c r="N127" i="16" s="1"/>
  <c r="M116" i="16"/>
  <c r="M123" i="16"/>
  <c r="M122" i="16"/>
  <c r="M125" i="16"/>
  <c r="M112" i="16"/>
  <c r="M120" i="16"/>
  <c r="M42" i="16"/>
  <c r="J27" i="16"/>
  <c r="N80" i="16"/>
  <c r="J80" i="16"/>
  <c r="N72" i="16"/>
  <c r="J72" i="16"/>
  <c r="W13" i="16"/>
  <c r="W67" i="16" s="1"/>
  <c r="X67" i="16" s="1"/>
  <c r="N27" i="16"/>
  <c r="M179" i="16"/>
  <c r="M178" i="16"/>
  <c r="M167" i="16"/>
  <c r="N167" i="16" s="1"/>
  <c r="N64" i="16"/>
  <c r="J64" i="16"/>
  <c r="M43" i="16"/>
  <c r="N43" i="16" s="1"/>
  <c r="M13" i="16"/>
  <c r="J23" i="16"/>
  <c r="J31" i="16"/>
  <c r="N92" i="16"/>
  <c r="J92" i="16"/>
  <c r="J79" i="16"/>
  <c r="J83" i="16"/>
  <c r="J131" i="16"/>
  <c r="N149" i="16"/>
  <c r="J149" i="16"/>
  <c r="J139" i="16"/>
  <c r="N172" i="16"/>
  <c r="N157" i="16"/>
  <c r="J153" i="16"/>
  <c r="N166" i="16"/>
  <c r="W145" i="11"/>
  <c r="W158" i="11"/>
  <c r="X158" i="11" s="1"/>
  <c r="T158" i="11"/>
  <c r="I59" i="11"/>
  <c r="W13" i="11"/>
  <c r="W65" i="11" s="1"/>
  <c r="X65" i="11" s="1"/>
  <c r="U13" i="11"/>
  <c r="U61" i="11" s="1"/>
  <c r="I177" i="11"/>
  <c r="T177" i="11" s="1"/>
  <c r="I176" i="11"/>
  <c r="P176" i="11" s="1"/>
  <c r="I173" i="11"/>
  <c r="I175" i="11"/>
  <c r="I172" i="11"/>
  <c r="I120" i="11"/>
  <c r="I110" i="11"/>
  <c r="J110" i="11" s="1"/>
  <c r="I116" i="11"/>
  <c r="V116" i="11" s="1"/>
  <c r="I75" i="11"/>
  <c r="T75" i="11" s="1"/>
  <c r="I95" i="11"/>
  <c r="V95" i="11" s="1"/>
  <c r="I101" i="11"/>
  <c r="AB101" i="11" s="1"/>
  <c r="I91" i="11"/>
  <c r="I93" i="11"/>
  <c r="I47" i="11"/>
  <c r="I23" i="11"/>
  <c r="AB23" i="11" s="1"/>
  <c r="I43" i="11"/>
  <c r="I102" i="11"/>
  <c r="I31" i="11"/>
  <c r="I85" i="11"/>
  <c r="P85" i="11" s="1"/>
  <c r="I82" i="11"/>
  <c r="I79" i="11"/>
  <c r="X79" i="11" s="1"/>
  <c r="I21" i="11"/>
  <c r="AB21" i="11" s="1"/>
  <c r="I18" i="11"/>
  <c r="T18" i="11" s="1"/>
  <c r="I77" i="11"/>
  <c r="V77" i="11" s="1"/>
  <c r="I78" i="11"/>
  <c r="X78" i="11" s="1"/>
  <c r="I165" i="11"/>
  <c r="P165" i="11" s="1"/>
  <c r="I170" i="11"/>
  <c r="J170" i="11" s="1"/>
  <c r="I168" i="11"/>
  <c r="V168" i="11" s="1"/>
  <c r="I167" i="11"/>
  <c r="I169" i="11"/>
  <c r="V169" i="11" s="1"/>
  <c r="I155" i="11"/>
  <c r="AB155" i="11" s="1"/>
  <c r="I163" i="11"/>
  <c r="I171" i="11"/>
  <c r="P171" i="11" s="1"/>
  <c r="I41" i="11"/>
  <c r="I67" i="11"/>
  <c r="I123" i="11"/>
  <c r="I45" i="11"/>
  <c r="P45" i="11" s="1"/>
  <c r="I62" i="11"/>
  <c r="P62" i="11" s="1"/>
  <c r="I20" i="11"/>
  <c r="I38" i="11"/>
  <c r="AB38" i="11" s="1"/>
  <c r="I32" i="11"/>
  <c r="X32" i="11" s="1"/>
  <c r="I33" i="11"/>
  <c r="I27" i="11"/>
  <c r="X27" i="11" s="1"/>
  <c r="I25" i="11"/>
  <c r="I56" i="11"/>
  <c r="I74" i="11"/>
  <c r="I89" i="11"/>
  <c r="I108" i="11"/>
  <c r="I153" i="11"/>
  <c r="I161" i="11"/>
  <c r="V161" i="11" s="1"/>
  <c r="I132" i="11"/>
  <c r="J132" i="11" s="1"/>
  <c r="I140" i="11"/>
  <c r="P140" i="11" s="1"/>
  <c r="I148" i="11"/>
  <c r="I156" i="11"/>
  <c r="I17" i="11"/>
  <c r="I26" i="11"/>
  <c r="T26" i="11" s="1"/>
  <c r="I80" i="11"/>
  <c r="T80" i="11" s="1"/>
  <c r="I87" i="11"/>
  <c r="I103" i="11"/>
  <c r="I22" i="11"/>
  <c r="P22" i="11" s="1"/>
  <c r="I34" i="11"/>
  <c r="AB34" i="11" s="1"/>
  <c r="I46" i="11"/>
  <c r="P46" i="11" s="1"/>
  <c r="I54" i="11"/>
  <c r="I72" i="11"/>
  <c r="P72" i="11" s="1"/>
  <c r="I112" i="11"/>
  <c r="P112" i="11" s="1"/>
  <c r="I118" i="11"/>
  <c r="I151" i="11"/>
  <c r="V151" i="11" s="1"/>
  <c r="I159" i="11"/>
  <c r="I42" i="11"/>
  <c r="I60" i="11"/>
  <c r="I40" i="11"/>
  <c r="J40" i="11" s="1"/>
  <c r="I50" i="11"/>
  <c r="P50" i="11" s="1"/>
  <c r="I57" i="11"/>
  <c r="I66" i="11"/>
  <c r="P66" i="11" s="1"/>
  <c r="I90" i="11"/>
  <c r="P90" i="11" s="1"/>
  <c r="I115" i="11"/>
  <c r="I138" i="11"/>
  <c r="P138" i="11" s="1"/>
  <c r="I146" i="11"/>
  <c r="I154" i="11"/>
  <c r="I162" i="11"/>
  <c r="P162" i="11" s="1"/>
  <c r="I157" i="11"/>
  <c r="I28" i="11"/>
  <c r="X28" i="11" s="1"/>
  <c r="I52" i="11"/>
  <c r="P52" i="11" s="1"/>
  <c r="I61" i="11"/>
  <c r="I70" i="11"/>
  <c r="I81" i="11"/>
  <c r="V81" i="11" s="1"/>
  <c r="I88" i="11"/>
  <c r="AB88" i="11" s="1"/>
  <c r="I104" i="11"/>
  <c r="X104" i="11" s="1"/>
  <c r="I48" i="11"/>
  <c r="I55" i="11"/>
  <c r="P55" i="11" s="1"/>
  <c r="I64" i="11"/>
  <c r="I73" i="11"/>
  <c r="I113" i="11"/>
  <c r="P113" i="11" s="1"/>
  <c r="I127" i="11"/>
  <c r="P127" i="11" s="1"/>
  <c r="I136" i="11"/>
  <c r="I144" i="11"/>
  <c r="P144" i="11" s="1"/>
  <c r="I152" i="11"/>
  <c r="I160" i="11"/>
  <c r="I24" i="11"/>
  <c r="X24" i="11" s="1"/>
  <c r="I51" i="11"/>
  <c r="J150" i="11"/>
  <c r="X117" i="16"/>
  <c r="J146" i="17"/>
  <c r="V172" i="16"/>
  <c r="AB172" i="16"/>
  <c r="J151" i="20"/>
  <c r="N170" i="16"/>
  <c r="J71" i="16"/>
  <c r="X172" i="16"/>
  <c r="BP54" i="17"/>
  <c r="J172" i="16"/>
  <c r="J25" i="16"/>
  <c r="J22" i="17"/>
  <c r="J172" i="18"/>
  <c r="AZ138" i="17"/>
  <c r="AZ70" i="17"/>
  <c r="N168" i="16"/>
  <c r="N122" i="16"/>
  <c r="J54" i="17"/>
  <c r="BP135" i="17"/>
  <c r="N125" i="16"/>
  <c r="N116" i="16"/>
  <c r="P176" i="21"/>
  <c r="BP74" i="17"/>
  <c r="J74" i="17"/>
  <c r="G178" i="21"/>
  <c r="J172" i="21"/>
  <c r="N120" i="16"/>
  <c r="J91" i="16"/>
  <c r="G19" i="21"/>
  <c r="J175" i="17"/>
  <c r="BP59" i="17"/>
  <c r="J171" i="17"/>
  <c r="P169" i="21"/>
  <c r="G178" i="17"/>
  <c r="AZ109" i="17"/>
  <c r="BP136" i="17"/>
  <c r="BP51" i="17"/>
  <c r="U126" i="11"/>
  <c r="V126" i="11" s="1"/>
  <c r="U127" i="11"/>
  <c r="V127" i="11" s="1"/>
  <c r="BP179" i="17"/>
  <c r="G179" i="17"/>
  <c r="J179" i="17" s="1"/>
  <c r="G90" i="17"/>
  <c r="J146" i="18"/>
  <c r="G176" i="18"/>
  <c r="X140" i="18"/>
  <c r="G168" i="18"/>
  <c r="G167" i="18"/>
  <c r="X114" i="16"/>
  <c r="J152" i="17"/>
  <c r="AZ84" i="17"/>
  <c r="BP85" i="17"/>
  <c r="N128" i="16"/>
  <c r="BP171" i="17"/>
  <c r="AZ55" i="17"/>
  <c r="BP55" i="17"/>
  <c r="AZ104" i="17"/>
  <c r="X122" i="16"/>
  <c r="AZ168" i="17"/>
  <c r="V122" i="16"/>
  <c r="P173" i="11"/>
  <c r="P159" i="11"/>
  <c r="P158" i="11"/>
  <c r="P125" i="11"/>
  <c r="L2" i="38"/>
  <c r="AL2" i="38"/>
  <c r="Z2" i="38"/>
  <c r="R2" i="38"/>
  <c r="AF2" i="38"/>
  <c r="AB2" i="38"/>
  <c r="J2" i="38"/>
  <c r="H2" i="38"/>
  <c r="AN2" i="38"/>
  <c r="AP2" i="38"/>
  <c r="AP22" i="36"/>
  <c r="AJ2" i="38"/>
  <c r="N2" i="38"/>
  <c r="P2" i="38"/>
  <c r="D2" i="38"/>
  <c r="AZ22" i="17"/>
  <c r="AZ83" i="17"/>
  <c r="J82" i="17"/>
  <c r="BP82" i="17"/>
  <c r="BP175" i="17"/>
  <c r="AZ26" i="17"/>
  <c r="BP26" i="17"/>
  <c r="AZ175" i="17"/>
  <c r="BP31" i="17"/>
  <c r="AZ99" i="17"/>
  <c r="AZ88" i="17"/>
  <c r="AZ101" i="17"/>
  <c r="AZ108" i="17"/>
  <c r="BO98" i="17"/>
  <c r="BO95" i="17"/>
  <c r="BO96" i="17" s="1"/>
  <c r="G96" i="17" s="1"/>
  <c r="J96" i="17" s="1"/>
  <c r="BO88" i="17"/>
  <c r="BP88" i="17" s="1"/>
  <c r="BO99" i="17"/>
  <c r="BP99" i="17" s="1"/>
  <c r="BO103" i="17"/>
  <c r="G103" i="17" s="1"/>
  <c r="BO102" i="17"/>
  <c r="BO101" i="17"/>
  <c r="BO91" i="17"/>
  <c r="G91" i="17" s="1"/>
  <c r="J91" i="17" s="1"/>
  <c r="BO94" i="17"/>
  <c r="BP151" i="17"/>
  <c r="AZ151" i="17"/>
  <c r="J142" i="17"/>
  <c r="BP142" i="17"/>
  <c r="AZ142" i="17"/>
  <c r="BP167" i="17"/>
  <c r="BP161" i="17"/>
  <c r="BP172" i="17"/>
  <c r="AZ172" i="17"/>
  <c r="BP139" i="17"/>
  <c r="AZ139" i="17"/>
  <c r="BP159" i="17"/>
  <c r="AZ159" i="17"/>
  <c r="J139" i="17"/>
  <c r="BP148" i="17"/>
  <c r="AZ148" i="17"/>
  <c r="BP163" i="17"/>
  <c r="AZ176" i="17"/>
  <c r="BP155" i="17"/>
  <c r="AZ155" i="17"/>
  <c r="AZ150" i="17"/>
  <c r="BP150" i="17"/>
  <c r="BP147" i="17"/>
  <c r="AZ147" i="17"/>
  <c r="J169" i="16"/>
  <c r="X175" i="16"/>
  <c r="J22" i="16"/>
  <c r="P154" i="11"/>
  <c r="N28" i="21"/>
  <c r="N23" i="21"/>
  <c r="N38" i="21"/>
  <c r="X120" i="11"/>
  <c r="AB123" i="11"/>
  <c r="X159" i="11"/>
  <c r="T167" i="11"/>
  <c r="P42" i="11"/>
  <c r="P168" i="11"/>
  <c r="P80" i="20"/>
  <c r="P76" i="20"/>
  <c r="P69" i="20"/>
  <c r="N127" i="21"/>
  <c r="N121" i="21"/>
  <c r="N126" i="21"/>
  <c r="N141" i="21"/>
  <c r="N33" i="21"/>
  <c r="P141" i="21"/>
  <c r="N115" i="21"/>
  <c r="P115" i="21"/>
  <c r="P148" i="21"/>
  <c r="P121" i="21"/>
  <c r="P126" i="21"/>
  <c r="X163" i="18"/>
  <c r="W142" i="18"/>
  <c r="G142" i="18" s="1"/>
  <c r="X148" i="18"/>
  <c r="X146" i="18"/>
  <c r="W152" i="18"/>
  <c r="G152" i="18" s="1"/>
  <c r="J152" i="18" s="1"/>
  <c r="DT3" i="28"/>
  <c r="DR3" i="28"/>
  <c r="AB153" i="16"/>
  <c r="AH153" i="16"/>
  <c r="AD153" i="16"/>
  <c r="X153" i="16"/>
  <c r="N153" i="16"/>
  <c r="AH133" i="16"/>
  <c r="AD133" i="16"/>
  <c r="AB133" i="16"/>
  <c r="J133" i="16"/>
  <c r="X133" i="16"/>
  <c r="J137" i="16"/>
  <c r="AB137" i="16"/>
  <c r="AH137" i="16"/>
  <c r="AD137" i="16"/>
  <c r="V179" i="16"/>
  <c r="X119" i="16"/>
  <c r="X3" i="28"/>
  <c r="AD77" i="16"/>
  <c r="AH77" i="16"/>
  <c r="X77" i="16"/>
  <c r="V77" i="16"/>
  <c r="AB77" i="16"/>
  <c r="J77" i="16"/>
  <c r="AH91" i="16"/>
  <c r="AB91" i="16"/>
  <c r="AD91" i="16"/>
  <c r="AH145" i="16"/>
  <c r="AD74" i="16"/>
  <c r="AH74" i="16"/>
  <c r="AB135" i="16"/>
  <c r="AH135" i="16"/>
  <c r="X135" i="16"/>
  <c r="V135" i="16"/>
  <c r="N135" i="16"/>
  <c r="J110" i="16"/>
  <c r="AB24" i="16"/>
  <c r="AD24" i="16"/>
  <c r="X24" i="16"/>
  <c r="AH24" i="16"/>
  <c r="V24" i="16"/>
  <c r="AH134" i="16"/>
  <c r="V134" i="16"/>
  <c r="J135" i="16"/>
  <c r="AH22" i="16"/>
  <c r="AD22" i="16"/>
  <c r="AH28" i="16"/>
  <c r="AD28" i="16"/>
  <c r="AB28" i="16"/>
  <c r="X28" i="16"/>
  <c r="AB102" i="16"/>
  <c r="X102" i="16"/>
  <c r="V102" i="16"/>
  <c r="AH166" i="16"/>
  <c r="AD166" i="16"/>
  <c r="X166" i="16"/>
  <c r="J166" i="16"/>
  <c r="J141" i="16"/>
  <c r="AH141" i="16"/>
  <c r="AD141" i="16"/>
  <c r="X141" i="16"/>
  <c r="V141" i="16"/>
  <c r="X178" i="16"/>
  <c r="AB32" i="16"/>
  <c r="AH32" i="16"/>
  <c r="X32" i="16"/>
  <c r="V32" i="16"/>
  <c r="AD32" i="16"/>
  <c r="AD79" i="16"/>
  <c r="AB79" i="16"/>
  <c r="AH149" i="16"/>
  <c r="AD149" i="16"/>
  <c r="X149" i="16"/>
  <c r="V149" i="16"/>
  <c r="AB149" i="16"/>
  <c r="AH110" i="16"/>
  <c r="X110" i="16"/>
  <c r="V110" i="16"/>
  <c r="AD169" i="16"/>
  <c r="AB169" i="16"/>
  <c r="AH169" i="16"/>
  <c r="AH177" i="16"/>
  <c r="X177" i="16"/>
  <c r="V177" i="16"/>
  <c r="AB177" i="16"/>
  <c r="AH75" i="16"/>
  <c r="AB75" i="16"/>
  <c r="V75" i="16"/>
  <c r="X75" i="16"/>
  <c r="J75" i="16"/>
  <c r="AB139" i="16"/>
  <c r="AD139" i="16"/>
  <c r="V139" i="16"/>
  <c r="AH139" i="16"/>
  <c r="X139" i="16"/>
  <c r="N139" i="16"/>
  <c r="J138" i="16"/>
  <c r="X138" i="16"/>
  <c r="AD163" i="16"/>
  <c r="V163" i="16"/>
  <c r="AB154" i="16"/>
  <c r="AH69" i="16"/>
  <c r="AB69" i="16"/>
  <c r="V69" i="16"/>
  <c r="AB57" i="11"/>
  <c r="P57" i="11"/>
  <c r="T57" i="11"/>
  <c r="AB78" i="11"/>
  <c r="P156" i="11"/>
  <c r="AB99" i="11"/>
  <c r="X22" i="11"/>
  <c r="V22" i="11"/>
  <c r="T22" i="11"/>
  <c r="AB22" i="11"/>
  <c r="X102" i="11"/>
  <c r="T102" i="11"/>
  <c r="X128" i="11"/>
  <c r="AB108" i="11"/>
  <c r="V108" i="11"/>
  <c r="U50" i="11"/>
  <c r="U65" i="11"/>
  <c r="V65" i="11" s="1"/>
  <c r="U52" i="11"/>
  <c r="V52" i="11" s="1"/>
  <c r="U51" i="11"/>
  <c r="V51" i="11" s="1"/>
  <c r="U62" i="11"/>
  <c r="V62" i="11" s="1"/>
  <c r="U60" i="11"/>
  <c r="X73" i="11"/>
  <c r="AB73" i="11"/>
  <c r="T73" i="11"/>
  <c r="V73" i="11"/>
  <c r="P73" i="11"/>
  <c r="T87" i="11"/>
  <c r="T132" i="11"/>
  <c r="P132" i="11"/>
  <c r="X89" i="11"/>
  <c r="V89" i="11"/>
  <c r="AB32" i="11"/>
  <c r="V32" i="11"/>
  <c r="AB79" i="11"/>
  <c r="T79" i="11"/>
  <c r="X95" i="11"/>
  <c r="AB95" i="11"/>
  <c r="P95" i="11"/>
  <c r="W60" i="11"/>
  <c r="X60" i="11"/>
  <c r="W50" i="11"/>
  <c r="W58" i="11"/>
  <c r="W53" i="11"/>
  <c r="W62" i="11"/>
  <c r="X62" i="11" s="1"/>
  <c r="W56" i="11"/>
  <c r="X56" i="11" s="1"/>
  <c r="W51" i="11"/>
  <c r="X51" i="11" s="1"/>
  <c r="W63" i="11"/>
  <c r="X63" i="11" s="1"/>
  <c r="W48" i="11"/>
  <c r="X48" i="11" s="1"/>
  <c r="W40" i="11"/>
  <c r="X40" i="11" s="1"/>
  <c r="W61" i="11"/>
  <c r="X61" i="11" s="1"/>
  <c r="T159" i="11"/>
  <c r="U142" i="11"/>
  <c r="V142" i="11" s="1"/>
  <c r="P167" i="11"/>
  <c r="X112" i="11"/>
  <c r="W142" i="11"/>
  <c r="W143" i="11" s="1"/>
  <c r="AB31" i="11"/>
  <c r="V31" i="11"/>
  <c r="P31" i="11"/>
  <c r="T157" i="11"/>
  <c r="V34" i="11"/>
  <c r="V105" i="11"/>
  <c r="T30" i="11"/>
  <c r="V30" i="11"/>
  <c r="P30" i="11"/>
  <c r="V148" i="11"/>
  <c r="X171" i="11"/>
  <c r="AA152" i="11"/>
  <c r="AB152" i="11" s="1"/>
  <c r="AB70" i="11"/>
  <c r="T70" i="11"/>
  <c r="P70" i="11"/>
  <c r="AB33" i="11"/>
  <c r="V33" i="11"/>
  <c r="V90" i="11"/>
  <c r="X90" i="11"/>
  <c r="T90" i="11"/>
  <c r="AB72" i="11"/>
  <c r="T72" i="11"/>
  <c r="X80" i="11"/>
  <c r="P80" i="11"/>
  <c r="AB161" i="11"/>
  <c r="T161" i="11"/>
  <c r="X74" i="11"/>
  <c r="V38" i="11"/>
  <c r="P38" i="11"/>
  <c r="P147" i="11"/>
  <c r="V147" i="11"/>
  <c r="T170" i="11"/>
  <c r="AB82" i="11"/>
  <c r="V82" i="11"/>
  <c r="T82" i="11"/>
  <c r="X94" i="11"/>
  <c r="X177" i="11"/>
  <c r="AB177" i="11"/>
  <c r="P177" i="11"/>
  <c r="V177" i="11"/>
  <c r="P120" i="11"/>
  <c r="AB42" i="11"/>
  <c r="AB135" i="11"/>
  <c r="V20" i="11"/>
  <c r="AB20" i="11"/>
  <c r="X20" i="11"/>
  <c r="T20" i="11"/>
  <c r="P20" i="11"/>
  <c r="P91" i="11"/>
  <c r="AB169" i="11"/>
  <c r="X169" i="11"/>
  <c r="T169" i="11"/>
  <c r="X75" i="11"/>
  <c r="V75" i="11"/>
  <c r="P75" i="11"/>
  <c r="X81" i="11"/>
  <c r="AB81" i="11"/>
  <c r="T81" i="11"/>
  <c r="P81" i="11"/>
  <c r="T101" i="11"/>
  <c r="X42" i="11"/>
  <c r="AB24" i="11"/>
  <c r="T24" i="11"/>
  <c r="X103" i="11"/>
  <c r="V103" i="11"/>
  <c r="P103" i="11"/>
  <c r="AB103" i="11"/>
  <c r="T103" i="11"/>
  <c r="T92" i="11"/>
  <c r="X92" i="11"/>
  <c r="V92" i="11"/>
  <c r="P92" i="11"/>
  <c r="AB43" i="11"/>
  <c r="AB144" i="11"/>
  <c r="T144" i="11"/>
  <c r="V144" i="11"/>
  <c r="V76" i="11"/>
  <c r="X76" i="11"/>
  <c r="T76" i="11"/>
  <c r="P76" i="11"/>
  <c r="AB151" i="11"/>
  <c r="T151" i="11"/>
  <c r="X151" i="11"/>
  <c r="P151" i="11"/>
  <c r="AB69" i="11"/>
  <c r="X69" i="11"/>
  <c r="V69" i="11"/>
  <c r="T69" i="11"/>
  <c r="P69" i="11"/>
  <c r="V153" i="11"/>
  <c r="P153" i="11"/>
  <c r="T29" i="11"/>
  <c r="X71" i="11"/>
  <c r="AB71" i="11"/>
  <c r="X139" i="11"/>
  <c r="AB139" i="11"/>
  <c r="V139" i="11"/>
  <c r="AB84" i="11"/>
  <c r="T84" i="11"/>
  <c r="X84" i="11"/>
  <c r="V84" i="11"/>
  <c r="P84" i="11"/>
  <c r="P98" i="11"/>
  <c r="V121" i="11"/>
  <c r="P116" i="11"/>
  <c r="X173" i="11"/>
  <c r="AB19" i="11"/>
  <c r="V19" i="11"/>
  <c r="T19" i="11"/>
  <c r="X88" i="11"/>
  <c r="T88" i="11"/>
  <c r="P88" i="11"/>
  <c r="AB25" i="11"/>
  <c r="AB77" i="11"/>
  <c r="X77" i="11"/>
  <c r="P27" i="11"/>
  <c r="AB18" i="11"/>
  <c r="P18" i="11"/>
  <c r="V171" i="11"/>
  <c r="V21" i="11"/>
  <c r="X21" i="11"/>
  <c r="T21" i="11"/>
  <c r="P21" i="11"/>
  <c r="P148" i="11"/>
  <c r="AB136" i="11"/>
  <c r="X136" i="11"/>
  <c r="V136" i="11"/>
  <c r="T136" i="11"/>
  <c r="P136" i="11"/>
  <c r="T28" i="11"/>
  <c r="AB26" i="11"/>
  <c r="X26" i="11"/>
  <c r="P26" i="11"/>
  <c r="V26" i="11"/>
  <c r="P67" i="11"/>
  <c r="P83" i="11"/>
  <c r="AB93" i="11"/>
  <c r="X96" i="11"/>
  <c r="V96" i="11"/>
  <c r="T96" i="11"/>
  <c r="P96" i="11"/>
  <c r="P121" i="11"/>
  <c r="P43" i="11"/>
  <c r="V124" i="11"/>
  <c r="AP3" i="28"/>
  <c r="AL3" i="28"/>
  <c r="AA127" i="16"/>
  <c r="AB127" i="16" s="1"/>
  <c r="AB121" i="16"/>
  <c r="AA126" i="16"/>
  <c r="AF3" i="28"/>
  <c r="W56" i="16"/>
  <c r="X56" i="16" s="1"/>
  <c r="W61" i="16"/>
  <c r="X61" i="16" s="1"/>
  <c r="W54" i="16"/>
  <c r="W47" i="16"/>
  <c r="X47" i="16" s="1"/>
  <c r="W53" i="16"/>
  <c r="X53" i="16" s="1"/>
  <c r="W65" i="16"/>
  <c r="X65" i="16" s="1"/>
  <c r="W60" i="16"/>
  <c r="X60" i="16" s="1"/>
  <c r="W52" i="16"/>
  <c r="X52" i="16" s="1"/>
  <c r="W59" i="16"/>
  <c r="X59" i="16" s="1"/>
  <c r="W62" i="16"/>
  <c r="W51" i="16"/>
  <c r="W58" i="16"/>
  <c r="W50" i="16"/>
  <c r="W41" i="16"/>
  <c r="W40" i="16"/>
  <c r="X40" i="16" s="1"/>
  <c r="V127" i="16"/>
  <c r="V121" i="16"/>
  <c r="Z3" i="28"/>
  <c r="N141" i="16"/>
  <c r="N121" i="16"/>
  <c r="N130" i="16"/>
  <c r="N134" i="16"/>
  <c r="M62" i="16"/>
  <c r="M65" i="16"/>
  <c r="N65" i="16" s="1"/>
  <c r="M118" i="16"/>
  <c r="N118" i="16" s="1"/>
  <c r="M58" i="16"/>
  <c r="M53" i="16"/>
  <c r="N53" i="16" s="1"/>
  <c r="M59" i="16"/>
  <c r="N59" i="16" s="1"/>
  <c r="M50" i="16"/>
  <c r="N48" i="16"/>
  <c r="M47" i="16"/>
  <c r="M61" i="16"/>
  <c r="N61" i="16" s="1"/>
  <c r="M41" i="16"/>
  <c r="M40" i="16"/>
  <c r="N40" i="16" s="1"/>
  <c r="N146" i="16"/>
  <c r="N159" i="16"/>
  <c r="J25" i="11"/>
  <c r="J169" i="11"/>
  <c r="J77" i="11"/>
  <c r="J75" i="11"/>
  <c r="J18" i="11"/>
  <c r="J101" i="11"/>
  <c r="J31" i="11"/>
  <c r="J91" i="11"/>
  <c r="J21" i="11"/>
  <c r="J92" i="11"/>
  <c r="J79" i="11"/>
  <c r="J95" i="11"/>
  <c r="J172" i="11"/>
  <c r="J102" i="11"/>
  <c r="J84" i="11"/>
  <c r="J108" i="11"/>
  <c r="J83" i="11"/>
  <c r="J105" i="11"/>
  <c r="J139" i="11"/>
  <c r="J71" i="11"/>
  <c r="J29" i="11"/>
  <c r="J57" i="11"/>
  <c r="J20" i="11"/>
  <c r="J73" i="11"/>
  <c r="J38" i="11"/>
  <c r="J81" i="11"/>
  <c r="J90" i="11"/>
  <c r="J136" i="11"/>
  <c r="J88" i="11"/>
  <c r="J80" i="11"/>
  <c r="J89" i="11"/>
  <c r="J103" i="11"/>
  <c r="J24" i="11"/>
  <c r="J19" i="11"/>
  <c r="J17" i="11"/>
  <c r="J156" i="11"/>
  <c r="J72" i="11"/>
  <c r="J76" i="11"/>
  <c r="J157" i="11"/>
  <c r="N47" i="16"/>
  <c r="BP101" i="17"/>
  <c r="G101" i="17"/>
  <c r="J101" i="17" s="1"/>
  <c r="G88" i="17"/>
  <c r="J88" i="17" s="1"/>
  <c r="G98" i="17"/>
  <c r="BP103" i="17"/>
  <c r="R3" i="28"/>
  <c r="P56" i="11"/>
  <c r="P134" i="11"/>
  <c r="P40" i="11"/>
  <c r="P152" i="11"/>
  <c r="P47" i="11"/>
  <c r="P48" i="11"/>
  <c r="P51" i="11"/>
  <c r="P41" i="11"/>
  <c r="P53" i="11"/>
  <c r="P115" i="11"/>
  <c r="P61" i="11"/>
  <c r="P59" i="11"/>
  <c r="P63" i="11"/>
  <c r="P118" i="11"/>
  <c r="X2" i="38"/>
  <c r="AH2" i="38"/>
  <c r="AR2" i="38"/>
  <c r="V2" i="38"/>
  <c r="AV2" i="38"/>
  <c r="AT2" i="38"/>
  <c r="AX2" i="38"/>
  <c r="T2" i="38"/>
  <c r="F2" i="38"/>
  <c r="AZ96" i="17"/>
  <c r="BO92" i="17"/>
  <c r="BP92" i="17" s="1"/>
  <c r="AZ91" i="17"/>
  <c r="X2" i="28"/>
  <c r="V3" i="28"/>
  <c r="F3" i="28"/>
  <c r="N3" i="28"/>
  <c r="B3" i="28"/>
  <c r="P72" i="20"/>
  <c r="P78" i="20"/>
  <c r="P77" i="20"/>
  <c r="P143" i="21"/>
  <c r="P160" i="21"/>
  <c r="N143" i="21"/>
  <c r="N160" i="21"/>
  <c r="DR2" i="28"/>
  <c r="DT2" i="28"/>
  <c r="O185" i="18"/>
  <c r="DN2" i="28" s="1"/>
  <c r="W143" i="18"/>
  <c r="Q185" i="18"/>
  <c r="DP2" i="28" s="1"/>
  <c r="U143" i="11"/>
  <c r="P54" i="11"/>
  <c r="P44" i="11"/>
  <c r="W55" i="16"/>
  <c r="X55" i="16" s="1"/>
  <c r="X54" i="16"/>
  <c r="N162" i="16"/>
  <c r="J103" i="17"/>
  <c r="AZ92" i="17"/>
  <c r="EX2" i="28"/>
  <c r="GD2" i="28"/>
  <c r="FV2" i="28"/>
  <c r="FH2" i="28"/>
  <c r="GH2" i="28"/>
  <c r="GJ2" i="28"/>
  <c r="GB2" i="28"/>
  <c r="ET2" i="28"/>
  <c r="FL2" i="28"/>
  <c r="CR2" i="28"/>
  <c r="AZ2" i="28"/>
  <c r="BZ2" i="28"/>
  <c r="DF2" i="28"/>
  <c r="BN2" i="28"/>
  <c r="CH2" i="28"/>
  <c r="BD2" i="28"/>
  <c r="CL2" i="28"/>
  <c r="BH2" i="28"/>
  <c r="CB2" i="28"/>
  <c r="AX2" i="28"/>
  <c r="BJ2" i="28"/>
  <c r="AT2" i="28"/>
  <c r="AF2" i="28"/>
  <c r="B2" i="28"/>
  <c r="FJ2" i="28"/>
  <c r="FP2" i="28"/>
  <c r="EH2" i="28"/>
  <c r="FF2" i="28"/>
  <c r="FB2" i="28"/>
  <c r="ER2" i="28"/>
  <c r="EP2" i="28"/>
  <c r="EL2" i="28"/>
  <c r="P73" i="20"/>
  <c r="P74" i="20"/>
  <c r="AL2" i="28"/>
  <c r="Z2" i="28"/>
  <c r="AZ93" i="17"/>
  <c r="EN2" i="28"/>
  <c r="EV2" i="28"/>
  <c r="FN2" i="28"/>
  <c r="EF2" i="28"/>
  <c r="FR2" i="28"/>
  <c r="FZ2" i="28"/>
  <c r="EB2" i="28"/>
  <c r="FT2" i="28"/>
  <c r="EJ2" i="28"/>
  <c r="EZ2" i="28"/>
  <c r="GF2" i="28"/>
  <c r="FX2" i="28"/>
  <c r="FD2" i="28"/>
  <c r="M185" i="18"/>
  <c r="DL2" i="28" s="1"/>
  <c r="CP2" i="28"/>
  <c r="CJ2" i="28"/>
  <c r="BF2" i="28"/>
  <c r="BV2" i="28"/>
  <c r="CZ2" i="28"/>
  <c r="BX2" i="28"/>
  <c r="BR2" i="28"/>
  <c r="DJ2" i="28"/>
  <c r="CX2" i="28"/>
  <c r="CN2" i="28"/>
  <c r="CF2" i="28"/>
  <c r="DB2" i="28"/>
  <c r="BB2" i="28"/>
  <c r="BP2" i="28"/>
  <c r="CV2" i="28"/>
  <c r="DD2" i="28"/>
  <c r="AR2" i="28"/>
  <c r="BT2" i="28"/>
  <c r="BL2" i="28"/>
  <c r="DH2" i="28"/>
  <c r="AV2" i="28"/>
  <c r="V2" i="28"/>
  <c r="AP2" i="28"/>
  <c r="F2" i="28"/>
  <c r="N2" i="28"/>
  <c r="R2" i="28"/>
  <c r="I23" i="46" l="1"/>
  <c r="I24" i="46"/>
  <c r="I23" i="50"/>
  <c r="J107" i="11"/>
  <c r="AB107" i="11"/>
  <c r="V107" i="11"/>
  <c r="T107" i="11"/>
  <c r="AB133" i="11"/>
  <c r="X133" i="11"/>
  <c r="V133" i="11"/>
  <c r="J133" i="11"/>
  <c r="X117" i="11"/>
  <c r="P117" i="11"/>
  <c r="AB105" i="11"/>
  <c r="G102" i="17"/>
  <c r="J102" i="17" s="1"/>
  <c r="V64" i="11"/>
  <c r="X64" i="11"/>
  <c r="AB64" i="11"/>
  <c r="X25" i="11"/>
  <c r="T25" i="11"/>
  <c r="AB109" i="11"/>
  <c r="X109" i="11"/>
  <c r="P109" i="11"/>
  <c r="P128" i="11"/>
  <c r="V128" i="11"/>
  <c r="X99" i="11"/>
  <c r="P99" i="11"/>
  <c r="J98" i="11"/>
  <c r="AB98" i="11"/>
  <c r="T94" i="11"/>
  <c r="V94" i="11"/>
  <c r="J94" i="11"/>
  <c r="V89" i="16"/>
  <c r="N89" i="16"/>
  <c r="X89" i="16"/>
  <c r="AH89" i="16"/>
  <c r="AD89" i="16"/>
  <c r="J89" i="16"/>
  <c r="T27" i="11"/>
  <c r="P122" i="11"/>
  <c r="X105" i="11"/>
  <c r="V78" i="11"/>
  <c r="V146" i="11"/>
  <c r="T156" i="11"/>
  <c r="AB156" i="11"/>
  <c r="X156" i="11"/>
  <c r="V156" i="11"/>
  <c r="AB130" i="11"/>
  <c r="AA134" i="11"/>
  <c r="P149" i="11"/>
  <c r="T98" i="11"/>
  <c r="X34" i="11"/>
  <c r="G95" i="17"/>
  <c r="BP95" i="17"/>
  <c r="X72" i="11"/>
  <c r="V72" i="11"/>
  <c r="X172" i="11"/>
  <c r="P172" i="11"/>
  <c r="N138" i="16"/>
  <c r="AH138" i="16"/>
  <c r="AD138" i="16"/>
  <c r="AB138" i="16"/>
  <c r="V138" i="16"/>
  <c r="AZ52" i="17"/>
  <c r="J52" i="17"/>
  <c r="BP52" i="17"/>
  <c r="AB106" i="11"/>
  <c r="T106" i="11"/>
  <c r="J106" i="11"/>
  <c r="X179" i="11"/>
  <c r="AB104" i="11"/>
  <c r="V104" i="11"/>
  <c r="P104" i="11"/>
  <c r="J104" i="11"/>
  <c r="V149" i="11"/>
  <c r="V98" i="11"/>
  <c r="AD136" i="16"/>
  <c r="AB136" i="16"/>
  <c r="X136" i="16"/>
  <c r="N136" i="16"/>
  <c r="BP47" i="17"/>
  <c r="AZ47" i="17"/>
  <c r="J34" i="16"/>
  <c r="V34" i="16"/>
  <c r="X34" i="16"/>
  <c r="AH34" i="16"/>
  <c r="N34" i="16"/>
  <c r="AD34" i="16"/>
  <c r="V128" i="16"/>
  <c r="X149" i="11"/>
  <c r="X98" i="11"/>
  <c r="AB150" i="16"/>
  <c r="AZ79" i="17"/>
  <c r="J79" i="17"/>
  <c r="BP79" i="17"/>
  <c r="BO93" i="17"/>
  <c r="G92" i="17"/>
  <c r="J92" i="17" s="1"/>
  <c r="T149" i="11"/>
  <c r="AB153" i="11"/>
  <c r="X153" i="11"/>
  <c r="T78" i="11"/>
  <c r="P78" i="11"/>
  <c r="X131" i="11"/>
  <c r="J131" i="11"/>
  <c r="AB131" i="11"/>
  <c r="V131" i="11"/>
  <c r="X135" i="11"/>
  <c r="P135" i="11"/>
  <c r="J135" i="11"/>
  <c r="T139" i="11"/>
  <c r="P139" i="11"/>
  <c r="V166" i="16"/>
  <c r="AB166" i="16"/>
  <c r="V27" i="11"/>
  <c r="AB27" i="11"/>
  <c r="P32" i="11"/>
  <c r="T32" i="11"/>
  <c r="J109" i="11"/>
  <c r="AB137" i="11"/>
  <c r="J93" i="11"/>
  <c r="T93" i="11"/>
  <c r="J153" i="11"/>
  <c r="J78" i="11"/>
  <c r="T153" i="11"/>
  <c r="V135" i="11"/>
  <c r="AB90" i="11"/>
  <c r="T23" i="11"/>
  <c r="V132" i="11"/>
  <c r="P123" i="11"/>
  <c r="V123" i="11"/>
  <c r="V91" i="11"/>
  <c r="AB91" i="11"/>
  <c r="X91" i="11"/>
  <c r="X168" i="11"/>
  <c r="AB34" i="16"/>
  <c r="J155" i="20"/>
  <c r="P155" i="20"/>
  <c r="J27" i="11"/>
  <c r="X143" i="18"/>
  <c r="X152" i="18"/>
  <c r="J149" i="11"/>
  <c r="T135" i="11"/>
  <c r="X23" i="11"/>
  <c r="BP94" i="17"/>
  <c r="G94" i="17"/>
  <c r="M67" i="16"/>
  <c r="N67" i="16" s="1"/>
  <c r="M52" i="16"/>
  <c r="N52" i="16" s="1"/>
  <c r="M63" i="16"/>
  <c r="M51" i="16"/>
  <c r="N51" i="16" s="1"/>
  <c r="M54" i="16"/>
  <c r="M56" i="16"/>
  <c r="N56" i="16" s="1"/>
  <c r="T34" i="11"/>
  <c r="J34" i="11"/>
  <c r="P34" i="11"/>
  <c r="J99" i="11"/>
  <c r="V25" i="11"/>
  <c r="V23" i="11"/>
  <c r="V109" i="11"/>
  <c r="V99" i="11"/>
  <c r="AB157" i="11"/>
  <c r="X157" i="11"/>
  <c r="V157" i="11"/>
  <c r="P157" i="11"/>
  <c r="AB74" i="11"/>
  <c r="P74" i="11"/>
  <c r="J74" i="11"/>
  <c r="G168" i="17"/>
  <c r="J168" i="17" s="1"/>
  <c r="BP168" i="17"/>
  <c r="J161" i="17"/>
  <c r="AZ161" i="17"/>
  <c r="J32" i="11"/>
  <c r="X93" i="11"/>
  <c r="P25" i="11"/>
  <c r="T104" i="11"/>
  <c r="AB94" i="11"/>
  <c r="P110" i="11"/>
  <c r="P105" i="11"/>
  <c r="X143" i="11"/>
  <c r="T109" i="11"/>
  <c r="T99" i="11"/>
  <c r="V176" i="11"/>
  <c r="AB89" i="16"/>
  <c r="V102" i="11"/>
  <c r="P102" i="11"/>
  <c r="AA175" i="16"/>
  <c r="AA122" i="11"/>
  <c r="AB134" i="16"/>
  <c r="J134" i="16"/>
  <c r="AA128" i="16"/>
  <c r="AB128" i="16" s="1"/>
  <c r="J162" i="16"/>
  <c r="BO108" i="17"/>
  <c r="BO100" i="17"/>
  <c r="BO105" i="17"/>
  <c r="BP105" i="17" s="1"/>
  <c r="BP137" i="17"/>
  <c r="AZ137" i="17"/>
  <c r="X51" i="16"/>
  <c r="V157" i="16"/>
  <c r="AH157" i="16"/>
  <c r="J157" i="16"/>
  <c r="AD157" i="16"/>
  <c r="X157" i="16"/>
  <c r="J73" i="17"/>
  <c r="AZ73" i="17"/>
  <c r="BP73" i="17"/>
  <c r="AZ30" i="17"/>
  <c r="J30" i="17"/>
  <c r="G171" i="11"/>
  <c r="J171" i="11" s="1"/>
  <c r="V50" i="11"/>
  <c r="AB22" i="16"/>
  <c r="W154" i="18"/>
  <c r="G154" i="18" s="1"/>
  <c r="AZ46" i="17"/>
  <c r="W118" i="11"/>
  <c r="X57" i="11"/>
  <c r="V57" i="11"/>
  <c r="X145" i="11"/>
  <c r="AA13" i="16"/>
  <c r="X116" i="16"/>
  <c r="AA117" i="16"/>
  <c r="AB117" i="16" s="1"/>
  <c r="AA174" i="16"/>
  <c r="AB174" i="16" s="1"/>
  <c r="S148" i="11"/>
  <c r="X174" i="11"/>
  <c r="AA114" i="11"/>
  <c r="P151" i="21"/>
  <c r="V83" i="16"/>
  <c r="AD83" i="16"/>
  <c r="S42" i="11"/>
  <c r="M113" i="16"/>
  <c r="N113" i="16" s="1"/>
  <c r="M171" i="16"/>
  <c r="N171" i="16" s="1"/>
  <c r="M119" i="16"/>
  <c r="M66" i="16"/>
  <c r="N66" i="16" s="1"/>
  <c r="M174" i="16"/>
  <c r="N174" i="16" s="1"/>
  <c r="M117" i="16"/>
  <c r="N117" i="16" s="1"/>
  <c r="N177" i="16"/>
  <c r="J177" i="16"/>
  <c r="AD177" i="16"/>
  <c r="J63" i="17"/>
  <c r="BP63" i="17"/>
  <c r="V21" i="16"/>
  <c r="AH21" i="16"/>
  <c r="N21" i="16"/>
  <c r="AB49" i="16"/>
  <c r="J49" i="16"/>
  <c r="J160" i="17"/>
  <c r="S173" i="11"/>
  <c r="T173" i="11" s="1"/>
  <c r="W134" i="11"/>
  <c r="X130" i="11"/>
  <c r="J135" i="21"/>
  <c r="V125" i="11"/>
  <c r="P163" i="20"/>
  <c r="J163" i="20"/>
  <c r="AZ135" i="17"/>
  <c r="J135" i="17"/>
  <c r="S117" i="11"/>
  <c r="S113" i="11"/>
  <c r="T113" i="11" s="1"/>
  <c r="S123" i="11"/>
  <c r="T123" i="11" s="1"/>
  <c r="S112" i="11"/>
  <c r="S176" i="11"/>
  <c r="S130" i="11"/>
  <c r="S137" i="11"/>
  <c r="G137" i="11" s="1"/>
  <c r="J137" i="11" s="1"/>
  <c r="S174" i="11"/>
  <c r="S175" i="11"/>
  <c r="S138" i="11"/>
  <c r="S13" i="11"/>
  <c r="S171" i="11"/>
  <c r="T171" i="11" s="1"/>
  <c r="AA128" i="11"/>
  <c r="AB128" i="11" s="1"/>
  <c r="AA140" i="11"/>
  <c r="G140" i="11" s="1"/>
  <c r="J140" i="11" s="1"/>
  <c r="AA165" i="11"/>
  <c r="AB165" i="11" s="1"/>
  <c r="AA168" i="11"/>
  <c r="AA119" i="11"/>
  <c r="AA175" i="11"/>
  <c r="AA159" i="11"/>
  <c r="AA145" i="11" s="1"/>
  <c r="AB145" i="11" s="1"/>
  <c r="AA173" i="11"/>
  <c r="AB173" i="11" s="1"/>
  <c r="AA121" i="11"/>
  <c r="AB121" i="11" s="1"/>
  <c r="AA124" i="11"/>
  <c r="AA138" i="11"/>
  <c r="AB138" i="11" s="1"/>
  <c r="AA141" i="11"/>
  <c r="AA148" i="11"/>
  <c r="AA113" i="16"/>
  <c r="AB113" i="16" s="1"/>
  <c r="AA42" i="16"/>
  <c r="AA123" i="16"/>
  <c r="AA124" i="16"/>
  <c r="AB124" i="16" s="1"/>
  <c r="AA165" i="16"/>
  <c r="AA125" i="16"/>
  <c r="AB125" i="16" s="1"/>
  <c r="AA120" i="16"/>
  <c r="AB120" i="16" s="1"/>
  <c r="AA119" i="16"/>
  <c r="AB119" i="16" s="1"/>
  <c r="J18" i="16"/>
  <c r="AH18" i="16"/>
  <c r="N18" i="16"/>
  <c r="J170" i="16"/>
  <c r="X170" i="16"/>
  <c r="AB170" i="16"/>
  <c r="AH170" i="16"/>
  <c r="N176" i="16"/>
  <c r="AA176" i="16"/>
  <c r="AD128" i="16"/>
  <c r="V138" i="11"/>
  <c r="AA116" i="11"/>
  <c r="AB116" i="11" s="1"/>
  <c r="AA120" i="11"/>
  <c r="AB120" i="11" s="1"/>
  <c r="N102" i="16"/>
  <c r="J102" i="16"/>
  <c r="V49" i="16"/>
  <c r="X137" i="18"/>
  <c r="BP30" i="17"/>
  <c r="S141" i="11"/>
  <c r="S142" i="11" s="1"/>
  <c r="J176" i="20"/>
  <c r="P176" i="20"/>
  <c r="X144" i="18"/>
  <c r="J144" i="18"/>
  <c r="J22" i="11"/>
  <c r="J96" i="11"/>
  <c r="M126" i="16"/>
  <c r="V18" i="11"/>
  <c r="AB102" i="11"/>
  <c r="AD69" i="16"/>
  <c r="AH102" i="16"/>
  <c r="X134" i="16"/>
  <c r="BO106" i="17"/>
  <c r="AZ146" i="17"/>
  <c r="AD170" i="16"/>
  <c r="X174" i="16"/>
  <c r="AA171" i="16"/>
  <c r="AB171" i="16" s="1"/>
  <c r="T179" i="11"/>
  <c r="X176" i="11"/>
  <c r="AA117" i="11"/>
  <c r="AB117" i="11" s="1"/>
  <c r="AA174" i="11"/>
  <c r="AB174" i="11" s="1"/>
  <c r="X162" i="16"/>
  <c r="AZ28" i="17"/>
  <c r="BP28" i="17"/>
  <c r="P131" i="20"/>
  <c r="J131" i="20"/>
  <c r="S145" i="11"/>
  <c r="X18" i="11"/>
  <c r="X50" i="11"/>
  <c r="V60" i="11"/>
  <c r="AD178" i="16"/>
  <c r="AD102" i="16"/>
  <c r="AD134" i="16"/>
  <c r="BO87" i="17"/>
  <c r="BP83" i="17"/>
  <c r="BP46" i="17"/>
  <c r="V170" i="16"/>
  <c r="P87" i="11"/>
  <c r="X87" i="11"/>
  <c r="J21" i="16"/>
  <c r="AH178" i="16"/>
  <c r="V150" i="11"/>
  <c r="X140" i="11"/>
  <c r="AA112" i="11"/>
  <c r="AB112" i="11" s="1"/>
  <c r="J28" i="16"/>
  <c r="V28" i="16"/>
  <c r="V162" i="16"/>
  <c r="V97" i="16"/>
  <c r="N139" i="21"/>
  <c r="J163" i="17"/>
  <c r="AZ163" i="17"/>
  <c r="X159" i="16"/>
  <c r="AD159" i="16"/>
  <c r="V159" i="16"/>
  <c r="X31" i="11"/>
  <c r="T31" i="11"/>
  <c r="AA66" i="16"/>
  <c r="AB66" i="16" s="1"/>
  <c r="AA113" i="11"/>
  <c r="AB113" i="11" s="1"/>
  <c r="AH162" i="16"/>
  <c r="P139" i="21"/>
  <c r="P156" i="21"/>
  <c r="N156" i="21"/>
  <c r="J156" i="21"/>
  <c r="N107" i="16"/>
  <c r="X107" i="16"/>
  <c r="J91" i="36"/>
  <c r="AP91" i="36"/>
  <c r="N91" i="36"/>
  <c r="N144" i="36"/>
  <c r="AP144" i="36"/>
  <c r="AC167" i="16"/>
  <c r="AC179" i="16"/>
  <c r="AD179" i="16" s="1"/>
  <c r="X20" i="16"/>
  <c r="V20" i="16"/>
  <c r="AB178" i="16"/>
  <c r="AH116" i="16"/>
  <c r="X152" i="11"/>
  <c r="J165" i="18"/>
  <c r="I137" i="18"/>
  <c r="I149" i="18"/>
  <c r="I153" i="18"/>
  <c r="I157" i="18"/>
  <c r="I174" i="18"/>
  <c r="I178" i="18"/>
  <c r="J178" i="18" s="1"/>
  <c r="I149" i="17"/>
  <c r="I35" i="17"/>
  <c r="I57" i="17"/>
  <c r="I62" i="17"/>
  <c r="I42" i="17"/>
  <c r="I18" i="17"/>
  <c r="BP18" i="17" s="1"/>
  <c r="I41" i="17"/>
  <c r="I44" i="17"/>
  <c r="I153" i="17"/>
  <c r="J153" i="17" s="1"/>
  <c r="I106" i="17"/>
  <c r="AZ106" i="17" s="1"/>
  <c r="I170" i="17"/>
  <c r="I119" i="17"/>
  <c r="J119" i="17" s="1"/>
  <c r="I77" i="17"/>
  <c r="I132" i="17"/>
  <c r="I156" i="17"/>
  <c r="I100" i="17"/>
  <c r="AZ100" i="17" s="1"/>
  <c r="I36" i="17"/>
  <c r="J36" i="17" s="1"/>
  <c r="I71" i="17"/>
  <c r="I127" i="17"/>
  <c r="J127" i="17" s="1"/>
  <c r="I67" i="17"/>
  <c r="I120" i="17"/>
  <c r="J120" i="17" s="1"/>
  <c r="I53" i="17"/>
  <c r="AZ53" i="17" s="1"/>
  <c r="P99" i="20"/>
  <c r="J99" i="20"/>
  <c r="I161" i="18"/>
  <c r="I176" i="18"/>
  <c r="J176" i="18" s="1"/>
  <c r="I155" i="18"/>
  <c r="I135" i="18"/>
  <c r="I168" i="18"/>
  <c r="I169" i="18"/>
  <c r="I139" i="18"/>
  <c r="I173" i="18"/>
  <c r="X173" i="18" s="1"/>
  <c r="P17" i="20"/>
  <c r="J17" i="20"/>
  <c r="AC116" i="16"/>
  <c r="AD116" i="16" s="1"/>
  <c r="AC114" i="16"/>
  <c r="N42" i="16"/>
  <c r="AD110" i="16"/>
  <c r="X42" i="16"/>
  <c r="AC174" i="16"/>
  <c r="AD174" i="16" s="1"/>
  <c r="AC176" i="16"/>
  <c r="AD176" i="16" s="1"/>
  <c r="AB20" i="16"/>
  <c r="I159" i="18"/>
  <c r="I61" i="17"/>
  <c r="AZ61" i="17" s="1"/>
  <c r="I23" i="17"/>
  <c r="I20" i="17"/>
  <c r="I25" i="17"/>
  <c r="I102" i="17"/>
  <c r="AZ102" i="17" s="1"/>
  <c r="I147" i="18"/>
  <c r="I143" i="18"/>
  <c r="J140" i="21"/>
  <c r="P140" i="21"/>
  <c r="N96" i="16"/>
  <c r="AB96" i="16"/>
  <c r="AD120" i="16"/>
  <c r="AH20" i="16"/>
  <c r="X168" i="16"/>
  <c r="V173" i="11"/>
  <c r="J70" i="20"/>
  <c r="J172" i="20"/>
  <c r="P172" i="20"/>
  <c r="I142" i="16"/>
  <c r="I158" i="16"/>
  <c r="I24" i="17"/>
  <c r="I32" i="17"/>
  <c r="BP32" i="17" s="1"/>
  <c r="I43" i="17"/>
  <c r="BP43" i="17" s="1"/>
  <c r="I72" i="17"/>
  <c r="J72" i="17" s="1"/>
  <c r="I24" i="18"/>
  <c r="I32" i="18"/>
  <c r="I43" i="18"/>
  <c r="X43" i="18" s="1"/>
  <c r="I51" i="18"/>
  <c r="X51" i="18" s="1"/>
  <c r="I59" i="18"/>
  <c r="I109" i="18"/>
  <c r="I62" i="20"/>
  <c r="I107" i="20"/>
  <c r="I171" i="20"/>
  <c r="I76" i="17"/>
  <c r="J76" i="17" s="1"/>
  <c r="I89" i="17"/>
  <c r="I97" i="17"/>
  <c r="I140" i="17"/>
  <c r="BP140" i="17" s="1"/>
  <c r="I169" i="17"/>
  <c r="I173" i="17"/>
  <c r="J173" i="17" s="1"/>
  <c r="I118" i="18"/>
  <c r="I131" i="18"/>
  <c r="U117" i="11"/>
  <c r="V117" i="11" s="1"/>
  <c r="U112" i="11"/>
  <c r="U42" i="11"/>
  <c r="V42" i="11" s="1"/>
  <c r="U114" i="11"/>
  <c r="N126" i="16"/>
  <c r="I160" i="16"/>
  <c r="I45" i="16"/>
  <c r="I38" i="16"/>
  <c r="I144" i="20"/>
  <c r="I139" i="20"/>
  <c r="I143" i="20"/>
  <c r="I119" i="20"/>
  <c r="I101" i="20"/>
  <c r="I33" i="20"/>
  <c r="AP133" i="36"/>
  <c r="N133" i="36"/>
  <c r="AP157" i="36"/>
  <c r="J157" i="36"/>
  <c r="I21" i="17"/>
  <c r="I29" i="17"/>
  <c r="J29" i="17" s="1"/>
  <c r="I33" i="17"/>
  <c r="I40" i="17"/>
  <c r="I48" i="17"/>
  <c r="I56" i="17"/>
  <c r="I60" i="17"/>
  <c r="I64" i="17"/>
  <c r="I69" i="17"/>
  <c r="I17" i="18"/>
  <c r="I21" i="18"/>
  <c r="I25" i="18"/>
  <c r="I29" i="18"/>
  <c r="I33" i="18"/>
  <c r="I64" i="18"/>
  <c r="I77" i="18"/>
  <c r="I85" i="18"/>
  <c r="I124" i="17"/>
  <c r="J124" i="17" s="1"/>
  <c r="I128" i="17"/>
  <c r="J128" i="17" s="1"/>
  <c r="I166" i="17"/>
  <c r="I174" i="17"/>
  <c r="AZ174" i="17" s="1"/>
  <c r="I119" i="18"/>
  <c r="I123" i="18"/>
  <c r="I127" i="18"/>
  <c r="I177" i="18"/>
  <c r="I115" i="16"/>
  <c r="AB115" i="16" s="1"/>
  <c r="I123" i="16"/>
  <c r="J169" i="20"/>
  <c r="P169" i="20"/>
  <c r="J43" i="21"/>
  <c r="O179" i="21"/>
  <c r="O167" i="21"/>
  <c r="O18" i="21"/>
  <c r="X148" i="11"/>
  <c r="AB64" i="16"/>
  <c r="AH23" i="16"/>
  <c r="X174" i="18"/>
  <c r="J171" i="18"/>
  <c r="X125" i="11"/>
  <c r="J176" i="21"/>
  <c r="W114" i="11"/>
  <c r="W115" i="11" s="1"/>
  <c r="X115" i="11" s="1"/>
  <c r="W119" i="11"/>
  <c r="X119" i="11" s="1"/>
  <c r="W116" i="11"/>
  <c r="X116" i="11" s="1"/>
  <c r="I41" i="18"/>
  <c r="I49" i="18"/>
  <c r="I70" i="18"/>
  <c r="I74" i="18"/>
  <c r="I78" i="18"/>
  <c r="I103" i="18"/>
  <c r="I107" i="18"/>
  <c r="AP109" i="36"/>
  <c r="N109" i="36"/>
  <c r="I128" i="20"/>
  <c r="I133" i="20"/>
  <c r="I145" i="20"/>
  <c r="I149" i="20"/>
  <c r="I177" i="20"/>
  <c r="J177" i="20" s="1"/>
  <c r="V174" i="16"/>
  <c r="V27" i="16"/>
  <c r="J134" i="20"/>
  <c r="U113" i="11"/>
  <c r="V113" i="11" s="1"/>
  <c r="I70" i="16"/>
  <c r="I78" i="16"/>
  <c r="I82" i="16"/>
  <c r="I54" i="18"/>
  <c r="I66" i="18"/>
  <c r="X66" i="18" s="1"/>
  <c r="I88" i="18"/>
  <c r="I92" i="18"/>
  <c r="I96" i="18"/>
  <c r="I104" i="18"/>
  <c r="I108" i="18"/>
  <c r="AP57" i="36"/>
  <c r="J57" i="36"/>
  <c r="AP102" i="36"/>
  <c r="N102" i="36"/>
  <c r="I37" i="17"/>
  <c r="J37" i="17" s="1"/>
  <c r="J81" i="21"/>
  <c r="N81" i="21"/>
  <c r="J144" i="36"/>
  <c r="J112" i="36"/>
  <c r="I41" i="16"/>
  <c r="X41" i="16" s="1"/>
  <c r="I81" i="16"/>
  <c r="X81" i="16" s="1"/>
  <c r="I132" i="16"/>
  <c r="I140" i="16"/>
  <c r="N140" i="16" s="1"/>
  <c r="I144" i="16"/>
  <c r="I148" i="16"/>
  <c r="I152" i="16"/>
  <c r="I156" i="16"/>
  <c r="AH123" i="16"/>
  <c r="I56" i="18"/>
  <c r="X56" i="18" s="1"/>
  <c r="I72" i="18"/>
  <c r="I113" i="18"/>
  <c r="I117" i="18"/>
  <c r="I125" i="18"/>
  <c r="I130" i="18"/>
  <c r="X130" i="18" s="1"/>
  <c r="I25" i="20"/>
  <c r="I29" i="20"/>
  <c r="J29" i="20" s="1"/>
  <c r="I47" i="20"/>
  <c r="I51" i="20"/>
  <c r="I61" i="20"/>
  <c r="I154" i="20"/>
  <c r="I174" i="20"/>
  <c r="I18" i="21"/>
  <c r="I80" i="21"/>
  <c r="I136" i="21"/>
  <c r="N112" i="36"/>
  <c r="I166" i="36"/>
  <c r="J27" i="20"/>
  <c r="J109" i="36"/>
  <c r="I90" i="16"/>
  <c r="I94" i="16"/>
  <c r="I98" i="16"/>
  <c r="I103" i="16"/>
  <c r="I34" i="17"/>
  <c r="I45" i="17"/>
  <c r="I18" i="18"/>
  <c r="I22" i="18"/>
  <c r="I26" i="18"/>
  <c r="I30" i="18"/>
  <c r="I34" i="18"/>
  <c r="I60" i="18"/>
  <c r="I101" i="18"/>
  <c r="I142" i="18"/>
  <c r="I65" i="20"/>
  <c r="I81" i="20"/>
  <c r="I85" i="20"/>
  <c r="P85" i="20" s="1"/>
  <c r="I90" i="20"/>
  <c r="I94" i="20"/>
  <c r="I98" i="20"/>
  <c r="I105" i="20"/>
  <c r="I135" i="20"/>
  <c r="I158" i="20"/>
  <c r="I56" i="21"/>
  <c r="I128" i="21"/>
  <c r="J128" i="21" s="1"/>
  <c r="N155" i="36"/>
  <c r="I40" i="36"/>
  <c r="N40" i="36" s="1"/>
  <c r="I64" i="36"/>
  <c r="N64" i="36" s="1"/>
  <c r="I117" i="36"/>
  <c r="I125" i="36"/>
  <c r="J125" i="36" s="1"/>
  <c r="J60" i="36"/>
  <c r="I87" i="16"/>
  <c r="I95" i="16"/>
  <c r="I99" i="16"/>
  <c r="I104" i="16"/>
  <c r="AD104" i="16" s="1"/>
  <c r="I108" i="16"/>
  <c r="I161" i="16"/>
  <c r="V161" i="16" s="1"/>
  <c r="I19" i="17"/>
  <c r="I27" i="17"/>
  <c r="I50" i="17"/>
  <c r="AY13" i="17"/>
  <c r="I19" i="18"/>
  <c r="X19" i="18" s="1"/>
  <c r="I27" i="18"/>
  <c r="I35" i="18"/>
  <c r="I61" i="18"/>
  <c r="I90" i="18"/>
  <c r="I94" i="18"/>
  <c r="I98" i="18"/>
  <c r="I34" i="20"/>
  <c r="I66" i="20"/>
  <c r="I82" i="20"/>
  <c r="I87" i="20"/>
  <c r="I91" i="20"/>
  <c r="I95" i="20"/>
  <c r="I102" i="20"/>
  <c r="I106" i="20"/>
  <c r="I120" i="20"/>
  <c r="J120" i="20" s="1"/>
  <c r="I175" i="20"/>
  <c r="J65" i="36"/>
  <c r="I42" i="18"/>
  <c r="J42" i="18" s="1"/>
  <c r="I46" i="18"/>
  <c r="I65" i="18"/>
  <c r="I106" i="18"/>
  <c r="I41" i="20"/>
  <c r="I45" i="20"/>
  <c r="I71" i="20"/>
  <c r="I75" i="20"/>
  <c r="I98" i="21"/>
  <c r="I166" i="21"/>
  <c r="J49" i="36"/>
  <c r="I53" i="20"/>
  <c r="I67" i="20"/>
  <c r="P67" i="20" s="1"/>
  <c r="I83" i="20"/>
  <c r="I88" i="20"/>
  <c r="I92" i="20"/>
  <c r="I96" i="20"/>
  <c r="I103" i="20"/>
  <c r="I121" i="20"/>
  <c r="J121" i="20" s="1"/>
  <c r="I137" i="20"/>
  <c r="P137" i="20" s="1"/>
  <c r="I141" i="20"/>
  <c r="J126" i="21"/>
  <c r="J50" i="36"/>
  <c r="E111" i="22"/>
  <c r="I55" i="18"/>
  <c r="X55" i="18" s="1"/>
  <c r="I71" i="18"/>
  <c r="I75" i="18"/>
  <c r="I79" i="18"/>
  <c r="I83" i="18"/>
  <c r="I112" i="18"/>
  <c r="I116" i="18"/>
  <c r="I120" i="18"/>
  <c r="I133" i="18"/>
  <c r="I24" i="20"/>
  <c r="I28" i="20"/>
  <c r="I32" i="20"/>
  <c r="I50" i="20"/>
  <c r="I60" i="20"/>
  <c r="I118" i="20"/>
  <c r="J118" i="20" s="1"/>
  <c r="I130" i="20"/>
  <c r="I153" i="20"/>
  <c r="I179" i="21"/>
  <c r="I36" i="18"/>
  <c r="J36" i="18" s="1"/>
  <c r="AO13" i="36"/>
  <c r="X87" i="16"/>
  <c r="AD87" i="16"/>
  <c r="AH87" i="16"/>
  <c r="J87" i="16"/>
  <c r="V87" i="16"/>
  <c r="N87" i="16"/>
  <c r="AB87" i="16"/>
  <c r="X118" i="16"/>
  <c r="V118" i="16"/>
  <c r="J133" i="20"/>
  <c r="P133" i="20"/>
  <c r="V97" i="11"/>
  <c r="J97" i="11"/>
  <c r="T97" i="11"/>
  <c r="AB97" i="11"/>
  <c r="P97" i="11"/>
  <c r="X97" i="11"/>
  <c r="P178" i="11"/>
  <c r="T178" i="11"/>
  <c r="X178" i="11"/>
  <c r="V61" i="11"/>
  <c r="G160" i="18"/>
  <c r="J160" i="18" s="1"/>
  <c r="W162" i="18"/>
  <c r="X160" i="18"/>
  <c r="V49" i="11"/>
  <c r="AB49" i="11"/>
  <c r="P49" i="11"/>
  <c r="X49" i="11"/>
  <c r="J49" i="11"/>
  <c r="T49" i="11"/>
  <c r="P58" i="11"/>
  <c r="P17" i="11"/>
  <c r="T17" i="11"/>
  <c r="AB163" i="11"/>
  <c r="T163" i="11"/>
  <c r="X170" i="11"/>
  <c r="AB170" i="11"/>
  <c r="N123" i="16"/>
  <c r="V140" i="11"/>
  <c r="N151" i="16"/>
  <c r="X151" i="16"/>
  <c r="J151" i="16"/>
  <c r="V151" i="16"/>
  <c r="AB143" i="16"/>
  <c r="X143" i="16"/>
  <c r="V143" i="16"/>
  <c r="AB84" i="16"/>
  <c r="AD84" i="16"/>
  <c r="T138" i="11"/>
  <c r="G138" i="11"/>
  <c r="J138" i="11" s="1"/>
  <c r="N105" i="16"/>
  <c r="J105" i="16"/>
  <c r="AH105" i="16"/>
  <c r="AD105" i="16"/>
  <c r="AH25" i="16"/>
  <c r="V25" i="16"/>
  <c r="J97" i="16"/>
  <c r="N97" i="16"/>
  <c r="AD97" i="16"/>
  <c r="AB97" i="16"/>
  <c r="G112" i="11"/>
  <c r="J112" i="11" s="1"/>
  <c r="T112" i="11"/>
  <c r="T166" i="11"/>
  <c r="V166" i="11"/>
  <c r="P166" i="11"/>
  <c r="AD26" i="16"/>
  <c r="X26" i="16"/>
  <c r="BP48" i="17"/>
  <c r="AZ48" i="17"/>
  <c r="J48" i="17"/>
  <c r="BP56" i="17"/>
  <c r="AZ56" i="17"/>
  <c r="AZ64" i="17"/>
  <c r="BP64" i="17"/>
  <c r="P109" i="20"/>
  <c r="J109" i="20"/>
  <c r="P93" i="21"/>
  <c r="J93" i="21"/>
  <c r="J146" i="21"/>
  <c r="P146" i="21"/>
  <c r="V28" i="11"/>
  <c r="AB28" i="11"/>
  <c r="X33" i="11"/>
  <c r="T33" i="11"/>
  <c r="X101" i="11"/>
  <c r="V101" i="11"/>
  <c r="V26" i="16"/>
  <c r="J97" i="20"/>
  <c r="J80" i="17"/>
  <c r="AZ80" i="17"/>
  <c r="AH148" i="16"/>
  <c r="AD148" i="16"/>
  <c r="X148" i="16"/>
  <c r="P60" i="11"/>
  <c r="AB126" i="16"/>
  <c r="X83" i="11"/>
  <c r="V88" i="11"/>
  <c r="U145" i="11"/>
  <c r="V145" i="11" s="1"/>
  <c r="P35" i="11"/>
  <c r="T147" i="11"/>
  <c r="T74" i="11"/>
  <c r="V110" i="11"/>
  <c r="V134" i="11"/>
  <c r="V87" i="11"/>
  <c r="U41" i="11"/>
  <c r="V41" i="11" s="1"/>
  <c r="AD151" i="16"/>
  <c r="AB33" i="16"/>
  <c r="J148" i="16"/>
  <c r="AD132" i="16"/>
  <c r="AD143" i="16"/>
  <c r="V84" i="16"/>
  <c r="J158" i="17"/>
  <c r="J95" i="17"/>
  <c r="AA158" i="11"/>
  <c r="AB158" i="11" s="1"/>
  <c r="V109" i="16"/>
  <c r="X108" i="11"/>
  <c r="T108" i="11"/>
  <c r="P108" i="11"/>
  <c r="P77" i="11"/>
  <c r="T77" i="11"/>
  <c r="N25" i="16"/>
  <c r="V112" i="16"/>
  <c r="X66" i="16"/>
  <c r="AC122" i="16"/>
  <c r="AG175" i="16"/>
  <c r="AH175" i="16" s="1"/>
  <c r="AG121" i="16"/>
  <c r="J32" i="17"/>
  <c r="V137" i="11"/>
  <c r="T150" i="11"/>
  <c r="W162" i="11"/>
  <c r="X162" i="11" s="1"/>
  <c r="X160" i="11"/>
  <c r="AB134" i="11"/>
  <c r="AA127" i="11"/>
  <c r="AB127" i="11" s="1"/>
  <c r="AA126" i="11"/>
  <c r="AB126" i="11" s="1"/>
  <c r="AB105" i="16"/>
  <c r="AH109" i="16"/>
  <c r="AB26" i="16"/>
  <c r="AH81" i="16"/>
  <c r="G19" i="18"/>
  <c r="J40" i="20"/>
  <c r="J165" i="21"/>
  <c r="BP80" i="17"/>
  <c r="BP162" i="17"/>
  <c r="AZ162" i="17"/>
  <c r="BP78" i="17"/>
  <c r="BP58" i="17"/>
  <c r="AZ58" i="17"/>
  <c r="J41" i="17"/>
  <c r="AZ41" i="17"/>
  <c r="BP41" i="17"/>
  <c r="P177" i="20"/>
  <c r="AD82" i="16"/>
  <c r="AB82" i="16"/>
  <c r="AH82" i="16"/>
  <c r="V82" i="16"/>
  <c r="J168" i="20"/>
  <c r="P168" i="20"/>
  <c r="N161" i="21"/>
  <c r="P161" i="21"/>
  <c r="J161" i="21"/>
  <c r="X19" i="11"/>
  <c r="P19" i="11"/>
  <c r="AD35" i="16"/>
  <c r="N35" i="16"/>
  <c r="V35" i="16"/>
  <c r="X35" i="16"/>
  <c r="AD49" i="16"/>
  <c r="AH49" i="16"/>
  <c r="X49" i="16"/>
  <c r="AD76" i="16"/>
  <c r="AH76" i="16"/>
  <c r="N76" i="16"/>
  <c r="V76" i="16"/>
  <c r="J76" i="16"/>
  <c r="N90" i="16"/>
  <c r="AD90" i="16"/>
  <c r="AH90" i="16"/>
  <c r="N98" i="16"/>
  <c r="AH98" i="16"/>
  <c r="J98" i="16"/>
  <c r="AB98" i="16"/>
  <c r="X98" i="16"/>
  <c r="N179" i="36"/>
  <c r="AP179" i="36"/>
  <c r="X155" i="11"/>
  <c r="V155" i="11"/>
  <c r="J155" i="11"/>
  <c r="N163" i="16"/>
  <c r="AB163" i="16"/>
  <c r="X150" i="16"/>
  <c r="N150" i="16"/>
  <c r="J150" i="16"/>
  <c r="AZ35" i="17"/>
  <c r="J35" i="17"/>
  <c r="BP35" i="17"/>
  <c r="J152" i="21"/>
  <c r="N152" i="21"/>
  <c r="AH146" i="16"/>
  <c r="J146" i="16"/>
  <c r="X146" i="16"/>
  <c r="AD146" i="16"/>
  <c r="J148" i="20"/>
  <c r="P148" i="20"/>
  <c r="P48" i="20"/>
  <c r="J48" i="20"/>
  <c r="X142" i="11"/>
  <c r="N114" i="16"/>
  <c r="T35" i="11"/>
  <c r="J84" i="16"/>
  <c r="T165" i="11"/>
  <c r="J163" i="16"/>
  <c r="X25" i="16"/>
  <c r="AD114" i="16"/>
  <c r="X146" i="11"/>
  <c r="J56" i="17"/>
  <c r="N161" i="16"/>
  <c r="X161" i="16"/>
  <c r="BP27" i="17"/>
  <c r="J27" i="17"/>
  <c r="AZ27" i="17"/>
  <c r="AP35" i="36"/>
  <c r="AP51" i="36"/>
  <c r="N51" i="36"/>
  <c r="J51" i="36"/>
  <c r="AP59" i="36"/>
  <c r="J59" i="36"/>
  <c r="N59" i="36"/>
  <c r="J162" i="36"/>
  <c r="N162" i="36"/>
  <c r="G143" i="18"/>
  <c r="J143" i="18" s="1"/>
  <c r="G99" i="17"/>
  <c r="J99" i="17" s="1"/>
  <c r="J147" i="11"/>
  <c r="N62" i="16"/>
  <c r="V29" i="11"/>
  <c r="V163" i="11"/>
  <c r="J163" i="11"/>
  <c r="J23" i="11"/>
  <c r="J33" i="11"/>
  <c r="V126" i="16"/>
  <c r="AB83" i="11"/>
  <c r="V85" i="11"/>
  <c r="X163" i="11"/>
  <c r="X35" i="11"/>
  <c r="X17" i="11"/>
  <c r="X147" i="11"/>
  <c r="V74" i="11"/>
  <c r="T110" i="11"/>
  <c r="AB87" i="11"/>
  <c r="P146" i="11"/>
  <c r="U63" i="11"/>
  <c r="X155" i="16"/>
  <c r="AH151" i="16"/>
  <c r="V33" i="16"/>
  <c r="V148" i="16"/>
  <c r="AH143" i="16"/>
  <c r="X84" i="16"/>
  <c r="W145" i="18"/>
  <c r="G145" i="18" s="1"/>
  <c r="V112" i="11"/>
  <c r="V165" i="11"/>
  <c r="AB146" i="16"/>
  <c r="X132" i="11"/>
  <c r="AB132" i="11"/>
  <c r="AB89" i="11"/>
  <c r="P89" i="11"/>
  <c r="T89" i="11"/>
  <c r="X38" i="11"/>
  <c r="T38" i="11"/>
  <c r="S118" i="11"/>
  <c r="T118" i="11" s="1"/>
  <c r="S65" i="11"/>
  <c r="S60" i="11"/>
  <c r="S59" i="11"/>
  <c r="S62" i="11"/>
  <c r="M115" i="16"/>
  <c r="V66" i="16"/>
  <c r="T137" i="11"/>
  <c r="X134" i="11"/>
  <c r="AB175" i="11"/>
  <c r="J136" i="16"/>
  <c r="AH136" i="16"/>
  <c r="G179" i="16"/>
  <c r="J179" i="16" s="1"/>
  <c r="AH26" i="16"/>
  <c r="J69" i="16"/>
  <c r="X69" i="16"/>
  <c r="W134" i="18"/>
  <c r="G134" i="18" s="1"/>
  <c r="G130" i="18"/>
  <c r="J130" i="18" s="1"/>
  <c r="P138" i="20"/>
  <c r="G173" i="21"/>
  <c r="J173" i="21" s="1"/>
  <c r="BP143" i="17"/>
  <c r="AZ143" i="17"/>
  <c r="AZ131" i="17"/>
  <c r="BP131" i="17"/>
  <c r="V119" i="11"/>
  <c r="X22" i="16"/>
  <c r="V22" i="16"/>
  <c r="AH30" i="16"/>
  <c r="AB30" i="16"/>
  <c r="V30" i="16"/>
  <c r="J30" i="16"/>
  <c r="AD30" i="16"/>
  <c r="N30" i="16"/>
  <c r="V71" i="16"/>
  <c r="AB71" i="16"/>
  <c r="AH71" i="16"/>
  <c r="X71" i="16"/>
  <c r="N71" i="16"/>
  <c r="N79" i="16"/>
  <c r="AH79" i="16"/>
  <c r="X79" i="16"/>
  <c r="V79" i="16"/>
  <c r="P163" i="11"/>
  <c r="J74" i="16"/>
  <c r="AB74" i="16"/>
  <c r="X105" i="16"/>
  <c r="AB107" i="16"/>
  <c r="BP75" i="17"/>
  <c r="J81" i="16"/>
  <c r="V81" i="16"/>
  <c r="AD81" i="16"/>
  <c r="N81" i="16"/>
  <c r="AB95" i="16"/>
  <c r="X95" i="16"/>
  <c r="V95" i="16"/>
  <c r="J132" i="16"/>
  <c r="X132" i="16"/>
  <c r="T85" i="11"/>
  <c r="AB159" i="11"/>
  <c r="AB146" i="11"/>
  <c r="W154" i="11"/>
  <c r="X154" i="11" s="1"/>
  <c r="V155" i="16"/>
  <c r="AB148" i="16"/>
  <c r="J143" i="16"/>
  <c r="X165" i="18"/>
  <c r="AB119" i="11"/>
  <c r="P119" i="11"/>
  <c r="O186" i="11" s="1"/>
  <c r="D3" i="28" s="1"/>
  <c r="AZ24" i="17"/>
  <c r="BP24" i="17"/>
  <c r="J24" i="17"/>
  <c r="U178" i="11"/>
  <c r="U66" i="11"/>
  <c r="V66" i="11" s="1"/>
  <c r="AA66" i="11"/>
  <c r="AB66" i="11" s="1"/>
  <c r="AA167" i="11"/>
  <c r="AB167" i="11" s="1"/>
  <c r="AA179" i="11"/>
  <c r="AB179" i="11" s="1"/>
  <c r="AA13" i="11"/>
  <c r="AC113" i="16"/>
  <c r="AC112" i="16"/>
  <c r="AD112" i="16" s="1"/>
  <c r="AC125" i="16"/>
  <c r="AD125" i="16" s="1"/>
  <c r="AC168" i="16"/>
  <c r="G168" i="16" s="1"/>
  <c r="J168" i="16" s="1"/>
  <c r="AC42" i="16"/>
  <c r="AC117" i="16"/>
  <c r="AD117" i="16" s="1"/>
  <c r="AC43" i="16"/>
  <c r="AD43" i="16" s="1"/>
  <c r="AC66" i="16"/>
  <c r="AC175" i="16"/>
  <c r="AD175" i="16" s="1"/>
  <c r="AC121" i="16"/>
  <c r="AC123" i="16"/>
  <c r="AD123" i="16" s="1"/>
  <c r="AC13" i="16"/>
  <c r="M178" i="36"/>
  <c r="G178" i="36" s="1"/>
  <c r="J178" i="36" s="1"/>
  <c r="M13" i="36"/>
  <c r="P152" i="21"/>
  <c r="AB30" i="11"/>
  <c r="X30" i="11"/>
  <c r="U160" i="11"/>
  <c r="V159" i="11"/>
  <c r="BP104" i="17"/>
  <c r="J104" i="17"/>
  <c r="J104" i="16"/>
  <c r="AG171" i="16"/>
  <c r="AH171" i="16" s="1"/>
  <c r="AG120" i="16"/>
  <c r="AH120" i="16" s="1"/>
  <c r="AG113" i="16"/>
  <c r="AH113" i="16" s="1"/>
  <c r="AG13" i="16"/>
  <c r="AG128" i="16"/>
  <c r="AH128" i="16" s="1"/>
  <c r="AG117" i="16"/>
  <c r="AH117" i="16" s="1"/>
  <c r="AG114" i="16"/>
  <c r="AG165" i="16"/>
  <c r="AH165" i="16" s="1"/>
  <c r="AG125" i="16"/>
  <c r="AH125" i="16" s="1"/>
  <c r="AG174" i="16"/>
  <c r="AH174" i="16" s="1"/>
  <c r="AG43" i="16"/>
  <c r="AH43" i="16" s="1"/>
  <c r="AG173" i="16"/>
  <c r="AH173" i="16" s="1"/>
  <c r="V143" i="11"/>
  <c r="J35" i="11"/>
  <c r="X62" i="16"/>
  <c r="X166" i="11"/>
  <c r="P71" i="11"/>
  <c r="V35" i="11"/>
  <c r="X165" i="11"/>
  <c r="X110" i="11"/>
  <c r="X33" i="16"/>
  <c r="X159" i="18"/>
  <c r="T174" i="11"/>
  <c r="G137" i="18"/>
  <c r="J137" i="18" s="1"/>
  <c r="P141" i="11"/>
  <c r="V141" i="11"/>
  <c r="AB172" i="11"/>
  <c r="V172" i="11"/>
  <c r="N74" i="16"/>
  <c r="AG119" i="16"/>
  <c r="AH119" i="16" s="1"/>
  <c r="AB81" i="16"/>
  <c r="BP96" i="17"/>
  <c r="N143" i="16"/>
  <c r="N148" i="16"/>
  <c r="X85" i="11"/>
  <c r="T71" i="11"/>
  <c r="P169" i="11"/>
  <c r="AB17" i="11"/>
  <c r="T140" i="11"/>
  <c r="U158" i="11"/>
  <c r="P94" i="11"/>
  <c r="P170" i="11"/>
  <c r="AB110" i="11"/>
  <c r="AB140" i="11"/>
  <c r="T117" i="11"/>
  <c r="X53" i="11"/>
  <c r="P155" i="11"/>
  <c r="U54" i="11"/>
  <c r="X114" i="11"/>
  <c r="AH163" i="16"/>
  <c r="X126" i="16"/>
  <c r="AB132" i="16"/>
  <c r="X74" i="16"/>
  <c r="N146" i="21"/>
  <c r="BP67" i="17"/>
  <c r="AZ32" i="17"/>
  <c r="G173" i="18"/>
  <c r="S67" i="11"/>
  <c r="T67" i="11" s="1"/>
  <c r="X118" i="11"/>
  <c r="AB25" i="16"/>
  <c r="T133" i="11"/>
  <c r="P133" i="11"/>
  <c r="X106" i="11"/>
  <c r="V106" i="11"/>
  <c r="P106" i="11"/>
  <c r="V80" i="11"/>
  <c r="AB80" i="11"/>
  <c r="V79" i="11"/>
  <c r="P79" i="11"/>
  <c r="W67" i="11"/>
  <c r="W54" i="11"/>
  <c r="W59" i="11"/>
  <c r="X59" i="11" s="1"/>
  <c r="W52" i="11"/>
  <c r="X52" i="11" s="1"/>
  <c r="W44" i="11"/>
  <c r="W41" i="11"/>
  <c r="X41" i="11" s="1"/>
  <c r="W47" i="11"/>
  <c r="X47" i="11" s="1"/>
  <c r="N178" i="16"/>
  <c r="G178" i="16"/>
  <c r="J178" i="16" s="1"/>
  <c r="X128" i="16"/>
  <c r="AB114" i="16"/>
  <c r="AC173" i="16"/>
  <c r="AD173" i="16" s="1"/>
  <c r="AG42" i="16"/>
  <c r="AG112" i="16"/>
  <c r="AH112" i="16" s="1"/>
  <c r="U179" i="11"/>
  <c r="V179" i="11" s="1"/>
  <c r="AA178" i="11"/>
  <c r="AB178" i="11" s="1"/>
  <c r="AA154" i="11"/>
  <c r="AB154" i="11" s="1"/>
  <c r="AB148" i="11"/>
  <c r="AB168" i="11"/>
  <c r="AC124" i="16"/>
  <c r="AD124" i="16" s="1"/>
  <c r="X169" i="16"/>
  <c r="N169" i="16"/>
  <c r="V169" i="16"/>
  <c r="J151" i="21"/>
  <c r="S160" i="11"/>
  <c r="AZ165" i="17"/>
  <c r="J165" i="17"/>
  <c r="X169" i="18"/>
  <c r="J169" i="18"/>
  <c r="J178" i="20"/>
  <c r="G176" i="11"/>
  <c r="J176" i="11" s="1"/>
  <c r="T176" i="11"/>
  <c r="J33" i="16"/>
  <c r="AH33" i="16"/>
  <c r="G159" i="18"/>
  <c r="J159" i="18" s="1"/>
  <c r="W158" i="18"/>
  <c r="G158" i="18" s="1"/>
  <c r="AZ18" i="17"/>
  <c r="J18" i="17"/>
  <c r="AZ76" i="17"/>
  <c r="BP76" i="17"/>
  <c r="V107" i="16"/>
  <c r="J107" i="16"/>
  <c r="AD107" i="16"/>
  <c r="AH107" i="16"/>
  <c r="N109" i="16"/>
  <c r="J109" i="16"/>
  <c r="AD109" i="16"/>
  <c r="J43" i="17"/>
  <c r="AZ43" i="17"/>
  <c r="N78" i="36"/>
  <c r="J78" i="36"/>
  <c r="AD150" i="16"/>
  <c r="AB109" i="16"/>
  <c r="N33" i="16"/>
  <c r="J75" i="17"/>
  <c r="J155" i="16"/>
  <c r="N155" i="16"/>
  <c r="AD155" i="16"/>
  <c r="AH155" i="16"/>
  <c r="G175" i="21"/>
  <c r="BP17" i="17"/>
  <c r="AZ17" i="17"/>
  <c r="J17" i="17"/>
  <c r="X29" i="11"/>
  <c r="P29" i="11"/>
  <c r="BP19" i="17"/>
  <c r="AZ19" i="17"/>
  <c r="G105" i="17"/>
  <c r="J105" i="17" s="1"/>
  <c r="J144" i="11"/>
  <c r="V17" i="11"/>
  <c r="AB151" i="16"/>
  <c r="AH132" i="16"/>
  <c r="AH84" i="16"/>
  <c r="P127" i="21"/>
  <c r="AD25" i="16"/>
  <c r="P161" i="11"/>
  <c r="J161" i="11"/>
  <c r="U67" i="11"/>
  <c r="V67" i="11" s="1"/>
  <c r="U118" i="11"/>
  <c r="V118" i="11" s="1"/>
  <c r="U59" i="11"/>
  <c r="V59" i="11" s="1"/>
  <c r="U58" i="11"/>
  <c r="V58" i="11" s="1"/>
  <c r="U53" i="11"/>
  <c r="V53" i="11" s="1"/>
  <c r="U40" i="11"/>
  <c r="V40" i="11" s="1"/>
  <c r="U48" i="11"/>
  <c r="V48" i="11" s="1"/>
  <c r="U44" i="11"/>
  <c r="N95" i="16"/>
  <c r="N124" i="16"/>
  <c r="AG66" i="16"/>
  <c r="AH66" i="16" s="1"/>
  <c r="AD154" i="16"/>
  <c r="V154" i="16"/>
  <c r="X154" i="16"/>
  <c r="BP174" i="17"/>
  <c r="G174" i="17"/>
  <c r="J174" i="17" s="1"/>
  <c r="AD57" i="16"/>
  <c r="J57" i="16"/>
  <c r="X57" i="16"/>
  <c r="N57" i="16"/>
  <c r="AB57" i="16"/>
  <c r="P150" i="11"/>
  <c r="AB150" i="11"/>
  <c r="N17" i="16"/>
  <c r="J17" i="16"/>
  <c r="AH17" i="16"/>
  <c r="AD17" i="16"/>
  <c r="J28" i="11"/>
  <c r="J87" i="11"/>
  <c r="J85" i="11"/>
  <c r="J30" i="11"/>
  <c r="N154" i="16"/>
  <c r="T172" i="11"/>
  <c r="P28" i="11"/>
  <c r="AB85" i="11"/>
  <c r="X144" i="11"/>
  <c r="P101" i="11"/>
  <c r="V174" i="11"/>
  <c r="V170" i="11"/>
  <c r="X161" i="11"/>
  <c r="P33" i="11"/>
  <c r="X58" i="11"/>
  <c r="P23" i="11"/>
  <c r="T155" i="11"/>
  <c r="U56" i="11"/>
  <c r="V56" i="11" s="1"/>
  <c r="U47" i="11"/>
  <c r="V47" i="11" s="1"/>
  <c r="J154" i="16"/>
  <c r="X163" i="16"/>
  <c r="V150" i="16"/>
  <c r="V74" i="16"/>
  <c r="X178" i="18"/>
  <c r="G145" i="11"/>
  <c r="J145" i="11" s="1"/>
  <c r="P174" i="11"/>
  <c r="BP158" i="17"/>
  <c r="P137" i="11"/>
  <c r="V24" i="11"/>
  <c r="P24" i="11"/>
  <c r="X107" i="11"/>
  <c r="P107" i="11"/>
  <c r="X70" i="11"/>
  <c r="V70" i="11"/>
  <c r="J70" i="11"/>
  <c r="X82" i="11"/>
  <c r="P82" i="11"/>
  <c r="J82" i="11"/>
  <c r="P93" i="11"/>
  <c r="V93" i="11"/>
  <c r="V175" i="11"/>
  <c r="P175" i="11"/>
  <c r="J26" i="16"/>
  <c r="AB175" i="16"/>
  <c r="AD167" i="16"/>
  <c r="AG122" i="16"/>
  <c r="AH122" i="16" s="1"/>
  <c r="AG176" i="16"/>
  <c r="AH176" i="16" s="1"/>
  <c r="J64" i="17"/>
  <c r="J19" i="17"/>
  <c r="U167" i="11"/>
  <c r="AA160" i="11"/>
  <c r="AA162" i="11" s="1"/>
  <c r="AB162" i="11" s="1"/>
  <c r="AA142" i="11"/>
  <c r="G142" i="11" s="1"/>
  <c r="J142" i="11" s="1"/>
  <c r="AB141" i="11"/>
  <c r="N91" i="16"/>
  <c r="V91" i="16"/>
  <c r="X91" i="16"/>
  <c r="J145" i="16"/>
  <c r="AB145" i="16"/>
  <c r="N145" i="16"/>
  <c r="V17" i="16"/>
  <c r="X156" i="16"/>
  <c r="N84" i="16"/>
  <c r="V57" i="16"/>
  <c r="AH97" i="16"/>
  <c r="BP145" i="17"/>
  <c r="J145" i="17"/>
  <c r="AZ145" i="17"/>
  <c r="AZ85" i="17"/>
  <c r="J85" i="17"/>
  <c r="N93" i="21"/>
  <c r="P144" i="20"/>
  <c r="J144" i="20"/>
  <c r="T121" i="11"/>
  <c r="S126" i="11"/>
  <c r="N31" i="16"/>
  <c r="AD31" i="16"/>
  <c r="AH31" i="16"/>
  <c r="AB31" i="16"/>
  <c r="P153" i="20"/>
  <c r="J153" i="20"/>
  <c r="J119" i="21"/>
  <c r="N119" i="21"/>
  <c r="P119" i="21"/>
  <c r="J94" i="17"/>
  <c r="BP91" i="17"/>
  <c r="J151" i="11"/>
  <c r="J177" i="11"/>
  <c r="M60" i="16"/>
  <c r="N60" i="16" s="1"/>
  <c r="M44" i="16"/>
  <c r="W63" i="16"/>
  <c r="W44" i="16"/>
  <c r="AA58" i="16"/>
  <c r="AA54" i="16"/>
  <c r="T95" i="11"/>
  <c r="AD75" i="16"/>
  <c r="AB110" i="16"/>
  <c r="V137" i="16"/>
  <c r="N133" i="16"/>
  <c r="X175" i="18"/>
  <c r="J47" i="17"/>
  <c r="J178" i="17"/>
  <c r="J66" i="17"/>
  <c r="J28" i="17"/>
  <c r="X21" i="16"/>
  <c r="AB160" i="11"/>
  <c r="N108" i="16"/>
  <c r="N179" i="16"/>
  <c r="V168" i="16"/>
  <c r="AB165" i="16"/>
  <c r="J138" i="17"/>
  <c r="V154" i="11"/>
  <c r="S168" i="11"/>
  <c r="W175" i="11"/>
  <c r="X175" i="11" s="1"/>
  <c r="W66" i="11"/>
  <c r="X66" i="11" s="1"/>
  <c r="AB176" i="16"/>
  <c r="X142" i="16"/>
  <c r="X147" i="16"/>
  <c r="N88" i="16"/>
  <c r="AD96" i="16"/>
  <c r="J132" i="20"/>
  <c r="S146" i="11"/>
  <c r="AZ62" i="17"/>
  <c r="BP84" i="17"/>
  <c r="AZ136" i="17"/>
  <c r="S125" i="11"/>
  <c r="P109" i="21"/>
  <c r="J109" i="21"/>
  <c r="AP46" i="36"/>
  <c r="N46" i="36"/>
  <c r="J46" i="36"/>
  <c r="N54" i="36"/>
  <c r="AP54" i="36"/>
  <c r="J54" i="36"/>
  <c r="V130" i="11"/>
  <c r="X137" i="16"/>
  <c r="N148" i="21"/>
  <c r="G141" i="11"/>
  <c r="J141" i="11" s="1"/>
  <c r="T141" i="11"/>
  <c r="G117" i="16"/>
  <c r="J117" i="16" s="1"/>
  <c r="V152" i="11"/>
  <c r="T145" i="11"/>
  <c r="X167" i="16"/>
  <c r="AB112" i="16"/>
  <c r="J169" i="17"/>
  <c r="AB142" i="16"/>
  <c r="AH147" i="16"/>
  <c r="AB88" i="16"/>
  <c r="V96" i="16"/>
  <c r="N101" i="16"/>
  <c r="P155" i="21"/>
  <c r="J176" i="17"/>
  <c r="AP92" i="36"/>
  <c r="J92" i="36"/>
  <c r="S128" i="11"/>
  <c r="S120" i="11"/>
  <c r="S66" i="11"/>
  <c r="W121" i="11"/>
  <c r="W123" i="11"/>
  <c r="X123" i="11" s="1"/>
  <c r="T130" i="11"/>
  <c r="BP44" i="17"/>
  <c r="AB21" i="16"/>
  <c r="AB122" i="16"/>
  <c r="AB162" i="16"/>
  <c r="V88" i="16"/>
  <c r="AZ66" i="17"/>
  <c r="AD172" i="16"/>
  <c r="S114" i="11"/>
  <c r="J70" i="21"/>
  <c r="N70" i="21"/>
  <c r="G165" i="36"/>
  <c r="J134" i="36"/>
  <c r="AP134" i="36"/>
  <c r="N134" i="36"/>
  <c r="AP150" i="36"/>
  <c r="J150" i="36"/>
  <c r="X167" i="11"/>
  <c r="V120" i="11"/>
  <c r="G128" i="16"/>
  <c r="J128" i="16" s="1"/>
  <c r="G43" i="11"/>
  <c r="J43" i="11" s="1"/>
  <c r="X88" i="16"/>
  <c r="BP65" i="17"/>
  <c r="J65" i="17"/>
  <c r="AD168" i="16"/>
  <c r="AD21" i="16"/>
  <c r="AP127" i="36"/>
  <c r="N127" i="36"/>
  <c r="J127" i="36"/>
  <c r="AP58" i="36"/>
  <c r="N58" i="36"/>
  <c r="J58" i="36"/>
  <c r="J172" i="36"/>
  <c r="N136" i="36"/>
  <c r="J136" i="36"/>
  <c r="AP83" i="36"/>
  <c r="N83" i="36"/>
  <c r="J83" i="36"/>
  <c r="M37" i="36"/>
  <c r="G37" i="36" s="1"/>
  <c r="M19" i="36"/>
  <c r="M168" i="36"/>
  <c r="M171" i="36"/>
  <c r="G171" i="36" s="1"/>
  <c r="J171" i="36" s="1"/>
  <c r="M175" i="36"/>
  <c r="J55" i="18"/>
  <c r="O13" i="21"/>
  <c r="I21" i="21"/>
  <c r="N21" i="21" s="1"/>
  <c r="I31" i="21"/>
  <c r="I41" i="21"/>
  <c r="I46" i="21"/>
  <c r="I64" i="21"/>
  <c r="I74" i="21"/>
  <c r="I79" i="21"/>
  <c r="I87" i="21"/>
  <c r="I91" i="21"/>
  <c r="I96" i="21"/>
  <c r="I101" i="21"/>
  <c r="I149" i="21"/>
  <c r="I154" i="21"/>
  <c r="J42" i="36"/>
  <c r="AP119" i="36"/>
  <c r="N119" i="36"/>
  <c r="J119" i="36"/>
  <c r="N97" i="36"/>
  <c r="AP97" i="36"/>
  <c r="N132" i="36"/>
  <c r="J132" i="36"/>
  <c r="N115" i="36"/>
  <c r="AP115" i="36"/>
  <c r="J154" i="36"/>
  <c r="N154" i="36"/>
  <c r="I27" i="48"/>
  <c r="V171" i="16"/>
  <c r="X42" i="18"/>
  <c r="BP33" i="17"/>
  <c r="I177" i="21"/>
  <c r="N177" i="21" s="1"/>
  <c r="I36" i="21"/>
  <c r="J36" i="21" s="1"/>
  <c r="U122" i="11"/>
  <c r="V122" i="11" s="1"/>
  <c r="I49" i="21"/>
  <c r="I67" i="21"/>
  <c r="I72" i="21"/>
  <c r="I77" i="21"/>
  <c r="I89" i="21"/>
  <c r="I113" i="21"/>
  <c r="I134" i="21"/>
  <c r="I159" i="21"/>
  <c r="I175" i="21"/>
  <c r="N175" i="21" s="1"/>
  <c r="N50" i="36"/>
  <c r="M174" i="36"/>
  <c r="J61" i="36"/>
  <c r="J90" i="36"/>
  <c r="AP90" i="36"/>
  <c r="AP149" i="36"/>
  <c r="N149" i="36"/>
  <c r="J149" i="36"/>
  <c r="N34" i="45"/>
  <c r="I19" i="16"/>
  <c r="I50" i="16"/>
  <c r="N50" i="16" s="1"/>
  <c r="J119" i="20"/>
  <c r="J128" i="20"/>
  <c r="I29" i="21"/>
  <c r="I44" i="21"/>
  <c r="I52" i="21"/>
  <c r="I60" i="21"/>
  <c r="I62" i="21"/>
  <c r="I82" i="21"/>
  <c r="I94" i="21"/>
  <c r="I99" i="21"/>
  <c r="I118" i="21"/>
  <c r="I120" i="21"/>
  <c r="I122" i="21"/>
  <c r="I132" i="21"/>
  <c r="I137" i="21"/>
  <c r="I142" i="21"/>
  <c r="I147" i="21"/>
  <c r="I178" i="21"/>
  <c r="J178" i="21" s="1"/>
  <c r="AP141" i="36"/>
  <c r="N176" i="36"/>
  <c r="M123" i="36"/>
  <c r="J56" i="36"/>
  <c r="AP56" i="36"/>
  <c r="N71" i="36"/>
  <c r="J71" i="36"/>
  <c r="AP166" i="36"/>
  <c r="N166" i="36"/>
  <c r="J166" i="36"/>
  <c r="I22" i="21"/>
  <c r="N22" i="21" s="1"/>
  <c r="I24" i="21"/>
  <c r="I32" i="21"/>
  <c r="N32" i="21" s="1"/>
  <c r="I42" i="21"/>
  <c r="I47" i="21"/>
  <c r="I85" i="21"/>
  <c r="I116" i="21"/>
  <c r="I125" i="21"/>
  <c r="I130" i="21"/>
  <c r="I165" i="21"/>
  <c r="N165" i="21" s="1"/>
  <c r="N158" i="36"/>
  <c r="N49" i="36"/>
  <c r="J107" i="36"/>
  <c r="M38" i="36"/>
  <c r="G38" i="36" s="1"/>
  <c r="J101" i="36"/>
  <c r="AP101" i="36"/>
  <c r="AP107" i="36"/>
  <c r="J160" i="36"/>
  <c r="J161" i="36"/>
  <c r="N161" i="36"/>
  <c r="AP42" i="36"/>
  <c r="AP55" i="36"/>
  <c r="N55" i="36"/>
  <c r="J74" i="36"/>
  <c r="AP74" i="36"/>
  <c r="N60" i="36"/>
  <c r="AP60" i="36"/>
  <c r="I25" i="50"/>
  <c r="I17" i="21"/>
  <c r="I50" i="21"/>
  <c r="I73" i="21"/>
  <c r="I78" i="21"/>
  <c r="I88" i="21"/>
  <c r="I90" i="21"/>
  <c r="I92" i="21"/>
  <c r="I102" i="21"/>
  <c r="I107" i="21"/>
  <c r="I114" i="21"/>
  <c r="I150" i="21"/>
  <c r="I168" i="21"/>
  <c r="N61" i="36"/>
  <c r="J67" i="36"/>
  <c r="N67" i="36"/>
  <c r="J145" i="36"/>
  <c r="AP145" i="36"/>
  <c r="J142" i="36"/>
  <c r="AP142" i="36"/>
  <c r="I85" i="16"/>
  <c r="V85" i="16" s="1"/>
  <c r="J85" i="20"/>
  <c r="I20" i="21"/>
  <c r="N20" i="21" s="1"/>
  <c r="I45" i="21"/>
  <c r="I55" i="21"/>
  <c r="I57" i="21"/>
  <c r="I59" i="21"/>
  <c r="I63" i="21"/>
  <c r="J63" i="21" s="1"/>
  <c r="I71" i="21"/>
  <c r="I83" i="21"/>
  <c r="I95" i="21"/>
  <c r="I100" i="21"/>
  <c r="J100" i="21" s="1"/>
  <c r="I105" i="21"/>
  <c r="I112" i="21"/>
  <c r="I123" i="21"/>
  <c r="I153" i="21"/>
  <c r="AP154" i="36"/>
  <c r="J102" i="36"/>
  <c r="AP136" i="36"/>
  <c r="J176" i="36"/>
  <c r="AP19" i="36"/>
  <c r="AP153" i="36"/>
  <c r="N153" i="36"/>
  <c r="J43" i="18"/>
  <c r="J51" i="18"/>
  <c r="J56" i="18"/>
  <c r="J66" i="18"/>
  <c r="I19" i="21"/>
  <c r="J19" i="21" s="1"/>
  <c r="I26" i="21"/>
  <c r="I34" i="21"/>
  <c r="N34" i="21" s="1"/>
  <c r="I48" i="21"/>
  <c r="I65" i="21"/>
  <c r="I75" i="21"/>
  <c r="I84" i="21"/>
  <c r="I171" i="21"/>
  <c r="J118" i="36"/>
  <c r="J117" i="36"/>
  <c r="I58" i="16"/>
  <c r="N58" i="16" s="1"/>
  <c r="I63" i="16"/>
  <c r="I90" i="17"/>
  <c r="I107" i="17"/>
  <c r="I116" i="17"/>
  <c r="J116" i="17" s="1"/>
  <c r="I20" i="18"/>
  <c r="I28" i="18"/>
  <c r="I44" i="18"/>
  <c r="I62" i="18"/>
  <c r="I67" i="18"/>
  <c r="I73" i="18"/>
  <c r="I81" i="18"/>
  <c r="I110" i="18"/>
  <c r="I121" i="18"/>
  <c r="I167" i="18"/>
  <c r="I161" i="20"/>
  <c r="I27" i="21"/>
  <c r="N27" i="21" s="1"/>
  <c r="I35" i="21"/>
  <c r="I51" i="21"/>
  <c r="I53" i="21"/>
  <c r="I61" i="21"/>
  <c r="I66" i="21"/>
  <c r="I69" i="21"/>
  <c r="I106" i="21"/>
  <c r="I138" i="21"/>
  <c r="I145" i="21"/>
  <c r="I157" i="21"/>
  <c r="I162" i="21"/>
  <c r="N147" i="36"/>
  <c r="I89" i="36"/>
  <c r="I156" i="36"/>
  <c r="I104" i="36"/>
  <c r="I38" i="36"/>
  <c r="J38" i="36" s="1"/>
  <c r="I73" i="36"/>
  <c r="J73" i="36" s="1"/>
  <c r="I96" i="36"/>
  <c r="N96" i="36" s="1"/>
  <c r="I141" i="17"/>
  <c r="I157" i="17"/>
  <c r="I23" i="18"/>
  <c r="I31" i="18"/>
  <c r="I76" i="18"/>
  <c r="I105" i="18"/>
  <c r="X105" i="18" s="1"/>
  <c r="I124" i="18"/>
  <c r="I170" i="18"/>
  <c r="I30" i="21"/>
  <c r="N30" i="21" s="1"/>
  <c r="I40" i="21"/>
  <c r="I76" i="21"/>
  <c r="I104" i="21"/>
  <c r="N104" i="21" s="1"/>
  <c r="I124" i="21"/>
  <c r="I178" i="36"/>
  <c r="AP178" i="36" s="1"/>
  <c r="I159" i="36"/>
  <c r="I148" i="36"/>
  <c r="N148" i="36" s="1"/>
  <c r="I94" i="36"/>
  <c r="J94" i="36" s="1"/>
  <c r="J66" i="36"/>
  <c r="I21" i="36"/>
  <c r="AP21" i="36" s="1"/>
  <c r="I26" i="36"/>
  <c r="AP26" i="36" s="1"/>
  <c r="I44" i="36"/>
  <c r="I52" i="36"/>
  <c r="I76" i="36"/>
  <c r="AP76" i="36" s="1"/>
  <c r="I99" i="36"/>
  <c r="I113" i="36"/>
  <c r="I135" i="36"/>
  <c r="I151" i="36"/>
  <c r="I165" i="36"/>
  <c r="N165" i="36" s="1"/>
  <c r="I173" i="36"/>
  <c r="AP173" i="36" s="1"/>
  <c r="J32" i="43"/>
  <c r="D5" i="44"/>
  <c r="D24" i="44" s="1"/>
  <c r="D25" i="44" s="1"/>
  <c r="N39" i="45"/>
  <c r="N47" i="45" s="1"/>
  <c r="N93" i="45"/>
  <c r="N94" i="45" s="1"/>
  <c r="N24" i="45"/>
  <c r="N35" i="45"/>
  <c r="N36" i="45" s="1"/>
  <c r="L39" i="47"/>
  <c r="L29" i="47"/>
  <c r="J37" i="43"/>
  <c r="I25" i="48"/>
  <c r="G93" i="17"/>
  <c r="J93" i="17" s="1"/>
  <c r="BP93" i="17"/>
  <c r="AH106" i="16"/>
  <c r="X106" i="16"/>
  <c r="J106" i="16"/>
  <c r="V106" i="16"/>
  <c r="N106" i="16"/>
  <c r="AB106" i="16"/>
  <c r="AD106" i="16"/>
  <c r="AB122" i="11"/>
  <c r="V83" i="11"/>
  <c r="AB166" i="11"/>
  <c r="V167" i="11"/>
  <c r="AA40" i="11"/>
  <c r="AB40" i="11" s="1"/>
  <c r="AA41" i="11"/>
  <c r="AA118" i="11"/>
  <c r="AA52" i="11"/>
  <c r="AB75" i="11"/>
  <c r="T91" i="11"/>
  <c r="AB124" i="11"/>
  <c r="X43" i="11"/>
  <c r="P64" i="11"/>
  <c r="V145" i="16"/>
  <c r="P160" i="11"/>
  <c r="G173" i="11"/>
  <c r="J173" i="11" s="1"/>
  <c r="T175" i="11"/>
  <c r="N112" i="16"/>
  <c r="BP110" i="17"/>
  <c r="AH93" i="16"/>
  <c r="BP130" i="17"/>
  <c r="J130" i="17"/>
  <c r="AZ130" i="17"/>
  <c r="V29" i="16"/>
  <c r="AH29" i="16"/>
  <c r="J29" i="16"/>
  <c r="AD29" i="16"/>
  <c r="J26" i="11"/>
  <c r="J64" i="11"/>
  <c r="T131" i="11"/>
  <c r="AA47" i="11"/>
  <c r="T64" i="11"/>
  <c r="X145" i="16"/>
  <c r="BP165" i="17"/>
  <c r="G120" i="16"/>
  <c r="J120" i="16" s="1"/>
  <c r="G167" i="16"/>
  <c r="J167" i="16" s="1"/>
  <c r="J93" i="16"/>
  <c r="V93" i="16"/>
  <c r="N32" i="16"/>
  <c r="X176" i="16"/>
  <c r="J76" i="18"/>
  <c r="X76" i="18"/>
  <c r="J105" i="18"/>
  <c r="X170" i="18"/>
  <c r="J170" i="18"/>
  <c r="P106" i="20"/>
  <c r="J106" i="20"/>
  <c r="J167" i="20"/>
  <c r="P167" i="20"/>
  <c r="P145" i="11"/>
  <c r="AD145" i="16"/>
  <c r="G174" i="18"/>
  <c r="J174" i="18" s="1"/>
  <c r="AZ49" i="17"/>
  <c r="BP49" i="17"/>
  <c r="X155" i="18"/>
  <c r="J155" i="18"/>
  <c r="AB156" i="16"/>
  <c r="AH156" i="16"/>
  <c r="V156" i="16"/>
  <c r="AD156" i="16"/>
  <c r="J53" i="17"/>
  <c r="BP53" i="17"/>
  <c r="P147" i="20"/>
  <c r="J147" i="20"/>
  <c r="G116" i="16"/>
  <c r="J116" i="16" s="1"/>
  <c r="AZ177" i="17"/>
  <c r="BP177" i="17"/>
  <c r="J131" i="21"/>
  <c r="P131" i="21"/>
  <c r="N131" i="21"/>
  <c r="P173" i="20"/>
  <c r="J173" i="20"/>
  <c r="J136" i="18"/>
  <c r="X136" i="18"/>
  <c r="V125" i="16"/>
  <c r="X125" i="16"/>
  <c r="X131" i="16"/>
  <c r="AH131" i="16"/>
  <c r="V131" i="16"/>
  <c r="J166" i="11"/>
  <c r="G171" i="16"/>
  <c r="J171" i="16" s="1"/>
  <c r="N119" i="16"/>
  <c r="AD66" i="16"/>
  <c r="G146" i="11"/>
  <c r="J146" i="11" s="1"/>
  <c r="AD119" i="16"/>
  <c r="BP77" i="17"/>
  <c r="J77" i="17"/>
  <c r="AZ77" i="17"/>
  <c r="AB18" i="16"/>
  <c r="V18" i="16"/>
  <c r="AD18" i="16"/>
  <c r="X18" i="16"/>
  <c r="J110" i="17"/>
  <c r="AZ140" i="17"/>
  <c r="J152" i="20"/>
  <c r="P152" i="20"/>
  <c r="AB93" i="16"/>
  <c r="AD93" i="16"/>
  <c r="X93" i="16"/>
  <c r="U13" i="16"/>
  <c r="U42" i="16"/>
  <c r="U176" i="16"/>
  <c r="V176" i="16" s="1"/>
  <c r="U173" i="16"/>
  <c r="U175" i="16"/>
  <c r="J38" i="17"/>
  <c r="BP61" i="17"/>
  <c r="AZ160" i="17"/>
  <c r="AP63" i="36"/>
  <c r="N63" i="36"/>
  <c r="J63" i="36"/>
  <c r="J82" i="36"/>
  <c r="N82" i="36"/>
  <c r="AP82" i="36"/>
  <c r="AZ154" i="17"/>
  <c r="AZ69" i="17"/>
  <c r="AZ152" i="17"/>
  <c r="J25" i="36"/>
  <c r="AP25" i="36"/>
  <c r="N25" i="36"/>
  <c r="S116" i="11"/>
  <c r="S124" i="11"/>
  <c r="S122" i="11"/>
  <c r="S119" i="11"/>
  <c r="W113" i="11"/>
  <c r="W124" i="11"/>
  <c r="X124" i="11" s="1"/>
  <c r="N63" i="21"/>
  <c r="P63" i="21"/>
  <c r="N159" i="36"/>
  <c r="AP131" i="36"/>
  <c r="J131" i="36"/>
  <c r="AP143" i="36"/>
  <c r="J143" i="36"/>
  <c r="J152" i="36"/>
  <c r="AP152" i="36"/>
  <c r="N152" i="36"/>
  <c r="AP43" i="36"/>
  <c r="J43" i="36"/>
  <c r="N43" i="36"/>
  <c r="AP72" i="36"/>
  <c r="J72" i="36"/>
  <c r="AP80" i="36"/>
  <c r="N80" i="36"/>
  <c r="AP85" i="36"/>
  <c r="N85" i="36"/>
  <c r="J85" i="36"/>
  <c r="AP88" i="36"/>
  <c r="N88" i="36"/>
  <c r="AP125" i="36"/>
  <c r="N125" i="36"/>
  <c r="AP139" i="36"/>
  <c r="J139" i="36"/>
  <c r="N139" i="36"/>
  <c r="AP169" i="36"/>
  <c r="J169" i="36"/>
  <c r="AP171" i="36"/>
  <c r="AP62" i="36"/>
  <c r="N62" i="36"/>
  <c r="J62" i="36"/>
  <c r="AP70" i="36"/>
  <c r="J70" i="36"/>
  <c r="N70" i="36"/>
  <c r="N128" i="36"/>
  <c r="AP128" i="36"/>
  <c r="AP34" i="36"/>
  <c r="N34" i="36"/>
  <c r="AP93" i="36"/>
  <c r="N93" i="36"/>
  <c r="J93" i="36"/>
  <c r="W113" i="18"/>
  <c r="W121" i="18"/>
  <c r="W114" i="18"/>
  <c r="W122" i="18"/>
  <c r="W13" i="18"/>
  <c r="W117" i="18"/>
  <c r="W124" i="18"/>
  <c r="W125" i="18"/>
  <c r="W112" i="18"/>
  <c r="W120" i="18"/>
  <c r="W119" i="18"/>
  <c r="W123" i="18"/>
  <c r="W128" i="18"/>
  <c r="W116" i="18"/>
  <c r="N177" i="36"/>
  <c r="J177" i="36"/>
  <c r="AP177" i="36"/>
  <c r="N19" i="36"/>
  <c r="N106" i="36"/>
  <c r="J106" i="36"/>
  <c r="AP106" i="36"/>
  <c r="N138" i="36"/>
  <c r="J138" i="36"/>
  <c r="J64" i="36"/>
  <c r="AP64" i="36"/>
  <c r="AP120" i="36"/>
  <c r="N120" i="36"/>
  <c r="J120" i="36"/>
  <c r="J84" i="36"/>
  <c r="AP84" i="36"/>
  <c r="AP98" i="36"/>
  <c r="J98" i="36"/>
  <c r="N18" i="36"/>
  <c r="J18" i="36"/>
  <c r="AP41" i="36"/>
  <c r="J41" i="36"/>
  <c r="N41" i="36"/>
  <c r="I174" i="21"/>
  <c r="N130" i="36"/>
  <c r="AP130" i="36"/>
  <c r="J130" i="36"/>
  <c r="AP38" i="36"/>
  <c r="N38" i="36"/>
  <c r="N73" i="36"/>
  <c r="AP73" i="36"/>
  <c r="AP81" i="36"/>
  <c r="N81" i="36"/>
  <c r="I40" i="18"/>
  <c r="I48" i="18"/>
  <c r="I53" i="18"/>
  <c r="I58" i="18"/>
  <c r="I69" i="18"/>
  <c r="I80" i="18"/>
  <c r="I82" i="18"/>
  <c r="I84" i="18"/>
  <c r="I100" i="18"/>
  <c r="J100" i="18" s="1"/>
  <c r="I102" i="18"/>
  <c r="I115" i="18"/>
  <c r="I158" i="18"/>
  <c r="I166" i="18"/>
  <c r="N124" i="36"/>
  <c r="AP124" i="36"/>
  <c r="I73" i="16"/>
  <c r="I81" i="17"/>
  <c r="I133" i="17"/>
  <c r="I45" i="18"/>
  <c r="I50" i="18"/>
  <c r="I63" i="18"/>
  <c r="I87" i="18"/>
  <c r="I89" i="18"/>
  <c r="I91" i="18"/>
  <c r="I93" i="18"/>
  <c r="I128" i="18"/>
  <c r="I138" i="18"/>
  <c r="I145" i="18"/>
  <c r="I154" i="18"/>
  <c r="N172" i="36"/>
  <c r="AP140" i="36"/>
  <c r="N140" i="36"/>
  <c r="G174" i="36"/>
  <c r="J174" i="36" s="1"/>
  <c r="N174" i="36"/>
  <c r="AP108" i="36"/>
  <c r="J108" i="36"/>
  <c r="J37" i="36"/>
  <c r="AP37" i="36"/>
  <c r="AP24" i="36"/>
  <c r="J79" i="36"/>
  <c r="AP79" i="36"/>
  <c r="N79" i="36"/>
  <c r="J146" i="36"/>
  <c r="AP146" i="36"/>
  <c r="I158" i="21"/>
  <c r="I170" i="21"/>
  <c r="AP172" i="36"/>
  <c r="N103" i="36"/>
  <c r="AP103" i="36"/>
  <c r="J103" i="36"/>
  <c r="N114" i="36"/>
  <c r="AP114" i="36"/>
  <c r="AP137" i="36"/>
  <c r="J137" i="36"/>
  <c r="N105" i="36"/>
  <c r="AP105" i="36"/>
  <c r="H18" i="43"/>
  <c r="J18" i="43" s="1"/>
  <c r="H20" i="43"/>
  <c r="J20" i="43" s="1"/>
  <c r="H23" i="43"/>
  <c r="J23" i="43" s="1"/>
  <c r="I98" i="17"/>
  <c r="I38" i="18"/>
  <c r="I47" i="18"/>
  <c r="I52" i="18"/>
  <c r="I57" i="18"/>
  <c r="I95" i="18"/>
  <c r="I97" i="18"/>
  <c r="I99" i="18"/>
  <c r="I114" i="18"/>
  <c r="I134" i="18"/>
  <c r="I141" i="18"/>
  <c r="I150" i="18"/>
  <c r="J124" i="36"/>
  <c r="AP163" i="36"/>
  <c r="J163" i="36"/>
  <c r="N163" i="36"/>
  <c r="AP94" i="36"/>
  <c r="N94" i="36"/>
  <c r="AP40" i="36"/>
  <c r="J40" i="36"/>
  <c r="J45" i="36"/>
  <c r="N45" i="36"/>
  <c r="AP53" i="36"/>
  <c r="J53" i="36"/>
  <c r="N53" i="36"/>
  <c r="N69" i="36"/>
  <c r="J69" i="36"/>
  <c r="AP95" i="36"/>
  <c r="J95" i="36"/>
  <c r="N95" i="36"/>
  <c r="M32" i="36"/>
  <c r="N150" i="36"/>
  <c r="N75" i="36"/>
  <c r="AP162" i="36"/>
  <c r="J97" i="36"/>
  <c r="T29" i="49"/>
  <c r="N54" i="45"/>
  <c r="N157" i="36"/>
  <c r="N145" i="36"/>
  <c r="N56" i="36"/>
  <c r="AP112" i="36"/>
  <c r="AP158" i="36"/>
  <c r="J179" i="36"/>
  <c r="J121" i="36"/>
  <c r="N121" i="36"/>
  <c r="AP65" i="36"/>
  <c r="N65" i="36"/>
  <c r="J76" i="36"/>
  <c r="N76" i="36"/>
  <c r="AP87" i="36"/>
  <c r="N87" i="36"/>
  <c r="J99" i="36"/>
  <c r="AP99" i="36"/>
  <c r="N99" i="36"/>
  <c r="J173" i="36"/>
  <c r="N173" i="36"/>
  <c r="N126" i="36"/>
  <c r="J126" i="36"/>
  <c r="N48" i="36"/>
  <c r="J48" i="36"/>
  <c r="AP48" i="36"/>
  <c r="N47" i="36"/>
  <c r="J47" i="36"/>
  <c r="AP47" i="36"/>
  <c r="AP110" i="36"/>
  <c r="N110" i="36"/>
  <c r="N81" i="45"/>
  <c r="N82" i="45" s="1"/>
  <c r="J133" i="36"/>
  <c r="AP126" i="36"/>
  <c r="AP78" i="36"/>
  <c r="J33" i="43"/>
  <c r="J17" i="47"/>
  <c r="K17" i="47" s="1"/>
  <c r="L17" i="47" s="1"/>
  <c r="L18" i="47" s="1"/>
  <c r="L41" i="47" s="1"/>
  <c r="J39" i="43" l="1"/>
  <c r="X94" i="18"/>
  <c r="J94" i="18"/>
  <c r="V144" i="16"/>
  <c r="N144" i="16"/>
  <c r="AD144" i="16"/>
  <c r="AB144" i="16"/>
  <c r="J144" i="16"/>
  <c r="AH144" i="16"/>
  <c r="P24" i="20"/>
  <c r="J24" i="20"/>
  <c r="J181" i="20" s="1"/>
  <c r="J67" i="17"/>
  <c r="AZ67" i="17"/>
  <c r="X149" i="18"/>
  <c r="J149" i="18"/>
  <c r="M55" i="16"/>
  <c r="N55" i="16" s="1"/>
  <c r="N54" i="16"/>
  <c r="H27" i="43"/>
  <c r="J27" i="43" s="1"/>
  <c r="AZ72" i="17"/>
  <c r="G165" i="11"/>
  <c r="J165" i="11" s="1"/>
  <c r="J161" i="16"/>
  <c r="J133" i="18"/>
  <c r="X133" i="18"/>
  <c r="P141" i="20"/>
  <c r="J141" i="20"/>
  <c r="J166" i="21"/>
  <c r="N166" i="21"/>
  <c r="P166" i="21"/>
  <c r="J61" i="18"/>
  <c r="X61" i="18"/>
  <c r="AH95" i="16"/>
  <c r="AD95" i="16"/>
  <c r="J95" i="16"/>
  <c r="J105" i="20"/>
  <c r="P105" i="20"/>
  <c r="V132" i="16"/>
  <c r="N132" i="16"/>
  <c r="X78" i="18"/>
  <c r="J78" i="18"/>
  <c r="X25" i="18"/>
  <c r="J25" i="18"/>
  <c r="AH160" i="16"/>
  <c r="X160" i="16"/>
  <c r="J160" i="16"/>
  <c r="AB160" i="16"/>
  <c r="V160" i="16"/>
  <c r="AD160" i="16"/>
  <c r="N160" i="16"/>
  <c r="AZ89" i="17"/>
  <c r="J89" i="17"/>
  <c r="BP89" i="17"/>
  <c r="J139" i="18"/>
  <c r="X139" i="18"/>
  <c r="G117" i="11"/>
  <c r="J117" i="11" s="1"/>
  <c r="J19" i="18"/>
  <c r="P98" i="21"/>
  <c r="N98" i="21"/>
  <c r="J98" i="21"/>
  <c r="X35" i="18"/>
  <c r="J35" i="18"/>
  <c r="P98" i="20"/>
  <c r="J98" i="20"/>
  <c r="X108" i="18"/>
  <c r="J108" i="18"/>
  <c r="X74" i="18"/>
  <c r="J74" i="18"/>
  <c r="J71" i="17"/>
  <c r="BP71" i="17"/>
  <c r="AZ71" i="17"/>
  <c r="AA67" i="16"/>
  <c r="AB67" i="16" s="1"/>
  <c r="AA44" i="16"/>
  <c r="AA63" i="16"/>
  <c r="AB63" i="16" s="1"/>
  <c r="AA47" i="16"/>
  <c r="AB47" i="16" s="1"/>
  <c r="AA51" i="16"/>
  <c r="AB51" i="16" s="1"/>
  <c r="AA60" i="16"/>
  <c r="AB60" i="16" s="1"/>
  <c r="AA65" i="16"/>
  <c r="AB65" i="16" s="1"/>
  <c r="AA40" i="16"/>
  <c r="AB40" i="16" s="1"/>
  <c r="AA118" i="16"/>
  <c r="AB118" i="16" s="1"/>
  <c r="AA61" i="16"/>
  <c r="AB61" i="16" s="1"/>
  <c r="AA52" i="16"/>
  <c r="AB52" i="16" s="1"/>
  <c r="AA59" i="16"/>
  <c r="AB59" i="16" s="1"/>
  <c r="AA62" i="16"/>
  <c r="AB62" i="16" s="1"/>
  <c r="AA50" i="16"/>
  <c r="AB50" i="16" s="1"/>
  <c r="AA56" i="16"/>
  <c r="AB56" i="16" s="1"/>
  <c r="AA41" i="16"/>
  <c r="AB41" i="16" s="1"/>
  <c r="AA53" i="16"/>
  <c r="AB53" i="16" s="1"/>
  <c r="X70" i="16"/>
  <c r="N70" i="16"/>
  <c r="AH70" i="16"/>
  <c r="V70" i="16"/>
  <c r="J70" i="16"/>
  <c r="AB70" i="16"/>
  <c r="AD70" i="16"/>
  <c r="AB99" i="16"/>
  <c r="AH99" i="16"/>
  <c r="V99" i="16"/>
  <c r="AD99" i="16"/>
  <c r="X99" i="16"/>
  <c r="J99" i="16"/>
  <c r="N99" i="16"/>
  <c r="X177" i="18"/>
  <c r="J177" i="18"/>
  <c r="BP72" i="17"/>
  <c r="BP153" i="17"/>
  <c r="V140" i="16"/>
  <c r="X85" i="16"/>
  <c r="G124" i="16"/>
  <c r="J124" i="16" s="1"/>
  <c r="AH140" i="16"/>
  <c r="BP29" i="17"/>
  <c r="J75" i="20"/>
  <c r="P75" i="20"/>
  <c r="P102" i="20"/>
  <c r="J102" i="20"/>
  <c r="P94" i="20"/>
  <c r="J94" i="20"/>
  <c r="X18" i="18"/>
  <c r="J18" i="18"/>
  <c r="P136" i="21"/>
  <c r="J136" i="21"/>
  <c r="N136" i="21"/>
  <c r="X104" i="18"/>
  <c r="J104" i="18"/>
  <c r="X70" i="18"/>
  <c r="J70" i="18"/>
  <c r="U115" i="11"/>
  <c r="V115" i="11" s="1"/>
  <c r="U186" i="11" s="1"/>
  <c r="J3" i="28" s="1"/>
  <c r="V114" i="11"/>
  <c r="J171" i="20"/>
  <c r="P171" i="20"/>
  <c r="X168" i="18"/>
  <c r="J168" i="18"/>
  <c r="BP42" i="17"/>
  <c r="J42" i="17"/>
  <c r="AZ42" i="17"/>
  <c r="S47" i="11"/>
  <c r="T47" i="11" s="1"/>
  <c r="S41" i="11"/>
  <c r="T41" i="11" s="1"/>
  <c r="S50" i="11"/>
  <c r="T50" i="11" s="1"/>
  <c r="S58" i="11"/>
  <c r="T58" i="11" s="1"/>
  <c r="S51" i="11"/>
  <c r="T51" i="11" s="1"/>
  <c r="S63" i="11"/>
  <c r="T63" i="11" s="1"/>
  <c r="S54" i="11"/>
  <c r="S56" i="11"/>
  <c r="T56" i="11" s="1"/>
  <c r="S44" i="11"/>
  <c r="S53" i="11"/>
  <c r="T53" i="11" s="1"/>
  <c r="S40" i="11"/>
  <c r="T40" i="11" s="1"/>
  <c r="S48" i="11"/>
  <c r="T48" i="11" s="1"/>
  <c r="S61" i="11"/>
  <c r="T61" i="11" s="1"/>
  <c r="S52" i="11"/>
  <c r="T52" i="11" s="1"/>
  <c r="G100" i="17"/>
  <c r="J100" i="17" s="1"/>
  <c r="BP100" i="17"/>
  <c r="N41" i="16"/>
  <c r="P175" i="20"/>
  <c r="J175" i="20"/>
  <c r="X103" i="18"/>
  <c r="J103" i="18"/>
  <c r="G42" i="16"/>
  <c r="J42" i="16" s="1"/>
  <c r="H26" i="43"/>
  <c r="J26" i="43" s="1"/>
  <c r="AD85" i="16"/>
  <c r="AZ153" i="17"/>
  <c r="G167" i="11"/>
  <c r="J167" i="11" s="1"/>
  <c r="G174" i="16"/>
  <c r="J174" i="16" s="1"/>
  <c r="J140" i="16"/>
  <c r="AZ29" i="17"/>
  <c r="N179" i="21"/>
  <c r="J103" i="20"/>
  <c r="P103" i="20"/>
  <c r="J71" i="20"/>
  <c r="P71" i="20"/>
  <c r="P95" i="20"/>
  <c r="J95" i="20"/>
  <c r="J90" i="20"/>
  <c r="P90" i="20"/>
  <c r="AZ45" i="17"/>
  <c r="BP45" i="17"/>
  <c r="J45" i="17"/>
  <c r="P80" i="21"/>
  <c r="J80" i="21"/>
  <c r="N80" i="21"/>
  <c r="J96" i="18"/>
  <c r="X96" i="18"/>
  <c r="J49" i="18"/>
  <c r="X49" i="18"/>
  <c r="P18" i="21"/>
  <c r="G18" i="21"/>
  <c r="BP69" i="17"/>
  <c r="J69" i="17"/>
  <c r="P107" i="20"/>
  <c r="J107" i="20"/>
  <c r="V158" i="16"/>
  <c r="AH158" i="16"/>
  <c r="AD158" i="16"/>
  <c r="J158" i="16"/>
  <c r="AB158" i="16"/>
  <c r="X158" i="16"/>
  <c r="N158" i="16"/>
  <c r="X135" i="18"/>
  <c r="J135" i="18"/>
  <c r="BP62" i="17"/>
  <c r="J62" i="17"/>
  <c r="T42" i="11"/>
  <c r="G42" i="11"/>
  <c r="J42" i="11" s="1"/>
  <c r="G108" i="17"/>
  <c r="J108" i="17" s="1"/>
  <c r="BP108" i="17"/>
  <c r="P158" i="20"/>
  <c r="J158" i="20"/>
  <c r="V38" i="16"/>
  <c r="X38" i="16"/>
  <c r="AB38" i="16"/>
  <c r="N38" i="16"/>
  <c r="J38" i="16"/>
  <c r="AD38" i="16"/>
  <c r="AH38" i="16"/>
  <c r="X90" i="18"/>
  <c r="J90" i="18"/>
  <c r="P25" i="20"/>
  <c r="J25" i="20"/>
  <c r="AZ97" i="17"/>
  <c r="J97" i="17"/>
  <c r="BP97" i="17"/>
  <c r="J17" i="43"/>
  <c r="AP148" i="36"/>
  <c r="H19" i="43"/>
  <c r="J19" i="43" s="1"/>
  <c r="N37" i="36"/>
  <c r="J67" i="20"/>
  <c r="P29" i="20"/>
  <c r="J83" i="18"/>
  <c r="X83" i="18"/>
  <c r="J96" i="20"/>
  <c r="P96" i="20"/>
  <c r="P45" i="20"/>
  <c r="J45" i="20"/>
  <c r="P91" i="20"/>
  <c r="J91" i="20"/>
  <c r="AP117" i="36"/>
  <c r="N117" i="36"/>
  <c r="M186" i="36" s="1"/>
  <c r="B3" i="38" s="1"/>
  <c r="J34" i="17"/>
  <c r="BP34" i="17"/>
  <c r="AZ34" i="17"/>
  <c r="N18" i="21"/>
  <c r="J18" i="21"/>
  <c r="X72" i="18"/>
  <c r="J72" i="18"/>
  <c r="X92" i="18"/>
  <c r="J92" i="18"/>
  <c r="P149" i="20"/>
  <c r="J149" i="20"/>
  <c r="J41" i="18"/>
  <c r="X41" i="18"/>
  <c r="G167" i="21"/>
  <c r="J167" i="21" s="1"/>
  <c r="P167" i="21"/>
  <c r="BP166" i="17"/>
  <c r="AZ166" i="17"/>
  <c r="J166" i="17"/>
  <c r="P33" i="20"/>
  <c r="J33" i="20"/>
  <c r="P62" i="20"/>
  <c r="J62" i="20"/>
  <c r="AH142" i="16"/>
  <c r="V142" i="16"/>
  <c r="J142" i="16"/>
  <c r="N142" i="16"/>
  <c r="AD142" i="16"/>
  <c r="J156" i="17"/>
  <c r="AZ156" i="17"/>
  <c r="BP156" i="17"/>
  <c r="AZ57" i="17"/>
  <c r="BP57" i="17"/>
  <c r="J57" i="17"/>
  <c r="X107" i="18"/>
  <c r="J107" i="18"/>
  <c r="BP23" i="17"/>
  <c r="J23" i="17"/>
  <c r="AZ23" i="17"/>
  <c r="BP87" i="17"/>
  <c r="G87" i="17"/>
  <c r="J87" i="17" s="1"/>
  <c r="H22" i="43"/>
  <c r="J22" i="43" s="1"/>
  <c r="X144" i="16"/>
  <c r="AB42" i="16"/>
  <c r="P130" i="20"/>
  <c r="J130" i="20"/>
  <c r="X79" i="18"/>
  <c r="J79" i="18"/>
  <c r="P92" i="20"/>
  <c r="J92" i="20"/>
  <c r="P41" i="20"/>
  <c r="J41" i="20"/>
  <c r="P87" i="20"/>
  <c r="J87" i="20"/>
  <c r="J50" i="17"/>
  <c r="AZ50" i="17"/>
  <c r="BP50" i="17"/>
  <c r="J81" i="20"/>
  <c r="P81" i="20"/>
  <c r="AB103" i="16"/>
  <c r="V103" i="16"/>
  <c r="AH103" i="16"/>
  <c r="AD103" i="16"/>
  <c r="N103" i="16"/>
  <c r="X103" i="16"/>
  <c r="J103" i="16"/>
  <c r="J174" i="20"/>
  <c r="P174" i="20"/>
  <c r="J137" i="20"/>
  <c r="X88" i="18"/>
  <c r="J88" i="18"/>
  <c r="P145" i="20"/>
  <c r="J145" i="20"/>
  <c r="G179" i="21"/>
  <c r="J179" i="21" s="1"/>
  <c r="P179" i="21"/>
  <c r="BP60" i="17"/>
  <c r="J60" i="17"/>
  <c r="AZ60" i="17"/>
  <c r="J101" i="20"/>
  <c r="P101" i="20"/>
  <c r="X109" i="18"/>
  <c r="J109" i="18"/>
  <c r="J132" i="17"/>
  <c r="BP132" i="17"/>
  <c r="AZ132" i="17"/>
  <c r="G174" i="11"/>
  <c r="J174" i="11" s="1"/>
  <c r="G123" i="16"/>
  <c r="J123" i="16" s="1"/>
  <c r="P28" i="20"/>
  <c r="J28" i="20"/>
  <c r="X115" i="16"/>
  <c r="V115" i="16"/>
  <c r="X153" i="18"/>
  <c r="J153" i="18"/>
  <c r="AB104" i="16"/>
  <c r="P135" i="20"/>
  <c r="J135" i="20"/>
  <c r="X140" i="16"/>
  <c r="AD140" i="16"/>
  <c r="AB140" i="16"/>
  <c r="AZ21" i="17"/>
  <c r="BP21" i="17"/>
  <c r="J21" i="17"/>
  <c r="AZ44" i="17"/>
  <c r="J44" i="17"/>
  <c r="G179" i="11"/>
  <c r="J179" i="11" s="1"/>
  <c r="J148" i="36"/>
  <c r="J158" i="18"/>
  <c r="P175" i="21"/>
  <c r="J61" i="17"/>
  <c r="X75" i="18"/>
  <c r="J75" i="18"/>
  <c r="P88" i="20"/>
  <c r="J88" i="20"/>
  <c r="X106" i="18"/>
  <c r="J106" i="18"/>
  <c r="J82" i="20"/>
  <c r="P82" i="20"/>
  <c r="P65" i="20"/>
  <c r="J65" i="20"/>
  <c r="AD98" i="16"/>
  <c r="V98" i="16"/>
  <c r="J154" i="20"/>
  <c r="P154" i="20"/>
  <c r="J131" i="18"/>
  <c r="X131" i="18"/>
  <c r="J59" i="18"/>
  <c r="X59" i="18"/>
  <c r="X147" i="18"/>
  <c r="J147" i="18"/>
  <c r="X161" i="18"/>
  <c r="J161" i="18"/>
  <c r="BP149" i="17"/>
  <c r="AZ149" i="17"/>
  <c r="J149" i="17"/>
  <c r="N104" i="16"/>
  <c r="J60" i="20"/>
  <c r="P60" i="20"/>
  <c r="X71" i="18"/>
  <c r="J71" i="18"/>
  <c r="P83" i="20"/>
  <c r="J83" i="20"/>
  <c r="J65" i="18"/>
  <c r="X65" i="18"/>
  <c r="P66" i="20"/>
  <c r="J66" i="20"/>
  <c r="J142" i="18"/>
  <c r="X142" i="18"/>
  <c r="AH94" i="16"/>
  <c r="AD94" i="16"/>
  <c r="AB94" i="16"/>
  <c r="X94" i="16"/>
  <c r="V94" i="16"/>
  <c r="J94" i="16"/>
  <c r="N94" i="16"/>
  <c r="P61" i="20"/>
  <c r="J61" i="20"/>
  <c r="N156" i="16"/>
  <c r="J156" i="16"/>
  <c r="J54" i="18"/>
  <c r="X54" i="18"/>
  <c r="J85" i="18"/>
  <c r="X85" i="18"/>
  <c r="J143" i="20"/>
  <c r="P143" i="20"/>
  <c r="BP106" i="17"/>
  <c r="G106" i="17"/>
  <c r="J106" i="17" s="1"/>
  <c r="S134" i="11"/>
  <c r="G130" i="11"/>
  <c r="J130" i="11" s="1"/>
  <c r="AB114" i="11"/>
  <c r="AA115" i="11"/>
  <c r="AB115" i="11" s="1"/>
  <c r="N128" i="21"/>
  <c r="P128" i="21"/>
  <c r="X101" i="18"/>
  <c r="J101" i="18"/>
  <c r="J90" i="16"/>
  <c r="V90" i="16"/>
  <c r="X90" i="16"/>
  <c r="AB90" i="16"/>
  <c r="P51" i="20"/>
  <c r="J51" i="20"/>
  <c r="AH152" i="16"/>
  <c r="AD152" i="16"/>
  <c r="AB152" i="16"/>
  <c r="N152" i="16"/>
  <c r="J152" i="16"/>
  <c r="X152" i="16"/>
  <c r="V152" i="16"/>
  <c r="X82" i="16"/>
  <c r="N82" i="16"/>
  <c r="J82" i="16"/>
  <c r="J77" i="18"/>
  <c r="X77" i="18"/>
  <c r="BP40" i="17"/>
  <c r="J40" i="17"/>
  <c r="AZ40" i="17"/>
  <c r="P139" i="20"/>
  <c r="J139" i="20"/>
  <c r="AZ173" i="17"/>
  <c r="BP173" i="17"/>
  <c r="J25" i="17"/>
  <c r="AZ25" i="17"/>
  <c r="BP25" i="17"/>
  <c r="J170" i="17"/>
  <c r="BP170" i="17"/>
  <c r="AZ170" i="17"/>
  <c r="T142" i="11"/>
  <c r="S143" i="11"/>
  <c r="T143" i="11" s="1"/>
  <c r="AH104" i="16"/>
  <c r="J173" i="18"/>
  <c r="V104" i="16"/>
  <c r="P50" i="20"/>
  <c r="J50" i="20"/>
  <c r="J46" i="18"/>
  <c r="X46" i="18"/>
  <c r="J34" i="20"/>
  <c r="P34" i="20"/>
  <c r="AB161" i="16"/>
  <c r="AH161" i="16"/>
  <c r="J140" i="17"/>
  <c r="AB58" i="16"/>
  <c r="AD161" i="16"/>
  <c r="X104" i="16"/>
  <c r="X58" i="16"/>
  <c r="J32" i="20"/>
  <c r="P32" i="20"/>
  <c r="P181" i="20" s="1"/>
  <c r="O7" i="20" s="1"/>
  <c r="J53" i="20"/>
  <c r="P53" i="20"/>
  <c r="J98" i="18"/>
  <c r="X98" i="18"/>
  <c r="V108" i="16"/>
  <c r="AD108" i="16"/>
  <c r="AH108" i="16"/>
  <c r="J108" i="16"/>
  <c r="AB108" i="16"/>
  <c r="X108" i="16"/>
  <c r="N56" i="21"/>
  <c r="P56" i="21"/>
  <c r="J56" i="21"/>
  <c r="J60" i="18"/>
  <c r="X60" i="18"/>
  <c r="P47" i="20"/>
  <c r="O185" i="20" s="1"/>
  <c r="J47" i="20"/>
  <c r="AH78" i="16"/>
  <c r="AD78" i="16"/>
  <c r="AB78" i="16"/>
  <c r="X78" i="16"/>
  <c r="V78" i="16"/>
  <c r="J78" i="16"/>
  <c r="N78" i="16"/>
  <c r="V123" i="16"/>
  <c r="X123" i="16"/>
  <c r="W186" i="16" s="1"/>
  <c r="AD3" i="28" s="1"/>
  <c r="J64" i="18"/>
  <c r="X64" i="18"/>
  <c r="AZ33" i="17"/>
  <c r="J33" i="17"/>
  <c r="BP169" i="17"/>
  <c r="AZ169" i="17"/>
  <c r="J20" i="17"/>
  <c r="AZ20" i="17"/>
  <c r="BP20" i="17"/>
  <c r="X157" i="18"/>
  <c r="J157" i="18"/>
  <c r="AB123" i="16"/>
  <c r="T148" i="11"/>
  <c r="G148" i="11"/>
  <c r="J148" i="11" s="1"/>
  <c r="S154" i="11"/>
  <c r="T154" i="11" s="1"/>
  <c r="G159" i="11"/>
  <c r="J159" i="11" s="1"/>
  <c r="X176" i="18"/>
  <c r="BP102" i="17"/>
  <c r="J102" i="21"/>
  <c r="N102" i="21"/>
  <c r="P102" i="21"/>
  <c r="X50" i="16"/>
  <c r="AC127" i="16"/>
  <c r="AD121" i="16"/>
  <c r="AC126" i="16"/>
  <c r="N115" i="16"/>
  <c r="J45" i="21"/>
  <c r="N45" i="21"/>
  <c r="P45" i="21"/>
  <c r="J19" i="16"/>
  <c r="AD19" i="16"/>
  <c r="AH19" i="16"/>
  <c r="N19" i="16"/>
  <c r="N181" i="16" s="1"/>
  <c r="M7" i="16" s="1"/>
  <c r="AB19" i="16"/>
  <c r="V19" i="16"/>
  <c r="X19" i="16"/>
  <c r="AH114" i="16"/>
  <c r="AG115" i="16"/>
  <c r="AH115" i="16" s="1"/>
  <c r="AD113" i="16"/>
  <c r="G113" i="16"/>
  <c r="J113" i="16" s="1"/>
  <c r="V63" i="11"/>
  <c r="G121" i="16"/>
  <c r="J121" i="16" s="1"/>
  <c r="AG127" i="16"/>
  <c r="AH127" i="16" s="1"/>
  <c r="AG126" i="16"/>
  <c r="AH126" i="16" s="1"/>
  <c r="AH121" i="16"/>
  <c r="U186" i="16"/>
  <c r="AB3" i="28" s="1"/>
  <c r="G176" i="16"/>
  <c r="J176" i="16" s="1"/>
  <c r="AP44" i="36"/>
  <c r="N44" i="36"/>
  <c r="J44" i="36"/>
  <c r="J124" i="21"/>
  <c r="P124" i="21"/>
  <c r="N124" i="21"/>
  <c r="J162" i="21"/>
  <c r="P162" i="21"/>
  <c r="N162" i="21"/>
  <c r="P53" i="21"/>
  <c r="N53" i="21"/>
  <c r="J53" i="21"/>
  <c r="X81" i="18"/>
  <c r="J81" i="18"/>
  <c r="AZ107" i="17"/>
  <c r="BP107" i="17"/>
  <c r="J107" i="17"/>
  <c r="N26" i="21"/>
  <c r="J112" i="21"/>
  <c r="N112" i="21"/>
  <c r="P112" i="21"/>
  <c r="J57" i="21"/>
  <c r="P57" i="21"/>
  <c r="N57" i="21"/>
  <c r="J107" i="21"/>
  <c r="N107" i="21"/>
  <c r="P107" i="21"/>
  <c r="N17" i="21"/>
  <c r="P47" i="21"/>
  <c r="J47" i="21"/>
  <c r="N47" i="21"/>
  <c r="P147" i="21"/>
  <c r="J147" i="21"/>
  <c r="N147" i="21"/>
  <c r="N94" i="21"/>
  <c r="P94" i="21"/>
  <c r="J94" i="21"/>
  <c r="J134" i="21"/>
  <c r="N134" i="21"/>
  <c r="P134" i="21"/>
  <c r="J79" i="21"/>
  <c r="P79" i="21"/>
  <c r="N79" i="21"/>
  <c r="U45" i="11"/>
  <c r="V44" i="11"/>
  <c r="P165" i="21"/>
  <c r="X54" i="11"/>
  <c r="W55" i="11"/>
  <c r="X55" i="11" s="1"/>
  <c r="V54" i="11"/>
  <c r="U55" i="11"/>
  <c r="V158" i="11"/>
  <c r="G158" i="11"/>
  <c r="J158" i="11" s="1"/>
  <c r="G178" i="11"/>
  <c r="J178" i="11" s="1"/>
  <c r="V178" i="11"/>
  <c r="G43" i="16"/>
  <c r="J43" i="16" s="1"/>
  <c r="X73" i="18"/>
  <c r="J73" i="18"/>
  <c r="N55" i="21"/>
  <c r="J55" i="21"/>
  <c r="P55" i="21"/>
  <c r="J142" i="21"/>
  <c r="P142" i="21"/>
  <c r="N142" i="21"/>
  <c r="T146" i="11"/>
  <c r="S152" i="11"/>
  <c r="J67" i="18"/>
  <c r="X67" i="18"/>
  <c r="J92" i="21"/>
  <c r="P92" i="21"/>
  <c r="N92" i="21"/>
  <c r="N64" i="21"/>
  <c r="P64" i="21"/>
  <c r="J64" i="21"/>
  <c r="G123" i="11"/>
  <c r="J123" i="11" s="1"/>
  <c r="P177" i="21"/>
  <c r="N135" i="36"/>
  <c r="J135" i="36"/>
  <c r="AP135" i="36"/>
  <c r="N40" i="21"/>
  <c r="J40" i="21"/>
  <c r="P40" i="21"/>
  <c r="J157" i="17"/>
  <c r="AZ157" i="17"/>
  <c r="BP157" i="17"/>
  <c r="J138" i="21"/>
  <c r="P138" i="21"/>
  <c r="N138" i="21"/>
  <c r="J62" i="18"/>
  <c r="X62" i="18"/>
  <c r="N84" i="21"/>
  <c r="P84" i="21"/>
  <c r="J84" i="21"/>
  <c r="N95" i="21"/>
  <c r="P95" i="21"/>
  <c r="J95" i="21"/>
  <c r="J90" i="21"/>
  <c r="P90" i="21"/>
  <c r="N90" i="21"/>
  <c r="J24" i="21"/>
  <c r="P24" i="21"/>
  <c r="N24" i="21"/>
  <c r="N132" i="21"/>
  <c r="J132" i="21"/>
  <c r="P132" i="21"/>
  <c r="J60" i="21"/>
  <c r="N60" i="21"/>
  <c r="P60" i="21"/>
  <c r="J77" i="21"/>
  <c r="P77" i="21"/>
  <c r="N77" i="21"/>
  <c r="N149" i="21"/>
  <c r="P149" i="21"/>
  <c r="J149" i="21"/>
  <c r="P46" i="21"/>
  <c r="N46" i="21"/>
  <c r="J46" i="21"/>
  <c r="G168" i="36"/>
  <c r="J168" i="36" s="1"/>
  <c r="N168" i="36"/>
  <c r="W126" i="11"/>
  <c r="X126" i="11" s="1"/>
  <c r="W127" i="11"/>
  <c r="X121" i="11"/>
  <c r="G168" i="11"/>
  <c r="J168" i="11" s="1"/>
  <c r="T168" i="11"/>
  <c r="X44" i="16"/>
  <c r="W45" i="16"/>
  <c r="X45" i="16" s="1"/>
  <c r="G175" i="11"/>
  <c r="J175" i="11" s="1"/>
  <c r="J175" i="21"/>
  <c r="G66" i="16"/>
  <c r="J66" i="16" s="1"/>
  <c r="AA67" i="11"/>
  <c r="AB67" i="11" s="1"/>
  <c r="AA61" i="11"/>
  <c r="AA58" i="11"/>
  <c r="AA60" i="11"/>
  <c r="AB60" i="11" s="1"/>
  <c r="AA54" i="11"/>
  <c r="AA62" i="11"/>
  <c r="AB62" i="11" s="1"/>
  <c r="AA48" i="11"/>
  <c r="AB48" i="11" s="1"/>
  <c r="AA56" i="11"/>
  <c r="AA53" i="11"/>
  <c r="AB53" i="11" s="1"/>
  <c r="AA51" i="11"/>
  <c r="AA65" i="11"/>
  <c r="AB65" i="11" s="1"/>
  <c r="AA50" i="11"/>
  <c r="AA44" i="11"/>
  <c r="AA59" i="11"/>
  <c r="AB59" i="11" s="1"/>
  <c r="AA63" i="11"/>
  <c r="AB63" i="11" s="1"/>
  <c r="G112" i="16"/>
  <c r="J112" i="16" s="1"/>
  <c r="G121" i="11"/>
  <c r="J121" i="11" s="1"/>
  <c r="G119" i="16"/>
  <c r="J119" i="16" s="1"/>
  <c r="N63" i="16"/>
  <c r="G125" i="16"/>
  <c r="J125" i="16" s="1"/>
  <c r="N19" i="21"/>
  <c r="P19" i="21"/>
  <c r="N175" i="36"/>
  <c r="G175" i="36"/>
  <c r="J175" i="36" s="1"/>
  <c r="AA55" i="16"/>
  <c r="AB55" i="16" s="1"/>
  <c r="AB54" i="16"/>
  <c r="U162" i="11"/>
  <c r="V162" i="11" s="1"/>
  <c r="V160" i="11"/>
  <c r="J171" i="21"/>
  <c r="N171" i="21"/>
  <c r="N89" i="21"/>
  <c r="J89" i="21"/>
  <c r="P89" i="21"/>
  <c r="J177" i="21"/>
  <c r="J104" i="21"/>
  <c r="X67" i="11"/>
  <c r="J113" i="36"/>
  <c r="AP113" i="36"/>
  <c r="AO186" i="36" s="1"/>
  <c r="AD3" i="38" s="1"/>
  <c r="N113" i="36"/>
  <c r="AZ141" i="17"/>
  <c r="J141" i="17"/>
  <c r="BP141" i="17"/>
  <c r="N104" i="36"/>
  <c r="J104" i="36"/>
  <c r="AP104" i="36"/>
  <c r="P106" i="21"/>
  <c r="N106" i="21"/>
  <c r="J106" i="21"/>
  <c r="P161" i="20"/>
  <c r="J161" i="20"/>
  <c r="J44" i="18"/>
  <c r="X44" i="18"/>
  <c r="P75" i="21"/>
  <c r="N75" i="21"/>
  <c r="J75" i="21"/>
  <c r="J83" i="21"/>
  <c r="N83" i="21"/>
  <c r="P83" i="21"/>
  <c r="J88" i="21"/>
  <c r="N88" i="21"/>
  <c r="P88" i="21"/>
  <c r="J130" i="21"/>
  <c r="P130" i="21"/>
  <c r="N130" i="21"/>
  <c r="N123" i="36"/>
  <c r="G123" i="36"/>
  <c r="J123" i="36" s="1"/>
  <c r="J122" i="21"/>
  <c r="P122" i="21"/>
  <c r="N122" i="21"/>
  <c r="J52" i="21"/>
  <c r="N52" i="21"/>
  <c r="P52" i="21"/>
  <c r="P72" i="21"/>
  <c r="N72" i="21"/>
  <c r="J72" i="21"/>
  <c r="P101" i="21"/>
  <c r="J101" i="21"/>
  <c r="N101" i="21"/>
  <c r="N41" i="21"/>
  <c r="J41" i="21"/>
  <c r="P41" i="21"/>
  <c r="G19" i="36"/>
  <c r="J19" i="36" s="1"/>
  <c r="G66" i="11"/>
  <c r="J66" i="11" s="1"/>
  <c r="T66" i="11"/>
  <c r="X63" i="16"/>
  <c r="T126" i="11"/>
  <c r="T62" i="11"/>
  <c r="G122" i="16"/>
  <c r="J122" i="16" s="1"/>
  <c r="AD122" i="16"/>
  <c r="P157" i="21"/>
  <c r="J157" i="21"/>
  <c r="N157" i="21"/>
  <c r="N76" i="21"/>
  <c r="J76" i="21"/>
  <c r="P76" i="21"/>
  <c r="J137" i="21"/>
  <c r="N137" i="21"/>
  <c r="P137" i="21"/>
  <c r="J154" i="21"/>
  <c r="P154" i="21"/>
  <c r="N154" i="21"/>
  <c r="AA143" i="11"/>
  <c r="AB142" i="11"/>
  <c r="J96" i="36"/>
  <c r="N171" i="36"/>
  <c r="P104" i="21"/>
  <c r="AP156" i="36"/>
  <c r="N156" i="36"/>
  <c r="J156" i="36"/>
  <c r="P69" i="21"/>
  <c r="J69" i="21"/>
  <c r="N69" i="21"/>
  <c r="J167" i="18"/>
  <c r="X167" i="18"/>
  <c r="J65" i="21"/>
  <c r="N65" i="21"/>
  <c r="P65" i="21"/>
  <c r="N71" i="21"/>
  <c r="J71" i="21"/>
  <c r="P71" i="21"/>
  <c r="N85" i="16"/>
  <c r="AH85" i="16"/>
  <c r="J85" i="16"/>
  <c r="AB85" i="16"/>
  <c r="J168" i="21"/>
  <c r="N168" i="21"/>
  <c r="P168" i="21"/>
  <c r="J78" i="21"/>
  <c r="N78" i="21"/>
  <c r="P78" i="21"/>
  <c r="J125" i="21"/>
  <c r="P125" i="21"/>
  <c r="N125" i="21"/>
  <c r="J120" i="21"/>
  <c r="P120" i="21"/>
  <c r="N120" i="21"/>
  <c r="J44" i="21"/>
  <c r="P44" i="21"/>
  <c r="N44" i="21"/>
  <c r="J67" i="21"/>
  <c r="N67" i="21"/>
  <c r="P67" i="21"/>
  <c r="J96" i="21"/>
  <c r="P96" i="21"/>
  <c r="N96" i="21"/>
  <c r="N31" i="21"/>
  <c r="G120" i="11"/>
  <c r="J120" i="11" s="1"/>
  <c r="T120" i="11"/>
  <c r="T125" i="11"/>
  <c r="G125" i="11"/>
  <c r="J125" i="11" s="1"/>
  <c r="N44" i="16"/>
  <c r="M46" i="16"/>
  <c r="N46" i="16" s="1"/>
  <c r="M45" i="16"/>
  <c r="N45" i="16" s="1"/>
  <c r="AH42" i="16"/>
  <c r="W45" i="11"/>
  <c r="X45" i="11" s="1"/>
  <c r="X44" i="11"/>
  <c r="AG67" i="16"/>
  <c r="AH67" i="16" s="1"/>
  <c r="AG54" i="16"/>
  <c r="AG53" i="16"/>
  <c r="AH53" i="16" s="1"/>
  <c r="AG51" i="16"/>
  <c r="AH51" i="16" s="1"/>
  <c r="AG50" i="16"/>
  <c r="AH50" i="16" s="1"/>
  <c r="AG44" i="16"/>
  <c r="AG47" i="16"/>
  <c r="AH47" i="16" s="1"/>
  <c r="AG56" i="16"/>
  <c r="AH56" i="16" s="1"/>
  <c r="AG63" i="16"/>
  <c r="AH63" i="16" s="1"/>
  <c r="AG65" i="16"/>
  <c r="AH65" i="16" s="1"/>
  <c r="AG62" i="16"/>
  <c r="AH62" i="16" s="1"/>
  <c r="AG60" i="16"/>
  <c r="AH60" i="16" s="1"/>
  <c r="AG41" i="16"/>
  <c r="AH41" i="16" s="1"/>
  <c r="AG59" i="16"/>
  <c r="AH59" i="16" s="1"/>
  <c r="AG58" i="16"/>
  <c r="AH58" i="16" s="1"/>
  <c r="AG52" i="16"/>
  <c r="AH52" i="16" s="1"/>
  <c r="AG40" i="16"/>
  <c r="AH40" i="16" s="1"/>
  <c r="AG118" i="16"/>
  <c r="AH118" i="16" s="1"/>
  <c r="AG186" i="16" s="1"/>
  <c r="AN3" i="28" s="1"/>
  <c r="AG61" i="16"/>
  <c r="AH61" i="16" s="1"/>
  <c r="M31" i="36"/>
  <c r="M23" i="36"/>
  <c r="M30" i="36"/>
  <c r="M35" i="36"/>
  <c r="M20" i="36"/>
  <c r="M28" i="36"/>
  <c r="M24" i="36"/>
  <c r="M36" i="36"/>
  <c r="M27" i="36"/>
  <c r="M17" i="36"/>
  <c r="M26" i="36"/>
  <c r="M29" i="36"/>
  <c r="T59" i="11"/>
  <c r="AP165" i="36"/>
  <c r="J165" i="36"/>
  <c r="P51" i="21"/>
  <c r="J51" i="21"/>
  <c r="N51" i="21"/>
  <c r="N105" i="21"/>
  <c r="J105" i="21"/>
  <c r="P105" i="21"/>
  <c r="N42" i="21"/>
  <c r="P42" i="21"/>
  <c r="J42" i="21"/>
  <c r="J113" i="21"/>
  <c r="N113" i="21"/>
  <c r="P113" i="21"/>
  <c r="J151" i="36"/>
  <c r="N151" i="36"/>
  <c r="AP151" i="36"/>
  <c r="P35" i="21"/>
  <c r="N35" i="21"/>
  <c r="J35" i="21"/>
  <c r="AP96" i="36"/>
  <c r="I16" i="49"/>
  <c r="T16" i="49" s="1"/>
  <c r="I18" i="49"/>
  <c r="T18" i="49" s="1"/>
  <c r="N16" i="45"/>
  <c r="O16" i="45" s="1"/>
  <c r="O17" i="45" s="1"/>
  <c r="H21" i="43"/>
  <c r="J21" i="43" s="1"/>
  <c r="J159" i="36"/>
  <c r="AP159" i="36"/>
  <c r="N89" i="36"/>
  <c r="J89" i="36"/>
  <c r="AP89" i="36"/>
  <c r="N66" i="21"/>
  <c r="J66" i="21"/>
  <c r="P66" i="21"/>
  <c r="J48" i="21"/>
  <c r="N48" i="21"/>
  <c r="P48" i="21"/>
  <c r="J153" i="21"/>
  <c r="N153" i="21"/>
  <c r="P153" i="21"/>
  <c r="J150" i="21"/>
  <c r="P150" i="21"/>
  <c r="N150" i="21"/>
  <c r="P73" i="21"/>
  <c r="N73" i="21"/>
  <c r="J73" i="21"/>
  <c r="J116" i="21"/>
  <c r="P116" i="21"/>
  <c r="N116" i="21"/>
  <c r="J118" i="21"/>
  <c r="P118" i="21"/>
  <c r="N118" i="21"/>
  <c r="N29" i="21"/>
  <c r="J49" i="21"/>
  <c r="P49" i="21"/>
  <c r="N49" i="21"/>
  <c r="P91" i="21"/>
  <c r="J91" i="21"/>
  <c r="N91" i="21"/>
  <c r="G128" i="11"/>
  <c r="J128" i="11" s="1"/>
  <c r="T128" i="11"/>
  <c r="P171" i="21"/>
  <c r="AC115" i="16"/>
  <c r="AD115" i="16" s="1"/>
  <c r="N178" i="36"/>
  <c r="AD42" i="16"/>
  <c r="T60" i="11"/>
  <c r="G60" i="11"/>
  <c r="J60" i="11" s="1"/>
  <c r="X162" i="18"/>
  <c r="G162" i="18"/>
  <c r="J162" i="18" s="1"/>
  <c r="AZ90" i="17"/>
  <c r="J90" i="17"/>
  <c r="BP90" i="17"/>
  <c r="N82" i="21"/>
  <c r="P82" i="21"/>
  <c r="J82" i="21"/>
  <c r="N74" i="21"/>
  <c r="J74" i="21"/>
  <c r="P74" i="21"/>
  <c r="J145" i="21"/>
  <c r="P145" i="21"/>
  <c r="N145" i="21"/>
  <c r="P62" i="21"/>
  <c r="J62" i="21"/>
  <c r="N62" i="21"/>
  <c r="G114" i="16"/>
  <c r="J114" i="16" s="1"/>
  <c r="J52" i="36"/>
  <c r="AP52" i="36"/>
  <c r="N52" i="36"/>
  <c r="P61" i="21"/>
  <c r="N61" i="21"/>
  <c r="J61" i="21"/>
  <c r="X110" i="18"/>
  <c r="J110" i="18"/>
  <c r="J123" i="21"/>
  <c r="N123" i="21"/>
  <c r="P123" i="21"/>
  <c r="P59" i="21"/>
  <c r="N59" i="21"/>
  <c r="J59" i="21"/>
  <c r="J114" i="21"/>
  <c r="N114" i="21"/>
  <c r="P114" i="21"/>
  <c r="J50" i="21"/>
  <c r="P50" i="21"/>
  <c r="N50" i="21"/>
  <c r="J85" i="21"/>
  <c r="P85" i="21"/>
  <c r="N85" i="21"/>
  <c r="N178" i="21"/>
  <c r="P178" i="21"/>
  <c r="P99" i="21"/>
  <c r="J99" i="21"/>
  <c r="N99" i="21"/>
  <c r="J159" i="21"/>
  <c r="N159" i="21"/>
  <c r="P159" i="21"/>
  <c r="J87" i="21"/>
  <c r="P87" i="21"/>
  <c r="N87" i="21"/>
  <c r="O34" i="21"/>
  <c r="O27" i="21"/>
  <c r="O31" i="21"/>
  <c r="O17" i="21"/>
  <c r="O26" i="21"/>
  <c r="O30" i="21"/>
  <c r="O29" i="21"/>
  <c r="O20" i="21"/>
  <c r="O23" i="21"/>
  <c r="O32" i="21"/>
  <c r="O28" i="21"/>
  <c r="O38" i="21"/>
  <c r="S115" i="11"/>
  <c r="G114" i="11"/>
  <c r="J114" i="11" s="1"/>
  <c r="T114" i="11"/>
  <c r="T160" i="11"/>
  <c r="S162" i="11"/>
  <c r="G160" i="11"/>
  <c r="J160" i="11" s="1"/>
  <c r="AC67" i="16"/>
  <c r="AD67" i="16" s="1"/>
  <c r="AC41" i="16"/>
  <c r="AD41" i="16" s="1"/>
  <c r="AC60" i="16"/>
  <c r="AD60" i="16" s="1"/>
  <c r="AC58" i="16"/>
  <c r="AD58" i="16" s="1"/>
  <c r="AC61" i="16"/>
  <c r="AD61" i="16" s="1"/>
  <c r="AC44" i="16"/>
  <c r="AC62" i="16"/>
  <c r="AD62" i="16" s="1"/>
  <c r="AC51" i="16"/>
  <c r="AD51" i="16" s="1"/>
  <c r="AC118" i="16"/>
  <c r="AC54" i="16"/>
  <c r="AC65" i="16"/>
  <c r="AD65" i="16" s="1"/>
  <c r="AC40" i="16"/>
  <c r="AD40" i="16" s="1"/>
  <c r="AC50" i="16"/>
  <c r="AD50" i="16" s="1"/>
  <c r="AC59" i="16"/>
  <c r="AD59" i="16" s="1"/>
  <c r="AC56" i="16"/>
  <c r="AD56" i="16" s="1"/>
  <c r="AC47" i="16"/>
  <c r="AD47" i="16" s="1"/>
  <c r="AC52" i="16"/>
  <c r="AD52" i="16" s="1"/>
  <c r="AC53" i="16"/>
  <c r="AD53" i="16" s="1"/>
  <c r="AC63" i="16"/>
  <c r="AD63" i="16" s="1"/>
  <c r="T65" i="11"/>
  <c r="G165" i="16"/>
  <c r="J165" i="16" s="1"/>
  <c r="L42" i="47"/>
  <c r="L44" i="47" s="1"/>
  <c r="E9" i="48" s="1"/>
  <c r="X95" i="18"/>
  <c r="J95" i="18"/>
  <c r="X57" i="18"/>
  <c r="J57" i="18"/>
  <c r="X145" i="18"/>
  <c r="J145" i="18"/>
  <c r="J50" i="18"/>
  <c r="X50" i="18"/>
  <c r="G119" i="11"/>
  <c r="J119" i="11" s="1"/>
  <c r="T119" i="11"/>
  <c r="U67" i="16"/>
  <c r="U60" i="16"/>
  <c r="U56" i="16"/>
  <c r="U54" i="16"/>
  <c r="U51" i="16"/>
  <c r="U47" i="16"/>
  <c r="U58" i="16"/>
  <c r="U53" i="16"/>
  <c r="U50" i="16"/>
  <c r="U61" i="16"/>
  <c r="U59" i="16"/>
  <c r="U52" i="16"/>
  <c r="U62" i="16"/>
  <c r="U40" i="16"/>
  <c r="U44" i="16"/>
  <c r="U65" i="16"/>
  <c r="U41" i="16"/>
  <c r="U63" i="16"/>
  <c r="X150" i="18"/>
  <c r="J150" i="18"/>
  <c r="J52" i="18"/>
  <c r="X52" i="18"/>
  <c r="J138" i="18"/>
  <c r="X138" i="18"/>
  <c r="J45" i="18"/>
  <c r="X45" i="18"/>
  <c r="J53" i="18"/>
  <c r="X53" i="18"/>
  <c r="N174" i="21"/>
  <c r="J174" i="21"/>
  <c r="P174" i="21"/>
  <c r="G116" i="18"/>
  <c r="J116" i="18" s="1"/>
  <c r="X116" i="18"/>
  <c r="G117" i="18"/>
  <c r="J117" i="18" s="1"/>
  <c r="X117" i="18"/>
  <c r="G122" i="11"/>
  <c r="J122" i="11" s="1"/>
  <c r="T122" i="11"/>
  <c r="AB47" i="11"/>
  <c r="G47" i="11"/>
  <c r="J47" i="11" s="1"/>
  <c r="AB52" i="11"/>
  <c r="N55" i="45"/>
  <c r="X141" i="18"/>
  <c r="J141" i="18"/>
  <c r="J47" i="18"/>
  <c r="X47" i="18"/>
  <c r="BP133" i="17"/>
  <c r="AZ133" i="17"/>
  <c r="J133" i="17"/>
  <c r="J102" i="18"/>
  <c r="X102" i="18"/>
  <c r="J48" i="18"/>
  <c r="X48" i="18"/>
  <c r="G128" i="18"/>
  <c r="J128" i="18" s="1"/>
  <c r="X128" i="18"/>
  <c r="W118" i="18"/>
  <c r="W24" i="18"/>
  <c r="W38" i="18"/>
  <c r="W34" i="18"/>
  <c r="W26" i="18"/>
  <c r="W20" i="18"/>
  <c r="W23" i="18"/>
  <c r="W29" i="18"/>
  <c r="W32" i="18"/>
  <c r="W17" i="18"/>
  <c r="W28" i="18"/>
  <c r="W30" i="18"/>
  <c r="W27" i="18"/>
  <c r="W31" i="18"/>
  <c r="G124" i="11"/>
  <c r="J124" i="11" s="1"/>
  <c r="T124" i="11"/>
  <c r="AB118" i="11"/>
  <c r="AA186" i="11" s="1"/>
  <c r="P3" i="28" s="1"/>
  <c r="G118" i="11"/>
  <c r="J118" i="11" s="1"/>
  <c r="G32" i="36"/>
  <c r="J32" i="36" s="1"/>
  <c r="M33" i="36"/>
  <c r="N32" i="36"/>
  <c r="J134" i="18"/>
  <c r="X134" i="18"/>
  <c r="J93" i="18"/>
  <c r="X93" i="18"/>
  <c r="BP81" i="17"/>
  <c r="AZ81" i="17"/>
  <c r="J81" i="17"/>
  <c r="J40" i="18"/>
  <c r="X40" i="18"/>
  <c r="G123" i="18"/>
  <c r="J123" i="18" s="1"/>
  <c r="X123" i="18"/>
  <c r="G122" i="18"/>
  <c r="J122" i="18" s="1"/>
  <c r="X122" i="18"/>
  <c r="G116" i="11"/>
  <c r="J116" i="11" s="1"/>
  <c r="T116" i="11"/>
  <c r="AB41" i="11"/>
  <c r="N170" i="21"/>
  <c r="J170" i="21"/>
  <c r="P170" i="21"/>
  <c r="X91" i="18"/>
  <c r="J91" i="18"/>
  <c r="X84" i="18"/>
  <c r="J84" i="18"/>
  <c r="G119" i="18"/>
  <c r="J119" i="18" s="1"/>
  <c r="X119" i="18"/>
  <c r="G175" i="16"/>
  <c r="J175" i="16" s="1"/>
  <c r="V175" i="16"/>
  <c r="P181" i="11"/>
  <c r="O7" i="11" s="1"/>
  <c r="AZ98" i="17"/>
  <c r="J98" i="17"/>
  <c r="BP98" i="17"/>
  <c r="X73" i="16"/>
  <c r="AH73" i="16"/>
  <c r="V73" i="16"/>
  <c r="AD73" i="16"/>
  <c r="N73" i="16"/>
  <c r="J73" i="16"/>
  <c r="AB73" i="16"/>
  <c r="W115" i="18"/>
  <c r="G114" i="18"/>
  <c r="J114" i="18" s="1"/>
  <c r="X114" i="18"/>
  <c r="X99" i="18"/>
  <c r="J99" i="18"/>
  <c r="J158" i="21"/>
  <c r="P158" i="21"/>
  <c r="N158" i="21"/>
  <c r="X89" i="18"/>
  <c r="J89" i="18"/>
  <c r="X82" i="18"/>
  <c r="J82" i="18"/>
  <c r="G120" i="18"/>
  <c r="J120" i="18" s="1"/>
  <c r="X120" i="18"/>
  <c r="W126" i="18"/>
  <c r="W127" i="18"/>
  <c r="G121" i="18"/>
  <c r="J121" i="18" s="1"/>
  <c r="X121" i="18"/>
  <c r="V173" i="16"/>
  <c r="G173" i="16"/>
  <c r="J173" i="16" s="1"/>
  <c r="X158" i="18"/>
  <c r="J97" i="18"/>
  <c r="X97" i="18"/>
  <c r="J87" i="18"/>
  <c r="X87" i="18"/>
  <c r="X80" i="18"/>
  <c r="J80" i="18"/>
  <c r="G112" i="18"/>
  <c r="J112" i="18" s="1"/>
  <c r="X112" i="18"/>
  <c r="G113" i="18"/>
  <c r="J113" i="18" s="1"/>
  <c r="X113" i="18"/>
  <c r="M186" i="16"/>
  <c r="T3" i="28" s="1"/>
  <c r="X154" i="18"/>
  <c r="J154" i="18"/>
  <c r="J63" i="18"/>
  <c r="X63" i="18"/>
  <c r="J166" i="18"/>
  <c r="X166" i="18"/>
  <c r="X69" i="18"/>
  <c r="J69" i="18"/>
  <c r="G125" i="18"/>
  <c r="J125" i="18" s="1"/>
  <c r="X125" i="18"/>
  <c r="G113" i="11"/>
  <c r="J113" i="11" s="1"/>
  <c r="X113" i="11"/>
  <c r="V42" i="16"/>
  <c r="J58" i="18"/>
  <c r="X58" i="18"/>
  <c r="G124" i="18"/>
  <c r="J124" i="18" s="1"/>
  <c r="X124" i="18"/>
  <c r="O185" i="11"/>
  <c r="T19" i="49" l="1"/>
  <c r="J183" i="20"/>
  <c r="J184" i="20"/>
  <c r="AA45" i="16"/>
  <c r="AB45" i="16" s="1"/>
  <c r="AB44" i="16"/>
  <c r="AY185" i="17"/>
  <c r="AA46" i="16"/>
  <c r="AB46" i="16" s="1"/>
  <c r="G41" i="11"/>
  <c r="J41" i="11" s="1"/>
  <c r="G62" i="11"/>
  <c r="J62" i="11" s="1"/>
  <c r="W46" i="16"/>
  <c r="X46" i="16" s="1"/>
  <c r="W185" i="16" s="1"/>
  <c r="AD2" i="28" s="1"/>
  <c r="G65" i="11"/>
  <c r="J65" i="11" s="1"/>
  <c r="M185" i="16"/>
  <c r="T2" i="28" s="1"/>
  <c r="AA186" i="16"/>
  <c r="AH3" i="28" s="1"/>
  <c r="J29" i="43"/>
  <c r="J40" i="43" s="1"/>
  <c r="AP181" i="36"/>
  <c r="AO7" i="36" s="1"/>
  <c r="G53" i="11"/>
  <c r="J53" i="11" s="1"/>
  <c r="G52" i="11"/>
  <c r="J52" i="11" s="1"/>
  <c r="G154" i="11"/>
  <c r="J154" i="11" s="1"/>
  <c r="S55" i="11"/>
  <c r="T55" i="11" s="1"/>
  <c r="T54" i="11"/>
  <c r="T134" i="11"/>
  <c r="G134" i="11"/>
  <c r="J134" i="11" s="1"/>
  <c r="S45" i="11"/>
  <c r="T45" i="11" s="1"/>
  <c r="T44" i="11"/>
  <c r="N17" i="36"/>
  <c r="G17" i="36"/>
  <c r="J17" i="36" s="1"/>
  <c r="G127" i="16"/>
  <c r="J127" i="16" s="1"/>
  <c r="AD127" i="16"/>
  <c r="J181" i="17"/>
  <c r="J183" i="17" s="1"/>
  <c r="P29" i="21"/>
  <c r="G29" i="21"/>
  <c r="J29" i="21" s="1"/>
  <c r="N26" i="36"/>
  <c r="G26" i="36"/>
  <c r="J26" i="36" s="1"/>
  <c r="G30" i="36"/>
  <c r="J30" i="36" s="1"/>
  <c r="N30" i="36"/>
  <c r="AG45" i="16"/>
  <c r="AH44" i="16"/>
  <c r="AB56" i="11"/>
  <c r="G56" i="11"/>
  <c r="J56" i="11" s="1"/>
  <c r="AC55" i="16"/>
  <c r="AD55" i="16" s="1"/>
  <c r="AD54" i="16"/>
  <c r="P38" i="21"/>
  <c r="G38" i="21"/>
  <c r="J38" i="21" s="1"/>
  <c r="P17" i="21"/>
  <c r="G17" i="21"/>
  <c r="J17" i="21" s="1"/>
  <c r="G36" i="36"/>
  <c r="J36" i="36" s="1"/>
  <c r="N36" i="36"/>
  <c r="AB44" i="11"/>
  <c r="AA45" i="11"/>
  <c r="AB45" i="11" s="1"/>
  <c r="AA55" i="11"/>
  <c r="AB55" i="11" s="1"/>
  <c r="AB54" i="11"/>
  <c r="G26" i="21"/>
  <c r="J26" i="21" s="1"/>
  <c r="P26" i="21"/>
  <c r="N27" i="36"/>
  <c r="G27" i="36"/>
  <c r="J27" i="36" s="1"/>
  <c r="M185" i="21"/>
  <c r="DX2" i="28" s="1"/>
  <c r="AA185" i="16"/>
  <c r="AH2" i="28" s="1"/>
  <c r="AD118" i="16"/>
  <c r="AC186" i="16" s="1"/>
  <c r="AJ3" i="28" s="1"/>
  <c r="G118" i="16"/>
  <c r="J118" i="16" s="1"/>
  <c r="P28" i="21"/>
  <c r="G28" i="21"/>
  <c r="J28" i="21" s="1"/>
  <c r="P31" i="21"/>
  <c r="G31" i="21"/>
  <c r="J31" i="21" s="1"/>
  <c r="G24" i="36"/>
  <c r="J24" i="36" s="1"/>
  <c r="N24" i="36"/>
  <c r="AH54" i="16"/>
  <c r="AG55" i="16"/>
  <c r="AH55" i="16" s="1"/>
  <c r="G126" i="11"/>
  <c r="J126" i="11" s="1"/>
  <c r="AB50" i="11"/>
  <c r="G50" i="11"/>
  <c r="J50" i="11" s="1"/>
  <c r="G44" i="11"/>
  <c r="J44" i="11" s="1"/>
  <c r="P30" i="21"/>
  <c r="G30" i="21"/>
  <c r="J30" i="21" s="1"/>
  <c r="X127" i="11"/>
  <c r="W186" i="11" s="1"/>
  <c r="L3" i="28" s="1"/>
  <c r="G127" i="11"/>
  <c r="J127" i="11" s="1"/>
  <c r="BO185" i="17"/>
  <c r="CT2" i="28" s="1"/>
  <c r="AZ181" i="17"/>
  <c r="AY7" i="17" s="1"/>
  <c r="AO185" i="36"/>
  <c r="AD2" i="38" s="1"/>
  <c r="G32" i="21"/>
  <c r="J32" i="21" s="1"/>
  <c r="P32" i="21"/>
  <c r="O33" i="21"/>
  <c r="G27" i="21"/>
  <c r="J27" i="21" s="1"/>
  <c r="P27" i="21"/>
  <c r="G59" i="11"/>
  <c r="J59" i="11" s="1"/>
  <c r="N28" i="36"/>
  <c r="G28" i="36"/>
  <c r="J28" i="36" s="1"/>
  <c r="AB58" i="11"/>
  <c r="G58" i="11"/>
  <c r="J58" i="11" s="1"/>
  <c r="G48" i="11"/>
  <c r="J48" i="11" s="1"/>
  <c r="G63" i="11"/>
  <c r="J63" i="11" s="1"/>
  <c r="G115" i="16"/>
  <c r="J115" i="16" s="1"/>
  <c r="G23" i="36"/>
  <c r="J23" i="36" s="1"/>
  <c r="N23" i="36"/>
  <c r="AB143" i="11"/>
  <c r="G143" i="11"/>
  <c r="J143" i="11" s="1"/>
  <c r="G115" i="11"/>
  <c r="J115" i="11" s="1"/>
  <c r="T115" i="11"/>
  <c r="N31" i="36"/>
  <c r="G31" i="36"/>
  <c r="J31" i="36" s="1"/>
  <c r="N97" i="45"/>
  <c r="E9" i="46" s="1"/>
  <c r="E23" i="46" s="1"/>
  <c r="E26" i="46" s="1"/>
  <c r="L26" i="46" s="1"/>
  <c r="T162" i="11"/>
  <c r="G162" i="11"/>
  <c r="J162" i="11" s="1"/>
  <c r="G23" i="21"/>
  <c r="J23" i="21" s="1"/>
  <c r="P23" i="21"/>
  <c r="G34" i="21"/>
  <c r="J34" i="21" s="1"/>
  <c r="P34" i="21"/>
  <c r="G20" i="36"/>
  <c r="J20" i="36" s="1"/>
  <c r="N20" i="36"/>
  <c r="M21" i="36"/>
  <c r="AB51" i="11"/>
  <c r="G51" i="11"/>
  <c r="J51" i="11" s="1"/>
  <c r="AB61" i="11"/>
  <c r="G61" i="11"/>
  <c r="J61" i="11" s="1"/>
  <c r="G152" i="11"/>
  <c r="J152" i="11" s="1"/>
  <c r="T152" i="11"/>
  <c r="G54" i="11"/>
  <c r="J54" i="11" s="1"/>
  <c r="V45" i="11"/>
  <c r="U46" i="11"/>
  <c r="O186" i="21"/>
  <c r="DZ3" i="28" s="1"/>
  <c r="AC45" i="16"/>
  <c r="AD45" i="16" s="1"/>
  <c r="AD44" i="16"/>
  <c r="G20" i="21"/>
  <c r="J20" i="21" s="1"/>
  <c r="O21" i="21"/>
  <c r="P20" i="21"/>
  <c r="AC46" i="16"/>
  <c r="AD46" i="16" s="1"/>
  <c r="N29" i="36"/>
  <c r="G29" i="36"/>
  <c r="J29" i="36" s="1"/>
  <c r="N35" i="36"/>
  <c r="G35" i="36"/>
  <c r="J35" i="36" s="1"/>
  <c r="W46" i="11"/>
  <c r="X46" i="11" s="1"/>
  <c r="V55" i="11"/>
  <c r="M186" i="21"/>
  <c r="DX3" i="28" s="1"/>
  <c r="AD126" i="16"/>
  <c r="G126" i="16"/>
  <c r="J126" i="16" s="1"/>
  <c r="G67" i="11"/>
  <c r="J67" i="11" s="1"/>
  <c r="J184" i="17"/>
  <c r="L185" i="17"/>
  <c r="CD2" i="28"/>
  <c r="G126" i="18"/>
  <c r="J126" i="18" s="1"/>
  <c r="X126" i="18"/>
  <c r="X17" i="18"/>
  <c r="G17" i="18"/>
  <c r="J17" i="18" s="1"/>
  <c r="AB181" i="16"/>
  <c r="AA7" i="16" s="1"/>
  <c r="D2" i="28"/>
  <c r="L185" i="11"/>
  <c r="G29" i="18"/>
  <c r="J29" i="18" s="1"/>
  <c r="X29" i="18"/>
  <c r="V63" i="16"/>
  <c r="G63" i="16"/>
  <c r="J63" i="16" s="1"/>
  <c r="V61" i="16"/>
  <c r="G61" i="16"/>
  <c r="J61" i="16" s="1"/>
  <c r="V60" i="16"/>
  <c r="G60" i="16"/>
  <c r="J60" i="16" s="1"/>
  <c r="X23" i="18"/>
  <c r="G23" i="18"/>
  <c r="J23" i="18" s="1"/>
  <c r="V41" i="16"/>
  <c r="G41" i="16"/>
  <c r="J41" i="16" s="1"/>
  <c r="G50" i="16"/>
  <c r="J50" i="16" s="1"/>
  <c r="V50" i="16"/>
  <c r="V67" i="16"/>
  <c r="G67" i="16"/>
  <c r="J67" i="16" s="1"/>
  <c r="X31" i="18"/>
  <c r="G31" i="18"/>
  <c r="J31" i="18" s="1"/>
  <c r="X20" i="18"/>
  <c r="W21" i="18"/>
  <c r="W22" i="18" s="1"/>
  <c r="G20" i="18"/>
  <c r="J20" i="18" s="1"/>
  <c r="G65" i="16"/>
  <c r="J65" i="16" s="1"/>
  <c r="V65" i="16"/>
  <c r="V53" i="16"/>
  <c r="G53" i="16"/>
  <c r="J53" i="16" s="1"/>
  <c r="BP181" i="17"/>
  <c r="BO7" i="17" s="1"/>
  <c r="X27" i="18"/>
  <c r="G27" i="18"/>
  <c r="J27" i="18" s="1"/>
  <c r="X26" i="18"/>
  <c r="G26" i="18"/>
  <c r="J26" i="18" s="1"/>
  <c r="U45" i="16"/>
  <c r="G44" i="16"/>
  <c r="J44" i="16" s="1"/>
  <c r="V44" i="16"/>
  <c r="V58" i="16"/>
  <c r="G58" i="16"/>
  <c r="J58" i="16" s="1"/>
  <c r="G127" i="18"/>
  <c r="J127" i="18" s="1"/>
  <c r="X127" i="18"/>
  <c r="G115" i="18"/>
  <c r="J115" i="18" s="1"/>
  <c r="X115" i="18"/>
  <c r="X30" i="18"/>
  <c r="G30" i="18"/>
  <c r="J30" i="18" s="1"/>
  <c r="X34" i="18"/>
  <c r="G34" i="18"/>
  <c r="J34" i="18" s="1"/>
  <c r="V40" i="16"/>
  <c r="G40" i="16"/>
  <c r="J40" i="16" s="1"/>
  <c r="V47" i="16"/>
  <c r="G47" i="16"/>
  <c r="J47" i="16" s="1"/>
  <c r="X28" i="18"/>
  <c r="G28" i="18"/>
  <c r="J28" i="18" s="1"/>
  <c r="X38" i="18"/>
  <c r="G38" i="18"/>
  <c r="J38" i="18" s="1"/>
  <c r="G62" i="16"/>
  <c r="J62" i="16" s="1"/>
  <c r="V62" i="16"/>
  <c r="V51" i="16"/>
  <c r="G51" i="16"/>
  <c r="J51" i="16" s="1"/>
  <c r="ED2" i="28"/>
  <c r="L188" i="20"/>
  <c r="N181" i="21"/>
  <c r="M7" i="21" s="1"/>
  <c r="G24" i="18"/>
  <c r="J24" i="18" s="1"/>
  <c r="X24" i="18"/>
  <c r="G52" i="16"/>
  <c r="J52" i="16" s="1"/>
  <c r="V52" i="16"/>
  <c r="V54" i="16"/>
  <c r="U55" i="16"/>
  <c r="G54" i="16"/>
  <c r="J54" i="16" s="1"/>
  <c r="N33" i="36"/>
  <c r="G33" i="36"/>
  <c r="J33" i="36" s="1"/>
  <c r="G32" i="18"/>
  <c r="J32" i="18" s="1"/>
  <c r="W33" i="18"/>
  <c r="X32" i="18"/>
  <c r="G118" i="18"/>
  <c r="J118" i="18" s="1"/>
  <c r="X118" i="18"/>
  <c r="V59" i="16"/>
  <c r="G59" i="16"/>
  <c r="J59" i="16" s="1"/>
  <c r="V56" i="16"/>
  <c r="G56" i="16"/>
  <c r="J56" i="16" s="1"/>
  <c r="L16" i="48"/>
  <c r="L18" i="48"/>
  <c r="E23" i="48"/>
  <c r="L15" i="48"/>
  <c r="L17" i="48"/>
  <c r="T31" i="49" l="1"/>
  <c r="E9" i="50" s="1"/>
  <c r="L17" i="46"/>
  <c r="L15" i="46"/>
  <c r="E25" i="46"/>
  <c r="L25" i="46" s="1"/>
  <c r="E24" i="46"/>
  <c r="L24" i="46" s="1"/>
  <c r="L16" i="46"/>
  <c r="L18" i="46"/>
  <c r="L188" i="16"/>
  <c r="X181" i="16"/>
  <c r="W7" i="16" s="1"/>
  <c r="L186" i="21"/>
  <c r="AD181" i="16"/>
  <c r="AC7" i="16" s="1"/>
  <c r="T181" i="11"/>
  <c r="S7" i="11" s="1"/>
  <c r="W186" i="18"/>
  <c r="DV3" i="28" s="1"/>
  <c r="L23" i="46"/>
  <c r="G45" i="11"/>
  <c r="J45" i="11" s="1"/>
  <c r="S46" i="11"/>
  <c r="T46" i="11" s="1"/>
  <c r="S185" i="11" s="1"/>
  <c r="H2" i="28" s="1"/>
  <c r="J185" i="20"/>
  <c r="AH45" i="16"/>
  <c r="AG185" i="16" s="1"/>
  <c r="AN2" i="28" s="1"/>
  <c r="AG46" i="16"/>
  <c r="AH46" i="16" s="1"/>
  <c r="S186" i="11"/>
  <c r="H3" i="28" s="1"/>
  <c r="V46" i="11"/>
  <c r="V181" i="11" s="1"/>
  <c r="U7" i="11" s="1"/>
  <c r="P33" i="21"/>
  <c r="G33" i="21"/>
  <c r="J33" i="21" s="1"/>
  <c r="U185" i="11"/>
  <c r="J2" i="28" s="1"/>
  <c r="G21" i="36"/>
  <c r="J21" i="36" s="1"/>
  <c r="N21" i="36"/>
  <c r="M22" i="36"/>
  <c r="AB181" i="11"/>
  <c r="AA7" i="11" s="1"/>
  <c r="X181" i="11"/>
  <c r="W7" i="11" s="1"/>
  <c r="W185" i="11"/>
  <c r="L2" i="28" s="1"/>
  <c r="AA46" i="11"/>
  <c r="AB46" i="11" s="1"/>
  <c r="G21" i="21"/>
  <c r="J21" i="21" s="1"/>
  <c r="P21" i="21"/>
  <c r="AC185" i="16"/>
  <c r="AJ2" i="28" s="1"/>
  <c r="AA185" i="11"/>
  <c r="P2" i="28" s="1"/>
  <c r="J185" i="17"/>
  <c r="G55" i="11"/>
  <c r="J55" i="11" s="1"/>
  <c r="O22" i="21"/>
  <c r="X22" i="18"/>
  <c r="G22" i="18"/>
  <c r="J22" i="18" s="1"/>
  <c r="G45" i="16"/>
  <c r="J45" i="16" s="1"/>
  <c r="V45" i="16"/>
  <c r="U46" i="16"/>
  <c r="X33" i="18"/>
  <c r="G33" i="18"/>
  <c r="J33" i="18" s="1"/>
  <c r="G21" i="18"/>
  <c r="J21" i="18" s="1"/>
  <c r="X21" i="18"/>
  <c r="X181" i="18" s="1"/>
  <c r="W7" i="18" s="1"/>
  <c r="V55" i="16"/>
  <c r="G55" i="16"/>
  <c r="J55" i="16" s="1"/>
  <c r="L19" i="48"/>
  <c r="L23" i="48"/>
  <c r="E27" i="48"/>
  <c r="L27" i="48" s="1"/>
  <c r="E25" i="48"/>
  <c r="L25" i="48" s="1"/>
  <c r="E26" i="48"/>
  <c r="L26" i="48" s="1"/>
  <c r="L17" i="50" l="1"/>
  <c r="E23" i="50"/>
  <c r="L23" i="50" s="1"/>
  <c r="L18" i="50"/>
  <c r="L16" i="50"/>
  <c r="L15" i="50"/>
  <c r="L19" i="46"/>
  <c r="L28" i="46"/>
  <c r="J181" i="18"/>
  <c r="J183" i="18" s="1"/>
  <c r="W185" i="18"/>
  <c r="N22" i="36"/>
  <c r="M185" i="36" s="1"/>
  <c r="B2" i="38" s="1"/>
  <c r="A8" i="38" s="1" a="1"/>
  <c r="A8" i="38" s="1"/>
  <c r="G22" i="36"/>
  <c r="J22" i="36" s="1"/>
  <c r="J181" i="36" s="1"/>
  <c r="AH181" i="16"/>
  <c r="AG7" i="16" s="1"/>
  <c r="G22" i="21"/>
  <c r="J22" i="21" s="1"/>
  <c r="J181" i="21" s="1"/>
  <c r="P22" i="21"/>
  <c r="O185" i="21" s="1"/>
  <c r="DZ2" i="28" s="1"/>
  <c r="G46" i="11"/>
  <c r="J46" i="11" s="1"/>
  <c r="J181" i="11" s="1"/>
  <c r="J181" i="16"/>
  <c r="V46" i="16"/>
  <c r="G46" i="16"/>
  <c r="J46" i="16" s="1"/>
  <c r="DV2" i="28"/>
  <c r="L188" i="18"/>
  <c r="L28" i="48"/>
  <c r="L30" i="48" s="1"/>
  <c r="L19" i="50" l="1"/>
  <c r="E25" i="50"/>
  <c r="L25" i="50" s="1"/>
  <c r="E26" i="50"/>
  <c r="L26" i="50" s="1"/>
  <c r="E27" i="50"/>
  <c r="L27" i="50" s="1"/>
  <c r="L30" i="46"/>
  <c r="L31" i="46" s="1"/>
  <c r="L33" i="46" s="1"/>
  <c r="L37" i="46" s="1"/>
  <c r="M98" i="45" s="1"/>
  <c r="N98" i="45" s="1"/>
  <c r="N99" i="45" s="1"/>
  <c r="J103" i="54" s="1" a="1"/>
  <c r="J103" i="54" s="1"/>
  <c r="J184" i="18"/>
  <c r="J185" i="18" s="1"/>
  <c r="P181" i="21"/>
  <c r="O7" i="21" s="1"/>
  <c r="J183" i="21"/>
  <c r="J184" i="21"/>
  <c r="J183" i="36"/>
  <c r="J184" i="36"/>
  <c r="L188" i="36"/>
  <c r="N181" i="36"/>
  <c r="M7" i="36" s="1"/>
  <c r="J183" i="11"/>
  <c r="J184" i="11"/>
  <c r="J184" i="16"/>
  <c r="J183" i="16"/>
  <c r="H18" i="39"/>
  <c r="H13" i="39"/>
  <c r="I25" i="39"/>
  <c r="I23" i="39"/>
  <c r="I10" i="39"/>
  <c r="I11" i="39"/>
  <c r="H17" i="39"/>
  <c r="I8" i="39"/>
  <c r="I27" i="39"/>
  <c r="I31" i="39"/>
  <c r="I14" i="39"/>
  <c r="I15" i="39"/>
  <c r="H21" i="39"/>
  <c r="H24" i="39"/>
  <c r="H26" i="39"/>
  <c r="H22" i="39"/>
  <c r="I16" i="39"/>
  <c r="I13" i="39"/>
  <c r="H28" i="39"/>
  <c r="I18" i="39"/>
  <c r="I19" i="39"/>
  <c r="I9" i="39"/>
  <c r="H32" i="39"/>
  <c r="I28" i="39"/>
  <c r="H30" i="39"/>
  <c r="H12" i="39"/>
  <c r="I24" i="39"/>
  <c r="H27" i="39"/>
  <c r="H11" i="39"/>
  <c r="H16" i="39"/>
  <c r="I17" i="39"/>
  <c r="I32" i="39"/>
  <c r="I26" i="39"/>
  <c r="I22" i="39"/>
  <c r="I36" i="39" s="1"/>
  <c r="I37" i="39" s="1"/>
  <c r="H10" i="39"/>
  <c r="J10" i="39" s="1"/>
  <c r="H15" i="39"/>
  <c r="H20" i="39"/>
  <c r="I21" i="39"/>
  <c r="H23" i="39"/>
  <c r="H25" i="39"/>
  <c r="I30" i="39"/>
  <c r="H14" i="39"/>
  <c r="H19" i="39"/>
  <c r="J19" i="39" s="1"/>
  <c r="H9" i="39"/>
  <c r="J9" i="39" s="1"/>
  <c r="I20" i="39"/>
  <c r="H31" i="39"/>
  <c r="H8" i="39"/>
  <c r="H29" i="39"/>
  <c r="I12" i="39"/>
  <c r="I29" i="39"/>
  <c r="U185" i="16"/>
  <c r="AB2" i="28" s="1"/>
  <c r="A7" i="28" s="1" a="1"/>
  <c r="A7" i="28" s="1"/>
  <c r="V181" i="16"/>
  <c r="U7" i="16" s="1"/>
  <c r="L31" i="48"/>
  <c r="L33" i="48" s="1"/>
  <c r="L37" i="48" s="1"/>
  <c r="L46" i="47" s="1"/>
  <c r="L48" i="47" s="1"/>
  <c r="J104" i="54" s="1"/>
  <c r="N104" i="54" l="1"/>
  <c r="M104" i="54"/>
  <c r="N103" i="54"/>
  <c r="M103" i="54"/>
  <c r="L29" i="50"/>
  <c r="L31" i="50" s="1"/>
  <c r="L32" i="50" s="1"/>
  <c r="L34" i="50" s="1"/>
  <c r="L38" i="50" s="1"/>
  <c r="T32" i="49" s="1"/>
  <c r="T33" i="49" s="1"/>
  <c r="J105" i="54" s="1"/>
  <c r="J185" i="11"/>
  <c r="J15" i="39"/>
  <c r="J25" i="39"/>
  <c r="J185" i="36"/>
  <c r="J12" i="39"/>
  <c r="J185" i="16"/>
  <c r="J29" i="39"/>
  <c r="I34" i="39"/>
  <c r="J26" i="39"/>
  <c r="J31" i="39"/>
  <c r="J16" i="39"/>
  <c r="J27" i="39"/>
  <c r="J185" i="21"/>
  <c r="H36" i="39"/>
  <c r="H37" i="39" s="1"/>
  <c r="J22" i="39"/>
  <c r="H34" i="39"/>
  <c r="J8" i="39"/>
  <c r="J32" i="39"/>
  <c r="J17" i="39"/>
  <c r="J24" i="39"/>
  <c r="J20" i="39"/>
  <c r="J11" i="39"/>
  <c r="J21" i="39"/>
  <c r="H24" i="22"/>
  <c r="I55" i="22"/>
  <c r="I22" i="22"/>
  <c r="H94" i="22"/>
  <c r="H63" i="22"/>
  <c r="I39" i="22"/>
  <c r="I76" i="22"/>
  <c r="I48" i="22"/>
  <c r="I88" i="22"/>
  <c r="H15" i="22"/>
  <c r="I95" i="22"/>
  <c r="H86" i="22"/>
  <c r="H95" i="22"/>
  <c r="H87" i="22"/>
  <c r="H29" i="22"/>
  <c r="I26" i="22"/>
  <c r="H77" i="22"/>
  <c r="I13" i="22"/>
  <c r="I81" i="22"/>
  <c r="H57" i="22"/>
  <c r="H18" i="22"/>
  <c r="I82" i="22"/>
  <c r="I25" i="22"/>
  <c r="I96" i="22"/>
  <c r="I60" i="22"/>
  <c r="H98" i="22"/>
  <c r="I19" i="22"/>
  <c r="I80" i="22"/>
  <c r="H26" i="22"/>
  <c r="H65" i="22"/>
  <c r="J65" i="22" s="1"/>
  <c r="I34" i="22"/>
  <c r="H84" i="22"/>
  <c r="I37" i="22"/>
  <c r="H44" i="22"/>
  <c r="H80" i="22"/>
  <c r="H99" i="22"/>
  <c r="I46" i="22"/>
  <c r="I62" i="22"/>
  <c r="H69" i="22"/>
  <c r="I9" i="22"/>
  <c r="I65" i="22"/>
  <c r="I58" i="22"/>
  <c r="H100" i="22"/>
  <c r="I49" i="22"/>
  <c r="H14" i="22"/>
  <c r="H34" i="22"/>
  <c r="J34" i="22" s="1"/>
  <c r="H72" i="22"/>
  <c r="I20" i="22"/>
  <c r="I24" i="22"/>
  <c r="I16" i="22"/>
  <c r="H33" i="22"/>
  <c r="H35" i="22"/>
  <c r="H83" i="22"/>
  <c r="H71" i="22"/>
  <c r="H23" i="22"/>
  <c r="H51" i="22"/>
  <c r="I86" i="22"/>
  <c r="I36" i="22"/>
  <c r="H85" i="22"/>
  <c r="I97" i="22"/>
  <c r="I52" i="22"/>
  <c r="H49" i="22"/>
  <c r="I42" i="22"/>
  <c r="I74" i="22"/>
  <c r="H42" i="22"/>
  <c r="H39" i="22"/>
  <c r="H8" i="22"/>
  <c r="I93" i="22"/>
  <c r="I68" i="22"/>
  <c r="I33" i="22"/>
  <c r="H48" i="22"/>
  <c r="J48" i="22" s="1"/>
  <c r="I27" i="22"/>
  <c r="I23" i="22"/>
  <c r="I29" i="22"/>
  <c r="I30" i="22"/>
  <c r="I31" i="22"/>
  <c r="I100" i="22"/>
  <c r="H11" i="22"/>
  <c r="H96" i="22"/>
  <c r="I99" i="22"/>
  <c r="H60" i="22"/>
  <c r="J60" i="22" s="1"/>
  <c r="I12" i="22"/>
  <c r="H13" i="22"/>
  <c r="J13" i="22" s="1"/>
  <c r="I70" i="22"/>
  <c r="H88" i="22"/>
  <c r="J88" i="22" s="1"/>
  <c r="I14" i="22"/>
  <c r="H68" i="22"/>
  <c r="H90" i="22"/>
  <c r="I75" i="22"/>
  <c r="I103" i="22"/>
  <c r="H56" i="22"/>
  <c r="I61" i="22"/>
  <c r="H28" i="22"/>
  <c r="H27" i="22"/>
  <c r="I84" i="22"/>
  <c r="I54" i="22"/>
  <c r="H79" i="22"/>
  <c r="I28" i="22"/>
  <c r="H37" i="22"/>
  <c r="J37" i="22" s="1"/>
  <c r="I47" i="22"/>
  <c r="H54" i="22"/>
  <c r="H45" i="22"/>
  <c r="H9" i="22"/>
  <c r="J9" i="22" s="1"/>
  <c r="I72" i="22"/>
  <c r="I64" i="22"/>
  <c r="H97" i="22"/>
  <c r="H66" i="22"/>
  <c r="H103" i="22"/>
  <c r="I73" i="22"/>
  <c r="I69" i="22"/>
  <c r="I59" i="22"/>
  <c r="H43" i="22"/>
  <c r="H75" i="22"/>
  <c r="J75" i="22" s="1"/>
  <c r="I15" i="22"/>
  <c r="I83" i="22"/>
  <c r="I32" i="22"/>
  <c r="I66" i="22"/>
  <c r="H32" i="22"/>
  <c r="J32" i="22" s="1"/>
  <c r="I10" i="22"/>
  <c r="H38" i="22"/>
  <c r="I38" i="22"/>
  <c r="H50" i="22"/>
  <c r="I21" i="22"/>
  <c r="I51" i="22"/>
  <c r="I43" i="22"/>
  <c r="H53" i="22"/>
  <c r="I94" i="22"/>
  <c r="I71" i="22"/>
  <c r="I18" i="22"/>
  <c r="H81" i="22"/>
  <c r="J81" i="22" s="1"/>
  <c r="I67" i="22"/>
  <c r="H19" i="22"/>
  <c r="J19" i="22" s="1"/>
  <c r="H47" i="22"/>
  <c r="I78" i="22"/>
  <c r="H52" i="22"/>
  <c r="H58" i="22"/>
  <c r="J58" i="22" s="1"/>
  <c r="I89" i="22"/>
  <c r="H102" i="22"/>
  <c r="I41" i="22"/>
  <c r="I8" i="22"/>
  <c r="H31" i="22"/>
  <c r="H73" i="22"/>
  <c r="J73" i="22" s="1"/>
  <c r="H41" i="22"/>
  <c r="J41" i="22" s="1"/>
  <c r="H78" i="22"/>
  <c r="H12" i="22"/>
  <c r="I57" i="22"/>
  <c r="H40" i="22"/>
  <c r="I17" i="22"/>
  <c r="I102" i="22"/>
  <c r="H91" i="22"/>
  <c r="H62" i="22"/>
  <c r="I11" i="22"/>
  <c r="I45" i="22"/>
  <c r="I40" i="22"/>
  <c r="H93" i="22"/>
  <c r="J93" i="22" s="1"/>
  <c r="I44" i="22"/>
  <c r="H20" i="22"/>
  <c r="I50" i="22"/>
  <c r="H59" i="22"/>
  <c r="J59" i="22" s="1"/>
  <c r="H30" i="22"/>
  <c r="J30" i="22" s="1"/>
  <c r="I101" i="22"/>
  <c r="I53" i="22"/>
  <c r="H10" i="22"/>
  <c r="J10" i="22" s="1"/>
  <c r="H76" i="22"/>
  <c r="J76" i="22" s="1"/>
  <c r="H92" i="22"/>
  <c r="I56" i="22"/>
  <c r="I85" i="22"/>
  <c r="H17" i="22"/>
  <c r="J17" i="22" s="1"/>
  <c r="H21" i="22"/>
  <c r="H64" i="22"/>
  <c r="J64" i="22" s="1"/>
  <c r="H22" i="22"/>
  <c r="J22" i="22" s="1"/>
  <c r="H67" i="22"/>
  <c r="J67" i="22" s="1"/>
  <c r="I87" i="22"/>
  <c r="I79" i="22"/>
  <c r="H55" i="22"/>
  <c r="J55" i="22" s="1"/>
  <c r="I98" i="22"/>
  <c r="H82" i="22"/>
  <c r="H36" i="22"/>
  <c r="J36" i="22" s="1"/>
  <c r="I35" i="22"/>
  <c r="H101" i="22"/>
  <c r="J101" i="22" s="1"/>
  <c r="I91" i="22"/>
  <c r="H70" i="22"/>
  <c r="I77" i="22"/>
  <c r="H89" i="22"/>
  <c r="J89" i="22" s="1"/>
  <c r="H16" i="22"/>
  <c r="J16" i="22" s="1"/>
  <c r="I63" i="22"/>
  <c r="I92" i="22"/>
  <c r="H25" i="22"/>
  <c r="J25" i="22" s="1"/>
  <c r="I90" i="22"/>
  <c r="H61" i="22"/>
  <c r="J61" i="22" s="1"/>
  <c r="H74" i="22"/>
  <c r="J74" i="22" s="1"/>
  <c r="H46" i="22"/>
  <c r="J14" i="39"/>
  <c r="J28" i="39"/>
  <c r="J13" i="39"/>
  <c r="J30" i="39"/>
  <c r="J18" i="39"/>
  <c r="J23" i="39"/>
  <c r="M105" i="54" l="1"/>
  <c r="N105" i="54"/>
  <c r="J20" i="22"/>
  <c r="J97" i="22"/>
  <c r="J27" i="22"/>
  <c r="J96" i="22"/>
  <c r="J91" i="22"/>
  <c r="J45" i="22"/>
  <c r="J70" i="22"/>
  <c r="J49" i="22"/>
  <c r="J62" i="22"/>
  <c r="J52" i="22"/>
  <c r="J68" i="22"/>
  <c r="J23" i="22"/>
  <c r="J103" i="22"/>
  <c r="J86" i="22"/>
  <c r="J66" i="22"/>
  <c r="J100" i="22"/>
  <c r="J102" i="22"/>
  <c r="J39" i="22"/>
  <c r="J82" i="22"/>
  <c r="J46" i="22"/>
  <c r="I107" i="22"/>
  <c r="I110" i="22" s="1"/>
  <c r="J78" i="22"/>
  <c r="J38" i="22"/>
  <c r="J43" i="22"/>
  <c r="J92" i="22"/>
  <c r="J31" i="22"/>
  <c r="J47" i="22"/>
  <c r="J54" i="22"/>
  <c r="J28" i="22"/>
  <c r="J83" i="22"/>
  <c r="J14" i="22"/>
  <c r="J26" i="22"/>
  <c r="J18" i="22"/>
  <c r="J95" i="22"/>
  <c r="J63" i="22"/>
  <c r="I105" i="22"/>
  <c r="J35" i="22"/>
  <c r="J99" i="22"/>
  <c r="J57" i="22"/>
  <c r="J94" i="22"/>
  <c r="J40" i="22"/>
  <c r="J56" i="22"/>
  <c r="H105" i="22"/>
  <c r="J8" i="22"/>
  <c r="J85" i="22"/>
  <c r="J33" i="22"/>
  <c r="J80" i="22"/>
  <c r="J50" i="22"/>
  <c r="J44" i="22"/>
  <c r="J98" i="22"/>
  <c r="J15" i="22"/>
  <c r="J21" i="22"/>
  <c r="J12" i="22"/>
  <c r="J79" i="22"/>
  <c r="J42" i="22"/>
  <c r="J77" i="22"/>
  <c r="J24" i="22"/>
  <c r="J34" i="39"/>
  <c r="J36" i="39" s="1"/>
  <c r="N3" i="22" s="1"/>
  <c r="H3" i="22" s="1"/>
  <c r="I3" i="22" s="1"/>
  <c r="J3" i="22" s="1"/>
  <c r="H110" i="22" s="1"/>
  <c r="J90" i="22"/>
  <c r="J51" i="22"/>
  <c r="J84" i="22"/>
  <c r="J72" i="22"/>
  <c r="J69" i="22"/>
  <c r="J29" i="22"/>
  <c r="J53" i="22"/>
  <c r="H107" i="22"/>
  <c r="J11" i="22"/>
  <c r="J107" i="22" s="1"/>
  <c r="J71" i="22"/>
  <c r="J87" i="22"/>
  <c r="J105" i="22" l="1"/>
  <c r="M113" i="22"/>
  <c r="J46" i="43" l="1"/>
  <c r="E57" i="43"/>
  <c r="J57" i="43" s="1"/>
  <c r="J48" i="43"/>
  <c r="J49" i="43"/>
  <c r="J47" i="43"/>
  <c r="J50" i="43"/>
  <c r="E55" i="43"/>
  <c r="J55" i="43" s="1"/>
  <c r="E56" i="43"/>
  <c r="J56" i="43" s="1"/>
  <c r="J41" i="43"/>
  <c r="J60" i="43" l="1"/>
  <c r="J51" i="43"/>
  <c r="J62" i="43" l="1"/>
  <c r="J63" i="43" s="1"/>
  <c r="J65" i="43" s="1"/>
  <c r="J114" i="54" s="1"/>
  <c r="J117" i="54" s="1"/>
  <c r="I70" i="54" l="1"/>
  <c r="AF70" i="54" s="1"/>
  <c r="I34" i="54"/>
  <c r="AF34" i="54" s="1"/>
  <c r="I33" i="54"/>
  <c r="AF33" i="54" s="1"/>
  <c r="J69" i="43"/>
  <c r="AX70" i="54"/>
  <c r="AT70" i="54"/>
  <c r="AR70" i="54"/>
  <c r="AV70" i="54"/>
  <c r="AZ70" i="54"/>
  <c r="Z70" i="54"/>
  <c r="BB70" i="54"/>
  <c r="X70" i="54"/>
  <c r="T70" i="54"/>
  <c r="V70" i="54"/>
  <c r="AP70" i="54"/>
  <c r="AN70" i="54"/>
  <c r="R70" i="54"/>
  <c r="AD70" i="54"/>
  <c r="AL70" i="54"/>
  <c r="AJ70" i="54"/>
  <c r="P70" i="54"/>
  <c r="AH70" i="54"/>
  <c r="AB70" i="54"/>
  <c r="I27" i="54"/>
  <c r="AF27" i="54" s="1"/>
  <c r="I80" i="54"/>
  <c r="AF80" i="54" s="1"/>
  <c r="I69" i="54"/>
  <c r="AF69" i="54" s="1"/>
  <c r="I94" i="54"/>
  <c r="AF94" i="54" s="1"/>
  <c r="I51" i="54"/>
  <c r="AF51" i="54" s="1"/>
  <c r="I56" i="54"/>
  <c r="AF56" i="54" s="1"/>
  <c r="I36" i="54"/>
  <c r="AF36" i="54" s="1"/>
  <c r="I25" i="54"/>
  <c r="AF25" i="54" s="1"/>
  <c r="I68" i="54"/>
  <c r="AF68" i="54" s="1"/>
  <c r="I49" i="54"/>
  <c r="AF49" i="54" s="1"/>
  <c r="I38" i="54"/>
  <c r="AF38" i="54" s="1"/>
  <c r="I44" i="54"/>
  <c r="AF44" i="54" s="1"/>
  <c r="I79" i="54"/>
  <c r="AF79" i="54" s="1"/>
  <c r="I93" i="54"/>
  <c r="AF93" i="54" s="1"/>
  <c r="I73" i="54"/>
  <c r="AF73" i="54" s="1"/>
  <c r="I88" i="54"/>
  <c r="AF88" i="54" s="1"/>
  <c r="I60" i="54"/>
  <c r="AF60" i="54" s="1"/>
  <c r="I28" i="54"/>
  <c r="AF28" i="54" s="1"/>
  <c r="I71" i="54"/>
  <c r="AF71" i="54" s="1"/>
  <c r="I43" i="54"/>
  <c r="AF43" i="54" s="1"/>
  <c r="I31" i="54"/>
  <c r="AF31" i="54" s="1"/>
  <c r="I30" i="54"/>
  <c r="AF30" i="54" s="1"/>
  <c r="I90" i="54"/>
  <c r="AF90" i="54" s="1"/>
  <c r="I47" i="54"/>
  <c r="AF47" i="54" s="1"/>
  <c r="I32" i="54"/>
  <c r="AF32" i="54" s="1"/>
  <c r="I76" i="54"/>
  <c r="AF76" i="54" s="1"/>
  <c r="I92" i="54"/>
  <c r="AF92" i="54" s="1"/>
  <c r="I75" i="54"/>
  <c r="AF75" i="54" s="1"/>
  <c r="I52" i="54"/>
  <c r="AF52" i="54" s="1"/>
  <c r="I26" i="54"/>
  <c r="AF26" i="54" s="1"/>
  <c r="I53" i="54"/>
  <c r="AF53" i="54" s="1"/>
  <c r="I77" i="54"/>
  <c r="AF77" i="54" s="1"/>
  <c r="I74" i="54"/>
  <c r="AF74" i="54" s="1"/>
  <c r="I83" i="54"/>
  <c r="AF83" i="54" s="1"/>
  <c r="I95" i="54"/>
  <c r="AF95" i="54" s="1"/>
  <c r="I40" i="54"/>
  <c r="AF40" i="54" s="1"/>
  <c r="I85" i="54"/>
  <c r="AF85" i="54" s="1"/>
  <c r="I86" i="54"/>
  <c r="AF86" i="54" s="1"/>
  <c r="I54" i="54"/>
  <c r="AF54" i="54" s="1"/>
  <c r="I50" i="54"/>
  <c r="AF50" i="54" s="1"/>
  <c r="I48" i="54"/>
  <c r="AF48" i="54" s="1"/>
  <c r="I81" i="54"/>
  <c r="AF81" i="54" s="1"/>
  <c r="I78" i="54"/>
  <c r="AF78" i="54" s="1"/>
  <c r="I91" i="54"/>
  <c r="AF91" i="54" s="1"/>
  <c r="I61" i="54"/>
  <c r="AF61" i="54" s="1"/>
  <c r="I66" i="54"/>
  <c r="AF66" i="54" s="1"/>
  <c r="I39" i="54"/>
  <c r="AF39" i="54" s="1"/>
  <c r="I87" i="54"/>
  <c r="AF87" i="54" s="1"/>
  <c r="I89" i="54"/>
  <c r="AF89" i="54" s="1"/>
  <c r="I96" i="54"/>
  <c r="AF96" i="54" s="1"/>
  <c r="I57" i="54"/>
  <c r="AF57" i="54" s="1"/>
  <c r="I72" i="54"/>
  <c r="AF72" i="54" s="1"/>
  <c r="I97" i="54"/>
  <c r="AF97" i="54" s="1"/>
  <c r="I37" i="54"/>
  <c r="AF37" i="54" s="1"/>
  <c r="I67" i="54"/>
  <c r="AF67" i="54" s="1"/>
  <c r="I35" i="54"/>
  <c r="AF35" i="54" s="1"/>
  <c r="I46" i="54"/>
  <c r="I58" i="54"/>
  <c r="AF58" i="54" s="1"/>
  <c r="I42" i="54"/>
  <c r="AF42" i="54" s="1"/>
  <c r="I29" i="54"/>
  <c r="AF29" i="54" s="1"/>
  <c r="I65" i="54"/>
  <c r="AF65" i="54" s="1"/>
  <c r="I62" i="54"/>
  <c r="AF62" i="54" s="1"/>
  <c r="I55" i="54"/>
  <c r="AF55" i="54" s="1"/>
  <c r="I64" i="54"/>
  <c r="AF64" i="54" s="1"/>
  <c r="I59" i="54"/>
  <c r="AF59" i="54" s="1"/>
  <c r="I84" i="54"/>
  <c r="AF84" i="54" s="1"/>
  <c r="I41" i="54"/>
  <c r="AF41" i="54" s="1"/>
  <c r="J70" i="54" l="1"/>
  <c r="BB46" i="54"/>
  <c r="AF46" i="54"/>
  <c r="AF99" i="54" s="1"/>
  <c r="AH33" i="54"/>
  <c r="AJ33" i="54"/>
  <c r="AL33" i="54"/>
  <c r="J33" i="54"/>
  <c r="AN33" i="54"/>
  <c r="T33" i="54"/>
  <c r="P33" i="54"/>
  <c r="AP33" i="54"/>
  <c r="R33" i="54"/>
  <c r="AR33" i="54"/>
  <c r="AT33" i="54"/>
  <c r="V33" i="54"/>
  <c r="AV33" i="54"/>
  <c r="AZ33" i="54"/>
  <c r="BB33" i="54"/>
  <c r="X33" i="54"/>
  <c r="AX33" i="54"/>
  <c r="Z33" i="54"/>
  <c r="AB33" i="54"/>
  <c r="AD33" i="54"/>
  <c r="Z34" i="54"/>
  <c r="AZ34" i="54"/>
  <c r="AH34" i="54"/>
  <c r="AJ34" i="54"/>
  <c r="J34" i="54"/>
  <c r="AN34" i="54"/>
  <c r="BB34" i="54"/>
  <c r="AL34" i="54"/>
  <c r="AB34" i="54"/>
  <c r="P34" i="54"/>
  <c r="AP34" i="54"/>
  <c r="T34" i="54"/>
  <c r="AV34" i="54"/>
  <c r="R34" i="54"/>
  <c r="AR34" i="54"/>
  <c r="AT34" i="54"/>
  <c r="V34" i="54"/>
  <c r="X34" i="54"/>
  <c r="AX34" i="54"/>
  <c r="AD34" i="54"/>
  <c r="AL47" i="54"/>
  <c r="AP47" i="54"/>
  <c r="AN47" i="54"/>
  <c r="AD46" i="54"/>
  <c r="AJ46" i="54"/>
  <c r="AH46" i="54"/>
  <c r="AP46" i="54"/>
  <c r="AN46" i="54"/>
  <c r="AL46" i="54"/>
  <c r="AX32" i="54"/>
  <c r="AZ32" i="54"/>
  <c r="AR32" i="54"/>
  <c r="AV32" i="54"/>
  <c r="AT32" i="54"/>
  <c r="AV29" i="54"/>
  <c r="AX29" i="54"/>
  <c r="AZ29" i="54"/>
  <c r="AR29" i="54"/>
  <c r="AT29" i="54"/>
  <c r="AT38" i="54"/>
  <c r="AV38" i="54"/>
  <c r="AX38" i="54"/>
  <c r="AZ38" i="54"/>
  <c r="AR38" i="54"/>
  <c r="AV90" i="54"/>
  <c r="AR90" i="54"/>
  <c r="AT90" i="54"/>
  <c r="AX90" i="54"/>
  <c r="AZ90" i="54"/>
  <c r="AZ35" i="54"/>
  <c r="AR35" i="54"/>
  <c r="AX35" i="54"/>
  <c r="AT35" i="54"/>
  <c r="AV35" i="54"/>
  <c r="AX61" i="54"/>
  <c r="AZ61" i="54"/>
  <c r="AV61" i="54"/>
  <c r="AR61" i="54"/>
  <c r="AT61" i="54"/>
  <c r="AR75" i="54"/>
  <c r="AT75" i="54"/>
  <c r="AV75" i="54"/>
  <c r="AX75" i="54"/>
  <c r="AZ75" i="54"/>
  <c r="AR25" i="54"/>
  <c r="AT25" i="54"/>
  <c r="AV25" i="54"/>
  <c r="AX25" i="54"/>
  <c r="AZ25" i="54"/>
  <c r="AR69" i="54"/>
  <c r="AT69" i="54"/>
  <c r="AV69" i="54"/>
  <c r="AX69" i="54"/>
  <c r="AZ69" i="54"/>
  <c r="AZ80" i="54"/>
  <c r="AX80" i="54"/>
  <c r="AT80" i="54"/>
  <c r="AR80" i="54"/>
  <c r="AV80" i="54"/>
  <c r="AR42" i="54"/>
  <c r="AT42" i="54"/>
  <c r="AV42" i="54"/>
  <c r="AX42" i="54"/>
  <c r="AZ42" i="54"/>
  <c r="AV58" i="54"/>
  <c r="AX58" i="54"/>
  <c r="AZ58" i="54"/>
  <c r="AT58" i="54"/>
  <c r="AR58" i="54"/>
  <c r="AR30" i="54"/>
  <c r="AT30" i="54"/>
  <c r="AV30" i="54"/>
  <c r="AX30" i="54"/>
  <c r="AZ30" i="54"/>
  <c r="AR43" i="54"/>
  <c r="AT43" i="54"/>
  <c r="AV43" i="54"/>
  <c r="AX43" i="54"/>
  <c r="AZ43" i="54"/>
  <c r="AV67" i="54"/>
  <c r="AR67" i="54"/>
  <c r="AT67" i="54"/>
  <c r="AZ67" i="54"/>
  <c r="AX67" i="54"/>
  <c r="AR36" i="54"/>
  <c r="AT36" i="54"/>
  <c r="AV36" i="54"/>
  <c r="AX36" i="54"/>
  <c r="AZ36" i="54"/>
  <c r="AR50" i="54"/>
  <c r="AT50" i="54"/>
  <c r="AV50" i="54"/>
  <c r="AX50" i="54"/>
  <c r="AZ50" i="54"/>
  <c r="AZ96" i="54"/>
  <c r="AR96" i="54"/>
  <c r="AT96" i="54"/>
  <c r="AV96" i="54"/>
  <c r="AX96" i="54"/>
  <c r="AR88" i="54"/>
  <c r="AT88" i="54"/>
  <c r="AX88" i="54"/>
  <c r="AV88" i="54"/>
  <c r="AZ88" i="54"/>
  <c r="AR56" i="54"/>
  <c r="AT56" i="54"/>
  <c r="AV56" i="54"/>
  <c r="AX56" i="54"/>
  <c r="AZ56" i="54"/>
  <c r="AR53" i="54"/>
  <c r="AT53" i="54"/>
  <c r="AV53" i="54"/>
  <c r="AX53" i="54"/>
  <c r="AZ53" i="54"/>
  <c r="AD47" i="54"/>
  <c r="AR47" i="54"/>
  <c r="AT47" i="54"/>
  <c r="AV47" i="54"/>
  <c r="AX47" i="54"/>
  <c r="AZ47" i="54"/>
  <c r="AR52" i="54"/>
  <c r="AT52" i="54"/>
  <c r="AV52" i="54"/>
  <c r="AX52" i="54"/>
  <c r="AZ52" i="54"/>
  <c r="AR81" i="54"/>
  <c r="AT81" i="54"/>
  <c r="AV81" i="54"/>
  <c r="AX81" i="54"/>
  <c r="AZ81" i="54"/>
  <c r="AR40" i="54"/>
  <c r="AT40" i="54"/>
  <c r="AV40" i="54"/>
  <c r="AX40" i="54"/>
  <c r="AZ40" i="54"/>
  <c r="AV41" i="54"/>
  <c r="AX41" i="54"/>
  <c r="AZ41" i="54"/>
  <c r="AT41" i="54"/>
  <c r="AR41" i="54"/>
  <c r="AZ95" i="54"/>
  <c r="AV95" i="54"/>
  <c r="AR95" i="54"/>
  <c r="AT95" i="54"/>
  <c r="AX95" i="54"/>
  <c r="AR84" i="54"/>
  <c r="AT84" i="54"/>
  <c r="AZ84" i="54"/>
  <c r="AV84" i="54"/>
  <c r="AX84" i="54"/>
  <c r="AT71" i="54"/>
  <c r="AV71" i="54"/>
  <c r="AX71" i="54"/>
  <c r="AZ71" i="54"/>
  <c r="AR71" i="54"/>
  <c r="AR59" i="54"/>
  <c r="AT59" i="54"/>
  <c r="AV59" i="54"/>
  <c r="AX59" i="54"/>
  <c r="AZ59" i="54"/>
  <c r="AR28" i="54"/>
  <c r="AT28" i="54"/>
  <c r="AV28" i="54"/>
  <c r="AX28" i="54"/>
  <c r="AZ28" i="54"/>
  <c r="AR37" i="54"/>
  <c r="AT37" i="54"/>
  <c r="AV37" i="54"/>
  <c r="AX37" i="54"/>
  <c r="AZ37" i="54"/>
  <c r="AT86" i="54"/>
  <c r="AV86" i="54"/>
  <c r="AX86" i="54"/>
  <c r="AZ86" i="54"/>
  <c r="AR86" i="54"/>
  <c r="AR73" i="54"/>
  <c r="AV73" i="54"/>
  <c r="AT73" i="54"/>
  <c r="AZ73" i="54"/>
  <c r="AX73" i="54"/>
  <c r="AZ51" i="54"/>
  <c r="AR51" i="54"/>
  <c r="AT51" i="54"/>
  <c r="AV51" i="54"/>
  <c r="AX51" i="54"/>
  <c r="AR26" i="54"/>
  <c r="AT26" i="54"/>
  <c r="AV26" i="54"/>
  <c r="AX26" i="54"/>
  <c r="AZ26" i="54"/>
  <c r="AR31" i="54"/>
  <c r="AT31" i="54"/>
  <c r="AV31" i="54"/>
  <c r="AX31" i="54"/>
  <c r="AZ31" i="54"/>
  <c r="AX54" i="54"/>
  <c r="AR54" i="54"/>
  <c r="AT54" i="54"/>
  <c r="AV54" i="54"/>
  <c r="AZ54" i="54"/>
  <c r="AZ64" i="54"/>
  <c r="AX64" i="54"/>
  <c r="AT64" i="54"/>
  <c r="AR64" i="54"/>
  <c r="AV64" i="54"/>
  <c r="AV74" i="54"/>
  <c r="AX74" i="54"/>
  <c r="AZ74" i="54"/>
  <c r="AR74" i="54"/>
  <c r="AT74" i="54"/>
  <c r="AT55" i="54"/>
  <c r="AV55" i="54"/>
  <c r="AX55" i="54"/>
  <c r="AZ55" i="54"/>
  <c r="AR55" i="54"/>
  <c r="AR93" i="54"/>
  <c r="AT93" i="54"/>
  <c r="AV93" i="54"/>
  <c r="AX93" i="54"/>
  <c r="AZ93" i="54"/>
  <c r="AZ48" i="54"/>
  <c r="AT48" i="54"/>
  <c r="AR48" i="54"/>
  <c r="AX48" i="54"/>
  <c r="AV48" i="54"/>
  <c r="AR27" i="54"/>
  <c r="AT27" i="54"/>
  <c r="AV27" i="54"/>
  <c r="AX27" i="54"/>
  <c r="AZ27" i="54"/>
  <c r="AV89" i="54"/>
  <c r="AX89" i="54"/>
  <c r="AZ89" i="54"/>
  <c r="AT89" i="54"/>
  <c r="AR89" i="54"/>
  <c r="AR60" i="54"/>
  <c r="AT60" i="54"/>
  <c r="AV60" i="54"/>
  <c r="AX60" i="54"/>
  <c r="AZ60" i="54"/>
  <c r="AX97" i="54"/>
  <c r="AZ97" i="54"/>
  <c r="AR97" i="54"/>
  <c r="AT97" i="54"/>
  <c r="AV97" i="54"/>
  <c r="AR62" i="54"/>
  <c r="AT62" i="54"/>
  <c r="AV62" i="54"/>
  <c r="AX62" i="54"/>
  <c r="AZ62" i="54"/>
  <c r="AR65" i="54"/>
  <c r="AT65" i="54"/>
  <c r="AV65" i="54"/>
  <c r="AX65" i="54"/>
  <c r="AZ65" i="54"/>
  <c r="AX76" i="54"/>
  <c r="AR76" i="54"/>
  <c r="AT76" i="54"/>
  <c r="AV76" i="54"/>
  <c r="AZ76" i="54"/>
  <c r="AZ79" i="54"/>
  <c r="AR79" i="54"/>
  <c r="AT79" i="54"/>
  <c r="AV79" i="54"/>
  <c r="AX79" i="54"/>
  <c r="AT91" i="54"/>
  <c r="AX91" i="54"/>
  <c r="AZ91" i="54"/>
  <c r="AR91" i="54"/>
  <c r="AV91" i="54"/>
  <c r="AR78" i="54"/>
  <c r="AT78" i="54"/>
  <c r="AV78" i="54"/>
  <c r="AX78" i="54"/>
  <c r="AZ78" i="54"/>
  <c r="AR49" i="54"/>
  <c r="AT49" i="54"/>
  <c r="AV49" i="54"/>
  <c r="AX49" i="54"/>
  <c r="AZ49" i="54"/>
  <c r="AR68" i="54"/>
  <c r="AT68" i="54"/>
  <c r="AV68" i="54"/>
  <c r="AX68" i="54"/>
  <c r="AZ68" i="54"/>
  <c r="AR83" i="54"/>
  <c r="AT83" i="54"/>
  <c r="AV83" i="54"/>
  <c r="AX83" i="54"/>
  <c r="AZ83" i="54"/>
  <c r="AT87" i="54"/>
  <c r="AR87" i="54"/>
  <c r="AV87" i="54"/>
  <c r="AX87" i="54"/>
  <c r="AZ87" i="54"/>
  <c r="AX92" i="54"/>
  <c r="AZ92" i="54"/>
  <c r="AR92" i="54"/>
  <c r="AV92" i="54"/>
  <c r="AT92" i="54"/>
  <c r="AR39" i="54"/>
  <c r="AT39" i="54"/>
  <c r="AV39" i="54"/>
  <c r="AX39" i="54"/>
  <c r="AZ39" i="54"/>
  <c r="AR72" i="54"/>
  <c r="AT72" i="54"/>
  <c r="AV72" i="54"/>
  <c r="AX72" i="54"/>
  <c r="AZ72" i="54"/>
  <c r="AT85" i="54"/>
  <c r="AR85" i="54"/>
  <c r="AZ85" i="54"/>
  <c r="AV85" i="54"/>
  <c r="AX85" i="54"/>
  <c r="AZ57" i="54"/>
  <c r="AR57" i="54"/>
  <c r="AT57" i="54"/>
  <c r="AV57" i="54"/>
  <c r="AX57" i="54"/>
  <c r="AR66" i="54"/>
  <c r="AT66" i="54"/>
  <c r="AV66" i="54"/>
  <c r="AX66" i="54"/>
  <c r="AZ66" i="54"/>
  <c r="AX77" i="54"/>
  <c r="AZ77" i="54"/>
  <c r="AR77" i="54"/>
  <c r="AV77" i="54"/>
  <c r="AT77" i="54"/>
  <c r="AX44" i="54"/>
  <c r="AZ44" i="54"/>
  <c r="AR44" i="54"/>
  <c r="AV44" i="54"/>
  <c r="AT44" i="54"/>
  <c r="AV94" i="54"/>
  <c r="AX94" i="54"/>
  <c r="AR94" i="54"/>
  <c r="AT94" i="54"/>
  <c r="AZ94" i="54"/>
  <c r="J46" i="54"/>
  <c r="J55" i="54"/>
  <c r="BB55" i="54"/>
  <c r="AP55" i="54"/>
  <c r="AN55" i="54"/>
  <c r="X55" i="54"/>
  <c r="AL55" i="54"/>
  <c r="V55" i="54"/>
  <c r="AD55" i="54"/>
  <c r="AJ55" i="54"/>
  <c r="P55" i="54"/>
  <c r="AB55" i="54"/>
  <c r="T55" i="54"/>
  <c r="AH55" i="54"/>
  <c r="Z55" i="54"/>
  <c r="R55" i="54"/>
  <c r="J75" i="54"/>
  <c r="BB75" i="54"/>
  <c r="AH75" i="54"/>
  <c r="AP75" i="54"/>
  <c r="V75" i="54"/>
  <c r="Z75" i="54"/>
  <c r="AJ75" i="54"/>
  <c r="AN75" i="54"/>
  <c r="AL75" i="54"/>
  <c r="AB75" i="54"/>
  <c r="X75" i="54"/>
  <c r="R75" i="54"/>
  <c r="AD75" i="54"/>
  <c r="T75" i="54"/>
  <c r="P75" i="54"/>
  <c r="J88" i="54"/>
  <c r="BB88" i="54"/>
  <c r="AJ88" i="54"/>
  <c r="AP88" i="54"/>
  <c r="AL88" i="54"/>
  <c r="AH88" i="54"/>
  <c r="X88" i="54"/>
  <c r="T88" i="54"/>
  <c r="AN88" i="54"/>
  <c r="Z88" i="54"/>
  <c r="R88" i="54"/>
  <c r="AD88" i="54"/>
  <c r="P88" i="54"/>
  <c r="AB88" i="54"/>
  <c r="V88" i="54"/>
  <c r="J58" i="54"/>
  <c r="BB58" i="54"/>
  <c r="AP58" i="54"/>
  <c r="AN58" i="54"/>
  <c r="AB58" i="54"/>
  <c r="AL58" i="54"/>
  <c r="V58" i="54"/>
  <c r="AD58" i="54"/>
  <c r="AH58" i="54"/>
  <c r="Z58" i="54"/>
  <c r="T58" i="54"/>
  <c r="P58" i="54"/>
  <c r="R58" i="54"/>
  <c r="AJ58" i="54"/>
  <c r="X58" i="54"/>
  <c r="J35" i="54"/>
  <c r="BB35" i="54"/>
  <c r="AN35" i="54"/>
  <c r="AJ35" i="54"/>
  <c r="AP35" i="54"/>
  <c r="AL35" i="54"/>
  <c r="AH35" i="54"/>
  <c r="T35" i="54"/>
  <c r="AD35" i="54"/>
  <c r="AB35" i="54"/>
  <c r="V35" i="54"/>
  <c r="X35" i="54"/>
  <c r="P35" i="54"/>
  <c r="R35" i="54"/>
  <c r="Z35" i="54"/>
  <c r="J96" i="54"/>
  <c r="BB96" i="54"/>
  <c r="AJ96" i="54"/>
  <c r="AL96" i="54"/>
  <c r="AH96" i="54"/>
  <c r="AN96" i="54"/>
  <c r="AP96" i="54"/>
  <c r="X96" i="54"/>
  <c r="T96" i="54"/>
  <c r="V96" i="54"/>
  <c r="AB96" i="54"/>
  <c r="Z96" i="54"/>
  <c r="P96" i="54"/>
  <c r="R96" i="54"/>
  <c r="AD96" i="54"/>
  <c r="J44" i="54"/>
  <c r="BB44" i="54"/>
  <c r="AP44" i="54"/>
  <c r="AB44" i="54"/>
  <c r="AJ44" i="54"/>
  <c r="AN44" i="54"/>
  <c r="AL44" i="54"/>
  <c r="Z44" i="54"/>
  <c r="AD44" i="54"/>
  <c r="AH44" i="54"/>
  <c r="V44" i="54"/>
  <c r="P44" i="54"/>
  <c r="X44" i="54"/>
  <c r="T44" i="54"/>
  <c r="R44" i="54"/>
  <c r="J67" i="54"/>
  <c r="BB67" i="54"/>
  <c r="AN67" i="54"/>
  <c r="AD67" i="54"/>
  <c r="AB67" i="54"/>
  <c r="AJ67" i="54"/>
  <c r="AL67" i="54"/>
  <c r="T67" i="54"/>
  <c r="AP67" i="54"/>
  <c r="AH67" i="54"/>
  <c r="Z67" i="54"/>
  <c r="R67" i="54"/>
  <c r="X67" i="54"/>
  <c r="V67" i="54"/>
  <c r="P67" i="54"/>
  <c r="J64" i="54"/>
  <c r="BB64" i="54"/>
  <c r="AJ64" i="54"/>
  <c r="AN64" i="54"/>
  <c r="AP64" i="54"/>
  <c r="T64" i="54"/>
  <c r="AL64" i="54"/>
  <c r="AD64" i="54"/>
  <c r="V64" i="54"/>
  <c r="X64" i="54"/>
  <c r="AB64" i="54"/>
  <c r="P64" i="54"/>
  <c r="R64" i="54"/>
  <c r="Z64" i="54"/>
  <c r="AH64" i="54"/>
  <c r="J87" i="54"/>
  <c r="AH87" i="54"/>
  <c r="BB87" i="54"/>
  <c r="AP87" i="54"/>
  <c r="AN87" i="54"/>
  <c r="AL87" i="54"/>
  <c r="AJ87" i="54"/>
  <c r="V87" i="54"/>
  <c r="AD87" i="54"/>
  <c r="X87" i="54"/>
  <c r="T87" i="54"/>
  <c r="Z87" i="54"/>
  <c r="R87" i="54"/>
  <c r="AB87" i="54"/>
  <c r="P87" i="54"/>
  <c r="J78" i="54"/>
  <c r="AP78" i="54"/>
  <c r="BB78" i="54"/>
  <c r="AJ78" i="54"/>
  <c r="AL78" i="54"/>
  <c r="AN78" i="54"/>
  <c r="Z78" i="54"/>
  <c r="AH78" i="54"/>
  <c r="X78" i="54"/>
  <c r="T78" i="54"/>
  <c r="AD78" i="54"/>
  <c r="AB78" i="54"/>
  <c r="V78" i="54"/>
  <c r="R78" i="54"/>
  <c r="P78" i="54"/>
  <c r="J74" i="54"/>
  <c r="BB74" i="54"/>
  <c r="AL74" i="54"/>
  <c r="AN74" i="54"/>
  <c r="AP74" i="54"/>
  <c r="P74" i="54"/>
  <c r="AH74" i="54"/>
  <c r="R74" i="54"/>
  <c r="AJ74" i="54"/>
  <c r="AD74" i="54"/>
  <c r="AB74" i="54"/>
  <c r="V74" i="54"/>
  <c r="X74" i="54"/>
  <c r="Z74" i="54"/>
  <c r="T74" i="54"/>
  <c r="J52" i="54"/>
  <c r="BB52" i="54"/>
  <c r="AN52" i="54"/>
  <c r="AJ52" i="54"/>
  <c r="AH52" i="54"/>
  <c r="R52" i="54"/>
  <c r="AL52" i="54"/>
  <c r="X52" i="54"/>
  <c r="P52" i="54"/>
  <c r="AP52" i="54"/>
  <c r="AD52" i="54"/>
  <c r="V52" i="54"/>
  <c r="Z52" i="54"/>
  <c r="T52" i="54"/>
  <c r="AB52" i="54"/>
  <c r="J92" i="54"/>
  <c r="BB92" i="54"/>
  <c r="AH92" i="54"/>
  <c r="AL92" i="54"/>
  <c r="AJ92" i="54"/>
  <c r="R92" i="54"/>
  <c r="AP92" i="54"/>
  <c r="AN92" i="54"/>
  <c r="T92" i="54"/>
  <c r="Z92" i="54"/>
  <c r="V92" i="54"/>
  <c r="AB92" i="54"/>
  <c r="X92" i="54"/>
  <c r="P92" i="54"/>
  <c r="AD92" i="54"/>
  <c r="J60" i="54"/>
  <c r="BB60" i="54"/>
  <c r="AP60" i="54"/>
  <c r="AH60" i="54"/>
  <c r="AB60" i="54"/>
  <c r="R60" i="54"/>
  <c r="X60" i="54"/>
  <c r="P60" i="54"/>
  <c r="AN60" i="54"/>
  <c r="AJ60" i="54"/>
  <c r="AL60" i="54"/>
  <c r="T60" i="54"/>
  <c r="Z60" i="54"/>
  <c r="AD60" i="54"/>
  <c r="V60" i="54"/>
  <c r="J36" i="54"/>
  <c r="BB36" i="54"/>
  <c r="AL36" i="54"/>
  <c r="AP36" i="54"/>
  <c r="AN36" i="54"/>
  <c r="AJ36" i="54"/>
  <c r="P36" i="54"/>
  <c r="R36" i="54"/>
  <c r="AH36" i="54"/>
  <c r="AB36" i="54"/>
  <c r="V36" i="54"/>
  <c r="AD36" i="54"/>
  <c r="X36" i="54"/>
  <c r="T36" i="54"/>
  <c r="Z36" i="54"/>
  <c r="J80" i="54"/>
  <c r="AH80" i="54"/>
  <c r="BB80" i="54"/>
  <c r="AP80" i="54"/>
  <c r="AN80" i="54"/>
  <c r="AJ80" i="54"/>
  <c r="AD80" i="54"/>
  <c r="AB80" i="54"/>
  <c r="V80" i="54"/>
  <c r="AL80" i="54"/>
  <c r="T80" i="54"/>
  <c r="Z80" i="54"/>
  <c r="R80" i="54"/>
  <c r="X80" i="54"/>
  <c r="P80" i="54"/>
  <c r="J56" i="54"/>
  <c r="BB56" i="54"/>
  <c r="AJ56" i="54"/>
  <c r="AN56" i="54"/>
  <c r="AL56" i="54"/>
  <c r="AB56" i="54"/>
  <c r="T56" i="54"/>
  <c r="AH56" i="54"/>
  <c r="V56" i="54"/>
  <c r="X56" i="54"/>
  <c r="AD56" i="54"/>
  <c r="Z56" i="54"/>
  <c r="R56" i="54"/>
  <c r="AP56" i="54"/>
  <c r="P56" i="54"/>
  <c r="J97" i="54"/>
  <c r="BB97" i="54"/>
  <c r="AP97" i="54"/>
  <c r="AN97" i="54"/>
  <c r="AJ97" i="54"/>
  <c r="AH97" i="54"/>
  <c r="R97" i="54"/>
  <c r="AL97" i="54"/>
  <c r="AD97" i="54"/>
  <c r="AB97" i="54"/>
  <c r="X97" i="54"/>
  <c r="T97" i="54"/>
  <c r="V97" i="54"/>
  <c r="P97" i="54"/>
  <c r="Z97" i="54"/>
  <c r="J39" i="54"/>
  <c r="BB39" i="54"/>
  <c r="AJ39" i="54"/>
  <c r="AH39" i="54"/>
  <c r="T39" i="54"/>
  <c r="AN39" i="54"/>
  <c r="AL39" i="54"/>
  <c r="AP39" i="54"/>
  <c r="AD39" i="54"/>
  <c r="Z39" i="54"/>
  <c r="R39" i="54"/>
  <c r="V39" i="54"/>
  <c r="P39" i="54"/>
  <c r="AB39" i="54"/>
  <c r="X39" i="54"/>
  <c r="J86" i="54"/>
  <c r="BB86" i="54"/>
  <c r="AP86" i="54"/>
  <c r="AN86" i="54"/>
  <c r="AL86" i="54"/>
  <c r="AD86" i="54"/>
  <c r="AB86" i="54"/>
  <c r="AJ86" i="54"/>
  <c r="AH86" i="54"/>
  <c r="X86" i="54"/>
  <c r="T86" i="54"/>
  <c r="V86" i="54"/>
  <c r="Z86" i="54"/>
  <c r="P86" i="54"/>
  <c r="R86" i="54"/>
  <c r="J73" i="54"/>
  <c r="BB73" i="54"/>
  <c r="AJ73" i="54"/>
  <c r="AH73" i="54"/>
  <c r="AP73" i="54"/>
  <c r="AN73" i="54"/>
  <c r="AL73" i="54"/>
  <c r="AD73" i="54"/>
  <c r="AB73" i="54"/>
  <c r="T73" i="54"/>
  <c r="Z73" i="54"/>
  <c r="R73" i="54"/>
  <c r="V73" i="54"/>
  <c r="X73" i="54"/>
  <c r="P73" i="54"/>
  <c r="J62" i="54"/>
  <c r="BB62" i="54"/>
  <c r="AP62" i="54"/>
  <c r="AN62" i="54"/>
  <c r="AH62" i="54"/>
  <c r="AD62" i="54"/>
  <c r="AL62" i="54"/>
  <c r="AJ62" i="54"/>
  <c r="AB62" i="54"/>
  <c r="Z62" i="54"/>
  <c r="R62" i="54"/>
  <c r="V62" i="54"/>
  <c r="X62" i="54"/>
  <c r="T62" i="54"/>
  <c r="P62" i="54"/>
  <c r="J72" i="54"/>
  <c r="AH72" i="54"/>
  <c r="BB72" i="54"/>
  <c r="X72" i="54"/>
  <c r="AP72" i="54"/>
  <c r="AN72" i="54"/>
  <c r="AL72" i="54"/>
  <c r="V72" i="54"/>
  <c r="Z72" i="54"/>
  <c r="R72" i="54"/>
  <c r="AB72" i="54"/>
  <c r="T72" i="54"/>
  <c r="AD72" i="54"/>
  <c r="P72" i="54"/>
  <c r="AJ72" i="54"/>
  <c r="J48" i="54"/>
  <c r="BB48" i="54"/>
  <c r="AP48" i="54"/>
  <c r="AJ48" i="54"/>
  <c r="AL48" i="54"/>
  <c r="AN48" i="54"/>
  <c r="AD48" i="54"/>
  <c r="AH48" i="54"/>
  <c r="T48" i="54"/>
  <c r="Z48" i="54"/>
  <c r="R48" i="54"/>
  <c r="P48" i="54"/>
  <c r="AB48" i="54"/>
  <c r="X48" i="54"/>
  <c r="V48" i="54"/>
  <c r="J85" i="54"/>
  <c r="AP85" i="54"/>
  <c r="AJ85" i="54"/>
  <c r="AN85" i="54"/>
  <c r="AH85" i="54"/>
  <c r="AL85" i="54"/>
  <c r="Z85" i="54"/>
  <c r="BB85" i="54"/>
  <c r="X85" i="54"/>
  <c r="AD85" i="54"/>
  <c r="AB85" i="54"/>
  <c r="V85" i="54"/>
  <c r="P85" i="54"/>
  <c r="T85" i="54"/>
  <c r="R85" i="54"/>
  <c r="J40" i="54"/>
  <c r="AN40" i="54"/>
  <c r="AL40" i="54"/>
  <c r="BB40" i="54"/>
  <c r="AJ40" i="54"/>
  <c r="AD40" i="54"/>
  <c r="P40" i="54"/>
  <c r="AH40" i="54"/>
  <c r="R40" i="54"/>
  <c r="AP40" i="54"/>
  <c r="V40" i="54"/>
  <c r="AB40" i="54"/>
  <c r="X40" i="54"/>
  <c r="Z40" i="54"/>
  <c r="T40" i="54"/>
  <c r="J31" i="54"/>
  <c r="BB31" i="54"/>
  <c r="AN31" i="54"/>
  <c r="AL31" i="54"/>
  <c r="AB31" i="54"/>
  <c r="R31" i="54"/>
  <c r="AD31" i="54"/>
  <c r="AH31" i="54"/>
  <c r="X31" i="54"/>
  <c r="P31" i="54"/>
  <c r="AP31" i="54"/>
  <c r="AJ31" i="54"/>
  <c r="T31" i="54"/>
  <c r="Z31" i="54"/>
  <c r="V31" i="54"/>
  <c r="J93" i="54"/>
  <c r="AP93" i="54"/>
  <c r="BB93" i="54"/>
  <c r="Z93" i="54"/>
  <c r="AJ93" i="54"/>
  <c r="AH93" i="54"/>
  <c r="AN93" i="54"/>
  <c r="AD93" i="54"/>
  <c r="AB93" i="54"/>
  <c r="X93" i="54"/>
  <c r="AL93" i="54"/>
  <c r="R93" i="54"/>
  <c r="V93" i="54"/>
  <c r="T93" i="54"/>
  <c r="P93" i="54"/>
  <c r="J49" i="54"/>
  <c r="BB49" i="54"/>
  <c r="AN49" i="54"/>
  <c r="AL49" i="54"/>
  <c r="AP49" i="54"/>
  <c r="AB49" i="54"/>
  <c r="P49" i="54"/>
  <c r="AH49" i="54"/>
  <c r="AJ49" i="54"/>
  <c r="R49" i="54"/>
  <c r="T49" i="54"/>
  <c r="Z49" i="54"/>
  <c r="X49" i="54"/>
  <c r="V49" i="54"/>
  <c r="AD49" i="54"/>
  <c r="J81" i="54"/>
  <c r="BB81" i="54"/>
  <c r="AP81" i="54"/>
  <c r="AJ81" i="54"/>
  <c r="AL81" i="54"/>
  <c r="AN81" i="54"/>
  <c r="X81" i="54"/>
  <c r="AD81" i="54"/>
  <c r="T81" i="54"/>
  <c r="AH81" i="54"/>
  <c r="Z81" i="54"/>
  <c r="R81" i="54"/>
  <c r="V81" i="54"/>
  <c r="AB81" i="54"/>
  <c r="P81" i="54"/>
  <c r="J30" i="54"/>
  <c r="BB30" i="54"/>
  <c r="AP30" i="54"/>
  <c r="AH30" i="54"/>
  <c r="AD30" i="54"/>
  <c r="AN30" i="54"/>
  <c r="AJ30" i="54"/>
  <c r="T30" i="54"/>
  <c r="AL30" i="54"/>
  <c r="Z30" i="54"/>
  <c r="R30" i="54"/>
  <c r="P30" i="54"/>
  <c r="AB30" i="54"/>
  <c r="X30" i="54"/>
  <c r="V30" i="54"/>
  <c r="J51" i="54"/>
  <c r="BB51" i="54"/>
  <c r="AH51" i="54"/>
  <c r="AD51" i="54"/>
  <c r="AP51" i="54"/>
  <c r="T51" i="54"/>
  <c r="AJ51" i="54"/>
  <c r="AL51" i="54"/>
  <c r="Z51" i="54"/>
  <c r="R51" i="54"/>
  <c r="AN51" i="54"/>
  <c r="X51" i="54"/>
  <c r="V51" i="54"/>
  <c r="AB51" i="54"/>
  <c r="P51" i="54"/>
  <c r="J41" i="54"/>
  <c r="BB41" i="54"/>
  <c r="AB41" i="54"/>
  <c r="AH41" i="54"/>
  <c r="V41" i="54"/>
  <c r="AP41" i="54"/>
  <c r="AN41" i="54"/>
  <c r="AL41" i="54"/>
  <c r="Z41" i="54"/>
  <c r="AJ41" i="54"/>
  <c r="AD41" i="54"/>
  <c r="X41" i="54"/>
  <c r="R41" i="54"/>
  <c r="P41" i="54"/>
  <c r="T41" i="54"/>
  <c r="J65" i="54"/>
  <c r="BB65" i="54"/>
  <c r="AL65" i="54"/>
  <c r="AP65" i="54"/>
  <c r="AJ65" i="54"/>
  <c r="AN65" i="54"/>
  <c r="AH65" i="54"/>
  <c r="P65" i="54"/>
  <c r="R65" i="54"/>
  <c r="AD65" i="54"/>
  <c r="V65" i="54"/>
  <c r="X65" i="54"/>
  <c r="T65" i="54"/>
  <c r="Z65" i="54"/>
  <c r="AB65" i="54"/>
  <c r="J57" i="54"/>
  <c r="BB57" i="54"/>
  <c r="AL57" i="54"/>
  <c r="AN57" i="54"/>
  <c r="AJ57" i="54"/>
  <c r="P57" i="54"/>
  <c r="AD57" i="54"/>
  <c r="R57" i="54"/>
  <c r="AH57" i="54"/>
  <c r="AP57" i="54"/>
  <c r="X57" i="54"/>
  <c r="AB57" i="54"/>
  <c r="T57" i="54"/>
  <c r="Z57" i="54"/>
  <c r="V57" i="54"/>
  <c r="J66" i="54"/>
  <c r="AN66" i="54"/>
  <c r="V66" i="54"/>
  <c r="BB66" i="54"/>
  <c r="AJ66" i="54"/>
  <c r="AP66" i="54"/>
  <c r="AL66" i="54"/>
  <c r="Z66" i="54"/>
  <c r="AH66" i="54"/>
  <c r="X66" i="54"/>
  <c r="P66" i="54"/>
  <c r="T66" i="54"/>
  <c r="AD66" i="54"/>
  <c r="R66" i="54"/>
  <c r="AB66" i="54"/>
  <c r="J50" i="54"/>
  <c r="BB50" i="54"/>
  <c r="AB50" i="54"/>
  <c r="AP50" i="54"/>
  <c r="AD50" i="54"/>
  <c r="V50" i="54"/>
  <c r="AH50" i="54"/>
  <c r="AJ50" i="54"/>
  <c r="Z50" i="54"/>
  <c r="AL50" i="54"/>
  <c r="AN50" i="54"/>
  <c r="R50" i="54"/>
  <c r="P50" i="54"/>
  <c r="T50" i="54"/>
  <c r="X50" i="54"/>
  <c r="J95" i="54"/>
  <c r="AN95" i="54"/>
  <c r="BB95" i="54"/>
  <c r="AH95" i="54"/>
  <c r="Z95" i="54"/>
  <c r="AP95" i="54"/>
  <c r="V95" i="54"/>
  <c r="AD95" i="54"/>
  <c r="AJ95" i="54"/>
  <c r="AL95" i="54"/>
  <c r="AB95" i="54"/>
  <c r="X95" i="54"/>
  <c r="R95" i="54"/>
  <c r="P95" i="54"/>
  <c r="T95" i="54"/>
  <c r="J77" i="54"/>
  <c r="BB77" i="54"/>
  <c r="AN77" i="54"/>
  <c r="AH77" i="54"/>
  <c r="AP77" i="54"/>
  <c r="R77" i="54"/>
  <c r="AJ77" i="54"/>
  <c r="X77" i="54"/>
  <c r="P77" i="54"/>
  <c r="AL77" i="54"/>
  <c r="AD77" i="54"/>
  <c r="AB77" i="54"/>
  <c r="V77" i="54"/>
  <c r="T77" i="54"/>
  <c r="Z77" i="54"/>
  <c r="J76" i="54"/>
  <c r="BB76" i="54"/>
  <c r="AP76" i="54"/>
  <c r="AD76" i="54"/>
  <c r="AB76" i="54"/>
  <c r="AJ76" i="54"/>
  <c r="T76" i="54"/>
  <c r="AH76" i="54"/>
  <c r="AN76" i="54"/>
  <c r="X76" i="54"/>
  <c r="V76" i="54"/>
  <c r="AL76" i="54"/>
  <c r="R76" i="54"/>
  <c r="Z76" i="54"/>
  <c r="P76" i="54"/>
  <c r="J43" i="54"/>
  <c r="BB43" i="54"/>
  <c r="AP43" i="54"/>
  <c r="AN43" i="54"/>
  <c r="R43" i="54"/>
  <c r="AL43" i="54"/>
  <c r="X43" i="54"/>
  <c r="P43" i="54"/>
  <c r="AH43" i="54"/>
  <c r="AJ43" i="54"/>
  <c r="V43" i="54"/>
  <c r="AB43" i="54"/>
  <c r="T43" i="54"/>
  <c r="AD43" i="54"/>
  <c r="Z43" i="54"/>
  <c r="J79" i="54"/>
  <c r="BB79" i="54"/>
  <c r="AP79" i="54"/>
  <c r="AN79" i="54"/>
  <c r="AD79" i="54"/>
  <c r="AB79" i="54"/>
  <c r="AL79" i="54"/>
  <c r="AJ79" i="54"/>
  <c r="AH79" i="54"/>
  <c r="T79" i="54"/>
  <c r="Z79" i="54"/>
  <c r="R79" i="54"/>
  <c r="X79" i="54"/>
  <c r="P79" i="54"/>
  <c r="V79" i="54"/>
  <c r="J68" i="54"/>
  <c r="BB68" i="54"/>
  <c r="AP68" i="54"/>
  <c r="AH68" i="54"/>
  <c r="AN68" i="54"/>
  <c r="AJ68" i="54"/>
  <c r="R68" i="54"/>
  <c r="AL68" i="54"/>
  <c r="AD68" i="54"/>
  <c r="AB68" i="54"/>
  <c r="X68" i="54"/>
  <c r="P68" i="54"/>
  <c r="T68" i="54"/>
  <c r="Z68" i="54"/>
  <c r="V68" i="54"/>
  <c r="J27" i="54"/>
  <c r="BB27" i="54"/>
  <c r="AJ27" i="54"/>
  <c r="AP27" i="54"/>
  <c r="AN27" i="54"/>
  <c r="AB27" i="54"/>
  <c r="T27" i="54"/>
  <c r="AL27" i="54"/>
  <c r="AD27" i="54"/>
  <c r="V27" i="54"/>
  <c r="X27" i="54"/>
  <c r="AH27" i="54"/>
  <c r="Z27" i="54"/>
  <c r="R27" i="54"/>
  <c r="P27" i="54"/>
  <c r="J42" i="54"/>
  <c r="BB42" i="54"/>
  <c r="AH42" i="54"/>
  <c r="AD42" i="54"/>
  <c r="AJ42" i="54"/>
  <c r="AN42" i="54"/>
  <c r="T42" i="54"/>
  <c r="AP42" i="54"/>
  <c r="AL42" i="54"/>
  <c r="X42" i="54"/>
  <c r="V42" i="54"/>
  <c r="AB42" i="54"/>
  <c r="P42" i="54"/>
  <c r="Z42" i="54"/>
  <c r="R42" i="54"/>
  <c r="J90" i="54"/>
  <c r="BB90" i="54"/>
  <c r="AP90" i="54"/>
  <c r="AN90" i="54"/>
  <c r="AL90" i="54"/>
  <c r="Z90" i="54"/>
  <c r="V90" i="54"/>
  <c r="AJ90" i="54"/>
  <c r="AD90" i="54"/>
  <c r="T90" i="54"/>
  <c r="R90" i="54"/>
  <c r="AH90" i="54"/>
  <c r="X90" i="54"/>
  <c r="AB90" i="54"/>
  <c r="P90" i="54"/>
  <c r="J71" i="54"/>
  <c r="BB71" i="54"/>
  <c r="AP71" i="54"/>
  <c r="AN71" i="54"/>
  <c r="AD71" i="54"/>
  <c r="AB71" i="54"/>
  <c r="AL71" i="54"/>
  <c r="AH71" i="54"/>
  <c r="AJ71" i="54"/>
  <c r="T71" i="54"/>
  <c r="Z71" i="54"/>
  <c r="R71" i="54"/>
  <c r="P71" i="54"/>
  <c r="V71" i="54"/>
  <c r="X71" i="54"/>
  <c r="J25" i="54"/>
  <c r="AP25" i="54"/>
  <c r="AB25" i="54"/>
  <c r="AJ25" i="54"/>
  <c r="AN25" i="54"/>
  <c r="BB25" i="54"/>
  <c r="AH25" i="54"/>
  <c r="Z25" i="54"/>
  <c r="AD25" i="54"/>
  <c r="V25" i="54"/>
  <c r="X25" i="54"/>
  <c r="AL25" i="54"/>
  <c r="R25" i="54"/>
  <c r="T25" i="54"/>
  <c r="P25" i="54"/>
  <c r="J61" i="54"/>
  <c r="BB61" i="54"/>
  <c r="AP61" i="54"/>
  <c r="AB61" i="54"/>
  <c r="AJ61" i="54"/>
  <c r="AD61" i="54"/>
  <c r="Z61" i="54"/>
  <c r="AH61" i="54"/>
  <c r="AN61" i="54"/>
  <c r="AL61" i="54"/>
  <c r="R61" i="54"/>
  <c r="V61" i="54"/>
  <c r="P61" i="54"/>
  <c r="T61" i="54"/>
  <c r="X61" i="54"/>
  <c r="J53" i="54"/>
  <c r="AP53" i="54"/>
  <c r="BB53" i="54"/>
  <c r="AB53" i="54"/>
  <c r="AJ53" i="54"/>
  <c r="AN53" i="54"/>
  <c r="Z53" i="54"/>
  <c r="AL53" i="54"/>
  <c r="AH53" i="54"/>
  <c r="V53" i="54"/>
  <c r="X53" i="54"/>
  <c r="AD53" i="54"/>
  <c r="R53" i="54"/>
  <c r="T53" i="54"/>
  <c r="P53" i="54"/>
  <c r="J32" i="54"/>
  <c r="BB32" i="54"/>
  <c r="AP32" i="54"/>
  <c r="AB32" i="54"/>
  <c r="AJ32" i="54"/>
  <c r="Z32" i="54"/>
  <c r="AL32" i="54"/>
  <c r="AH32" i="54"/>
  <c r="AN32" i="54"/>
  <c r="R32" i="54"/>
  <c r="AD32" i="54"/>
  <c r="V32" i="54"/>
  <c r="P32" i="54"/>
  <c r="T32" i="54"/>
  <c r="X32" i="54"/>
  <c r="J28" i="54"/>
  <c r="BB28" i="54"/>
  <c r="AL28" i="54"/>
  <c r="AJ28" i="54"/>
  <c r="P28" i="54"/>
  <c r="AP28" i="54"/>
  <c r="AN28" i="54"/>
  <c r="R28" i="54"/>
  <c r="AH28" i="54"/>
  <c r="X28" i="54"/>
  <c r="T28" i="54"/>
  <c r="Z28" i="54"/>
  <c r="AD28" i="54"/>
  <c r="V28" i="54"/>
  <c r="AB28" i="54"/>
  <c r="J69" i="54"/>
  <c r="AP69" i="54"/>
  <c r="AJ69" i="54"/>
  <c r="AN69" i="54"/>
  <c r="AL69" i="54"/>
  <c r="BB69" i="54"/>
  <c r="Z69" i="54"/>
  <c r="AD69" i="54"/>
  <c r="AH69" i="54"/>
  <c r="T69" i="54"/>
  <c r="R69" i="54"/>
  <c r="AB69" i="54"/>
  <c r="V69" i="54"/>
  <c r="P69" i="54"/>
  <c r="X69" i="54"/>
  <c r="J84" i="54"/>
  <c r="BB84" i="54"/>
  <c r="AH84" i="54"/>
  <c r="AN84" i="54"/>
  <c r="AP84" i="54"/>
  <c r="R84" i="54"/>
  <c r="AL84" i="54"/>
  <c r="P84" i="54"/>
  <c r="AJ84" i="54"/>
  <c r="AD84" i="54"/>
  <c r="AB84" i="54"/>
  <c r="V84" i="54"/>
  <c r="X84" i="54"/>
  <c r="Z84" i="54"/>
  <c r="T84" i="54"/>
  <c r="J54" i="54"/>
  <c r="BB54" i="54"/>
  <c r="AP54" i="54"/>
  <c r="AN54" i="54"/>
  <c r="AH54" i="54"/>
  <c r="AD54" i="54"/>
  <c r="AL54" i="54"/>
  <c r="AJ54" i="54"/>
  <c r="V54" i="54"/>
  <c r="X54" i="54"/>
  <c r="AB54" i="54"/>
  <c r="T54" i="54"/>
  <c r="P54" i="54"/>
  <c r="Z54" i="54"/>
  <c r="R54" i="54"/>
  <c r="J94" i="54"/>
  <c r="BB94" i="54"/>
  <c r="AP94" i="54"/>
  <c r="AN94" i="54"/>
  <c r="AL94" i="54"/>
  <c r="AD94" i="54"/>
  <c r="AB94" i="54"/>
  <c r="AH94" i="54"/>
  <c r="AJ94" i="54"/>
  <c r="Z94" i="54"/>
  <c r="V94" i="54"/>
  <c r="X94" i="54"/>
  <c r="R94" i="54"/>
  <c r="T94" i="54"/>
  <c r="P94" i="54"/>
  <c r="J59" i="54"/>
  <c r="BB59" i="54"/>
  <c r="AH59" i="54"/>
  <c r="AD59" i="54"/>
  <c r="AL59" i="54"/>
  <c r="AP59" i="54"/>
  <c r="T59" i="54"/>
  <c r="AN59" i="54"/>
  <c r="AJ59" i="54"/>
  <c r="AB59" i="54"/>
  <c r="Z59" i="54"/>
  <c r="R59" i="54"/>
  <c r="P59" i="54"/>
  <c r="X59" i="54"/>
  <c r="V59" i="54"/>
  <c r="J29" i="54"/>
  <c r="BB29" i="54"/>
  <c r="AB29" i="54"/>
  <c r="AL29" i="54"/>
  <c r="AP29" i="54"/>
  <c r="V29" i="54"/>
  <c r="AN29" i="54"/>
  <c r="AJ29" i="54"/>
  <c r="AD29" i="54"/>
  <c r="Z29" i="54"/>
  <c r="AH29" i="54"/>
  <c r="T29" i="54"/>
  <c r="P29" i="54"/>
  <c r="R29" i="54"/>
  <c r="X29" i="54"/>
  <c r="J37" i="54"/>
  <c r="BB37" i="54"/>
  <c r="AP37" i="54"/>
  <c r="AN37" i="54"/>
  <c r="AH37" i="54"/>
  <c r="AD37" i="54"/>
  <c r="AL37" i="54"/>
  <c r="AJ37" i="54"/>
  <c r="T37" i="54"/>
  <c r="Z37" i="54"/>
  <c r="R37" i="54"/>
  <c r="P37" i="54"/>
  <c r="AB37" i="54"/>
  <c r="V37" i="54"/>
  <c r="X37" i="54"/>
  <c r="J89" i="54"/>
  <c r="BB89" i="54"/>
  <c r="AP89" i="54"/>
  <c r="AJ89" i="54"/>
  <c r="AL89" i="54"/>
  <c r="P89" i="54"/>
  <c r="AD89" i="54"/>
  <c r="AB89" i="54"/>
  <c r="R89" i="54"/>
  <c r="AH89" i="54"/>
  <c r="X89" i="54"/>
  <c r="Z89" i="54"/>
  <c r="T89" i="54"/>
  <c r="V89" i="54"/>
  <c r="AN89" i="54"/>
  <c r="J91" i="54"/>
  <c r="BB91" i="54"/>
  <c r="AD91" i="54"/>
  <c r="AB91" i="54"/>
  <c r="AL91" i="54"/>
  <c r="T91" i="54"/>
  <c r="AJ91" i="54"/>
  <c r="AP91" i="54"/>
  <c r="Z91" i="54"/>
  <c r="AN91" i="54"/>
  <c r="AH91" i="54"/>
  <c r="R91" i="54"/>
  <c r="V91" i="54"/>
  <c r="X91" i="54"/>
  <c r="P91" i="54"/>
  <c r="J83" i="54"/>
  <c r="BB83" i="54"/>
  <c r="AD83" i="54"/>
  <c r="AB83" i="54"/>
  <c r="AN83" i="54"/>
  <c r="AP83" i="54"/>
  <c r="T83" i="54"/>
  <c r="AL83" i="54"/>
  <c r="AH83" i="54"/>
  <c r="AJ83" i="54"/>
  <c r="V83" i="54"/>
  <c r="X83" i="54"/>
  <c r="Z83" i="54"/>
  <c r="R83" i="54"/>
  <c r="P83" i="54"/>
  <c r="J26" i="54"/>
  <c r="BB26" i="54"/>
  <c r="AP26" i="54"/>
  <c r="AN26" i="54"/>
  <c r="AH26" i="54"/>
  <c r="AD26" i="54"/>
  <c r="AL26" i="54"/>
  <c r="AJ26" i="54"/>
  <c r="V26" i="54"/>
  <c r="X26" i="54"/>
  <c r="T26" i="54"/>
  <c r="AB26" i="54"/>
  <c r="P26" i="54"/>
  <c r="Z26" i="54"/>
  <c r="R26" i="54"/>
  <c r="J47" i="54"/>
  <c r="BB47" i="54"/>
  <c r="X47" i="54"/>
  <c r="V47" i="54"/>
  <c r="AJ47" i="54"/>
  <c r="AH47" i="54"/>
  <c r="AB47" i="54"/>
  <c r="T47" i="54"/>
  <c r="P47" i="54"/>
  <c r="Z47" i="54"/>
  <c r="R47" i="54"/>
  <c r="J38" i="54"/>
  <c r="AP38" i="54"/>
  <c r="BB38" i="54"/>
  <c r="AL38" i="54"/>
  <c r="AB38" i="54"/>
  <c r="X38" i="54"/>
  <c r="AJ38" i="54"/>
  <c r="AD38" i="54"/>
  <c r="AH38" i="54"/>
  <c r="V38" i="54"/>
  <c r="AN38" i="54"/>
  <c r="Z38" i="54"/>
  <c r="R38" i="54"/>
  <c r="P38" i="54"/>
  <c r="T38" i="54"/>
  <c r="AF102" i="54" l="1"/>
  <c r="J98" i="54"/>
  <c r="J45" i="54"/>
  <c r="J82" i="54"/>
  <c r="J63" i="54"/>
  <c r="AR99" i="54"/>
  <c r="AT99" i="54"/>
  <c r="AZ99" i="54"/>
  <c r="AX99" i="54"/>
  <c r="AV99" i="54"/>
  <c r="BB99" i="54"/>
  <c r="BB107" i="54" s="1"/>
  <c r="AJ99" i="54"/>
  <c r="AJ114" i="54" s="1"/>
  <c r="AP99" i="54"/>
  <c r="AP107" i="54" s="1"/>
  <c r="AN99" i="54"/>
  <c r="AN107" i="54" s="1"/>
  <c r="AL99" i="54"/>
  <c r="AL107" i="54" s="1"/>
  <c r="P99" i="54"/>
  <c r="P102" i="54" s="1"/>
  <c r="Z99" i="54"/>
  <c r="Z102" i="54" s="1"/>
  <c r="T99" i="54"/>
  <c r="T102" i="54" s="1"/>
  <c r="X99" i="54"/>
  <c r="X102" i="54" s="1"/>
  <c r="AH99" i="54"/>
  <c r="AH107" i="54" s="1"/>
  <c r="AD99" i="54"/>
  <c r="AD102" i="54" s="1"/>
  <c r="AB99" i="54"/>
  <c r="AB102" i="54" s="1"/>
  <c r="R99" i="54"/>
  <c r="R102" i="54" s="1"/>
  <c r="V99" i="54"/>
  <c r="V102" i="54" s="1"/>
  <c r="M102" i="54" l="1"/>
  <c r="M107" i="54" s="1"/>
  <c r="J109" i="54" s="1"/>
  <c r="J99" i="54"/>
  <c r="J102" i="54" s="1"/>
  <c r="N102" i="54"/>
  <c r="O99" i="54"/>
  <c r="I104" i="54" l="1"/>
  <c r="I103" i="54"/>
  <c r="I105" i="54"/>
  <c r="R103" i="54" l="1"/>
  <c r="AF103" i="54"/>
  <c r="X105" i="54"/>
  <c r="AF105" i="54"/>
  <c r="R104" i="54"/>
  <c r="AF104" i="54"/>
  <c r="P104" i="54"/>
  <c r="AB104" i="54"/>
  <c r="Z104" i="54"/>
  <c r="T104" i="54"/>
  <c r="V104" i="54"/>
  <c r="X104" i="54"/>
  <c r="AD104" i="54"/>
  <c r="V103" i="54"/>
  <c r="AD103" i="54"/>
  <c r="V105" i="54"/>
  <c r="AB105" i="54"/>
  <c r="X103" i="54"/>
  <c r="Z103" i="54"/>
  <c r="P103" i="54"/>
  <c r="P105" i="54"/>
  <c r="R105" i="54"/>
  <c r="AD105" i="54"/>
  <c r="T103" i="54"/>
  <c r="AB103" i="54"/>
  <c r="Z105" i="54"/>
  <c r="T105" i="54"/>
  <c r="R107" i="54" l="1"/>
  <c r="AF107" i="54"/>
  <c r="X107" i="54"/>
  <c r="O104" i="54"/>
  <c r="V107" i="54"/>
  <c r="AD107" i="54"/>
  <c r="AB107" i="54"/>
  <c r="P107" i="54"/>
  <c r="T107" i="54"/>
  <c r="Z107" i="54"/>
  <c r="O103" i="54"/>
  <c r="O105" i="54"/>
  <c r="O107" i="54" l="1"/>
  <c r="O108" i="54" s="1"/>
  <c r="J107" i="54"/>
  <c r="J108" i="54" s="1"/>
  <c r="N107" i="54"/>
  <c r="J110" i="54" s="1"/>
  <c r="M108" i="54" l="1"/>
  <c r="M109" i="54" s="1"/>
  <c r="J2" i="54"/>
  <c r="J3" i="5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<sst xmlns="http://schemas.openxmlformats.org/spreadsheetml/2006/main" count="40091" uniqueCount="6666">
  <si>
    <t>Formulario 1 - Propuesta económica  - Documento tipo de licitación de obra pública de infraestructura de transporte - versión 3</t>
  </si>
  <si>
    <t>Código</t>
  </si>
  <si>
    <t>CCE-EICP-FM-14</t>
  </si>
  <si>
    <t>FORMULARIO 1</t>
  </si>
  <si>
    <t>PRESUPUESTO OFICIAL</t>
  </si>
  <si>
    <t>ALCALDIA MAYOR DE BOGOTA</t>
  </si>
  <si>
    <t>FONDO DE DESARROLLO LOCAL</t>
  </si>
  <si>
    <t>ALCALDIA LOCAL DE TUNJUELITO</t>
  </si>
  <si>
    <t>OBJETO DE LA LICITACION :</t>
  </si>
  <si>
    <t>EJECUTAR A MONTO AGOTABLE SIN FORMULA DE REAJUSTE POR EL SISTEMA DE PRECIOS UNITARIOS, LAS ACTIVIDADES PARA LA CONSERVACIÓN Y/O MANTENIMIENTO Y/O REHABILITACIÓN DE LA MALLA VIAL LOCAL E INTERMEDIA Y ESPACIO PÚBLICO EN LA LOCALIDAD DE TUNJUELITO DE LA CIUDAD DE BOGOTÁ D.C</t>
  </si>
  <si>
    <t>COD. IDU</t>
  </si>
  <si>
    <t>ÍTEM DE PAGO</t>
  </si>
  <si>
    <t>DESCRIPCIÓN</t>
  </si>
  <si>
    <t>UND.</t>
  </si>
  <si>
    <t>CANTIDAD</t>
  </si>
  <si>
    <t>VALOR UNITARIO</t>
  </si>
  <si>
    <t xml:space="preserve">VALOR TOTAL                                </t>
  </si>
  <si>
    <t>1. DIAGNOSTICOS Y DISEÑOS</t>
  </si>
  <si>
    <t>ACTIVIDADES DE DIAGNOSTICO QUE NO INCLUYEN IVA</t>
  </si>
  <si>
    <t>ACTIVIDADES DE DIAGNOSTICO QUE INCLUYEN IVA</t>
  </si>
  <si>
    <t>DISEÑO PARA RECONSTRUCCION DE VIAS - PAV. FLEXIBLE/RIGIDO (INCLUYE TOMA DE DEFLEXIONES, DETERMINACIÓN DE ESPESORES, EVALUACIÓN SUPERFICIAL Y PROCESAMIENTO Y ENTREGA DE LA INFORMACIÓN) IVA INCLUIDO</t>
  </si>
  <si>
    <t>M2</t>
  </si>
  <si>
    <t>A. SUBTOTAL ACTIVIDADES DE DIAGNOSTICO QUE NO INCLUYEN I.V.A..:</t>
  </si>
  <si>
    <t>B. IVA (19%):</t>
  </si>
  <si>
    <t>C. ACTIVIDADES DE DIAGNOSTICO QUE INCLUYEN  IVA:</t>
  </si>
  <si>
    <t>D. SUBTOTAL DIAGNOSTICOS (A+B+C)</t>
  </si>
  <si>
    <t>ACTIVIDADES DE OBRA</t>
  </si>
  <si>
    <t>VR. UNITARIO (INCLUIDO A.I.U.)</t>
  </si>
  <si>
    <t>2. RECONSTRUCCION - REHABILITACION VIA PAVIMENTO FLEXIBLE</t>
  </si>
  <si>
    <t>ESTABILIZACIÓN DE SUB BASE Y BASES GRANULARES CON ADITIVO POTENCIALIZADOR FLEXIBILIZANTE + CEMENTO 5%</t>
  </si>
  <si>
    <t>M3</t>
  </si>
  <si>
    <t>PERFORACIONES EN SECO DE 3" CON PROFUNDIDAD DE 1 METRO (INCLUYE AHOYADOR HIDRÁULICO DE ALTA RESISTENCIA, JUEGO DE BROCAS, OPERARIO Y COMBUSTIBLE)</t>
  </si>
  <si>
    <t>UN</t>
  </si>
  <si>
    <t>INYECCIÓN DE CAL COMERCIAL AL 6% EN PERFORACIONES EN SECO DE 3" CON COMPACTACIÓN MANUAL DE IMPACTO PARA PROFUNDIDAD DE 1 METRO. (INCLUYE CAL COMERCIAL AL 6%).</t>
  </si>
  <si>
    <t>3. RECONSTRUCCION - REHABILITACION VIA PAVIMENTO RIGIDO</t>
  </si>
  <si>
    <t>4. MANTENIMIENTO RUTINARIO-PERIODICO VIA PAVIMENTO FLEXIBLE</t>
  </si>
  <si>
    <t>5. MANTENIMIENTO RUTINARIO-PERIODICO VIA PAVIMENTO RIGIDO</t>
  </si>
  <si>
    <t>6. ESPACIO PUBLICO EN CONCRETO</t>
  </si>
  <si>
    <t>7. REDES</t>
  </si>
  <si>
    <t>8. SEÑALIZACION</t>
  </si>
  <si>
    <t>E. SUBTOTAL OBRAS (INCLUYE AIU)</t>
  </si>
  <si>
    <t>PORCENTAJE FIJO NO OFERTABLE</t>
  </si>
  <si>
    <t>VALOR EN PESOS</t>
  </si>
  <si>
    <t>G. COSTO COMPONENTE AMBIENTAL Y SST:</t>
  </si>
  <si>
    <t>H. COSTO COMPONENTE SOCIAL:</t>
  </si>
  <si>
    <t>I. COSTO COMPONENTE PMT:</t>
  </si>
  <si>
    <t>VALOR TOTAL PRESUPUESTO OFICIAL =</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</si>
  <si>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</si>
  <si>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</si>
  <si>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</si>
  <si>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</si>
  <si>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</si>
  <si>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</si>
  <si>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</si>
  <si>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</si>
  <si>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</si>
  <si>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</si>
  <si>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</si>
  <si>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</si>
  <si>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</si>
  <si>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Formulario 1 - Propuesta económica  - Documento tipo de licitación de obra pública de infraestructura de transporte - versión 4</t>
  </si>
  <si>
    <t>PROPUESTA ECONÓMICA</t>
  </si>
  <si>
    <t>E. SUBTOTAL OBRAS INICIALES (INCLUYE AIU):</t>
  </si>
  <si>
    <t>F. SUBTOTAL OBRAS (INCLUYE AIU DE TODAS LAS OBRAS INCLUYENDO LAS ADICIONALES Y COMPLEMENTARIAS (K)) Y DIAGNOSTICOS (INCLUYE IVA) NO INCLUYE COSTO DIRECTO DE LAS OBRAS ADICIONALES Y COMPLEMENTARIAS (D+E + A.I.U. DEL "K"):</t>
  </si>
  <si>
    <t>COMPONENTES</t>
  </si>
  <si>
    <t>G. COSTO COMPONENTE AMBIENTAL Y SST (PORCENTAJE FIJO NO OFERTABLE CALCULADO SOBRE EL COSTO DIRECTO TOTAL DE LAS OBRAS):</t>
  </si>
  <si>
    <t>H. COSTO COMPONENTE SOCIAL (PORCENTAJE FIJO NO OFERTABLE CALCULADO SOBRE EL COSTO DIRECTO TOTAL DE LAS OBRAS):</t>
  </si>
  <si>
    <t>I. COSTO COMPONENTE PMT (PORCENTAJE FIJO NO OFERTABLE CALCULADO SOBRE EL COSTO DIRECTO TOTAL DE LAS OBRAS):</t>
  </si>
  <si>
    <t>J. VALOR PROPUESTA ECONÓMICA: TOTAL OBRAS SIN INCLUIR EL COSTO DIRECTO DE LAS OBRAS ADICIONALES Y COMPLEMENTARIAS (CON ESTE VALOR SE EVALUARÁN LAS PROPUESTAS ECONÓMICAS DE ACUERDO A LOS MÉTODOS ESTIPULADOS EN EL NUMERAL 4.1.4 DEL PLIEGO TIPO) = F + G + H + I:</t>
  </si>
  <si>
    <t>L. VALOR TOTAL CONTRATO PROPUESTO A EJECUTAR (J+K):</t>
  </si>
  <si>
    <t>MATRIZ PARA CÁLCULO DE AIU</t>
  </si>
  <si>
    <t>COSTO DIRECTO ESTIMADO DE OBRA (CD)</t>
  </si>
  <si>
    <t>FECHA:</t>
  </si>
  <si>
    <t>TERMINO ESTIMADO DE EJECUCIÓN DE OBRA</t>
  </si>
  <si>
    <t>MESES</t>
  </si>
  <si>
    <t>CONTRATO No.</t>
  </si>
  <si>
    <t>ITEM</t>
  </si>
  <si>
    <t xml:space="preserve">A. ADMINISTRACIÓN </t>
  </si>
  <si>
    <t xml:space="preserve">1. COSTOS MENSUALES DE PERSONAL </t>
  </si>
  <si>
    <t>CARGO</t>
  </si>
  <si>
    <t>CATEGORÍA</t>
  </si>
  <si>
    <t>Dedicación
/Mes</t>
  </si>
  <si>
    <t>TOPE SALARIO MES</t>
  </si>
  <si>
    <t>FACTOR PRESTACIONAL</t>
  </si>
  <si>
    <t>No. MESES</t>
  </si>
  <si>
    <t>SALARIO + PRESTACIONES</t>
  </si>
  <si>
    <t>A</t>
  </si>
  <si>
    <t>B</t>
  </si>
  <si>
    <t>C</t>
  </si>
  <si>
    <t>D</t>
  </si>
  <si>
    <t>E</t>
  </si>
  <si>
    <t>F=A*B*C*D*E</t>
  </si>
  <si>
    <t>PERSONAL  PROFESIONAL (Ingenieros y otros)</t>
  </si>
  <si>
    <t>DIRECTOR DE OBRA</t>
  </si>
  <si>
    <t>INGENIERO RESIDENTE DE OBRA</t>
  </si>
  <si>
    <t>ESPECIALISTA EN GEOTECNIA Y PAVIMENTOS</t>
  </si>
  <si>
    <t>PROFESIONAL AMBIENTAL</t>
  </si>
  <si>
    <t>PROFESIONAL EN SEGURIDAD Y SALUD EN EL TRABAJO</t>
  </si>
  <si>
    <t>PROFESIONAL SOCIAL</t>
  </si>
  <si>
    <t>ESPECIALISTA EN TRÁNSITO Y TRANSPORTE</t>
  </si>
  <si>
    <t>PERSONAL  TÉCNICO Y PERSONAL AUXILIAR</t>
  </si>
  <si>
    <t>TARIFA MES - PERSONAL TÉCNICO - INSPECTOR 1 (No incluye Factor de Prestaciones)</t>
  </si>
  <si>
    <t>N/A</t>
  </si>
  <si>
    <t>TARIFA MES - PERSONAL TÉCNICO - TOPÓGRAFO INSPECTOR (No incluye Factor de Prestaciones)</t>
  </si>
  <si>
    <t xml:space="preserve">                  </t>
  </si>
  <si>
    <t xml:space="preserve"> SUBTOTAL COSTOS MENSUALES  DE  PERSONAL</t>
  </si>
  <si>
    <t>GASTOS OPERACIONALES MENSUALES</t>
  </si>
  <si>
    <t>AREA (M2)</t>
  </si>
  <si>
    <t>DEDICACIÓN X AREA (M2)</t>
  </si>
  <si>
    <t>COSTO ($/M2.MES)</t>
  </si>
  <si>
    <t>VALOR ($)</t>
  </si>
  <si>
    <t xml:space="preserve">COSTOS MENSUALES DE PERSONAL +  GASTOS OPERACIONALES MENSUALES  </t>
  </si>
  <si>
    <t>COSTOS MENSUALES DE PERSONAL +  GASTOS OPERACIONALES MENSUALES EN PORCENTAJE DEL COSTO DIRECTO</t>
  </si>
  <si>
    <t>IMPUESTOS Y GARANTIAS</t>
  </si>
  <si>
    <t>IMPUESTOS</t>
  </si>
  <si>
    <t>IMPUESTO</t>
  </si>
  <si>
    <t>Contribución Especial (Impuesto de Guerra Ley 1738 DIC18-2014 prorroga 4 años)</t>
  </si>
  <si>
    <t>ICA (Ley 14 6jul1983,  Res 265 13abr2021)</t>
  </si>
  <si>
    <t>Mes</t>
  </si>
  <si>
    <t>GMF (Ley 1739 23dic2014 modifica el Estatuto Tributario)</t>
  </si>
  <si>
    <t xml:space="preserve">Estampilla Universidad Pedagogica (Dec. 584 de 19 Dic 2014) </t>
  </si>
  <si>
    <t>Timbre</t>
  </si>
  <si>
    <t>SUBTOTAL IMPUESTOS</t>
  </si>
  <si>
    <t>GARANTÍAS</t>
  </si>
  <si>
    <t>VALOR BASE</t>
  </si>
  <si>
    <t>% ASEGURADO</t>
  </si>
  <si>
    <t>VIGENCIA AMPARO (MESES)</t>
  </si>
  <si>
    <t>TASA ASEGURADORA</t>
  </si>
  <si>
    <t>CUMPLIMIENTO</t>
  </si>
  <si>
    <t>GARANTÍA UNICA</t>
  </si>
  <si>
    <t>SALARIOS Y PRESTACIONES SOCIALES</t>
  </si>
  <si>
    <t>ESTABILIDAD DE LA OBRA</t>
  </si>
  <si>
    <t>Predios, labores y Operaciones- Vigencia (Decreto 1082 de 2015 Sección III)</t>
  </si>
  <si>
    <t>RESPONSABILIDAD CIVIL EXTRACONTRACTUAL</t>
  </si>
  <si>
    <t>500SMMLV</t>
  </si>
  <si>
    <t>SUBTOTAL GARANTÍAS</t>
  </si>
  <si>
    <t>TOTAL IMPUESTOS Y GARANTÍAS</t>
  </si>
  <si>
    <t>TOTAL IMPUESTOS Y GARANTÍAS EN PORCENTAJE DEL COSTO DIRECTO</t>
  </si>
  <si>
    <t>I</t>
  </si>
  <si>
    <t>IMPREVISTOS</t>
  </si>
  <si>
    <t>U</t>
  </si>
  <si>
    <t>A.I.U (ADMINISTRACIÓN, IMPREVISTOS Y UTILIDAD)</t>
  </si>
  <si>
    <t>CÁLCULO DEL FACTOR MULTIPLICADOR PERSONAL</t>
  </si>
  <si>
    <t>%</t>
  </si>
  <si>
    <t>% ACUMULADO</t>
  </si>
  <si>
    <t>PRESTACIONES SOCIALES</t>
  </si>
  <si>
    <t xml:space="preserve">Salarios </t>
  </si>
  <si>
    <t>Cesantías</t>
  </si>
  <si>
    <t>Intereses de Cesantías</t>
  </si>
  <si>
    <t>Prima de servicio</t>
  </si>
  <si>
    <t>Vacaciones</t>
  </si>
  <si>
    <t>SEGURIDAD SOCIAL</t>
  </si>
  <si>
    <t>Pensión</t>
  </si>
  <si>
    <t>Salud</t>
  </si>
  <si>
    <t>A.R.L.</t>
  </si>
  <si>
    <t>PARAFISCALES</t>
  </si>
  <si>
    <t>Caja de Compensación</t>
  </si>
  <si>
    <t>I.C.B.F.</t>
  </si>
  <si>
    <t>Sena</t>
  </si>
  <si>
    <t>COSTOS INDIRECTOS</t>
  </si>
  <si>
    <t>TOTAL</t>
  </si>
  <si>
    <t>FACTOR MULTIPLICADOR</t>
  </si>
  <si>
    <t>FONDO DE DESARROLLO LOCAL DE TUNJUELITO</t>
  </si>
  <si>
    <t>OBJETO DE LA LICITACIÓN:</t>
  </si>
  <si>
    <t>SISTEMA DE GESTIÓN AMBIENTAL, SEGURIDAD Y SALUD EN EL TRABAJO</t>
  </si>
  <si>
    <t>COMPONENTE A - PERSONAL</t>
  </si>
  <si>
    <t>EJECUCIÓN DE OBRA</t>
  </si>
  <si>
    <t>EJECUCIÓN DE OBRAS</t>
  </si>
  <si>
    <t>ÍTEMS</t>
  </si>
  <si>
    <t>UN.</t>
  </si>
  <si>
    <t>CAT</t>
  </si>
  <si>
    <t>CANT</t>
  </si>
  <si>
    <t>DEDIC 
H/MES</t>
  </si>
  <si>
    <t>TOTAL DEDIC H/PROY</t>
  </si>
  <si>
    <t>TARIFA</t>
  </si>
  <si>
    <t>F.P</t>
  </si>
  <si>
    <t>TOTAL ACTIVIDAD</t>
  </si>
  <si>
    <t>BRIGADA DE ORDEN, ASEO Y LIMPIEZA</t>
  </si>
  <si>
    <t>SUBTOTAL COMPONENTE A</t>
  </si>
  <si>
    <t>COMPONTE C. MANEJO DE LA VEGETACION Y DEL PAISAJE</t>
  </si>
  <si>
    <t>ESPECIFICACIÓN</t>
  </si>
  <si>
    <t>VALOR TOTAL</t>
  </si>
  <si>
    <t>C1</t>
  </si>
  <si>
    <t>MANEJO DE LA VEGETACION EXISTENTE Y DE ACTIVIDADES DE DISEÑO PAISAJISTICO</t>
  </si>
  <si>
    <t>PROTECCION DE ARBOLES</t>
  </si>
  <si>
    <t>SOPORTE MALLA</t>
  </si>
  <si>
    <t>SUBTOTAL DEL COMPONENTE C</t>
  </si>
  <si>
    <t xml:space="preserve">COMPONTE D. ACTIVIDADES CONSTRUCTIVAS </t>
  </si>
  <si>
    <t>D 1</t>
  </si>
  <si>
    <t xml:space="preserve"> MANEJO DE CAMPAMENTOS Y CENTROS DE ACOPIO</t>
  </si>
  <si>
    <t>CANECAS PARA CAMPAMENTOS Y FRENTES DE OBRA</t>
  </si>
  <si>
    <t>SUBTOTAL DEL PROGRAMA</t>
  </si>
  <si>
    <t>D 2</t>
  </si>
  <si>
    <t>MANEJO DE MATERIALES DE CONSTRUCCIÓN</t>
  </si>
  <si>
    <t>PUNTO DE ACOPIO DE MATERIALES</t>
  </si>
  <si>
    <t>D 3</t>
  </si>
  <si>
    <t>MANEJO INTEGRAL DE RESIDUOS SÓLIDOS</t>
  </si>
  <si>
    <t>ACOPIO TEMPORAL DE RCD EN FRENTES DE OBRA</t>
  </si>
  <si>
    <t>KIT BRIGADA DE ASEO Y LIMPIEZA</t>
  </si>
  <si>
    <t>CARRETILLA  RUEDA NEUMATICA PLATON METALICO CAPACIDAD CINCO PIES CUBICOS MANGO MADERA TIPO BUGGY</t>
  </si>
  <si>
    <t>MARTILLO DE BOLA DE 2 LB</t>
  </si>
  <si>
    <t xml:space="preserve">D 4 </t>
  </si>
  <si>
    <t>MANEJO INTEGRAL DE CUERPOS DE AGUA</t>
  </si>
  <si>
    <t>BAÑO</t>
  </si>
  <si>
    <t>PROTECCIÓN DE SUMIDEROS</t>
  </si>
  <si>
    <t>SUBTOTAL COMPONENTE D</t>
  </si>
  <si>
    <t>COMPONENTE E.   GESTIÓN EN SEGURIDAD Y SALUD EN EL TRABAJO</t>
  </si>
  <si>
    <t>E1</t>
  </si>
  <si>
    <t>SEGURIDAD Y SALUD EN EL TRABAJO</t>
  </si>
  <si>
    <t>EXÁMENES OCUPACIONALES</t>
  </si>
  <si>
    <t>SUBTOTAL COMPONENTE E</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</si>
  <si>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</si>
  <si>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F. PLAN DE SEÑALIZACIÓN</t>
  </si>
  <si>
    <t>F1</t>
  </si>
  <si>
    <t>MANEJO SEÑALIZACIÓN FRENTE DE OBRA</t>
  </si>
  <si>
    <t>SEÑALIZACIÓN INTERNA DE EXCAVACIONES, POZOS, VACÍOS</t>
  </si>
  <si>
    <t>SEÑALES DE CAMPAMENTO Y FRENTES DE OBRA</t>
  </si>
  <si>
    <t>SUBTOTAL COMPONENTE F</t>
  </si>
  <si>
    <t>SUBTOTAL COMPONENTES A+C+D+E+F</t>
  </si>
  <si>
    <t>A.I.U.</t>
  </si>
  <si>
    <t>VALOR GLOBAL AMBIENTAL CON AIU : TOTAL COMPONENTES A+C+D+E+F</t>
  </si>
  <si>
    <t>NOTA: EN LOS ITEMS MARCADOS  CON ** EL VALOR TOTAL SE OBTIENE DE MULTIPLICAR LA CANTIDAD POR EL NUMERO DE MESES DE EJECUCION DE OBRA Y POR EL VALOR UNITARIO.</t>
  </si>
  <si>
    <t>MATRIZ PARA CÁLCULO DE AIU- AMBIENTAL</t>
  </si>
  <si>
    <t>3. IMPUESTOS Y GARANTÍAS</t>
  </si>
  <si>
    <t>ÍTEM</t>
  </si>
  <si>
    <t>ICA (Ley 14 6jul1983, Res 265 13abr2021)</t>
  </si>
  <si>
    <t>Estampilla Unipedagógica (Dec 584 de 19 dic 2014)</t>
  </si>
  <si>
    <t>GARANTIAS</t>
  </si>
  <si>
    <t>VR. BASE</t>
  </si>
  <si>
    <t>Cumplimiento</t>
  </si>
  <si>
    <t>GARANTIA UNICA</t>
  </si>
  <si>
    <t>Salarios y Prestaciones Sociales</t>
  </si>
  <si>
    <t>Estabilidad de la Obra</t>
  </si>
  <si>
    <t>A. ADMINISTRACIÓN (1 + 2 + 3)</t>
  </si>
  <si>
    <t xml:space="preserve">I. IMPREVISTOS </t>
  </si>
  <si>
    <t>U. UTILIDAD</t>
  </si>
  <si>
    <t>A.I.U. (ADMINISTRACIÓN, IMPREVISTOS Y UTILIDAD)</t>
  </si>
  <si>
    <t>PLAN DE GESTIÓN SOCIAL</t>
  </si>
  <si>
    <t>CONTROL DE INVERSIÓN GESTION SOCIAL PARA OBRAS</t>
  </si>
  <si>
    <t>COMPONENTE</t>
  </si>
  <si>
    <t>Unidad</t>
  </si>
  <si>
    <t>Valor Unitario</t>
  </si>
  <si>
    <t>Factor prestacional</t>
  </si>
  <si>
    <t>Cantidad</t>
  </si>
  <si>
    <t>Dedicación H/Mes</t>
  </si>
  <si>
    <t>Plazo (Meses)</t>
  </si>
  <si>
    <t>Dedicación Total (Meses)</t>
  </si>
  <si>
    <t>Subtotal</t>
  </si>
  <si>
    <t>Componente A. Personal Profesional de Gestión Social</t>
  </si>
  <si>
    <t>GUIA CIVICO</t>
  </si>
  <si>
    <t>A.4</t>
  </si>
  <si>
    <t>ACTAS DE VECINDAD</t>
  </si>
  <si>
    <t>A.5</t>
  </si>
  <si>
    <t>Asistente Social</t>
  </si>
  <si>
    <t>MES</t>
  </si>
  <si>
    <t>Subtotal Componente personal Profesional</t>
  </si>
  <si>
    <t>Componente B.  Plan de Gestión Social</t>
  </si>
  <si>
    <t>Cantidad Obra</t>
  </si>
  <si>
    <t>B.1</t>
  </si>
  <si>
    <t>Programa de Información</t>
  </si>
  <si>
    <t>B.1.1</t>
  </si>
  <si>
    <t>SubTotal programa de información</t>
  </si>
  <si>
    <t>B.2</t>
  </si>
  <si>
    <t>Programa de Divulgación al ciudadano</t>
  </si>
  <si>
    <t>B.2.2</t>
  </si>
  <si>
    <t>B.2.3</t>
  </si>
  <si>
    <t>B.2.1</t>
  </si>
  <si>
    <t>SubTotal programa de divulgación al ciudadano</t>
  </si>
  <si>
    <t>B.3</t>
  </si>
  <si>
    <t>Programa de Atención al ciudadano</t>
  </si>
  <si>
    <t>Dedicación Mes</t>
  </si>
  <si>
    <t>B.3.1</t>
  </si>
  <si>
    <t>Adecuación del punto CREA-Atención al ciudadano</t>
  </si>
  <si>
    <t>B.3.1.2</t>
  </si>
  <si>
    <t>B.3.1.3</t>
  </si>
  <si>
    <t>B.3.1.4</t>
  </si>
  <si>
    <t>B.3.1.5</t>
  </si>
  <si>
    <t>B.3.1.6</t>
  </si>
  <si>
    <t>SubTotal programa de atención al ciudadano</t>
  </si>
  <si>
    <t>SUBTOTAL COSTO DE PERSONAL PARA EL PLAN DE GESTION SOCIAL</t>
  </si>
  <si>
    <t>SUBTOTAL COSTOS DE SUBPROGRAMAS DE PLAN DE GESTION SOCIAL</t>
  </si>
  <si>
    <t>SUBTOTAL COSTO DEL PLAN DE GESTION SOCIAL</t>
  </si>
  <si>
    <t>AIU</t>
  </si>
  <si>
    <t>TOTAL COSTO DEL PLAN DE GESTION SOCIAL</t>
  </si>
  <si>
    <t>MATRIZ PARA CÁLCULO DE AIU- SOCIAL (PGS)</t>
  </si>
  <si>
    <t>COSTO DIRECTO ESTIMADO PGS (CD)</t>
  </si>
  <si>
    <t>NOTA:</t>
  </si>
  <si>
    <t>LA EDICIÓN DE LAS FÓRMULAS COMPROMETE LA RESPONSABILIDAD DEL USUARIO DE LA MATRIZ.</t>
  </si>
  <si>
    <t>* INCLUYE EN F.P HORAS EXTRAS.</t>
  </si>
  <si>
    <t>CONTROL DE INVERSIÓN PLAN DE MANEJO DE TRÁFICO</t>
  </si>
  <si>
    <t xml:space="preserve">PLAZO: </t>
  </si>
  <si>
    <t>No.</t>
  </si>
  <si>
    <t>TIEMPO</t>
  </si>
  <si>
    <t xml:space="preserve">VALOR UNITARIO (MENSUAL) </t>
  </si>
  <si>
    <t>F.P.</t>
  </si>
  <si>
    <t>CONSTRUCCION</t>
  </si>
  <si>
    <t>CANT TOTAL</t>
  </si>
  <si>
    <t>VR TOTAL</t>
  </si>
  <si>
    <t>Und</t>
  </si>
  <si>
    <t>Cant</t>
  </si>
  <si>
    <t xml:space="preserve">PERSONAL </t>
  </si>
  <si>
    <t>AFORADOR</t>
  </si>
  <si>
    <t>PALETERO</t>
  </si>
  <si>
    <t>SUBTOTAL COSTOS PERSONAL</t>
  </si>
  <si>
    <t>OTROS</t>
  </si>
  <si>
    <t>SEÑALIZACION TEMPORAL</t>
  </si>
  <si>
    <t>CANALIZACIÓN DE TRÁFICO (INSTALACIÓN, MANTENIMIENTO Y DESINSTALACIÓN MENSUAL) CON SEÑALIZADORES TUBULARES COLOMBINA PLÁSTICA Y TRIPLE CINTA DE SEÑALIZACIÓN (INCLUYE ALQUILER DE SEÑALIZADORES TUBULARES). LONGITUD 3 METROS.</t>
  </si>
  <si>
    <t>UN/MES</t>
  </si>
  <si>
    <t>ALQUILER SEÑAL VERTICAL GRUPO I (75X75CM) (INCLUYE SUMINISTRO E INSTALACIÓN)</t>
  </si>
  <si>
    <t>ALQUILER BARRERA RELLENABLE (2.00X0.55X1.00M)</t>
  </si>
  <si>
    <t>ALQUILER DE SEÑAL LUMINOSA BIDIRECCIONAL 1.50M X 0.50M (INCLUYE INSTALACIÓN, MANTENIMIENTO Y DESINSTALACIÓN).</t>
  </si>
  <si>
    <t>PASACALLE  IMPRESO EN LONA BANNER (7.00m x 1.00m) INCLUYE PALOS A LOS EXTREMOS</t>
  </si>
  <si>
    <t>CINTA DE SEÑALIZACION CAL 4 (ROLLO 500mx0.10m)</t>
  </si>
  <si>
    <t>ALQUILER DE PALETA PARE-SIGA EN POLIETILENO.</t>
  </si>
  <si>
    <t>SUBTOTAL OTROS COSTOS DIRECTOS</t>
  </si>
  <si>
    <t>SUB TOTAL</t>
  </si>
  <si>
    <t>A.I.U</t>
  </si>
  <si>
    <t>MATRIZ PARA CÁLCULO DE AIU- TRANSITO (PMT)</t>
  </si>
  <si>
    <t>COSTOS PERSONAL + OTROS COSTOS ESTIMADOS PMT</t>
  </si>
  <si>
    <t>Nombre</t>
  </si>
  <si>
    <t>UM</t>
  </si>
  <si>
    <t>Valor</t>
  </si>
  <si>
    <t>Fecha de actualización</t>
  </si>
  <si>
    <t>REPLANTEO GENERAL</t>
  </si>
  <si>
    <t>Actualización 2024-I Fase II + MO 2025</t>
  </si>
  <si>
    <t>EXCAVACION MANUAL PARA REDES PROFUNDIDAD 0M - 2M (INCLUYE CARGUE)</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</si>
  <si>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</si>
  <si>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</si>
  <si>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</si>
  <si>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</si>
  <si>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RETIRO DE POSTES DE AP/LA (INCLUYE TRASLADO A SITIO DE ACOPIO)</t>
  </si>
  <si>
    <t>Actualización 2025-I Fase I</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</si>
  <si>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</si>
  <si>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</si>
  <si>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</si>
  <si>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</si>
  <si>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</si>
  <si>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</si>
  <si>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</si>
  <si>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</si>
  <si>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</si>
  <si>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</si>
  <si>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</si>
  <si>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</si>
  <si>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</si>
  <si>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</si>
  <si>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</si>
  <si>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</si>
  <si>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</si>
  <si>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</si>
  <si>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</si>
  <si>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</si>
  <si>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</si>
  <si>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</si>
  <si>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</si>
  <si>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</si>
  <si>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</si>
  <si>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</si>
  <si>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</si>
  <si>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</si>
  <si>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</si>
  <si>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</si>
  <si>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</si>
  <si>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</si>
  <si>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</si>
  <si>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</si>
  <si>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</si>
  <si>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Actualización 2024-I Fase II</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</si>
  <si>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</si>
  <si>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</si>
  <si>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</si>
  <si>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</si>
  <si>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</si>
  <si>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</si>
  <si>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</si>
  <si>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</si>
  <si>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</si>
  <si>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</si>
  <si>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</si>
  <si>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</si>
  <si>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</si>
  <si>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</si>
  <si>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</si>
  <si>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</si>
  <si>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</si>
  <si>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</si>
  <si>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</si>
  <si>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</si>
  <si>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</si>
  <si>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</si>
  <si>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</si>
  <si>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</si>
  <si>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</si>
  <si>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</si>
  <si>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</si>
  <si>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</si>
  <si>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</si>
  <si>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</si>
  <si>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</si>
  <si>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</si>
  <si>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</si>
  <si>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</si>
  <si>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</si>
  <si>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</si>
  <si>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</si>
  <si>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</si>
  <si>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</si>
  <si>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</si>
  <si>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</si>
  <si>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</si>
  <si>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</si>
  <si>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</si>
  <si>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</si>
  <si>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</si>
  <si>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</si>
  <si>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</si>
  <si>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</si>
  <si>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</si>
  <si>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</si>
  <si>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</si>
  <si>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</si>
  <si>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</si>
  <si>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</si>
  <si>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</si>
  <si>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</si>
  <si>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</si>
  <si>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</si>
  <si>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</si>
  <si>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</si>
  <si>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</si>
  <si>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</si>
  <si>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</si>
  <si>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</si>
  <si>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</si>
  <si>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</si>
  <si>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</si>
  <si>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</si>
  <si>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</si>
  <si>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</si>
  <si>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</si>
  <si>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</si>
  <si>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</si>
  <si>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</si>
  <si>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</si>
  <si>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</si>
  <si>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</si>
  <si>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</si>
  <si>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</si>
  <si>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</si>
  <si>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</si>
  <si>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</si>
  <si>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</si>
  <si>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</si>
  <si>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</si>
  <si>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</si>
  <si>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</si>
  <si>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</si>
  <si>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</si>
  <si>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</si>
  <si>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</si>
  <si>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</si>
  <si>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</si>
  <si>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</si>
  <si>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</si>
  <si>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</si>
  <si>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</si>
  <si>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</si>
  <si>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</si>
  <si>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</si>
  <si>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</si>
  <si>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</si>
  <si>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</si>
  <si>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</si>
  <si>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</si>
  <si>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</si>
  <si>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</si>
  <si>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</si>
  <si>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</si>
  <si>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</si>
  <si>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</si>
  <si>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</si>
  <si>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</si>
  <si>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</si>
  <si>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</si>
  <si>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</si>
  <si>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</si>
  <si>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</si>
  <si>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</si>
  <si>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</si>
  <si>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</si>
  <si>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</si>
  <si>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</si>
  <si>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</si>
  <si>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</si>
  <si>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</si>
  <si>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</si>
  <si>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</si>
  <si>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</si>
  <si>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</si>
  <si>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</si>
  <si>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</si>
  <si>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</si>
  <si>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</si>
  <si>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</si>
  <si>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</si>
  <si>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</si>
  <si>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</si>
  <si>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</si>
  <si>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</si>
  <si>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</si>
  <si>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</si>
  <si>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</si>
  <si>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</si>
  <si>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</si>
  <si>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</si>
  <si>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</si>
  <si>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</si>
  <si>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</si>
  <si>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</si>
  <si>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</si>
  <si>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</si>
  <si>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</si>
  <si>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</si>
  <si>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</si>
  <si>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</si>
  <si>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</si>
  <si>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</si>
  <si>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</si>
  <si>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</si>
  <si>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</si>
  <si>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</si>
  <si>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</si>
  <si>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</si>
  <si>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</si>
  <si>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</si>
  <si>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</si>
  <si>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</si>
  <si>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</si>
  <si>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</si>
  <si>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</si>
  <si>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</si>
  <si>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</si>
  <si>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</si>
  <si>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</si>
  <si>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</si>
  <si>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</si>
  <si>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</si>
  <si>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</si>
  <si>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</si>
  <si>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</si>
  <si>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</si>
  <si>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</si>
  <si>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</si>
  <si>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</si>
  <si>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</si>
  <si>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</si>
  <si>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</si>
  <si>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</si>
  <si>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</si>
  <si>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</si>
  <si>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</si>
  <si>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</si>
  <si>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</si>
  <si>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</si>
  <si>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</si>
  <si>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</si>
  <si>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</si>
  <si>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</si>
  <si>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</si>
  <si>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</si>
  <si>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</si>
  <si>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</si>
  <si>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</si>
  <si>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</si>
  <si>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</si>
  <si>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</si>
  <si>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</si>
  <si>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</si>
  <si>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</si>
  <si>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</si>
  <si>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</si>
  <si>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</si>
  <si>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</si>
  <si>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</si>
  <si>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</si>
  <si>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</si>
  <si>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</si>
  <si>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</si>
  <si>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</si>
  <si>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</si>
  <si>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</si>
  <si>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</si>
  <si>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</si>
  <si>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</si>
  <si>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</si>
  <si>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</si>
  <si>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</si>
  <si>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</si>
  <si>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</si>
  <si>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</si>
  <si>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</si>
  <si>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</si>
  <si>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</si>
  <si>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</si>
  <si>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</si>
  <si>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</si>
  <si>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</si>
  <si>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</si>
  <si>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</si>
  <si>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</si>
  <si>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</si>
  <si>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</si>
  <si>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</si>
  <si>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</si>
  <si>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</si>
  <si>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</si>
  <si>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</si>
  <si>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</si>
  <si>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</si>
  <si>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</si>
  <si>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</si>
  <si>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</si>
  <si>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</si>
  <si>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</si>
  <si>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</si>
  <si>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</si>
  <si>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</si>
  <si>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</si>
  <si>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</si>
  <si>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</si>
  <si>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</si>
  <si>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</si>
  <si>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</si>
  <si>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</si>
  <si>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</si>
  <si>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</si>
  <si>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</si>
  <si>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</si>
  <si>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</si>
  <si>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</si>
  <si>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</si>
  <si>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</si>
  <si>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</si>
  <si>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</si>
  <si>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</si>
  <si>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</si>
  <si>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</si>
  <si>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</si>
  <si>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</si>
  <si>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</si>
  <si>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</si>
  <si>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</si>
  <si>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</si>
  <si>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</si>
  <si>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</si>
  <si>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</si>
  <si>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</si>
  <si>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</si>
  <si>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</si>
  <si>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</si>
  <si>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</si>
  <si>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</si>
  <si>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</si>
  <si>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</si>
  <si>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</si>
  <si>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</si>
  <si>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</si>
  <si>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</si>
  <si>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</si>
  <si>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</si>
  <si>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</si>
  <si>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</si>
  <si>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</si>
  <si>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</si>
  <si>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</si>
  <si>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</si>
  <si>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</si>
  <si>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</si>
  <si>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</si>
  <si>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</si>
  <si>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</si>
  <si>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</si>
  <si>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</si>
  <si>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</si>
  <si>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</si>
  <si>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</si>
  <si>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</si>
  <si>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</si>
  <si>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</si>
  <si>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</si>
  <si>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</si>
  <si>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</si>
  <si>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JR</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</si>
  <si>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</si>
  <si>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</si>
  <si>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</si>
  <si>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</si>
  <si>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</si>
  <si>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</si>
  <si>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</si>
  <si>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</si>
  <si>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</si>
  <si>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</si>
  <si>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</si>
  <si>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</si>
  <si>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</si>
  <si>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</si>
  <si>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</si>
  <si>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</si>
  <si>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</si>
  <si>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</si>
  <si>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</si>
  <si>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</si>
  <si>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</si>
  <si>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</si>
  <si>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</si>
  <si>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</si>
  <si>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</si>
  <si>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</si>
  <si>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</si>
  <si>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</si>
  <si>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</si>
  <si>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</si>
  <si>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</si>
  <si>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</si>
  <si>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</si>
  <si>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</si>
  <si>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</si>
  <si>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</si>
  <si>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</si>
  <si>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</si>
  <si>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</si>
  <si>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</si>
  <si>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</si>
  <si>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</si>
  <si>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</si>
  <si>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</si>
  <si>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</si>
  <si>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</si>
  <si>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</si>
  <si>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</si>
  <si>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</si>
  <si>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</si>
  <si>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</si>
  <si>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</si>
  <si>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</si>
  <si>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</si>
  <si>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</si>
  <si>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</si>
  <si>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</si>
  <si>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</si>
  <si>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</si>
  <si>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</si>
  <si>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</si>
  <si>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</si>
  <si>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</si>
  <si>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</si>
  <si>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</si>
  <si>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</si>
  <si>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</si>
  <si>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</si>
  <si>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</si>
  <si>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</si>
  <si>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</si>
  <si>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</si>
  <si>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</si>
  <si>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</si>
  <si>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</si>
  <si>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</si>
  <si>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</si>
  <si>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</si>
  <si>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</si>
  <si>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</si>
  <si>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</si>
  <si>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</si>
  <si>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</si>
  <si>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</si>
  <si>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</si>
  <si>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</si>
  <si>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</si>
  <si>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</si>
  <si>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</si>
  <si>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</si>
  <si>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</si>
  <si>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</si>
  <si>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</si>
  <si>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</si>
  <si>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</si>
  <si>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</si>
  <si>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</si>
  <si>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</si>
  <si>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</si>
  <si>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</si>
  <si>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</si>
  <si>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</si>
  <si>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</si>
  <si>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</si>
  <si>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</si>
  <si>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</si>
  <si>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</si>
  <si>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</si>
  <si>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</si>
  <si>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</si>
  <si>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</si>
  <si>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</si>
  <si>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</si>
  <si>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</si>
  <si>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</si>
  <si>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</si>
  <si>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</si>
  <si>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</si>
  <si>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</si>
  <si>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</si>
  <si>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</si>
  <si>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</si>
  <si>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</si>
  <si>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</si>
  <si>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</si>
  <si>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</si>
  <si>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</si>
  <si>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</si>
  <si>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</si>
  <si>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</si>
  <si>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</si>
  <si>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</si>
  <si>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</si>
  <si>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</si>
  <si>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</si>
  <si>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</si>
  <si>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</si>
  <si>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</si>
  <si>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</si>
  <si>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</si>
  <si>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</si>
  <si>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</si>
  <si>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</si>
  <si>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</si>
  <si>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</si>
  <si>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</si>
  <si>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</si>
  <si>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</si>
  <si>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</si>
  <si>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</si>
  <si>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</si>
  <si>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</si>
  <si>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</si>
  <si>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</si>
  <si>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</si>
  <si>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</si>
  <si>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</si>
  <si>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</si>
  <si>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</si>
  <si>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</si>
  <si>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</si>
  <si>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</si>
  <si>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</si>
  <si>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</si>
  <si>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</si>
  <si>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</si>
  <si>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</si>
  <si>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</si>
  <si>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</si>
  <si>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</si>
  <si>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</si>
  <si>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</si>
  <si>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</si>
  <si>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</si>
  <si>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</si>
  <si>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</si>
  <si>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</si>
  <si>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</si>
  <si>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</si>
  <si>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</si>
  <si>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</si>
  <si>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</si>
  <si>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</si>
  <si>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</si>
  <si>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</si>
  <si>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</si>
  <si>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</si>
  <si>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</si>
  <si>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</si>
  <si>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</si>
  <si>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</si>
  <si>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</si>
  <si>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</si>
  <si>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</si>
  <si>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</si>
  <si>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</si>
  <si>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</si>
  <si>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</si>
  <si>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</si>
  <si>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</si>
  <si>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</si>
  <si>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</si>
  <si>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</si>
  <si>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</si>
  <si>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</si>
  <si>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</si>
  <si>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</si>
  <si>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</si>
  <si>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</si>
  <si>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</si>
  <si>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</si>
  <si>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</si>
  <si>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</si>
  <si>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</si>
  <si>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</si>
  <si>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</si>
  <si>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</si>
  <si>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</si>
  <si>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</si>
  <si>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</si>
  <si>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</si>
  <si>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</si>
  <si>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</si>
  <si>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</si>
  <si>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</si>
  <si>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</si>
  <si>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</si>
  <si>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</si>
  <si>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</si>
  <si>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</si>
  <si>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</si>
  <si>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</si>
  <si>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</si>
  <si>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</si>
  <si>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</si>
  <si>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</si>
  <si>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</si>
  <si>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</si>
  <si>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</si>
  <si>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</si>
  <si>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</si>
  <si>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</si>
  <si>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</si>
  <si>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</si>
  <si>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</si>
  <si>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</si>
  <si>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</si>
  <si>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</si>
  <si>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</si>
  <si>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</si>
  <si>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</si>
  <si>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</si>
  <si>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</si>
  <si>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</si>
  <si>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</si>
  <si>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</si>
  <si>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</si>
  <si>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</si>
  <si>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</si>
  <si>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</si>
  <si>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</si>
  <si>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</si>
  <si>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</si>
  <si>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</si>
  <si>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</si>
  <si>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</si>
  <si>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</si>
  <si>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</si>
  <si>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</si>
  <si>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</si>
  <si>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</si>
  <si>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</si>
  <si>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</si>
  <si>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</si>
  <si>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</si>
  <si>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</si>
  <si>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</si>
  <si>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</si>
  <si>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</si>
  <si>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</si>
  <si>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</si>
  <si>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</si>
  <si>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</si>
  <si>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</si>
  <si>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</si>
  <si>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</si>
  <si>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</si>
  <si>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</si>
  <si>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</si>
  <si>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</si>
  <si>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</si>
  <si>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</si>
  <si>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</si>
  <si>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</si>
  <si>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</si>
  <si>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</si>
  <si>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</si>
  <si>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</si>
  <si>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</si>
  <si>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</si>
  <si>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</si>
  <si>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</si>
  <si>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</si>
  <si>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</si>
  <si>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</si>
  <si>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</si>
  <si>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</si>
  <si>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</si>
  <si>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</si>
  <si>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</si>
  <si>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</si>
  <si>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</si>
  <si>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</si>
  <si>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</si>
  <si>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</si>
  <si>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</si>
  <si>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</si>
  <si>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</si>
  <si>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</si>
  <si>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</si>
  <si>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</si>
  <si>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</si>
  <si>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</si>
  <si>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</si>
  <si>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</si>
  <si>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</si>
  <si>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</si>
  <si>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</si>
  <si>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</si>
  <si>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</si>
  <si>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</si>
  <si>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</si>
  <si>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</si>
  <si>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</si>
  <si>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</si>
  <si>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</si>
  <si>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</si>
  <si>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</si>
  <si>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</si>
  <si>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</si>
  <si>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</si>
  <si>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</si>
  <si>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</si>
  <si>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</si>
  <si>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</si>
  <si>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</si>
  <si>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</si>
  <si>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</si>
  <si>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</si>
  <si>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</si>
  <si>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</si>
  <si>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</si>
  <si>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</si>
  <si>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</si>
  <si>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</si>
  <si>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</si>
  <si>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</si>
  <si>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</si>
  <si>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</si>
  <si>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</si>
  <si>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</si>
  <si>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</si>
  <si>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</si>
  <si>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</si>
  <si>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</si>
  <si>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</si>
  <si>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</si>
  <si>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</si>
  <si>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</si>
  <si>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</si>
  <si>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</si>
  <si>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</si>
  <si>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</si>
  <si>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</si>
  <si>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</si>
  <si>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</si>
  <si>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</si>
  <si>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</si>
  <si>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</si>
  <si>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</si>
  <si>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</si>
  <si>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</si>
  <si>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</si>
  <si>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</si>
  <si>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</si>
  <si>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</si>
  <si>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</si>
  <si>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</si>
  <si>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</si>
  <si>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</si>
  <si>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</si>
  <si>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</si>
  <si>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</si>
  <si>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</si>
  <si>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</si>
  <si>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</si>
  <si>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</si>
  <si>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</si>
  <si>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</si>
  <si>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</si>
  <si>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</si>
  <si>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</si>
  <si>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</si>
  <si>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</si>
  <si>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</si>
  <si>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</si>
  <si>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</si>
  <si>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</si>
  <si>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</si>
  <si>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</si>
  <si>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</si>
  <si>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</si>
  <si>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</si>
  <si>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</si>
  <si>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</si>
  <si>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</si>
  <si>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</si>
  <si>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</si>
  <si>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</si>
  <si>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</si>
  <si>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</si>
  <si>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</si>
  <si>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</si>
  <si>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</si>
  <si>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</si>
  <si>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</si>
  <si>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</si>
  <si>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</si>
  <si>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</si>
  <si>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</si>
  <si>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</si>
  <si>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</si>
  <si>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</si>
  <si>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</si>
  <si>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</si>
  <si>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</si>
  <si>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</si>
  <si>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</si>
  <si>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</si>
  <si>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</si>
  <si>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</si>
  <si>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</si>
  <si>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</si>
  <si>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</si>
  <si>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</si>
  <si>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</si>
  <si>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</si>
  <si>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</si>
  <si>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</si>
  <si>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</si>
  <si>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</si>
  <si>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</si>
  <si>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</si>
  <si>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</si>
  <si>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</si>
  <si>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</si>
  <si>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</si>
  <si>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</si>
  <si>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</si>
  <si>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</si>
  <si>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</si>
  <si>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</si>
  <si>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</si>
  <si>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</si>
  <si>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</si>
  <si>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</si>
  <si>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</si>
  <si>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</si>
  <si>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</si>
  <si>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</si>
  <si>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</si>
  <si>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</si>
  <si>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</si>
  <si>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</si>
  <si>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</si>
  <si>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</si>
  <si>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</si>
  <si>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</si>
  <si>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</si>
  <si>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</si>
  <si>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</si>
  <si>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</si>
  <si>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</si>
  <si>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</si>
  <si>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</si>
  <si>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</si>
  <si>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</si>
  <si>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</si>
  <si>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</si>
  <si>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</si>
  <si>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</si>
  <si>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</si>
  <si>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</si>
  <si>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</si>
  <si>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</si>
  <si>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</si>
  <si>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</si>
  <si>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</si>
  <si>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</si>
  <si>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</si>
  <si>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</si>
  <si>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</si>
  <si>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</si>
  <si>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</si>
  <si>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</si>
  <si>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</si>
  <si>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</si>
  <si>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</si>
  <si>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</si>
  <si>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</si>
  <si>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</si>
  <si>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</si>
  <si>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</si>
  <si>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</si>
  <si>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</si>
  <si>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</si>
  <si>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</si>
  <si>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</si>
  <si>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</si>
  <si>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</si>
  <si>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</si>
  <si>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</si>
  <si>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</si>
  <si>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</si>
  <si>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</si>
  <si>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</si>
  <si>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</si>
  <si>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</si>
  <si>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</si>
  <si>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</si>
  <si>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</si>
  <si>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</si>
  <si>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</si>
  <si>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</si>
  <si>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</si>
  <si>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</si>
  <si>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</si>
  <si>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</si>
  <si>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</si>
  <si>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</si>
  <si>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</si>
  <si>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</si>
  <si>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</si>
  <si>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</si>
  <si>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</si>
  <si>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</si>
  <si>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</si>
  <si>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</si>
  <si>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</si>
  <si>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</si>
  <si>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</si>
  <si>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</si>
  <si>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</si>
  <si>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</si>
  <si>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</si>
  <si>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</si>
  <si>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</si>
  <si>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</si>
  <si>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</si>
  <si>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</si>
  <si>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</si>
  <si>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</si>
  <si>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</si>
  <si>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</si>
  <si>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</si>
  <si>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</si>
  <si>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</si>
  <si>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</si>
  <si>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</si>
  <si>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</si>
  <si>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</si>
  <si>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</si>
  <si>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</si>
  <si>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</si>
  <si>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</si>
  <si>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</si>
  <si>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</si>
  <si>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</si>
  <si>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</si>
  <si>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</si>
  <si>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</si>
  <si>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</si>
  <si>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</si>
  <si>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</si>
  <si>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</si>
  <si>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</si>
  <si>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</si>
  <si>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</si>
  <si>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</si>
  <si>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</si>
  <si>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</si>
  <si>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</si>
  <si>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</si>
  <si>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</si>
  <si>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</si>
  <si>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</si>
  <si>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</si>
  <si>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</si>
  <si>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</si>
  <si>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</si>
  <si>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</si>
  <si>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</si>
  <si>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</si>
  <si>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</si>
  <si>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</si>
  <si>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</si>
  <si>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</si>
  <si>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</si>
  <si>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</si>
  <si>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</si>
  <si>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</si>
  <si>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</si>
  <si>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</si>
  <si>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</si>
  <si>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</si>
  <si>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</si>
  <si>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</si>
  <si>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</si>
  <si>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</si>
  <si>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</si>
  <si>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</si>
  <si>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</si>
  <si>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</si>
  <si>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</si>
  <si>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</si>
  <si>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</si>
  <si>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</si>
  <si>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</si>
  <si>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</si>
  <si>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</si>
  <si>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</si>
  <si>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</si>
  <si>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</si>
  <si>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</si>
  <si>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</si>
  <si>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</si>
  <si>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</si>
  <si>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</si>
  <si>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</si>
  <si>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</si>
  <si>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</si>
  <si>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</si>
  <si>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</si>
  <si>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</si>
  <si>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</si>
  <si>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</si>
  <si>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</si>
  <si>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</si>
  <si>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</si>
  <si>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</si>
  <si>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</si>
  <si>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</si>
  <si>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</si>
  <si>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</si>
  <si>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</si>
  <si>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</si>
  <si>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</si>
  <si>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</si>
  <si>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</si>
  <si>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</si>
  <si>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</si>
  <si>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</si>
  <si>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</si>
  <si>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</si>
  <si>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</si>
  <si>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</si>
  <si>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</si>
  <si>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</si>
  <si>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</si>
  <si>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</si>
  <si>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</si>
  <si>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</si>
  <si>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</si>
  <si>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</si>
  <si>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</si>
  <si>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</si>
  <si>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</si>
  <si>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</si>
  <si>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</si>
  <si>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</si>
  <si>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</si>
  <si>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</si>
  <si>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</si>
  <si>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</si>
  <si>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</si>
  <si>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</si>
  <si>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</si>
  <si>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</si>
  <si>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</si>
  <si>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</si>
  <si>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</si>
  <si>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</si>
  <si>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</si>
  <si>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</si>
  <si>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</si>
  <si>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</si>
  <si>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</si>
  <si>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</si>
  <si>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</si>
  <si>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</si>
  <si>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</si>
  <si>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</si>
  <si>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</si>
  <si>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</si>
  <si>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</si>
  <si>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</si>
  <si>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</si>
  <si>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</si>
  <si>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</si>
  <si>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</si>
  <si>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</si>
  <si>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</si>
  <si>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</si>
  <si>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</si>
  <si>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</si>
  <si>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</si>
  <si>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</si>
  <si>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</si>
  <si>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</si>
  <si>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BANDERERO (INCLUYE ALQUILER DE PALETA PARE-SIGA EN POLIETILENO).</t>
  </si>
  <si>
    <t>H/ME</t>
  </si>
  <si>
    <t>ALQUILER KIT DE EMERGENCIAS (INCLUYE EXTINTOR DE 5 LBS, CAMILLA EN MADERA PRIMEROS AUXILIOS, INMOVILIZADOR CABEZA, CONO DE H= 1.0M Y BOTIQUÍN.</t>
  </si>
  <si>
    <t>ALQUILER CARPA VESTIER 2.0M X 2.0M CON ESTRUCTURA, TECHO Y LATERALES EN LONA.</t>
  </si>
  <si>
    <t>Actualización 2024-I Fase I</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</si>
  <si>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</si>
  <si>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</si>
  <si>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</si>
  <si>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</si>
  <si>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</si>
  <si>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</si>
  <si>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</si>
  <si>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</si>
  <si>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</si>
  <si>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</si>
  <si>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</si>
  <si>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</si>
  <si>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</si>
  <si>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</si>
  <si>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</si>
  <si>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</si>
  <si>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</si>
  <si>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</si>
  <si>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</si>
  <si>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</si>
  <si>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</si>
  <si>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</si>
  <si>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</si>
  <si>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</si>
  <si>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</si>
  <si>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</si>
  <si>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</si>
  <si>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</si>
  <si>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</si>
  <si>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</si>
  <si>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</si>
  <si>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</si>
  <si>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</si>
  <si>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</si>
  <si>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</si>
  <si>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</si>
  <si>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</si>
  <si>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</si>
  <si>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</si>
  <si>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</si>
  <si>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</si>
  <si>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</si>
  <si>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</si>
  <si>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</si>
  <si>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</si>
  <si>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</si>
  <si>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</si>
  <si>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</si>
  <si>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</si>
  <si>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</si>
  <si>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</si>
  <si>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</si>
  <si>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</si>
  <si>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</si>
  <si>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</si>
  <si>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</si>
  <si>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</si>
  <si>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</si>
  <si>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</si>
  <si>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</si>
  <si>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</si>
  <si>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</si>
  <si>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</si>
  <si>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</si>
  <si>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</si>
  <si>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</si>
  <si>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</si>
  <si>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</si>
  <si>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</si>
  <si>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</si>
  <si>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</si>
  <si>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</si>
  <si>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</si>
  <si>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</si>
  <si>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</si>
  <si>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</si>
  <si>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</si>
  <si>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</si>
  <si>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</si>
  <si>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</si>
  <si>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</si>
  <si>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</si>
  <si>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</si>
  <si>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</si>
  <si>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</si>
  <si>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</si>
  <si>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</si>
  <si>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</si>
  <si>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</si>
  <si>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</si>
  <si>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</si>
  <si>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</si>
  <si>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</si>
  <si>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</si>
  <si>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</si>
  <si>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</si>
  <si>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</si>
  <si>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</si>
  <si>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</si>
  <si>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</si>
  <si>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</si>
  <si>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</si>
  <si>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</si>
  <si>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</si>
  <si>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</si>
  <si>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</si>
  <si>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</si>
  <si>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</si>
  <si>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</si>
  <si>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</si>
  <si>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</si>
  <si>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</si>
  <si>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</si>
  <si>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</si>
  <si>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</si>
  <si>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</si>
  <si>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</si>
  <si>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</si>
  <si>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</si>
  <si>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</si>
  <si>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</si>
  <si>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</si>
  <si>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</si>
  <si>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</si>
  <si>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</si>
  <si>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</si>
  <si>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</si>
  <si>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</si>
  <si>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</si>
  <si>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</si>
  <si>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</si>
  <si>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</si>
  <si>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</si>
  <si>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</si>
  <si>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</si>
  <si>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</si>
  <si>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</si>
  <si>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</si>
  <si>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</si>
  <si>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</si>
  <si>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</si>
  <si>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</si>
  <si>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</si>
  <si>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</si>
  <si>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</si>
  <si>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</si>
  <si>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</si>
  <si>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</si>
  <si>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</si>
  <si>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</si>
  <si>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</si>
  <si>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</si>
  <si>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</si>
  <si>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</si>
  <si>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</si>
  <si>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</si>
  <si>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</si>
  <si>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</si>
  <si>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</si>
  <si>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</si>
  <si>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</si>
  <si>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</si>
  <si>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</si>
  <si>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</si>
  <si>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</si>
  <si>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</si>
  <si>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</si>
  <si>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</si>
  <si>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</si>
  <si>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</si>
  <si>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</si>
  <si>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</si>
  <si>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</si>
  <si>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</si>
  <si>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</si>
  <si>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</si>
  <si>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</si>
  <si>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</si>
  <si>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</si>
  <si>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</si>
  <si>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</si>
  <si>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</si>
  <si>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</si>
  <si>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</si>
  <si>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</si>
  <si>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</si>
  <si>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</si>
  <si>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</si>
  <si>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</si>
  <si>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</si>
  <si>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</si>
  <si>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</si>
  <si>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</si>
  <si>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</si>
  <si>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</si>
  <si>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</si>
  <si>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</si>
  <si>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</si>
  <si>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</si>
  <si>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</si>
  <si>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</si>
  <si>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</si>
  <si>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</si>
  <si>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</si>
  <si>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</si>
  <si>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</si>
  <si>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</si>
  <si>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</si>
  <si>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</si>
  <si>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</si>
  <si>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</si>
  <si>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</si>
  <si>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</si>
  <si>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</si>
  <si>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</si>
  <si>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</si>
  <si>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</si>
  <si>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</si>
  <si>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</si>
  <si>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</si>
  <si>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</si>
  <si>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</si>
  <si>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</si>
  <si>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</si>
  <si>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</si>
  <si>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</si>
  <si>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</si>
  <si>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</si>
  <si>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</si>
  <si>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</si>
  <si>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</si>
  <si>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</si>
  <si>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</si>
  <si>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</si>
  <si>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</si>
  <si>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</si>
  <si>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</si>
  <si>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</si>
  <si>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</si>
  <si>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</si>
  <si>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</si>
  <si>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</si>
  <si>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</si>
  <si>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</si>
  <si>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</si>
  <si>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</si>
  <si>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</si>
  <si>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</si>
  <si>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</si>
  <si>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</si>
  <si>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</si>
  <si>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</si>
  <si>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</si>
  <si>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</si>
  <si>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</si>
  <si>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</si>
  <si>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</si>
  <si>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</si>
  <si>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</si>
  <si>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</si>
  <si>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</si>
  <si>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</si>
  <si>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</si>
  <si>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</si>
  <si>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</si>
  <si>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</si>
  <si>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</si>
  <si>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</si>
  <si>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</si>
  <si>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</si>
  <si>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</si>
  <si>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</si>
  <si>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</si>
  <si>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</si>
  <si>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</si>
  <si>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</si>
  <si>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</si>
  <si>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</si>
  <si>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</si>
  <si>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</si>
  <si>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</si>
  <si>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</si>
  <si>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</si>
  <si>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</si>
  <si>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</si>
  <si>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</si>
  <si>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</si>
  <si>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</si>
  <si>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</si>
  <si>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</si>
  <si>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</si>
  <si>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</si>
  <si>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</si>
  <si>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</si>
  <si>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</si>
  <si>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</si>
  <si>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</si>
  <si>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</si>
  <si>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</si>
  <si>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</si>
  <si>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</si>
  <si>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</si>
  <si>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</si>
  <si>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</si>
  <si>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</si>
  <si>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</si>
  <si>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</si>
  <si>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</si>
  <si>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</si>
  <si>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</si>
  <si>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</si>
  <si>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</si>
  <si>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</si>
  <si>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</si>
  <si>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</si>
  <si>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</si>
  <si>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</si>
  <si>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</si>
  <si>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</si>
  <si>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</si>
  <si>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</si>
  <si>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</si>
  <si>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</si>
  <si>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</si>
  <si>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</si>
  <si>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</si>
  <si>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</si>
  <si>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</si>
  <si>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</si>
  <si>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</si>
  <si>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</si>
  <si>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</si>
  <si>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</si>
  <si>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</si>
  <si>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</si>
  <si>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</si>
  <si>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</si>
  <si>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</si>
  <si>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</si>
  <si>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</si>
  <si>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</si>
  <si>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</si>
  <si>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</si>
  <si>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</si>
  <si>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</si>
  <si>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</si>
  <si>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</si>
  <si>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</si>
  <si>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</si>
  <si>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</si>
  <si>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</si>
  <si>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</si>
  <si>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</si>
  <si>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</si>
  <si>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</si>
  <si>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</si>
  <si>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</si>
  <si>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</si>
  <si>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</si>
  <si>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</si>
  <si>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</si>
  <si>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</si>
  <si>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</si>
  <si>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</si>
  <si>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</si>
  <si>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</si>
  <si>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</si>
  <si>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</si>
  <si>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</si>
  <si>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</si>
  <si>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</si>
  <si>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</si>
  <si>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</si>
  <si>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</si>
  <si>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</si>
  <si>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</si>
  <si>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</si>
  <si>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</si>
  <si>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</si>
  <si>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</si>
  <si>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</si>
  <si>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</si>
  <si>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</si>
  <si>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</si>
  <si>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</si>
  <si>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</si>
  <si>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</si>
  <si>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</si>
  <si>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</si>
  <si>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</si>
  <si>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</si>
  <si>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</si>
  <si>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</si>
  <si>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</si>
  <si>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</si>
  <si>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</si>
  <si>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</si>
  <si>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</si>
  <si>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</si>
  <si>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</si>
  <si>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</si>
  <si>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</si>
  <si>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</si>
  <si>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</si>
  <si>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</si>
  <si>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</si>
  <si>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</si>
  <si>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</si>
  <si>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</si>
  <si>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</si>
  <si>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</si>
  <si>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</si>
  <si>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</si>
  <si>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</si>
  <si>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</si>
  <si>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</si>
  <si>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</si>
  <si>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</si>
  <si>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</si>
  <si>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</si>
  <si>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</si>
  <si>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</si>
  <si>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</si>
  <si>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</si>
  <si>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</si>
  <si>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</si>
  <si>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</si>
  <si>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</si>
  <si>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</si>
  <si>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</si>
  <si>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</si>
  <si>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</si>
  <si>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</si>
  <si>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</si>
  <si>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</si>
  <si>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</si>
  <si>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</si>
  <si>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</si>
  <si>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</si>
  <si>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</si>
  <si>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</si>
  <si>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</si>
  <si>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</si>
  <si>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</si>
  <si>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</si>
  <si>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</si>
  <si>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</si>
  <si>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</si>
  <si>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</si>
  <si>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</si>
  <si>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</si>
  <si>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</si>
  <si>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</si>
  <si>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</si>
  <si>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</si>
  <si>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</si>
  <si>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</si>
  <si>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</si>
  <si>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</si>
  <si>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</si>
  <si>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</si>
  <si>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</si>
  <si>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</si>
  <si>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</si>
  <si>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</si>
  <si>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</si>
  <si>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</si>
  <si>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</si>
  <si>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</si>
  <si>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</si>
  <si>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</si>
  <si>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</si>
  <si>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</si>
  <si>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</si>
  <si>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</si>
  <si>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</si>
  <si>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</si>
  <si>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</si>
  <si>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</si>
  <si>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</si>
  <si>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</si>
  <si>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</si>
  <si>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</si>
  <si>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</si>
  <si>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</si>
  <si>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</si>
  <si>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</si>
  <si>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</si>
  <si>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</si>
  <si>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</si>
  <si>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</si>
  <si>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</si>
  <si>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</si>
  <si>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</si>
  <si>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</si>
  <si>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</si>
  <si>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</si>
  <si>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</si>
  <si>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</si>
  <si>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</si>
  <si>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</si>
  <si>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</si>
  <si>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</si>
  <si>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</si>
  <si>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</si>
  <si>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</si>
  <si>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</si>
  <si>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</si>
  <si>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</si>
  <si>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</si>
  <si>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</si>
  <si>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</si>
  <si>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</si>
  <si>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</si>
  <si>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</si>
  <si>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</si>
  <si>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</si>
  <si>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</si>
  <si>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</si>
  <si>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</si>
  <si>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</si>
  <si>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</si>
  <si>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</si>
  <si>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</si>
  <si>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</si>
  <si>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</si>
  <si>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</si>
  <si>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</si>
  <si>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</si>
  <si>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</si>
  <si>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</si>
  <si>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</si>
  <si>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</si>
  <si>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</si>
  <si>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</si>
  <si>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</si>
  <si>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</si>
  <si>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</si>
  <si>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</si>
  <si>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</si>
  <si>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</si>
  <si>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</si>
  <si>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</si>
  <si>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</si>
  <si>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</si>
  <si>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</si>
  <si>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</si>
  <si>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</si>
  <si>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</si>
  <si>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</si>
  <si>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</si>
  <si>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</si>
  <si>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</si>
  <si>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</si>
  <si>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</si>
  <si>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</si>
  <si>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</si>
  <si>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</si>
  <si>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</si>
  <si>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</si>
  <si>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</si>
  <si>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</si>
  <si>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</si>
  <si>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</si>
  <si>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</si>
  <si>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</si>
  <si>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</si>
  <si>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</si>
  <si>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</si>
  <si>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</si>
  <si>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</si>
  <si>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</si>
  <si>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</si>
  <si>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</si>
  <si>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</si>
  <si>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</si>
  <si>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</si>
  <si>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</si>
  <si>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</si>
  <si>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</si>
  <si>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</si>
  <si>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</si>
  <si>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</si>
  <si>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</si>
  <si>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</si>
  <si>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</si>
  <si>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</si>
  <si>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</si>
  <si>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</si>
  <si>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</si>
  <si>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</si>
  <si>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</si>
  <si>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</si>
  <si>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</si>
  <si>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</si>
  <si>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</si>
  <si>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</si>
  <si>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</si>
  <si>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</si>
  <si>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</si>
  <si>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</si>
  <si>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</si>
  <si>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</si>
  <si>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No. 5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</si>
  <si>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</si>
  <si>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</si>
  <si>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</si>
  <si>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</si>
  <si>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</si>
  <si>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</si>
  <si>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</si>
  <si>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</si>
  <si>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</si>
  <si>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</si>
  <si>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</si>
  <si>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</si>
  <si>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</si>
  <si>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</si>
  <si>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</si>
  <si>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</si>
  <si>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</si>
  <si>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</si>
  <si>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</si>
  <si>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</si>
  <si>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</si>
  <si>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</si>
  <si>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</si>
  <si>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</si>
  <si>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</si>
  <si>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</si>
  <si>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</si>
  <si>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</si>
  <si>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</si>
  <si>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</si>
  <si>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</si>
  <si>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</si>
  <si>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</si>
  <si>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</si>
  <si>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</si>
  <si>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</si>
  <si>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</si>
  <si>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</si>
  <si>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</si>
  <si>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</si>
  <si>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</si>
  <si>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</si>
  <si>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</si>
  <si>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</si>
  <si>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</si>
  <si>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</si>
  <si>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</si>
  <si>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</si>
  <si>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</si>
  <si>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</si>
  <si>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</si>
  <si>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</si>
  <si>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</si>
  <si>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</si>
  <si>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</si>
  <si>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</si>
  <si>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</si>
  <si>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</si>
  <si>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(60X60CM) (INCLUYE SUMINISTRO E INSTALACIÓN)</t>
  </si>
  <si>
    <t>ALQUILER SEÑAL VERTICAL GRUPO I (90X90CM) (INCLUYE SUMINISTRO E INSTALACIÓN)</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</si>
  <si>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</si>
  <si>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</si>
  <si>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</si>
  <si>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</si>
  <si>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</si>
  <si>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</si>
  <si>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</si>
  <si>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</si>
  <si>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</si>
  <si>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</si>
  <si>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</si>
  <si>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</si>
  <si>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</si>
  <si>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</si>
  <si>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</si>
  <si>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</si>
  <si>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</si>
  <si>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</si>
  <si>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</si>
  <si>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</si>
  <si>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</si>
  <si>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</si>
  <si>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</si>
  <si>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</si>
  <si>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</si>
  <si>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</si>
  <si>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</si>
  <si>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</si>
  <si>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</si>
  <si>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</si>
  <si>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</si>
  <si>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</si>
  <si>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</si>
  <si>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</si>
  <si>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</si>
  <si>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</si>
  <si>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</si>
  <si>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</si>
  <si>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</si>
  <si>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</si>
  <si>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</si>
  <si>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</si>
  <si>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</si>
  <si>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</si>
  <si>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</si>
  <si>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</si>
  <si>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</si>
  <si>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</si>
  <si>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</si>
  <si>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</si>
  <si>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</si>
  <si>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</si>
  <si>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</si>
  <si>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</si>
  <si>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</si>
  <si>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</si>
  <si>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</si>
  <si>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</si>
  <si>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</si>
  <si>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</si>
  <si>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</si>
  <si>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</si>
  <si>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</si>
  <si>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</si>
  <si>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</si>
  <si>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</si>
  <si>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</si>
  <si>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</si>
  <si>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</si>
  <si>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</si>
  <si>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</si>
  <si>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</si>
  <si>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</si>
  <si>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</si>
  <si>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</si>
  <si>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</si>
  <si>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</si>
  <si>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</si>
  <si>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</si>
  <si>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</si>
  <si>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</si>
  <si>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</si>
  <si>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</si>
  <si>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</si>
  <si>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</si>
  <si>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</si>
  <si>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</si>
  <si>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</si>
  <si>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</si>
  <si>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</si>
  <si>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</si>
  <si>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</si>
  <si>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</si>
  <si>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</si>
  <si>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</si>
  <si>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</si>
  <si>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</si>
  <si>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</si>
  <si>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</si>
  <si>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</si>
  <si>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</si>
  <si>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</si>
  <si>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</si>
  <si>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</si>
  <si>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</si>
  <si>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</si>
  <si>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</si>
  <si>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</si>
  <si>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</si>
  <si>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</si>
  <si>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</si>
  <si>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</si>
  <si>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</si>
  <si>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</si>
  <si>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</si>
  <si>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</si>
  <si>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</si>
  <si>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</si>
  <si>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</si>
  <si>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</si>
  <si>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</si>
  <si>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</si>
  <si>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</si>
  <si>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</si>
  <si>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</si>
  <si>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</si>
  <si>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</si>
  <si>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</si>
  <si>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</si>
  <si>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</si>
  <si>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</si>
  <si>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</si>
  <si>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</si>
  <si>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</si>
  <si>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</si>
  <si>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</si>
  <si>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</si>
  <si>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</si>
  <si>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</si>
  <si>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</si>
  <si>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</si>
  <si>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</si>
  <si>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</si>
  <si>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</si>
  <si>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</si>
  <si>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</si>
  <si>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</si>
  <si>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</si>
  <si>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</si>
  <si>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</si>
  <si>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</si>
  <si>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</si>
  <si>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</si>
  <si>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</si>
  <si>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</si>
  <si>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</si>
  <si>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</si>
  <si>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</si>
  <si>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</si>
  <si>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</si>
  <si>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</si>
  <si>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</si>
  <si>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</si>
  <si>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</si>
  <si>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</si>
  <si>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</si>
  <si>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</si>
  <si>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</si>
  <si>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</si>
  <si>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</si>
  <si>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</si>
  <si>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</si>
  <si>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</si>
  <si>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</si>
  <si>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</si>
  <si>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</si>
  <si>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</si>
  <si>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</si>
  <si>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</si>
  <si>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</si>
  <si>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</si>
  <si>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</si>
  <si>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</si>
  <si>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</si>
  <si>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</si>
  <si>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</si>
  <si>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</si>
  <si>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</si>
  <si>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</si>
  <si>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</si>
  <si>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</si>
  <si>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</si>
  <si>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</si>
  <si>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</si>
  <si>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</si>
  <si>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</si>
  <si>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</si>
  <si>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</si>
  <si>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</si>
  <si>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</si>
  <si>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</si>
  <si>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</si>
  <si>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</si>
  <si>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</si>
  <si>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</si>
  <si>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</si>
  <si>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</si>
  <si>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</si>
  <si>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</si>
  <si>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</si>
  <si>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</si>
  <si>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</si>
  <si>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</si>
  <si>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</si>
  <si>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</si>
  <si>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</si>
  <si>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</si>
  <si>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</si>
  <si>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</si>
  <si>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</si>
  <si>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</si>
  <si>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</si>
  <si>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</si>
  <si>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</si>
  <si>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</si>
  <si>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</si>
  <si>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</si>
  <si>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</si>
  <si>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</si>
  <si>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</si>
  <si>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</si>
  <si>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</si>
  <si>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</si>
  <si>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</si>
  <si>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</si>
  <si>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</si>
  <si>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</si>
  <si>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</si>
  <si>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</si>
  <si>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</si>
  <si>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</si>
  <si>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</si>
  <si>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</si>
  <si>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</si>
  <si>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</si>
  <si>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</si>
  <si>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</si>
  <si>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</si>
  <si>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</si>
  <si>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</si>
  <si>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</si>
  <si>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</si>
  <si>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</si>
  <si>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</si>
  <si>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</si>
  <si>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</si>
  <si>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</si>
  <si>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</si>
  <si>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</si>
  <si>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</si>
  <si>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</si>
  <si>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</si>
  <si>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</si>
  <si>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</si>
  <si>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</si>
  <si>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</si>
  <si>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</si>
  <si>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</si>
  <si>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</si>
  <si>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</si>
  <si>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</si>
  <si>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</si>
  <si>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</si>
  <si>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</si>
  <si>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</si>
  <si>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</si>
  <si>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</si>
  <si>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</si>
  <si>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</si>
  <si>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</si>
  <si>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</si>
  <si>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</si>
  <si>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</si>
  <si>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</si>
  <si>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</si>
  <si>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</si>
  <si>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</si>
  <si>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</si>
  <si>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</si>
  <si>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</si>
  <si>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</si>
  <si>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</si>
  <si>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</si>
  <si>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</si>
  <si>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</si>
  <si>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</si>
  <si>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</si>
  <si>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</si>
  <si>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</si>
  <si>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</si>
  <si>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</si>
  <si>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</si>
  <si>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</si>
  <si>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</si>
  <si>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</si>
  <si>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</si>
  <si>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</si>
  <si>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</si>
  <si>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</si>
  <si>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</si>
  <si>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</si>
  <si>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</si>
  <si>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</si>
  <si>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</si>
  <si>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</si>
  <si>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</si>
  <si>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</si>
  <si>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</si>
  <si>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</si>
  <si>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</si>
  <si>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</si>
  <si>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</si>
  <si>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DESMONTE Y TRASLADO DE ELEMENTOS METALICOS (INCLUYE MANEJO, ALMACENAMIENTO, CARGUE Y TRANSPORTE DE LOS ELEMENTOS A SITIO AUTORIZADO E INDICADO POR IDU.)</t>
  </si>
  <si>
    <t>APOYO ELASTOMÉRICO EN NEOPRENO REFORZADO DUREZA 60 PARA APOYO SUPERESTRUCTURA. (SUMINISTRO E INSTALACIÓN).</t>
  </si>
  <si>
    <t>dm3</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</si>
  <si>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</si>
  <si>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</si>
  <si>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</si>
  <si>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</si>
  <si>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</si>
  <si>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</si>
  <si>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</si>
  <si>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</si>
  <si>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</si>
  <si>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</si>
  <si>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</si>
  <si>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</si>
  <si>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</si>
  <si>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</si>
  <si>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</si>
  <si>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</si>
  <si>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</si>
  <si>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</si>
  <si>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</si>
  <si>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</si>
  <si>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</si>
  <si>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</si>
  <si>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</si>
  <si>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</si>
  <si>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</si>
  <si>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</si>
  <si>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</si>
  <si>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</si>
  <si>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</si>
  <si>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</si>
  <si>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</si>
  <si>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</si>
  <si>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</si>
  <si>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</si>
  <si>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</si>
  <si>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</si>
  <si>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</si>
  <si>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</si>
  <si>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</si>
  <si>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</si>
  <si>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</si>
  <si>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</si>
  <si>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</si>
  <si>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</si>
  <si>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</si>
  <si>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</si>
  <si>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</si>
  <si>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</si>
  <si>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</si>
  <si>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</si>
  <si>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</si>
  <si>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</si>
  <si>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</si>
  <si>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</si>
  <si>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</si>
  <si>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</si>
  <si>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</si>
  <si>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</si>
  <si>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</si>
  <si>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</si>
  <si>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</si>
  <si>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</si>
  <si>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</si>
  <si>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</si>
  <si>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</si>
  <si>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</si>
  <si>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</si>
  <si>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</si>
  <si>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</si>
  <si>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</si>
  <si>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</si>
  <si>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</si>
  <si>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</si>
  <si>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</si>
  <si>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</si>
  <si>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</si>
  <si>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</si>
  <si>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</si>
  <si>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</si>
  <si>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</si>
  <si>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</si>
  <si>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</si>
  <si>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</si>
  <si>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</si>
  <si>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</si>
  <si>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</si>
  <si>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</si>
  <si>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</si>
  <si>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</si>
  <si>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</si>
  <si>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</si>
  <si>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</si>
  <si>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</si>
  <si>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</si>
  <si>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</si>
  <si>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</si>
  <si>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</si>
  <si>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</si>
  <si>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</si>
  <si>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</si>
  <si>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</si>
  <si>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</si>
  <si>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</si>
  <si>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</si>
  <si>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</si>
  <si>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</si>
  <si>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</si>
  <si>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</si>
  <si>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</si>
  <si>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</si>
  <si>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</si>
  <si>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</si>
  <si>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</si>
  <si>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</si>
  <si>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</si>
  <si>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</si>
  <si>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</si>
  <si>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</si>
  <si>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</si>
  <si>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</si>
  <si>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</si>
  <si>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</si>
  <si>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</si>
  <si>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</si>
  <si>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</si>
  <si>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</si>
  <si>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</si>
  <si>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</si>
  <si>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</si>
  <si>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</si>
  <si>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</si>
  <si>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</si>
  <si>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</si>
  <si>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</si>
  <si>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</si>
  <si>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</si>
  <si>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</si>
  <si>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</si>
  <si>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</si>
  <si>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</si>
  <si>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</si>
  <si>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</si>
  <si>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</si>
  <si>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</si>
  <si>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</si>
  <si>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</si>
  <si>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</si>
  <si>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</si>
  <si>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</si>
  <si>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</si>
  <si>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</si>
  <si>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</si>
  <si>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</si>
  <si>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</si>
  <si>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</si>
  <si>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</si>
  <si>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</si>
  <si>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</si>
  <si>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</si>
  <si>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</si>
  <si>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</si>
  <si>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</si>
  <si>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</si>
  <si>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</si>
  <si>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</si>
  <si>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</si>
  <si>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</si>
  <si>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</si>
  <si>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</si>
  <si>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</si>
  <si>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</si>
  <si>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</si>
  <si>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</si>
  <si>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</si>
  <si>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</si>
  <si>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</si>
  <si>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</si>
  <si>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</si>
  <si>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</si>
  <si>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</si>
  <si>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</si>
  <si>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</si>
  <si>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</si>
  <si>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</si>
  <si>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</si>
  <si>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</si>
  <si>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</si>
  <si>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</si>
  <si>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</si>
  <si>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</si>
  <si>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</si>
  <si>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</si>
  <si>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</si>
  <si>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</si>
  <si>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</si>
  <si>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</si>
  <si>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</si>
  <si>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</si>
  <si>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</si>
  <si>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</si>
  <si>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</si>
  <si>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</si>
  <si>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</si>
  <si>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</si>
  <si>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</si>
  <si>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</si>
  <si>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</si>
  <si>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</si>
  <si>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</si>
  <si>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</si>
  <si>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</si>
  <si>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</si>
  <si>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</si>
  <si>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</si>
  <si>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</si>
  <si>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</si>
  <si>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</si>
  <si>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</si>
  <si>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</si>
  <si>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</si>
  <si>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</si>
  <si>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</si>
  <si>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</si>
  <si>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</si>
  <si>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</si>
  <si>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</si>
  <si>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</si>
  <si>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</si>
  <si>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</si>
  <si>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</si>
  <si>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</si>
  <si>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</si>
  <si>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</si>
  <si>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</si>
  <si>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</si>
  <si>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</si>
  <si>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</si>
  <si>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</si>
  <si>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</si>
  <si>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</si>
  <si>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</si>
  <si>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</si>
  <si>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</si>
  <si>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</si>
  <si>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</si>
  <si>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</si>
  <si>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</si>
  <si>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</si>
  <si>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</si>
  <si>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</si>
  <si>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</si>
  <si>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</si>
  <si>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</si>
  <si>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</si>
  <si>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</si>
  <si>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</si>
  <si>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</si>
  <si>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</si>
  <si>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</si>
  <si>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</si>
  <si>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</si>
  <si>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</si>
  <si>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</si>
  <si>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</si>
  <si>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</si>
  <si>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</si>
  <si>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</si>
  <si>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</si>
  <si>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</si>
  <si>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</si>
  <si>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</si>
  <si>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</si>
  <si>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 PARA POZO DE INSPECCIÓN, D=0.70 M. INCLUYE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</si>
  <si>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</si>
  <si>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</si>
  <si>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</si>
  <si>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</si>
  <si>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</si>
  <si>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</si>
  <si>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</si>
  <si>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</si>
  <si>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</si>
  <si>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</si>
  <si>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</si>
  <si>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</si>
  <si>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</si>
  <si>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</si>
  <si>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</si>
  <si>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</si>
  <si>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</si>
  <si>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</si>
  <si>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</si>
  <si>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</si>
  <si>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</si>
  <si>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</si>
  <si>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</si>
  <si>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</si>
  <si>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</si>
  <si>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</si>
  <si>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</si>
  <si>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</si>
  <si>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</si>
  <si>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</si>
  <si>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</si>
  <si>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</si>
  <si>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</si>
  <si>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</si>
  <si>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</si>
  <si>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</si>
  <si>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</si>
  <si>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</si>
  <si>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</si>
  <si>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</si>
  <si>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</si>
  <si>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</si>
  <si>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</si>
  <si>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</si>
  <si>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</si>
  <si>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</si>
  <si>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</si>
  <si>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</si>
  <si>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</si>
  <si>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</si>
  <si>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</si>
  <si>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</si>
  <si>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</si>
  <si>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</si>
  <si>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</si>
  <si>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</si>
  <si>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</si>
  <si>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</si>
  <si>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</si>
  <si>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</si>
  <si>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</si>
  <si>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</si>
  <si>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</si>
  <si>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</si>
  <si>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</si>
  <si>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</si>
  <si>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</si>
  <si>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</si>
  <si>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</si>
  <si>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</si>
  <si>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</si>
  <si>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</si>
  <si>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</si>
  <si>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</si>
  <si>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</si>
  <si>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</si>
  <si>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</si>
  <si>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</si>
  <si>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</si>
  <si>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</si>
  <si>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</si>
  <si>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</si>
  <si>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</si>
  <si>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</si>
  <si>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</si>
  <si>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</si>
  <si>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</si>
  <si>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</si>
  <si>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</si>
  <si>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</si>
  <si>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</si>
  <si>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</si>
  <si>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</si>
  <si>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</si>
  <si>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</si>
  <si>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</si>
  <si>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</si>
  <si>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</si>
  <si>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</si>
  <si>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</si>
  <si>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</si>
  <si>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APIQUE MANUAL HASTA 2 M DE 1.5 M X 1.5 M - RELLENO Y ADECUACIÓN DEL SITIO - INCLUYE TRANSPORTE</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</si>
  <si>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</si>
  <si>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</si>
  <si>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</si>
  <si>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</si>
  <si>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</si>
  <si>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</si>
  <si>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</si>
  <si>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</si>
  <si>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</si>
  <si>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</si>
  <si>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</si>
  <si>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</si>
  <si>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</si>
  <si>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</si>
  <si>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</si>
  <si>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</si>
  <si>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</si>
  <si>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</si>
  <si>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</si>
  <si>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</si>
  <si>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</si>
  <si>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</si>
  <si>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</si>
  <si>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</si>
  <si>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</si>
  <si>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</si>
  <si>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</si>
  <si>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</si>
  <si>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</si>
  <si>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</si>
  <si>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</si>
  <si>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</si>
  <si>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</si>
  <si>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</si>
  <si>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</si>
  <si>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</si>
  <si>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</si>
  <si>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</si>
  <si>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</si>
  <si>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</si>
  <si>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</si>
  <si>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</si>
  <si>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</si>
  <si>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</si>
  <si>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</si>
  <si>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</si>
  <si>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</si>
  <si>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</si>
  <si>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</si>
  <si>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</si>
  <si>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</si>
  <si>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</si>
  <si>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</si>
  <si>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</si>
  <si>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</si>
  <si>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</si>
  <si>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</si>
  <si>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</si>
  <si>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</si>
  <si>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</si>
  <si>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</si>
  <si>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</si>
  <si>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</si>
  <si>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</si>
  <si>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</si>
  <si>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</si>
  <si>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</si>
  <si>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</si>
  <si>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</si>
  <si>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</si>
  <si>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</si>
  <si>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</si>
  <si>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</si>
  <si>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</si>
  <si>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</si>
  <si>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</si>
  <si>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</si>
  <si>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</si>
  <si>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</si>
  <si>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</si>
  <si>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</si>
  <si>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</si>
  <si>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</si>
  <si>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</si>
  <si>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</si>
  <si>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</si>
  <si>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</si>
  <si>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</si>
  <si>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</si>
  <si>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</si>
  <si>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</si>
  <si>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</si>
  <si>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</si>
  <si>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</si>
  <si>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</si>
  <si>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</si>
  <si>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</si>
  <si>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</si>
  <si>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</si>
  <si>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</si>
  <si>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</si>
  <si>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</si>
  <si>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</si>
  <si>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</si>
  <si>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</si>
  <si>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</si>
  <si>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</si>
  <si>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</si>
  <si>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</si>
  <si>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</si>
  <si>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</si>
  <si>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</si>
  <si>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</si>
  <si>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</si>
  <si>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</si>
  <si>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</si>
  <si>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</si>
  <si>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</si>
  <si>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</si>
  <si>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</si>
  <si>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</si>
  <si>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</si>
  <si>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</si>
  <si>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</si>
  <si>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</si>
  <si>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</si>
  <si>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</si>
  <si>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</si>
  <si>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</si>
  <si>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</si>
  <si>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</si>
  <si>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</si>
  <si>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</si>
  <si>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</si>
  <si>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</si>
  <si>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</si>
  <si>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</si>
  <si>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</si>
  <si>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</si>
  <si>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</si>
  <si>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</si>
  <si>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</si>
  <si>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</si>
  <si>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</si>
  <si>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</si>
  <si>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</si>
  <si>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</si>
  <si>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</si>
  <si>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</si>
  <si>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</si>
  <si>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</si>
  <si>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</si>
  <si>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</si>
  <si>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</si>
  <si>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</si>
  <si>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</si>
  <si>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</si>
  <si>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</si>
  <si>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</si>
  <si>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</si>
  <si>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</si>
  <si>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</si>
  <si>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</si>
  <si>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</si>
  <si>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</si>
  <si>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</si>
  <si>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</si>
  <si>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</si>
  <si>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</si>
  <si>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</si>
  <si>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</si>
  <si>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</si>
  <si>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</si>
  <si>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</si>
  <si>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</si>
  <si>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</si>
  <si>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</si>
  <si>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</si>
  <si>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</si>
  <si>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</si>
  <si>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</si>
  <si>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</si>
  <si>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</si>
  <si>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</si>
  <si>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</si>
  <si>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</si>
  <si>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</si>
  <si>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</si>
  <si>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</si>
  <si>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</si>
  <si>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</si>
  <si>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</si>
  <si>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</si>
  <si>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</si>
  <si>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</si>
  <si>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</si>
  <si>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</si>
  <si>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</si>
  <si>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</si>
  <si>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</si>
  <si>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</si>
  <si>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</si>
  <si>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</si>
  <si>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</si>
  <si>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</si>
  <si>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</si>
  <si>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</si>
  <si>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</si>
  <si>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</si>
  <si>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</si>
  <si>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</si>
  <si>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</si>
  <si>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</si>
  <si>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</si>
  <si>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</si>
  <si>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</si>
  <si>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</si>
  <si>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</si>
  <si>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</si>
  <si>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</si>
  <si>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</si>
  <si>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</si>
  <si>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</si>
  <si>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</si>
  <si>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</si>
  <si>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</si>
  <si>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</si>
  <si>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</si>
  <si>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</si>
  <si>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</si>
  <si>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</si>
  <si>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</si>
  <si>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</si>
  <si>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</si>
  <si>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</si>
  <si>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</si>
  <si>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</si>
  <si>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</si>
  <si>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</si>
  <si>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</si>
  <si>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</si>
  <si>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</si>
  <si>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</si>
  <si>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</si>
  <si>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</si>
  <si>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</si>
  <si>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</si>
  <si>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</si>
  <si>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</si>
  <si>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</si>
  <si>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</si>
  <si>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</si>
  <si>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</si>
  <si>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</si>
  <si>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</si>
  <si>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</si>
  <si>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</si>
  <si>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</si>
  <si>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</si>
  <si>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</si>
  <si>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</si>
  <si>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</si>
  <si>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</si>
  <si>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</si>
  <si>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</si>
  <si>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</si>
  <si>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</si>
  <si>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</si>
  <si>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</si>
  <si>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</si>
  <si>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</si>
  <si>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</si>
  <si>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</si>
  <si>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</si>
  <si>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</si>
  <si>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</si>
  <si>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</si>
  <si>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</si>
  <si>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</si>
  <si>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</si>
  <si>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</si>
  <si>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</si>
  <si>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</si>
  <si>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</si>
  <si>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</si>
  <si>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</si>
  <si>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</si>
  <si>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</si>
  <si>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</si>
  <si>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</si>
  <si>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</si>
  <si>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</si>
  <si>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</si>
  <si>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</si>
  <si>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</si>
  <si>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</si>
  <si>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</si>
  <si>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</si>
  <si>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</si>
  <si>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</si>
  <si>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</si>
  <si>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</si>
  <si>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</si>
  <si>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</si>
  <si>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</si>
  <si>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</si>
  <si>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</si>
  <si>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</si>
  <si>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</si>
  <si>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</si>
  <si>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</si>
  <si>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</si>
  <si>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</si>
  <si>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</si>
  <si>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</si>
  <si>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</si>
  <si>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</si>
  <si>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</si>
  <si>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</si>
  <si>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</si>
  <si>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</si>
  <si>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</si>
  <si>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</si>
  <si>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</si>
  <si>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</si>
  <si>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</si>
  <si>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</si>
  <si>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</si>
  <si>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</si>
  <si>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</si>
  <si>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</si>
  <si>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</si>
  <si>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</si>
  <si>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</si>
  <si>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</si>
  <si>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</si>
  <si>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</si>
  <si>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</si>
  <si>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</si>
  <si>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GEOTEXTIL TEJIDO PARA SEPARACIÓN SUBRASANTE/CAPAS GRANULARES (Incluye Suministro e Instalación)</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</si>
  <si>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</si>
  <si>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</si>
  <si>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</si>
  <si>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</si>
  <si>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</si>
  <si>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</si>
  <si>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</si>
  <si>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</si>
  <si>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</si>
  <si>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</si>
  <si>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</si>
  <si>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</si>
  <si>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</si>
  <si>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</si>
  <si>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</si>
  <si>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</si>
  <si>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</si>
  <si>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</si>
  <si>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</si>
  <si>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</si>
  <si>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</si>
  <si>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</si>
  <si>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</si>
  <si>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</si>
  <si>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</si>
  <si>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</si>
  <si>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</si>
  <si>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</si>
  <si>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</si>
  <si>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</si>
  <si>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</si>
  <si>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</si>
  <si>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</si>
  <si>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</si>
  <si>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</si>
  <si>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</si>
  <si>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</si>
  <si>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</si>
  <si>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</si>
  <si>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</si>
  <si>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</si>
  <si>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</si>
  <si>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</si>
  <si>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</si>
  <si>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</si>
  <si>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</si>
  <si>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</si>
  <si>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</si>
  <si>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</si>
  <si>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</si>
  <si>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</si>
  <si>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</si>
  <si>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</si>
  <si>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</si>
  <si>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</si>
  <si>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</si>
  <si>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</si>
  <si>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</si>
  <si>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</si>
  <si>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</si>
  <si>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</si>
  <si>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</si>
  <si>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</si>
  <si>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</si>
  <si>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</si>
  <si>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</si>
  <si>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</si>
  <si>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</si>
  <si>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</si>
  <si>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</si>
  <si>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</si>
  <si>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</si>
  <si>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</si>
  <si>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</si>
  <si>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</si>
  <si>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</si>
  <si>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</si>
  <si>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</si>
  <si>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</si>
  <si>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</si>
  <si>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</si>
  <si>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</si>
  <si>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</si>
  <si>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</si>
  <si>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</si>
  <si>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</si>
  <si>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</si>
  <si>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</si>
  <si>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</si>
  <si>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</si>
  <si>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</si>
  <si>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</si>
  <si>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</si>
  <si>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</si>
  <si>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</si>
  <si>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</si>
  <si>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</si>
  <si>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</si>
  <si>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</si>
  <si>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</si>
  <si>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</si>
  <si>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</si>
  <si>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</si>
  <si>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</si>
  <si>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</si>
  <si>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</si>
  <si>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</si>
  <si>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</si>
  <si>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</si>
  <si>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</si>
  <si>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</si>
  <si>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</si>
  <si>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</si>
  <si>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</si>
  <si>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</si>
  <si>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</si>
  <si>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</si>
  <si>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</si>
  <si>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</si>
  <si>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</si>
  <si>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</si>
  <si>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</si>
  <si>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</si>
  <si>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</si>
  <si>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</si>
  <si>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</si>
  <si>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</si>
  <si>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</si>
  <si>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</si>
  <si>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</si>
  <si>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</si>
  <si>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</si>
  <si>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</si>
  <si>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</si>
  <si>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</si>
  <si>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</si>
  <si>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</si>
  <si>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</si>
  <si>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</si>
  <si>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</si>
  <si>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</si>
  <si>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</si>
  <si>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</si>
  <si>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</si>
  <si>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</si>
  <si>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</si>
  <si>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</si>
  <si>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</si>
  <si>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</si>
  <si>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</si>
  <si>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</si>
  <si>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</si>
  <si>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</si>
  <si>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</si>
  <si>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</si>
  <si>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</si>
  <si>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</si>
  <si>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</si>
  <si>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</si>
  <si>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</si>
  <si>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</si>
  <si>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</si>
  <si>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</si>
  <si>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</si>
  <si>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</si>
  <si>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</si>
  <si>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</si>
  <si>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</si>
  <si>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</si>
  <si>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</si>
  <si>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</si>
  <si>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</si>
  <si>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</si>
  <si>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</si>
  <si>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</si>
  <si>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</si>
  <si>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</si>
  <si>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</si>
  <si>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</si>
  <si>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</si>
  <si>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</si>
  <si>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</si>
  <si>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</si>
  <si>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</si>
  <si>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</si>
  <si>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</si>
  <si>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</si>
  <si>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</si>
  <si>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</si>
  <si>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</si>
  <si>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</si>
  <si>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</si>
  <si>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</si>
  <si>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</si>
  <si>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</si>
  <si>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</si>
  <si>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</si>
  <si>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</si>
  <si>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</si>
  <si>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</si>
  <si>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</si>
  <si>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</si>
  <si>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</si>
  <si>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</si>
  <si>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</si>
  <si>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</si>
  <si>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</si>
  <si>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</si>
  <si>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</si>
  <si>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</si>
  <si>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</si>
  <si>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</si>
  <si>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</si>
  <si>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</si>
  <si>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</si>
  <si>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</si>
  <si>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</si>
  <si>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</si>
  <si>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</si>
  <si>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</si>
  <si>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</si>
  <si>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</si>
  <si>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</si>
  <si>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</si>
  <si>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</si>
  <si>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</si>
  <si>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</si>
  <si>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</si>
  <si>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</si>
  <si>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</si>
  <si>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</si>
  <si>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</si>
  <si>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APOYO ELASTOMÉRICO EN NEOPRENO SIN REFUERZO DUREZA 60 PARA APOYO SUPERESTRUCTURA.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</si>
  <si>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</si>
  <si>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</si>
  <si>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</si>
  <si>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</si>
  <si>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</si>
  <si>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</si>
  <si>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</si>
  <si>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</si>
  <si>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</si>
  <si>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</si>
  <si>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</si>
  <si>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</si>
  <si>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</si>
  <si>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</si>
  <si>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</si>
  <si>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</si>
  <si>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</si>
  <si>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</si>
  <si>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</si>
  <si>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</si>
  <si>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</si>
  <si>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</si>
  <si>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</si>
  <si>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</si>
  <si>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</si>
  <si>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</si>
  <si>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</si>
  <si>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</si>
  <si>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</si>
  <si>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</si>
  <si>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</si>
  <si>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</si>
  <si>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</si>
  <si>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</si>
  <si>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</si>
  <si>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</si>
  <si>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</si>
  <si>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</si>
  <si>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</si>
  <si>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</si>
  <si>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</si>
  <si>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</si>
  <si>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</si>
  <si>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</si>
  <si>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</si>
  <si>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</si>
  <si>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</si>
  <si>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</si>
  <si>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</si>
  <si>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</si>
  <si>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</si>
  <si>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</si>
  <si>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</si>
  <si>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</si>
  <si>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</si>
  <si>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</si>
  <si>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</si>
  <si>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</si>
  <si>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</si>
  <si>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</si>
  <si>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</si>
  <si>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</si>
  <si>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</si>
  <si>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</si>
  <si>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</si>
  <si>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</si>
  <si>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</si>
  <si>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</si>
  <si>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</si>
  <si>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</si>
  <si>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</si>
  <si>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</si>
  <si>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</si>
  <si>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</si>
  <si>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</si>
  <si>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</si>
  <si>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</si>
  <si>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</si>
  <si>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</si>
  <si>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</si>
  <si>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</si>
  <si>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</si>
  <si>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</si>
  <si>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</si>
  <si>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</si>
  <si>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</si>
  <si>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</si>
  <si>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</si>
  <si>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</si>
  <si>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</si>
  <si>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</si>
  <si>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</si>
  <si>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</si>
  <si>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</si>
  <si>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</si>
  <si>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</si>
  <si>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</si>
  <si>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</si>
  <si>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</si>
  <si>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</si>
  <si>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</si>
  <si>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</si>
  <si>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</si>
  <si>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</si>
  <si>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</si>
  <si>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</si>
  <si>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</si>
  <si>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</si>
  <si>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</si>
  <si>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</si>
  <si>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</si>
  <si>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</si>
  <si>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</si>
  <si>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</si>
  <si>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</si>
  <si>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</si>
  <si>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</si>
  <si>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</si>
  <si>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</si>
  <si>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</si>
  <si>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</si>
  <si>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</si>
  <si>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</si>
  <si>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</si>
  <si>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</si>
  <si>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</si>
  <si>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</si>
  <si>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</si>
  <si>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</si>
  <si>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</si>
  <si>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</si>
  <si>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</si>
  <si>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</si>
  <si>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</si>
  <si>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</si>
  <si>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</si>
  <si>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</si>
  <si>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</si>
  <si>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</si>
  <si>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</si>
  <si>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</si>
  <si>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</si>
  <si>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</si>
  <si>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</si>
  <si>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</si>
  <si>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</si>
  <si>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</si>
  <si>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</si>
  <si>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</si>
  <si>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</si>
  <si>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</si>
  <si>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</si>
  <si>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</si>
  <si>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</si>
  <si>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</si>
  <si>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</si>
  <si>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</si>
  <si>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</si>
  <si>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</si>
  <si>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</si>
  <si>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</si>
  <si>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</si>
  <si>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</si>
  <si>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</si>
  <si>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</si>
  <si>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</si>
  <si>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</si>
  <si>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</si>
  <si>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</si>
  <si>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</si>
  <si>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</si>
  <si>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</si>
  <si>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</si>
  <si>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</si>
  <si>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</si>
  <si>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</si>
  <si>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</si>
  <si>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</si>
  <si>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</si>
  <si>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</si>
  <si>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</si>
  <si>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</si>
  <si>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</si>
  <si>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</si>
  <si>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</si>
  <si>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</si>
  <si>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</si>
  <si>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</si>
  <si>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</si>
  <si>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</si>
  <si>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</si>
  <si>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</si>
  <si>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</si>
  <si>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</si>
  <si>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</si>
  <si>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</si>
  <si>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</si>
  <si>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</si>
  <si>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</si>
  <si>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</si>
  <si>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</si>
  <si>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FORMALETA MADERA PARA TAPAS-CAJAS Y CAMARAS</t>
  </si>
  <si>
    <t>DUCTO TELEFONICO LIVIANO PVC TIPO EB D=3"</t>
  </si>
  <si>
    <t>DUCTO TELEFONICO LIVIANO PVC TIPO EB D=4"</t>
  </si>
  <si>
    <t>DUCTO PVC TIPO TDP D=3"</t>
  </si>
  <si>
    <t>DUCTO PVC TIPO TDP D=4"</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</si>
  <si>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</si>
  <si>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</si>
  <si>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</si>
  <si>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</si>
  <si>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</si>
  <si>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</si>
  <si>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</si>
  <si>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</si>
  <si>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</si>
  <si>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</si>
  <si>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</si>
  <si>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</si>
  <si>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</si>
  <si>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</si>
  <si>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</si>
  <si>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</si>
  <si>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</si>
  <si>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</si>
  <si>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</si>
  <si>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</si>
  <si>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</si>
  <si>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</si>
  <si>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</si>
  <si>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</si>
  <si>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</si>
  <si>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</si>
  <si>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</si>
  <si>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</si>
  <si>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</si>
  <si>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</si>
  <si>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</si>
  <si>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</si>
  <si>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</si>
  <si>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</si>
  <si>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</si>
  <si>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</si>
  <si>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</si>
  <si>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</si>
  <si>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</si>
  <si>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</si>
  <si>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</si>
  <si>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</si>
  <si>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</si>
  <si>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</si>
  <si>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</si>
  <si>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</si>
  <si>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</si>
  <si>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</si>
  <si>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</si>
  <si>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</si>
  <si>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</si>
  <si>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</si>
  <si>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</si>
  <si>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</si>
  <si>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</si>
  <si>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</si>
  <si>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</si>
  <si>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</si>
  <si>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</si>
  <si>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</si>
  <si>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</si>
  <si>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</si>
  <si>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</si>
  <si>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</si>
  <si>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</si>
  <si>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</si>
  <si>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</si>
  <si>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</si>
  <si>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</si>
  <si>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</si>
  <si>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</si>
  <si>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</si>
  <si>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</si>
  <si>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</si>
  <si>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</si>
  <si>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</si>
  <si>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</si>
  <si>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</si>
  <si>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</si>
  <si>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</si>
  <si>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</si>
  <si>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</si>
  <si>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</si>
  <si>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</si>
  <si>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</si>
  <si>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</si>
  <si>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</si>
  <si>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</si>
  <si>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</si>
  <si>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</si>
  <si>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</si>
  <si>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</si>
  <si>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</si>
  <si>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</si>
  <si>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</si>
  <si>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</si>
  <si>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</si>
  <si>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</si>
  <si>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</si>
  <si>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</si>
  <si>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</si>
  <si>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</si>
  <si>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</si>
  <si>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</si>
  <si>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</si>
  <si>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</si>
  <si>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</si>
  <si>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</si>
  <si>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</si>
  <si>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</si>
  <si>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</si>
  <si>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</si>
  <si>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</si>
  <si>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</si>
  <si>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</si>
  <si>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</si>
  <si>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</si>
  <si>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</si>
  <si>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</si>
  <si>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</si>
  <si>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</si>
  <si>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</si>
  <si>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</si>
  <si>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</si>
  <si>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</si>
  <si>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</si>
  <si>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</si>
  <si>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</si>
  <si>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</si>
  <si>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</si>
  <si>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</si>
  <si>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</si>
  <si>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</si>
  <si>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</si>
  <si>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</si>
  <si>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</si>
  <si>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</si>
  <si>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</si>
  <si>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</si>
  <si>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</si>
  <si>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</si>
  <si>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</si>
  <si>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</si>
  <si>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</si>
  <si>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</si>
  <si>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</si>
  <si>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</si>
  <si>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</si>
  <si>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</si>
  <si>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</si>
  <si>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</si>
  <si>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</si>
  <si>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</si>
  <si>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</si>
  <si>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</si>
  <si>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</si>
  <si>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</si>
  <si>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</si>
  <si>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</si>
  <si>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</si>
  <si>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</si>
  <si>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</si>
  <si>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</si>
  <si>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</si>
  <si>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</si>
  <si>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</si>
  <si>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</si>
  <si>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</si>
  <si>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</si>
  <si>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</si>
  <si>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</si>
  <si>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</si>
  <si>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</si>
  <si>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</si>
  <si>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</si>
  <si>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</si>
  <si>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</si>
  <si>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</si>
  <si>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</si>
  <si>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</si>
  <si>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</si>
  <si>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</si>
  <si>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</si>
  <si>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</si>
  <si>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</si>
  <si>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</si>
  <si>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</si>
  <si>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</si>
  <si>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</si>
  <si>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</si>
  <si>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</si>
  <si>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</si>
  <si>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</si>
  <si>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</si>
  <si>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</si>
  <si>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</si>
  <si>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</si>
  <si>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</si>
  <si>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</si>
  <si>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</si>
  <si>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</si>
  <si>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</si>
  <si>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</si>
  <si>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</si>
  <si>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</si>
  <si>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</si>
  <si>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</si>
  <si>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</si>
  <si>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</si>
  <si>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</si>
  <si>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</si>
  <si>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</si>
  <si>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</si>
  <si>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</si>
  <si>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</si>
  <si>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</si>
  <si>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</si>
  <si>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</si>
  <si>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</si>
  <si>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</si>
  <si>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</si>
  <si>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</si>
  <si>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</si>
  <si>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</si>
  <si>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</si>
  <si>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</si>
  <si>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</si>
  <si>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</si>
  <si>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</si>
  <si>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</si>
  <si>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</si>
  <si>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</si>
  <si>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</si>
  <si>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</si>
  <si>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</si>
  <si>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</si>
  <si>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</si>
  <si>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</si>
  <si>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</si>
  <si>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</si>
  <si>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</si>
  <si>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</si>
  <si>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</si>
  <si>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</si>
  <si>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</si>
  <si>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</si>
  <si>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</si>
  <si>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</si>
  <si>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</si>
  <si>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</si>
  <si>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</si>
  <si>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</si>
  <si>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</si>
  <si>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</si>
  <si>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</si>
  <si>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</si>
  <si>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</si>
  <si>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</si>
  <si>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</si>
  <si>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</si>
  <si>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</si>
  <si>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</si>
  <si>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</si>
  <si>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</si>
  <si>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</si>
  <si>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</si>
  <si>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</si>
  <si>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</si>
  <si>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</si>
  <si>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</si>
  <si>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</si>
  <si>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</si>
  <si>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</si>
  <si>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</si>
  <si>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</si>
  <si>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</si>
  <si>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</si>
  <si>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</si>
  <si>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</si>
  <si>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</si>
  <si>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</si>
  <si>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</si>
  <si>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</si>
  <si>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</si>
  <si>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</si>
  <si>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</si>
  <si>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</si>
  <si>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</si>
  <si>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</si>
  <si>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</si>
  <si>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</si>
  <si>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</si>
  <si>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</si>
  <si>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</si>
  <si>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</si>
  <si>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</si>
  <si>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</si>
  <si>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</si>
  <si>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</si>
  <si>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</si>
  <si>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</si>
  <si>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</si>
  <si>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</si>
  <si>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</si>
  <si>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</si>
  <si>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</si>
  <si>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</si>
  <si>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</si>
  <si>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</si>
  <si>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</si>
  <si>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</si>
  <si>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</si>
  <si>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</si>
  <si>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</si>
  <si>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</si>
  <si>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</si>
  <si>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</si>
  <si>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</si>
  <si>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</si>
  <si>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</si>
  <si>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</si>
  <si>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</si>
  <si>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</si>
  <si>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</si>
  <si>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</si>
  <si>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</si>
  <si>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</si>
  <si>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</si>
  <si>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</si>
  <si>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</si>
  <si>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</si>
  <si>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</si>
  <si>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</si>
  <si>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</si>
  <si>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</si>
  <si>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</si>
  <si>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</si>
  <si>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</si>
  <si>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</si>
  <si>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</si>
  <si>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</si>
  <si>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</si>
  <si>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</si>
  <si>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</si>
  <si>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</si>
  <si>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</si>
  <si>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</si>
  <si>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</si>
  <si>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</si>
  <si>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</si>
  <si>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</si>
  <si>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</si>
  <si>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</si>
  <si>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</si>
  <si>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</si>
  <si>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</si>
  <si>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</si>
  <si>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</si>
  <si>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</si>
  <si>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</si>
  <si>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</si>
  <si>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</si>
  <si>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</si>
  <si>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</si>
  <si>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</si>
  <si>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</si>
  <si>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</si>
  <si>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</si>
  <si>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</si>
  <si>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</si>
  <si>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</si>
  <si>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</si>
  <si>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</si>
  <si>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</si>
  <si>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</si>
  <si>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</si>
  <si>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</si>
  <si>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</si>
  <si>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</si>
  <si>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</si>
  <si>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</si>
  <si>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</si>
  <si>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</si>
  <si>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</si>
  <si>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</si>
  <si>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</si>
  <si>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</si>
  <si>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</si>
  <si>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</si>
  <si>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</si>
  <si>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</si>
  <si>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</si>
  <si>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</si>
  <si>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</si>
  <si>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</si>
  <si>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</si>
  <si>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</si>
  <si>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</si>
  <si>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</si>
  <si>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</si>
  <si>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</si>
  <si>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</si>
  <si>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</si>
  <si>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</si>
  <si>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</si>
  <si>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</si>
  <si>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</si>
  <si>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</si>
  <si>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</si>
  <si>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</si>
  <si>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</si>
  <si>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</si>
  <si>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</si>
  <si>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</si>
  <si>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</si>
  <si>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</si>
  <si>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</si>
  <si>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</si>
  <si>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</si>
  <si>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</si>
  <si>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</si>
  <si>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</si>
  <si>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</si>
  <si>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</si>
  <si>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</si>
  <si>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</si>
  <si>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</si>
  <si>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</si>
  <si>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</si>
  <si>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</si>
  <si>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</si>
  <si>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</si>
  <si>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</si>
  <si>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</si>
  <si>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</si>
  <si>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</si>
  <si>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</si>
  <si>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</si>
  <si>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</si>
  <si>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</si>
  <si>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</si>
  <si>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</si>
  <si>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</si>
  <si>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</si>
  <si>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</si>
  <si>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</si>
  <si>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</si>
  <si>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</si>
  <si>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</si>
  <si>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</si>
  <si>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</si>
  <si>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</si>
  <si>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</si>
  <si>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</si>
  <si>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</si>
  <si>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</si>
  <si>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</si>
  <si>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</si>
  <si>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</si>
  <si>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</si>
  <si>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</si>
  <si>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</si>
  <si>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</si>
  <si>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</si>
  <si>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</si>
  <si>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</si>
  <si>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</si>
  <si>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</si>
  <si>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</si>
  <si>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</si>
  <si>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</si>
  <si>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</si>
  <si>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</si>
  <si>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</si>
  <si>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</si>
  <si>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</si>
  <si>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</si>
  <si>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</si>
  <si>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</si>
  <si>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</si>
  <si>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</si>
  <si>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</si>
  <si>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</si>
  <si>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</si>
  <si>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</si>
  <si>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</si>
  <si>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</si>
  <si>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</si>
  <si>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</si>
  <si>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</si>
  <si>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</si>
  <si>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</si>
  <si>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</si>
  <si>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</si>
  <si>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</si>
  <si>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</si>
  <si>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</si>
  <si>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</si>
  <si>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</si>
  <si>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</si>
  <si>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</si>
  <si>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</si>
  <si>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</si>
  <si>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</si>
  <si>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</si>
  <si>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</si>
  <si>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</si>
  <si>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</si>
  <si>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</si>
  <si>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</si>
  <si>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</si>
  <si>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</si>
  <si>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</si>
  <si>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</si>
  <si>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</si>
  <si>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</si>
  <si>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</si>
  <si>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</si>
  <si>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</si>
  <si>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</si>
  <si>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</si>
  <si>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</si>
  <si>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</si>
  <si>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</si>
  <si>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</si>
  <si>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</si>
  <si>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</si>
  <si>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</si>
  <si>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</si>
  <si>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</si>
  <si>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</si>
  <si>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</si>
  <si>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</si>
  <si>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</si>
  <si>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</si>
  <si>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</si>
  <si>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</si>
  <si>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</si>
  <si>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</si>
  <si>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</si>
  <si>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</si>
  <si>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</si>
  <si>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</si>
  <si>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</si>
  <si>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</si>
  <si>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</si>
  <si>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</si>
  <si>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</si>
  <si>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</si>
  <si>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</si>
  <si>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</si>
  <si>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</si>
  <si>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</si>
  <si>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</si>
  <si>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</si>
  <si>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</si>
  <si>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</si>
  <si>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</si>
  <si>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</si>
  <si>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</si>
  <si>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</si>
  <si>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</si>
  <si>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</si>
  <si>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</si>
  <si>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</si>
  <si>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</si>
  <si>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</si>
  <si>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</si>
  <si>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</si>
  <si>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</si>
  <si>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</si>
  <si>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</si>
  <si>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</si>
  <si>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</si>
  <si>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</si>
  <si>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</si>
  <si>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</si>
  <si>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</si>
  <si>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</si>
  <si>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</si>
  <si>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</si>
  <si>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</si>
  <si>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</si>
  <si>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</si>
  <si>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</si>
  <si>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</si>
  <si>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</si>
  <si>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</si>
  <si>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</si>
  <si>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</si>
  <si>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</si>
  <si>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</si>
  <si>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</si>
  <si>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</si>
  <si>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</si>
  <si>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</si>
  <si>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</si>
  <si>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</si>
  <si>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</si>
  <si>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</si>
  <si>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</si>
  <si>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</si>
  <si>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</si>
  <si>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</si>
  <si>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</si>
  <si>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</si>
  <si>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</si>
  <si>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</si>
  <si>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</si>
  <si>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</si>
  <si>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</si>
  <si>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</si>
  <si>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</si>
  <si>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</si>
  <si>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</si>
  <si>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</si>
  <si>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</si>
  <si>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</si>
  <si>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</si>
  <si>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</si>
  <si>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</si>
  <si>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</si>
  <si>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</si>
  <si>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</si>
  <si>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</si>
  <si>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</si>
  <si>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</si>
  <si>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</si>
  <si>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</si>
  <si>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</si>
  <si>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</si>
  <si>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</si>
  <si>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</si>
  <si>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</si>
  <si>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</si>
  <si>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</si>
  <si>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</si>
  <si>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</si>
  <si>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</si>
  <si>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</si>
  <si>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</si>
  <si>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</si>
  <si>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</si>
  <si>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</si>
  <si>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</si>
  <si>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</si>
  <si>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</si>
  <si>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</si>
  <si>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</si>
  <si>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</si>
  <si>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</si>
  <si>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</si>
  <si>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</si>
  <si>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</si>
  <si>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</si>
  <si>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</si>
  <si>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</si>
  <si>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</si>
  <si>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</si>
  <si>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</si>
  <si>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</si>
  <si>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</si>
  <si>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</si>
  <si>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</si>
  <si>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</si>
  <si>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</si>
  <si>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</si>
  <si>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</si>
  <si>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</si>
  <si>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</si>
  <si>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</si>
  <si>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</si>
  <si>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</si>
  <si>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</si>
  <si>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</si>
  <si>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</si>
  <si>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</si>
  <si>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</si>
  <si>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</si>
  <si>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</si>
  <si>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</si>
  <si>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</si>
  <si>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</si>
  <si>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</si>
  <si>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</si>
  <si>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</si>
  <si>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</si>
  <si>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</si>
  <si>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</si>
  <si>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</si>
  <si>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</si>
  <si>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</si>
  <si>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</si>
  <si>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</si>
  <si>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</si>
  <si>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</si>
  <si>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</si>
  <si>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TUBERIA PVC E.L. D=1/2" RDE 9</t>
  </si>
  <si>
    <t>CINTA TEFLON - CINTA SELLANTE 1/2" x 0.20 DENSIDAD</t>
  </si>
  <si>
    <t>LB</t>
  </si>
  <si>
    <t>CAJILLA PLASTICA Y TAPA EN POLIPROPILENO PARA MEDIDOR.</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</si>
  <si>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</si>
  <si>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</si>
  <si>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</si>
  <si>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</si>
  <si>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</si>
  <si>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</si>
  <si>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</si>
  <si>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</si>
  <si>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</si>
  <si>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</si>
  <si>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</si>
  <si>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</si>
  <si>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</si>
  <si>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</si>
  <si>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</si>
  <si>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</si>
  <si>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</si>
  <si>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</si>
  <si>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</si>
  <si>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CARROTANQUE IRRIGADOR DE ASFALTO - VOLUMEN DEL TANQUE DE 4500 A 6000 LITROS</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</si>
  <si>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</si>
  <si>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</si>
  <si>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</si>
  <si>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</si>
  <si>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</si>
  <si>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</si>
  <si>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</si>
  <si>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</si>
  <si>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</si>
  <si>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</si>
  <si>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</si>
  <si>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</si>
  <si>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</si>
  <si>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</si>
  <si>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</si>
  <si>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</si>
  <si>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</si>
  <si>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</si>
  <si>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PARAL METÁLICO LARGO - LONGITUD DE 2.00 A 3.50 M</t>
  </si>
  <si>
    <t>TUBERÍA ESTRUCTURAL METÁLICO CUADRADO DE 6mt (50mm x 50mm) ESPESOR 2mm</t>
  </si>
  <si>
    <t>REGISTRO DE INCORPORACIÓN HG 1/2" CON ACOPLE</t>
  </si>
  <si>
    <t>REGISTRO DE BOLA TIPO PESADO 1/2"</t>
  </si>
  <si>
    <t>ADAPTADOR MACHO PVC E.L. D=1/2"</t>
  </si>
  <si>
    <t>TRANSPORTE DE MAQUINARIA DE 6 A 9 TONELADAS. INCLUYE ESCOLTA. VIAJE IDA Y VUELTA</t>
  </si>
  <si>
    <t>SISTEMA DE ANCLAJE PARA POSTES METÁLICOS 3/4" x 1500 (4 PERNOS)</t>
  </si>
  <si>
    <t>EQUIPO DE OXICORTE - PRESIÓN DE OXÍGENO 125 PSI - PRESIÓN GAS COMBUSTIBLE 15 PSI</t>
  </si>
  <si>
    <t>YEE PVC SANITARIA D= 4"</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</si>
  <si>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</si>
  <si>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</si>
  <si>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</si>
  <si>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</si>
  <si>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</si>
  <si>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</si>
  <si>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</si>
  <si>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</si>
  <si>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</si>
  <si>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</si>
  <si>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</si>
  <si>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</si>
  <si>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</si>
  <si>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</si>
  <si>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</si>
  <si>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</si>
  <si>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</si>
  <si>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</si>
  <si>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</si>
  <si>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</si>
  <si>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</si>
  <si>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</si>
  <si>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</si>
  <si>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</si>
  <si>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</si>
  <si>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</si>
  <si>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</si>
  <si>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</si>
  <si>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</si>
  <si>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</si>
  <si>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</si>
  <si>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</si>
  <si>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</si>
  <si>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</si>
  <si>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</si>
  <si>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</si>
  <si>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</si>
  <si>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</si>
  <si>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</si>
  <si>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</si>
  <si>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</si>
  <si>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</si>
  <si>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</si>
  <si>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</si>
  <si>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</si>
  <si>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</si>
  <si>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</si>
  <si>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</si>
  <si>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</si>
  <si>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</si>
  <si>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</si>
  <si>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</si>
  <si>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</si>
  <si>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</si>
  <si>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</si>
  <si>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</si>
  <si>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</si>
  <si>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</si>
  <si>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</si>
  <si>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</si>
  <si>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</si>
  <si>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</si>
  <si>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</si>
  <si>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</si>
  <si>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</si>
  <si>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</si>
  <si>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</si>
  <si>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</si>
  <si>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</si>
  <si>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</si>
  <si>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</si>
  <si>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</si>
  <si>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</si>
  <si>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</si>
  <si>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</si>
  <si>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</si>
  <si>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</si>
  <si>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</si>
  <si>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</si>
  <si>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</si>
  <si>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</si>
  <si>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</si>
  <si>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</si>
  <si>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</si>
  <si>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</si>
  <si>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</si>
  <si>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</si>
  <si>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</si>
  <si>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</si>
  <si>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</si>
  <si>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</si>
  <si>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</si>
  <si>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</si>
  <si>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</si>
  <si>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</si>
  <si>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</si>
  <si>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</si>
  <si>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</si>
  <si>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</si>
  <si>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</si>
  <si>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</si>
  <si>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</si>
  <si>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</si>
  <si>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</si>
  <si>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</si>
  <si>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</si>
  <si>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</si>
  <si>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</si>
  <si>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</si>
  <si>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</si>
  <si>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</si>
  <si>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</si>
  <si>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</si>
  <si>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</si>
  <si>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</si>
  <si>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</si>
  <si>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</si>
  <si>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</si>
  <si>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</si>
  <si>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</si>
  <si>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</si>
  <si>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</si>
  <si>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</si>
  <si>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</si>
  <si>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</si>
  <si>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</si>
  <si>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</si>
  <si>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</si>
  <si>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</si>
  <si>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</si>
  <si>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</si>
  <si>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</si>
  <si>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</si>
  <si>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</si>
  <si>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</si>
  <si>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</si>
  <si>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</si>
  <si>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</si>
  <si>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</si>
  <si>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</si>
  <si>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</si>
  <si>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</si>
  <si>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</si>
  <si>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</si>
  <si>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</si>
  <si>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</si>
  <si>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</si>
  <si>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</si>
  <si>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</si>
  <si>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</si>
  <si>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</si>
  <si>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</si>
  <si>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</si>
  <si>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</si>
  <si>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</si>
  <si>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</si>
  <si>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</si>
  <si>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</si>
  <si>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</si>
  <si>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</si>
  <si>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</si>
  <si>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</si>
  <si>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</si>
  <si>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</si>
  <si>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</si>
  <si>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</si>
  <si>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</si>
  <si>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</si>
  <si>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</si>
  <si>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</si>
  <si>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</si>
  <si>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</si>
  <si>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</si>
  <si>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</si>
  <si>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</si>
  <si>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</si>
  <si>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</si>
  <si>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</si>
  <si>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</si>
  <si>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</si>
  <si>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</si>
  <si>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</si>
  <si>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</si>
  <si>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</si>
  <si>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</si>
  <si>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</si>
  <si>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</si>
  <si>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</si>
  <si>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</si>
  <si>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</si>
  <si>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</si>
  <si>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</si>
  <si>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</si>
  <si>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</si>
  <si>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</si>
  <si>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</si>
  <si>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</si>
  <si>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</si>
  <si>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</si>
  <si>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</si>
  <si>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</si>
  <si>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</si>
  <si>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</si>
  <si>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</si>
  <si>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</si>
  <si>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</si>
  <si>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</si>
  <si>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</si>
  <si>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</si>
  <si>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</si>
  <si>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</si>
  <si>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</si>
  <si>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</si>
  <si>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</si>
  <si>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</si>
  <si>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</si>
  <si>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</si>
  <si>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</si>
  <si>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</si>
  <si>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</si>
  <si>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</si>
  <si>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</si>
  <si>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</si>
  <si>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</si>
  <si>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</si>
  <si>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</si>
  <si>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</si>
  <si>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</si>
  <si>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</si>
  <si>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</si>
  <si>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</si>
  <si>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</si>
  <si>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</si>
  <si>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</si>
  <si>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</si>
  <si>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</si>
  <si>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</si>
  <si>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</si>
  <si>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</si>
  <si>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</si>
  <si>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</si>
  <si>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</si>
  <si>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</si>
  <si>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</si>
  <si>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</si>
  <si>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</si>
  <si>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</si>
  <si>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</si>
  <si>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</si>
  <si>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</si>
  <si>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</si>
  <si>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</si>
  <si>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</si>
  <si>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</si>
  <si>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</si>
  <si>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</si>
  <si>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</si>
  <si>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</si>
  <si>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</si>
  <si>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</si>
  <si>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</si>
  <si>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</si>
  <si>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</si>
  <si>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</si>
  <si>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</si>
  <si>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</si>
  <si>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</si>
  <si>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</si>
  <si>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</si>
  <si>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</si>
  <si>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</si>
  <si>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</si>
  <si>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</si>
  <si>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</si>
  <si>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</si>
  <si>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</si>
  <si>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</si>
  <si>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</si>
  <si>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</si>
  <si>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</si>
  <si>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</si>
  <si>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</si>
  <si>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</si>
  <si>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</si>
  <si>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</si>
  <si>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</si>
  <si>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</si>
  <si>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</si>
  <si>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</si>
  <si>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</si>
  <si>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</si>
  <si>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</si>
  <si>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</si>
  <si>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</si>
  <si>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</si>
  <si>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</si>
  <si>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</si>
  <si>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</si>
  <si>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</si>
  <si>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</si>
  <si>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</si>
  <si>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</si>
  <si>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</si>
  <si>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</si>
  <si>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</si>
  <si>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</si>
  <si>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</si>
  <si>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</si>
  <si>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</si>
  <si>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</si>
  <si>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</si>
  <si>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</si>
  <si>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</si>
  <si>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</si>
  <si>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</si>
  <si>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</si>
  <si>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</si>
  <si>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</si>
  <si>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</si>
  <si>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</si>
  <si>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</si>
  <si>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</si>
  <si>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</si>
  <si>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</si>
  <si>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</si>
  <si>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</si>
  <si>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</si>
  <si>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</si>
  <si>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</si>
  <si>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</si>
  <si>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</si>
  <si>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</si>
  <si>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</si>
  <si>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</si>
  <si>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</si>
  <si>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</si>
  <si>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</si>
  <si>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</si>
  <si>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</si>
  <si>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</si>
  <si>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</si>
  <si>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</si>
  <si>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</si>
  <si>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</si>
  <si>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</si>
  <si>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</si>
  <si>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</si>
  <si>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</si>
  <si>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</si>
  <si>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</si>
  <si>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</si>
  <si>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</si>
  <si>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</si>
  <si>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</si>
  <si>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</si>
  <si>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</si>
  <si>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</si>
  <si>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</si>
  <si>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</si>
  <si>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</si>
  <si>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</si>
  <si>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</si>
  <si>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</si>
  <si>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</si>
  <si>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</si>
  <si>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</si>
  <si>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</si>
  <si>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</si>
  <si>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</si>
  <si>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</si>
  <si>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</si>
  <si>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</si>
  <si>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</si>
  <si>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</si>
  <si>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</si>
  <si>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</si>
  <si>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</si>
  <si>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</si>
  <si>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</si>
  <si>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</si>
  <si>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</si>
  <si>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</si>
  <si>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</si>
  <si>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</si>
  <si>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</si>
  <si>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</si>
  <si>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</si>
  <si>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</si>
  <si>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</si>
  <si>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</si>
  <si>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</si>
  <si>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</si>
  <si>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</si>
  <si>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</si>
  <si>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</si>
  <si>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</si>
  <si>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</si>
  <si>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</si>
  <si>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</si>
  <si>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</si>
  <si>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</si>
  <si>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</si>
  <si>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</si>
  <si>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</si>
  <si>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</si>
  <si>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</si>
  <si>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</si>
  <si>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</si>
  <si>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</si>
  <si>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</si>
  <si>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</si>
  <si>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</si>
  <si>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</si>
  <si>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</si>
  <si>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</si>
  <si>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</si>
  <si>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</si>
  <si>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</si>
  <si>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</si>
  <si>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</si>
  <si>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</si>
  <si>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</si>
  <si>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</si>
  <si>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</si>
  <si>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</si>
  <si>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</si>
  <si>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</si>
  <si>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</si>
  <si>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</si>
  <si>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</si>
  <si>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</si>
  <si>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</si>
  <si>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</si>
  <si>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</si>
  <si>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</si>
  <si>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</si>
  <si>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</si>
  <si>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</si>
  <si>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</si>
  <si>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</si>
  <si>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</si>
  <si>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</si>
  <si>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</si>
  <si>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</si>
  <si>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</si>
  <si>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</si>
  <si>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</si>
  <si>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</si>
  <si>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</si>
  <si>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</si>
  <si>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</si>
  <si>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</si>
  <si>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</si>
  <si>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</si>
  <si>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</si>
  <si>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</si>
  <si>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</si>
  <si>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</si>
  <si>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</si>
  <si>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</si>
  <si>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</si>
  <si>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</si>
  <si>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</si>
  <si>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</si>
  <si>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</si>
  <si>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</si>
  <si>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</si>
  <si>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</si>
  <si>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</si>
  <si>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</si>
  <si>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</si>
  <si>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</si>
  <si>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</si>
  <si>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</si>
  <si>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</si>
  <si>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</si>
  <si>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</si>
  <si>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</si>
  <si>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</si>
  <si>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</si>
  <si>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</si>
  <si>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</si>
  <si>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</si>
  <si>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</si>
  <si>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</si>
  <si>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</si>
  <si>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</si>
  <si>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</si>
  <si>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</si>
  <si>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</si>
  <si>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</si>
  <si>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</si>
  <si>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</si>
  <si>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</si>
  <si>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</si>
  <si>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</si>
  <si>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</si>
  <si>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</si>
  <si>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</si>
  <si>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</si>
  <si>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</si>
  <si>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</si>
  <si>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</si>
  <si>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</si>
  <si>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</si>
  <si>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</si>
  <si>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</si>
  <si>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</si>
  <si>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</si>
  <si>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</si>
  <si>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</si>
  <si>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</si>
  <si>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</si>
  <si>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</si>
  <si>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</si>
  <si>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</si>
  <si>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</si>
  <si>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</si>
  <si>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</si>
  <si>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</si>
  <si>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</si>
  <si>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</si>
  <si>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</si>
  <si>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</si>
  <si>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</si>
  <si>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</si>
  <si>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</si>
  <si>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</si>
  <si>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</si>
  <si>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</si>
  <si>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</si>
  <si>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</si>
  <si>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</si>
  <si>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</si>
  <si>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</si>
  <si>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</si>
  <si>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</si>
  <si>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</si>
  <si>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</si>
  <si>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</si>
  <si>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</si>
  <si>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</si>
  <si>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</si>
  <si>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</si>
  <si>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</si>
  <si>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</si>
  <si>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</si>
  <si>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</si>
  <si>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</si>
  <si>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</si>
  <si>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</si>
  <si>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</si>
  <si>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</si>
  <si>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</si>
  <si>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</si>
  <si>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</si>
  <si>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</si>
  <si>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</si>
  <si>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</si>
  <si>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</si>
  <si>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</si>
  <si>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</si>
  <si>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</si>
  <si>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</si>
  <si>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</si>
  <si>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</si>
  <si>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</si>
  <si>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</si>
  <si>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</si>
  <si>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</si>
  <si>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</si>
  <si>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</si>
  <si>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</si>
  <si>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</si>
  <si>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</si>
  <si>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</si>
  <si>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</si>
  <si>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</si>
  <si>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</si>
  <si>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</si>
  <si>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</si>
  <si>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</si>
  <si>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</si>
  <si>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</si>
  <si>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</si>
  <si>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</si>
  <si>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</si>
  <si>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</si>
  <si>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</si>
  <si>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</si>
  <si>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</si>
  <si>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</si>
  <si>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</si>
  <si>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</si>
  <si>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</si>
  <si>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</si>
  <si>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</si>
  <si>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</si>
  <si>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</si>
  <si>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</si>
  <si>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</si>
  <si>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</si>
  <si>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</si>
  <si>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</si>
  <si>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</si>
  <si>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</si>
  <si>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</si>
  <si>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</si>
  <si>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</si>
  <si>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</si>
  <si>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</si>
  <si>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</si>
  <si>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</si>
  <si>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</si>
  <si>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</si>
  <si>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</si>
  <si>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</si>
  <si>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</si>
  <si>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</si>
  <si>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</si>
  <si>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</si>
  <si>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</si>
  <si>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</si>
  <si>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</si>
  <si>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</si>
  <si>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</si>
  <si>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</si>
  <si>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</si>
  <si>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</si>
  <si>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</si>
  <si>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</si>
  <si>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</si>
  <si>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</si>
  <si>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</si>
  <si>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</si>
  <si>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</si>
  <si>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</si>
  <si>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</si>
  <si>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</si>
  <si>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</si>
  <si>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</si>
  <si>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</si>
  <si>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</si>
  <si>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</si>
  <si>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</si>
  <si>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</si>
  <si>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</si>
  <si>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</si>
  <si>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</si>
  <si>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</si>
  <si>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</si>
  <si>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</si>
  <si>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</si>
  <si>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</si>
  <si>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</si>
  <si>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</si>
  <si>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</si>
  <si>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</si>
  <si>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</si>
  <si>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</si>
  <si>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</si>
  <si>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</si>
  <si>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</si>
  <si>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</si>
  <si>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</si>
  <si>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</si>
  <si>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</si>
  <si>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</si>
  <si>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</si>
  <si>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</si>
  <si>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</si>
  <si>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</si>
  <si>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</si>
  <si>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</si>
  <si>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</si>
  <si>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</si>
  <si>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</si>
  <si>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</si>
  <si>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</si>
  <si>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</si>
  <si>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</si>
  <si>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</si>
  <si>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</si>
  <si>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</si>
  <si>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</si>
  <si>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</si>
  <si>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</si>
  <si>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</si>
  <si>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</si>
  <si>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</si>
  <si>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</si>
  <si>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</si>
  <si>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</si>
  <si>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</si>
  <si>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</si>
  <si>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</si>
  <si>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</si>
  <si>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</si>
  <si>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</si>
  <si>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</si>
  <si>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</si>
  <si>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</si>
  <si>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</si>
  <si>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</si>
  <si>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</si>
  <si>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</si>
  <si>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</si>
  <si>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</si>
  <si>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</si>
  <si>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</si>
  <si>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</si>
  <si>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</si>
  <si>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</si>
  <si>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</si>
  <si>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</si>
  <si>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</si>
  <si>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</si>
  <si>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</si>
  <si>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</si>
  <si>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</si>
  <si>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</si>
  <si>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</si>
  <si>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</si>
  <si>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</si>
  <si>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</si>
  <si>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</si>
  <si>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</si>
  <si>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</si>
  <si>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</si>
  <si>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</si>
  <si>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</si>
  <si>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</si>
  <si>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</si>
  <si>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</si>
  <si>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</si>
  <si>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</si>
  <si>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</si>
  <si>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</si>
  <si>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</si>
  <si>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</si>
  <si>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</si>
  <si>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</si>
  <si>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</si>
  <si>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</si>
  <si>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</si>
  <si>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</si>
  <si>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</si>
  <si>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</si>
  <si>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</si>
  <si>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</si>
  <si>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</si>
  <si>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</si>
  <si>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</si>
  <si>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</si>
  <si>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</si>
  <si>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</si>
  <si>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</si>
  <si>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</si>
  <si>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</si>
  <si>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</si>
  <si>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</si>
  <si>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</si>
  <si>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</si>
  <si>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</si>
  <si>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</si>
  <si>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</si>
  <si>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</si>
  <si>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</si>
  <si>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</si>
  <si>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</si>
  <si>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</si>
  <si>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</si>
  <si>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</si>
  <si>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</si>
  <si>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</si>
  <si>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</si>
  <si>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</si>
  <si>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</si>
  <si>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</si>
  <si>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</si>
  <si>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</si>
  <si>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ADAPTADOR MACHO ROSCADO PVC D=1"</t>
  </si>
  <si>
    <t>UNION DRESSER HD D=16"</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</si>
  <si>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</si>
  <si>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</si>
  <si>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</si>
  <si>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</si>
  <si>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</si>
  <si>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</si>
  <si>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MASILLA PARA LÁMINAS DE YESO Y CARTÓN, PARA DRY WALL</t>
  </si>
  <si>
    <t>CINTA FIBRA DE VIDRIO PARA DRY WALL 5cm DE ANCHO</t>
  </si>
  <si>
    <t>BARRAJE PREFORMADO BT DE 6 SALIDAS, AP 280 CON FUSIBLE DE 175 AMP</t>
  </si>
  <si>
    <t>TUBERIA PVC E.L. D=3/4" RDE 21</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</si>
  <si>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</si>
  <si>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</si>
  <si>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</si>
  <si>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</si>
  <si>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</si>
  <si>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</si>
  <si>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</si>
  <si>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</si>
  <si>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</si>
  <si>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</si>
  <si>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</si>
  <si>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</si>
  <si>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</si>
  <si>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</si>
  <si>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</si>
  <si>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</si>
  <si>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CODO 90° PVC ALCANTARILLADO D=10". NORMA NTC 3722-3</t>
  </si>
  <si>
    <t>CODO 90° PVC ALCANTARILLADO D=12". NORMA NTC 3722-3</t>
  </si>
  <si>
    <t>CODO 90° PVC ALCANTARILLADO D=16". NORMA NTC 3722-3</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</si>
  <si>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</si>
  <si>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</si>
  <si>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</si>
  <si>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</si>
  <si>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</si>
  <si>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</si>
  <si>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</si>
  <si>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</si>
  <si>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</si>
  <si>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</si>
  <si>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</si>
  <si>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</si>
  <si>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</si>
  <si>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</si>
  <si>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</si>
  <si>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</si>
  <si>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</si>
  <si>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</si>
  <si>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</si>
  <si>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</si>
  <si>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</si>
  <si>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</si>
  <si>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</si>
  <si>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</si>
  <si>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</si>
  <si>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</si>
  <si>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</si>
  <si>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</si>
  <si>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</si>
  <si>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</si>
  <si>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</si>
  <si>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</si>
  <si>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</si>
  <si>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</si>
  <si>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</si>
  <si>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</si>
  <si>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</si>
  <si>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</si>
  <si>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</si>
  <si>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</si>
  <si>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</si>
  <si>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</si>
  <si>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</si>
  <si>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</si>
  <si>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</si>
  <si>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</si>
  <si>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</si>
  <si>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</si>
  <si>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</si>
  <si>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D=4" x 3"</t>
  </si>
  <si>
    <t>SIFON PVC 135° D=3"</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</si>
  <si>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</si>
  <si>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</si>
  <si>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</si>
  <si>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</si>
  <si>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</si>
  <si>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</si>
  <si>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</si>
  <si>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</si>
  <si>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</si>
  <si>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</si>
  <si>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</si>
  <si>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</si>
  <si>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</si>
  <si>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</si>
  <si>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</si>
  <si>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</si>
  <si>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</si>
  <si>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</si>
  <si>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</si>
  <si>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</si>
  <si>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</si>
  <si>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</si>
  <si>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</si>
  <si>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</si>
  <si>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</si>
  <si>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</si>
  <si>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</si>
  <si>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TEE REDUCIDA PVC U.M. D= 8" x 4"</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</si>
  <si>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</si>
  <si>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</si>
  <si>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</si>
  <si>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</si>
  <si>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</si>
  <si>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</si>
  <si>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</si>
  <si>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</si>
  <si>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</si>
  <si>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</si>
  <si>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</si>
  <si>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</si>
  <si>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</si>
  <si>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</si>
  <si>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</si>
  <si>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</si>
  <si>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</si>
  <si>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</si>
  <si>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</si>
  <si>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</si>
  <si>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</si>
  <si>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</si>
  <si>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</si>
  <si>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</si>
  <si>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</si>
  <si>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</si>
  <si>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</si>
  <si>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</si>
  <si>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</si>
  <si>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</si>
  <si>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</si>
  <si>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</si>
  <si>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</si>
  <si>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</si>
  <si>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</si>
  <si>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</si>
  <si>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</si>
  <si>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</si>
  <si>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</si>
  <si>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</si>
  <si>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</si>
  <si>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</si>
  <si>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</si>
  <si>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</si>
  <si>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</si>
  <si>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</si>
  <si>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</si>
  <si>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</si>
  <si>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</si>
  <si>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</si>
  <si>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</si>
  <si>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ADAPTADOR TERMINAL CAMPANA PVC D= 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</si>
  <si>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</si>
  <si>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</si>
  <si>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</si>
  <si>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</si>
  <si>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</si>
  <si>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</si>
  <si>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</si>
  <si>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</si>
  <si>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</si>
  <si>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</si>
  <si>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</si>
  <si>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</si>
  <si>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</si>
  <si>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</si>
  <si>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</si>
  <si>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</si>
  <si>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</si>
  <si>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</si>
  <si>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</si>
  <si>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</si>
  <si>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</si>
  <si>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</si>
  <si>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</si>
  <si>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</si>
  <si>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</si>
  <si>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</si>
  <si>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</si>
  <si>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</si>
  <si>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</si>
  <si>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</si>
  <si>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</si>
  <si>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</si>
  <si>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</si>
  <si>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</si>
  <si>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</si>
  <si>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</si>
  <si>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</si>
  <si>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</si>
  <si>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</si>
  <si>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</si>
  <si>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</si>
  <si>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</si>
  <si>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</si>
  <si>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</si>
  <si>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</si>
  <si>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</si>
  <si>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</si>
  <si>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</si>
  <si>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</si>
  <si>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</si>
  <si>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</si>
  <si>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</si>
  <si>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</si>
  <si>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</si>
  <si>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</si>
  <si>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</si>
  <si>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</si>
  <si>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</si>
  <si>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</si>
  <si>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</si>
  <si>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</si>
  <si>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</si>
  <si>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</si>
  <si>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</si>
  <si>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</si>
  <si>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</si>
  <si>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</si>
  <si>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</si>
  <si>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</si>
  <si>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</si>
  <si>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</si>
  <si>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</si>
  <si>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</si>
  <si>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</si>
  <si>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</si>
  <si>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</si>
  <si>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</si>
  <si>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</si>
  <si>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</si>
  <si>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</si>
  <si>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</si>
  <si>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</si>
  <si>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</si>
  <si>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</si>
  <si>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</si>
  <si>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</si>
  <si>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</si>
  <si>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</si>
  <si>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</si>
  <si>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</si>
  <si>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</si>
  <si>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</si>
  <si>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</si>
  <si>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</si>
  <si>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</si>
  <si>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</si>
  <si>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</si>
  <si>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</si>
  <si>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</si>
  <si>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</si>
  <si>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</si>
  <si>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</si>
  <si>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</si>
  <si>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</si>
  <si>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</si>
  <si>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</si>
  <si>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</si>
  <si>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</si>
  <si>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</si>
  <si>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</si>
  <si>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</si>
  <si>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</si>
  <si>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</si>
  <si>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</si>
  <si>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</si>
  <si>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</si>
  <si>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</si>
  <si>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</si>
  <si>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</si>
  <si>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</si>
  <si>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</si>
  <si>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</si>
  <si>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</si>
  <si>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</si>
  <si>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</si>
  <si>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</si>
  <si>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</si>
  <si>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</si>
  <si>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</si>
  <si>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</si>
  <si>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</si>
  <si>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</si>
  <si>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</si>
  <si>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</si>
  <si>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</si>
  <si>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</si>
  <si>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</si>
  <si>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</si>
  <si>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</si>
  <si>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</si>
  <si>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</si>
  <si>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</si>
  <si>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</si>
  <si>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</si>
  <si>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</si>
  <si>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</si>
  <si>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CODO 45° CxE PVC SANITARIA D=3"</t>
  </si>
  <si>
    <t>SOPORTE PARA TUBERÍA DIÁMETRO 3" TIPO "OMEGA"</t>
  </si>
  <si>
    <t>TRANSFORMADOR TIPO PEDESTAL PARA AP DE 75 KVA 11.4/0.380-0.220KV EN ACEITE VEGETAL.</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</si>
  <si>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</si>
  <si>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</si>
  <si>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</si>
  <si>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</si>
  <si>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</si>
  <si>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</si>
  <si>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</si>
  <si>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</si>
  <si>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</si>
  <si>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</si>
  <si>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</si>
  <si>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</si>
  <si>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</si>
  <si>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</si>
  <si>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</si>
  <si>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</si>
  <si>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</si>
  <si>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</si>
  <si>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</si>
  <si>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</si>
  <si>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</si>
  <si>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</si>
  <si>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</si>
  <si>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</si>
  <si>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</si>
  <si>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</si>
  <si>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</si>
  <si>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</si>
  <si>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</si>
  <si>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</si>
  <si>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</si>
  <si>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</si>
  <si>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</si>
  <si>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</si>
  <si>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</si>
  <si>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</si>
  <si>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</si>
  <si>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</si>
  <si>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</si>
  <si>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</si>
  <si>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</si>
  <si>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</si>
  <si>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</si>
  <si>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</si>
  <si>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</si>
  <si>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</si>
  <si>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</si>
  <si>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</si>
  <si>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</si>
  <si>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</si>
  <si>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</si>
  <si>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</si>
  <si>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</si>
  <si>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</si>
  <si>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</si>
  <si>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</si>
  <si>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</si>
  <si>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</si>
  <si>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</si>
  <si>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</si>
  <si>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</si>
  <si>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</si>
  <si>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</si>
  <si>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</si>
  <si>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</si>
  <si>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</si>
  <si>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</si>
  <si>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</si>
  <si>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</si>
  <si>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</si>
  <si>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</si>
  <si>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</si>
  <si>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</si>
  <si>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</si>
  <si>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</si>
  <si>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</si>
  <si>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</si>
  <si>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</si>
  <si>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</si>
  <si>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</si>
  <si>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</si>
  <si>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</si>
  <si>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</si>
  <si>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</si>
  <si>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</si>
  <si>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</si>
  <si>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</si>
  <si>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</si>
  <si>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</si>
  <si>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</si>
  <si>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</si>
  <si>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</si>
  <si>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</si>
  <si>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</si>
  <si>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</si>
  <si>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</si>
  <si>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</si>
  <si>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</si>
  <si>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</si>
  <si>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</si>
  <si>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</si>
  <si>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</si>
  <si>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</si>
  <si>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</si>
  <si>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</si>
  <si>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</si>
  <si>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</si>
  <si>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</si>
  <si>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</si>
  <si>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</si>
  <si>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</si>
  <si>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</si>
  <si>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</si>
  <si>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</si>
  <si>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</si>
  <si>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</si>
  <si>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</si>
  <si>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</si>
  <si>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</si>
  <si>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</si>
  <si>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</si>
  <si>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</si>
  <si>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</si>
  <si>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</si>
  <si>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</si>
  <si>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</si>
  <si>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</si>
  <si>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</si>
  <si>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</si>
  <si>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</si>
  <si>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</si>
  <si>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</si>
  <si>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</si>
  <si>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</si>
  <si>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</si>
  <si>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</si>
  <si>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</si>
  <si>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</si>
  <si>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</si>
  <si>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</si>
  <si>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</si>
  <si>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</si>
  <si>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</si>
  <si>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</si>
  <si>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</si>
  <si>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</si>
  <si>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</si>
  <si>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</si>
  <si>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</si>
  <si>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</si>
  <si>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</si>
  <si>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</si>
  <si>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</si>
  <si>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</si>
  <si>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</si>
  <si>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</si>
  <si>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</si>
  <si>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</si>
  <si>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</si>
  <si>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</si>
  <si>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</si>
  <si>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</si>
  <si>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</si>
  <si>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</si>
  <si>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</si>
  <si>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</si>
  <si>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</si>
  <si>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</si>
  <si>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</si>
  <si>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</si>
  <si>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</si>
  <si>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</si>
  <si>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</si>
  <si>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</si>
  <si>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</si>
  <si>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</si>
  <si>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</si>
  <si>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</si>
  <si>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</si>
  <si>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</si>
  <si>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</si>
  <si>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</si>
  <si>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</si>
  <si>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</si>
  <si>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</si>
  <si>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</si>
  <si>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</si>
  <si>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</si>
  <si>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</si>
  <si>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</si>
  <si>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</si>
  <si>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</si>
  <si>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</si>
  <si>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</si>
  <si>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</si>
  <si>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</si>
  <si>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</si>
  <si>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</si>
  <si>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</si>
  <si>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</si>
  <si>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</si>
  <si>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</si>
  <si>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</si>
  <si>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</si>
  <si>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</si>
  <si>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</si>
  <si>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</si>
  <si>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</si>
  <si>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</si>
  <si>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</si>
  <si>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</si>
  <si>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</si>
  <si>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</si>
  <si>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</si>
  <si>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</si>
  <si>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</si>
  <si>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</si>
  <si>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</si>
  <si>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</si>
  <si>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</si>
  <si>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</si>
  <si>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</si>
  <si>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</si>
  <si>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</si>
  <si>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</si>
  <si>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</si>
  <si>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</si>
  <si>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</si>
  <si>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</si>
  <si>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</si>
  <si>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</si>
  <si>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</si>
  <si>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</si>
  <si>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</si>
  <si>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</si>
  <si>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</si>
  <si>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</si>
  <si>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</si>
  <si>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</si>
  <si>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</si>
  <si>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</si>
  <si>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</si>
  <si>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</si>
  <si>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</si>
  <si>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</si>
  <si>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</si>
  <si>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</si>
  <si>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</si>
  <si>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</si>
  <si>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</si>
  <si>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</si>
  <si>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</si>
  <si>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</si>
  <si>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</si>
  <si>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</si>
  <si>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</si>
  <si>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</si>
  <si>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</si>
  <si>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</si>
  <si>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</si>
  <si>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</si>
  <si>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</si>
  <si>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</si>
  <si>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</si>
  <si>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</si>
  <si>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</si>
  <si>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</si>
  <si>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</si>
  <si>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</si>
  <si>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</si>
  <si>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</si>
  <si>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</si>
  <si>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</si>
  <si>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</si>
  <si>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</si>
  <si>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</si>
  <si>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</si>
  <si>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</si>
  <si>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</si>
  <si>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</si>
  <si>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</si>
  <si>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</si>
  <si>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</si>
  <si>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</si>
  <si>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</si>
  <si>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</si>
  <si>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</si>
  <si>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</si>
  <si>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</si>
  <si>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</si>
  <si>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</si>
  <si>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</si>
  <si>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</si>
  <si>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</si>
  <si>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</si>
  <si>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</si>
  <si>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</si>
  <si>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</si>
  <si>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</si>
  <si>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</si>
  <si>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</si>
  <si>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</si>
  <si>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</si>
  <si>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</si>
  <si>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</si>
  <si>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</si>
  <si>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</si>
  <si>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</si>
  <si>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</si>
  <si>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</si>
  <si>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</si>
  <si>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</si>
  <si>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</si>
  <si>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</si>
  <si>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</si>
  <si>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</si>
  <si>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</si>
  <si>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</si>
  <si>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</si>
  <si>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</si>
  <si>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</si>
  <si>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</si>
  <si>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</si>
  <si>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</si>
  <si>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</si>
  <si>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</si>
  <si>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</si>
  <si>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</si>
  <si>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</si>
  <si>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</si>
  <si>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</si>
  <si>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</si>
  <si>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</si>
  <si>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</si>
  <si>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</si>
  <si>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</si>
  <si>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</si>
  <si>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</si>
  <si>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</si>
  <si>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</si>
  <si>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</si>
  <si>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</si>
  <si>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</si>
  <si>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</si>
  <si>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</si>
  <si>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</si>
  <si>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</si>
  <si>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</si>
  <si>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</si>
  <si>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</si>
  <si>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</si>
  <si>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</si>
  <si>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</si>
  <si>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</si>
  <si>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</si>
  <si>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</si>
  <si>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</si>
  <si>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</si>
  <si>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</si>
  <si>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</si>
  <si>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</si>
  <si>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</si>
  <si>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</si>
  <si>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</si>
  <si>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</si>
  <si>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</si>
  <si>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</si>
  <si>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</si>
  <si>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</si>
  <si>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</si>
  <si>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</si>
  <si>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</si>
  <si>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</si>
  <si>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</si>
  <si>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</si>
  <si>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</si>
  <si>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</si>
  <si>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</si>
  <si>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</si>
  <si>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</si>
  <si>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</si>
  <si>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</si>
  <si>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</si>
  <si>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</si>
  <si>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</si>
  <si>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</si>
  <si>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</si>
  <si>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PRIORIZACION MALLA VIAL URBANA</t>
  </si>
  <si>
    <t>Tipo</t>
  </si>
  <si>
    <t>Radicado de Entrada</t>
  </si>
  <si>
    <t>Peticionario</t>
  </si>
  <si>
    <t>Tipo de Intervecion</t>
  </si>
  <si>
    <t>Asunto</t>
  </si>
  <si>
    <t>Direccion</t>
  </si>
  <si>
    <t>CIV</t>
  </si>
  <si>
    <t>Eje Vial</t>
  </si>
  <si>
    <t>Desde</t>
  </si>
  <si>
    <t>Hasta</t>
  </si>
  <si>
    <t>Longitud</t>
  </si>
  <si>
    <t>Ancho</t>
  </si>
  <si>
    <t>SUPERFICIE</t>
  </si>
  <si>
    <t>C ESP (0-4)</t>
  </si>
  <si>
    <t>C RTP (0-1)</t>
  </si>
  <si>
    <t>C AE (0-1)</t>
  </si>
  <si>
    <t>C EYD (0-1)</t>
  </si>
  <si>
    <t>C PRC (0-1)</t>
  </si>
  <si>
    <t>F PRIOR</t>
  </si>
  <si>
    <t>TIPO DE INTERV</t>
  </si>
  <si>
    <t>Malla Vial</t>
  </si>
  <si>
    <t>20244603333942 - 20244603409842 - 20245310076342 - 20245310094762 - 20244602997012 - 20245310097852 - 20244603908902 - SUGERENCIA SDP - COD PROPUESTA NO. 43671</t>
  </si>
  <si>
    <t>Anonimo  - Juan Carlos Parra Morales - JAC Calvo Sur - Carmen Rosales Suarez</t>
  </si>
  <si>
    <t>Contruccion</t>
  </si>
  <si>
    <t>Intervencion Malla Vial</t>
  </si>
  <si>
    <t xml:space="preserve"> Carrera 8 con Calle 3</t>
  </si>
  <si>
    <t>Carrera 8</t>
  </si>
  <si>
    <t>Calle 2</t>
  </si>
  <si>
    <t>Calle 3</t>
  </si>
  <si>
    <t>FLEXIBLE</t>
  </si>
  <si>
    <t>20244603333942 - 20244603730162 - 20245310076342 - 20244602997012 - SUGERENCIA SDP - COD PROPUESTA NO. 43672</t>
  </si>
  <si>
    <t>Anonimo - Juan Carlos Parra Morales - JAC Calvo Sur</t>
  </si>
  <si>
    <t>20244603333942 - 20244603730162 - 20245310076342 - 20244602997012 - SUGERENCIA SDP - COD PROPUESTA NO. 43673</t>
  </si>
  <si>
    <t>Calle 6</t>
  </si>
  <si>
    <t>Juan Pablo Restrepo Mejia</t>
  </si>
  <si>
    <t>Calle 30A</t>
  </si>
  <si>
    <t>Carrera 6</t>
  </si>
  <si>
    <t>Carrera 7</t>
  </si>
  <si>
    <t>Esteban Matallana Jaramillo</t>
  </si>
  <si>
    <t>Mantenimiento</t>
  </si>
  <si>
    <t>intervención de las vías acceso al Instituto Roosevelt con CIV 3002932 y 3002911</t>
  </si>
  <si>
    <t>INGRESO INST HUMBOLT</t>
  </si>
  <si>
    <t>SUGERENCIA SDP - COD PROPUESTA NO. 43669</t>
  </si>
  <si>
    <t>CARRERA 6</t>
  </si>
  <si>
    <t>CALLE 1 C</t>
  </si>
  <si>
    <t>CALLE 1 C BIS</t>
  </si>
  <si>
    <t>20255310011042-20255310009572</t>
  </si>
  <si>
    <t>YOLIMA BOJACA LINARES</t>
  </si>
  <si>
    <t xml:space="preserve">Solicitud mantenimiento vial </t>
  </si>
  <si>
    <t>carrera 6 # 1ª -96 este
carrera 6E # 1A bis</t>
  </si>
  <si>
    <t>Carrera 6 Este</t>
  </si>
  <si>
    <t>Calle 1ABIS</t>
  </si>
  <si>
    <t>96 ESTE</t>
  </si>
  <si>
    <t>AFIRMADO</t>
  </si>
  <si>
    <t>VISITA DE CAMPO 04-03-2025</t>
  </si>
  <si>
    <t>CL 1ABIS</t>
  </si>
  <si>
    <t>KR 7 ESTE</t>
  </si>
  <si>
    <t>KR 7B E</t>
  </si>
  <si>
    <t>RIGIDO</t>
  </si>
  <si>
    <t>KR 8B E</t>
  </si>
  <si>
    <t>TV 9 ESTE</t>
  </si>
  <si>
    <t>Joan Sebastian Olivero Olmos</t>
  </si>
  <si>
    <t>Calle 9 A entre Carrera 5 A Este y Carrera 5 B Este</t>
  </si>
  <si>
    <t>Calle 9A</t>
  </si>
  <si>
    <t>Carrera 5A Este</t>
  </si>
  <si>
    <t xml:space="preserve">Carrera 5B Este </t>
  </si>
  <si>
    <t>KR 9 ESTE</t>
  </si>
  <si>
    <t>Gustavo Adolfo Garcia Camargo - CAI Villa del Prado</t>
  </si>
  <si>
    <t>Carrera 6 B Bis Este con diagonal 4 A, Carrera 3 Este con calle 3</t>
  </si>
  <si>
    <t>Carrera 6B Bis Este</t>
  </si>
  <si>
    <t>Diagonal 3A</t>
  </si>
  <si>
    <t>Diagonal 4A</t>
  </si>
  <si>
    <t>Alejandro Valencia Torres</t>
  </si>
  <si>
    <t xml:space="preserve">Calle 3 No. 1b-09 Este y calle 2 con carrera 1  </t>
  </si>
  <si>
    <t>Calle 3
Carrera 2 Este
Calle 2a</t>
  </si>
  <si>
    <t>Diana Mariza Bermudez Castellanos</t>
  </si>
  <si>
    <t>Intervencion de Espacio Publico</t>
  </si>
  <si>
    <t>Calle 2A Bis No. 2 – 87</t>
  </si>
  <si>
    <t>Calle 2A Bis A</t>
  </si>
  <si>
    <t>Sin Establecer</t>
  </si>
  <si>
    <t>Carrera 3</t>
  </si>
  <si>
    <t>SUGERENCIA SDP - COD PROPUESTA NO. 43700</t>
  </si>
  <si>
    <t>CALLE 3 BIS</t>
  </si>
  <si>
    <t>CARRERA 5</t>
  </si>
  <si>
    <t>SUGERENCIA SDP - COD PROPUESTA NO. 43696</t>
  </si>
  <si>
    <t>CARRERA 3 E</t>
  </si>
  <si>
    <t>CALLE 3 B</t>
  </si>
  <si>
    <t>CARRERA 3 A E</t>
  </si>
  <si>
    <t>SUGERENCIA SDP - COD PROPUESTA NO. 43698</t>
  </si>
  <si>
    <t>CALLE 3 A BIS</t>
  </si>
  <si>
    <t>SUGERENCIA SDP - COD PROPUESTA NO. 43671</t>
  </si>
  <si>
    <t>CALLE 1 D</t>
  </si>
  <si>
    <t>CALLE 1 D BIS</t>
  </si>
  <si>
    <t>SUGERENCIA SDP - COD PROPUESTA NO. 43670</t>
  </si>
  <si>
    <t>Gustavo Adolfo Garcia Camargo - VISITA DE CAMPO 04-03-2025</t>
  </si>
  <si>
    <t>Diagonal 4A con Carrera 7 Este</t>
  </si>
  <si>
    <t>Diagonal 4ª</t>
  </si>
  <si>
    <t>Carrera 7 Bis Este</t>
  </si>
  <si>
    <t>Carrera 8 Este</t>
  </si>
  <si>
    <t>Luis Carlos Torres Bareño - VISITA DE CAMPO 04-03-2025</t>
  </si>
  <si>
    <t>diagonal 4ª con carrera 7 este</t>
  </si>
  <si>
    <t>Carrera 7 Este</t>
  </si>
  <si>
    <t>SUGERENCIA SDP - COD PROPUESTA NO. 43697</t>
  </si>
  <si>
    <t>CALLE 3</t>
  </si>
  <si>
    <t>KR 8 E</t>
  </si>
  <si>
    <t>CL 5</t>
  </si>
  <si>
    <t>DG 5A</t>
  </si>
  <si>
    <t>Luis Damian Rolon Escalante</t>
  </si>
  <si>
    <t>Avenida Calle 38 con Carrera 13A</t>
  </si>
  <si>
    <t>Calle 38</t>
  </si>
  <si>
    <t>Carrera 13A</t>
  </si>
  <si>
    <t>Avenida Carrera 14</t>
  </si>
  <si>
    <t>CL 1 C</t>
  </si>
  <si>
    <t>CL 1D</t>
  </si>
  <si>
    <t>CL 1C</t>
  </si>
  <si>
    <t>KR 7 E</t>
  </si>
  <si>
    <t>CL 1 B BIS</t>
  </si>
  <si>
    <t>TV 9 E</t>
  </si>
  <si>
    <t>CL 1A</t>
  </si>
  <si>
    <t>KR 11 E</t>
  </si>
  <si>
    <t>20255310011182 - 20255310010002</t>
  </si>
  <si>
    <t xml:space="preserve">Juan David Villamarin Garcia Secretaria Distrital de Movilidad - JUAN DAVID VILLAMARIN GARCIA </t>
  </si>
  <si>
    <t>Solicitud mantenimiento vial barrio la macarena</t>
  </si>
  <si>
    <t>Cl 30B entre av. circunvalar y Cra 3a</t>
  </si>
  <si>
    <t>calle 30B</t>
  </si>
  <si>
    <t>Av. Circunvalar</t>
  </si>
  <si>
    <t>Carrera 3a</t>
  </si>
  <si>
    <t>CL 1 A BIS</t>
  </si>
  <si>
    <t>CL 1 B</t>
  </si>
  <si>
    <t>Jesus David Araque Mejia - Concejal de Bogotá</t>
  </si>
  <si>
    <t>carrera 4A entre calles 26B y 30</t>
  </si>
  <si>
    <t>Carrera 4A</t>
  </si>
  <si>
    <t>Calle 29</t>
  </si>
  <si>
    <t>Calle 30</t>
  </si>
  <si>
    <t>Calle 27</t>
  </si>
  <si>
    <t>Calle 26D</t>
  </si>
  <si>
    <t>Calle 26C</t>
  </si>
  <si>
    <t>Calle 26B</t>
  </si>
  <si>
    <t>Jairo Emilio Moreno</t>
  </si>
  <si>
    <t>Carrera 11 Este No. 1C – 03</t>
  </si>
  <si>
    <t>Carrera 11 Este</t>
  </si>
  <si>
    <t>Calle 1 C</t>
  </si>
  <si>
    <t>Calle 1 C Bis</t>
  </si>
  <si>
    <t>Calle 1C Bis No. 11 – 26 Este</t>
  </si>
  <si>
    <t>Calle 1C Bis</t>
  </si>
  <si>
    <t>Carrera 11B Este</t>
  </si>
  <si>
    <t xml:space="preserve">Anonimo </t>
  </si>
  <si>
    <t>Carrera 5 con Calle 35</t>
  </si>
  <si>
    <t>Carrera 5</t>
  </si>
  <si>
    <t>Sin establecer</t>
  </si>
  <si>
    <t>SUGERENCIA SDP - COD PROPUESTA NO. 43676</t>
  </si>
  <si>
    <t>CALLE 2B</t>
  </si>
  <si>
    <t>CALLE 6</t>
  </si>
  <si>
    <t>Carrera 9</t>
  </si>
  <si>
    <t>SUGERENCIA SDP - COD PROPUESTA NO. 43675</t>
  </si>
  <si>
    <t>CALLE 2A</t>
  </si>
  <si>
    <t>Juan Carlos Parra Morales - JAC Calvo Sur</t>
  </si>
  <si>
    <t>Carrera 8 entre la Avenida Comuneros y la Avenida Calle 1</t>
  </si>
  <si>
    <t>Calle 1F</t>
  </si>
  <si>
    <t>Calle 1 B</t>
  </si>
  <si>
    <t>Calle 1D</t>
  </si>
  <si>
    <t>Calle 1</t>
  </si>
  <si>
    <t>SUGERENCIA SDP - COD PROPUESTA NO. 43674</t>
  </si>
  <si>
    <t>CALLE 2</t>
  </si>
  <si>
    <t xml:space="preserve">Diagonal 1C Bis </t>
  </si>
  <si>
    <t>SUGERENCIA SDP - COD PROPUESTA NO. 43673</t>
  </si>
  <si>
    <t>CALLE 1 F</t>
  </si>
  <si>
    <t>20244603908902 - 20244602997012</t>
  </si>
  <si>
    <t>Anonimo  - Juan Carlos Parra Morales - JAC Calvo Sur</t>
  </si>
  <si>
    <t>Calle 1C con Carrera 8 y Carrera 8 entre 2 y 3.</t>
  </si>
  <si>
    <t>Calle 1C</t>
  </si>
  <si>
    <t xml:space="preserve">Calle 1C Bis </t>
  </si>
  <si>
    <t>SUGERENCIA SDP - COD PROPUESTA NO. 43672</t>
  </si>
  <si>
    <t>Calle 1 Bis</t>
  </si>
  <si>
    <t>SUGERENCIA SDP - COD PROPUESTA NO. 43667 Y 43668</t>
  </si>
  <si>
    <t>CALLE 1 B</t>
  </si>
  <si>
    <t xml:space="preserve">Carrera 3 Este </t>
  </si>
  <si>
    <t>Diagonal 2D</t>
  </si>
  <si>
    <t>SUGERENCIA SDP - COD PROPUESTA NO. 43666</t>
  </si>
  <si>
    <t>CALLE 1</t>
  </si>
  <si>
    <t>20244603054202 - 20245320459831</t>
  </si>
  <si>
    <t>Hermencia Ruiz Avila - Hermencia Ruiz Avila</t>
  </si>
  <si>
    <t>Carrera 7 Este No. 9 - 39</t>
  </si>
  <si>
    <t xml:space="preserve">Calle 9 </t>
  </si>
  <si>
    <t>Janneth Espitia Barreto</t>
  </si>
  <si>
    <t>Calle 4A Bis entre Carrera 1 y Carrera 2</t>
  </si>
  <si>
    <t xml:space="preserve">Calle 4A Bis </t>
  </si>
  <si>
    <t>Carrera 1A</t>
  </si>
  <si>
    <t>Carrera 2</t>
  </si>
  <si>
    <t>KR 7ABIS E</t>
  </si>
  <si>
    <t>DG 6</t>
  </si>
  <si>
    <t>DG 7</t>
  </si>
  <si>
    <t>Juan David Villamarin Garcia Secretaria Distrital de Movilidad</t>
  </si>
  <si>
    <t>Carrera 8 A</t>
  </si>
  <si>
    <t>Carlos Alberto Rodriguez</t>
  </si>
  <si>
    <t>Intervencion Espacio Publico</t>
  </si>
  <si>
    <t xml:space="preserve">calle 3 A # 1-69, y calle 3 A # 1- 59 </t>
  </si>
  <si>
    <t>Calle 3a</t>
  </si>
  <si>
    <t>Carrera 1</t>
  </si>
  <si>
    <t>Maria Nancy Castro Becerra</t>
  </si>
  <si>
    <t xml:space="preserve">Diagonal 2D No. 2 - 30 Este </t>
  </si>
  <si>
    <t>Diagonal 2</t>
  </si>
  <si>
    <t>Daniel Rodrigo Aristizabal- Inspector 3c Distrital de Policia</t>
  </si>
  <si>
    <t>Carrera 8 Este No. 3-65</t>
  </si>
  <si>
    <t>MONICA JULIANA TRIANA ROJAS</t>
  </si>
  <si>
    <t>Calle 2 con Carrera 9, Barrio El Rocio</t>
  </si>
  <si>
    <t>Carrera 9 Este</t>
  </si>
  <si>
    <t>Trasversal 9 Bis  Este</t>
  </si>
  <si>
    <t>LORENA LUCIA REYES</t>
  </si>
  <si>
    <t>calle 2 d bis No. 12-28 este</t>
  </si>
  <si>
    <t>Calle 2 d bis</t>
  </si>
  <si>
    <t>Carrera 12 Este</t>
  </si>
  <si>
    <t>Carrera 13 Este</t>
  </si>
  <si>
    <t>DG 4A</t>
  </si>
  <si>
    <t>DG 4</t>
  </si>
  <si>
    <t>KR 7 BIS ESTE</t>
  </si>
  <si>
    <t>TV 9BIS E</t>
  </si>
  <si>
    <t>KR 10 ESTE</t>
  </si>
  <si>
    <t>KR 10 BIS ESTE</t>
  </si>
  <si>
    <t>KR 10 A ESTE</t>
  </si>
  <si>
    <t>KR 10 B ESTE</t>
  </si>
  <si>
    <t>CL 2</t>
  </si>
  <si>
    <t>KR 10B E</t>
  </si>
  <si>
    <t>DG 1CBISA</t>
  </si>
  <si>
    <t>TV 9 BIS ESTE</t>
  </si>
  <si>
    <t>DG 1 C BIS A</t>
  </si>
  <si>
    <t>CL 1B</t>
  </si>
  <si>
    <t>CL 1BBIS</t>
  </si>
  <si>
    <t>KR 6 B BIS ESTE</t>
  </si>
  <si>
    <t>CL 4 A BIS</t>
  </si>
  <si>
    <t>20244603575902 - 20244603832492 - 20245310085362</t>
  </si>
  <si>
    <t>Pedro Nel Lozano Lobo - Jairo Alberto Osorio Angel</t>
  </si>
  <si>
    <t>Calle 32 en la intersección con la Carrera 6</t>
  </si>
  <si>
    <t>Calle 32</t>
  </si>
  <si>
    <t>Diagonal 31 A</t>
  </si>
  <si>
    <t>20244603575902 - 20245310085362 - 20244603832492 - 20244603837762 - 20244603837762</t>
  </si>
  <si>
    <t>Carrea 5</t>
  </si>
  <si>
    <t>KR 9 E</t>
  </si>
  <si>
    <t>CL 2B</t>
  </si>
  <si>
    <t>OLGA LUCIA MEDINA</t>
  </si>
  <si>
    <t>carrea 8 No. 18-81</t>
  </si>
  <si>
    <t>Calle 18</t>
  </si>
  <si>
    <t>20245310079332 - 20255310000442 - 20255310000962</t>
  </si>
  <si>
    <t>Pablo Emilio Muñoz Puentes - Luis Sebastina Moreno Gonzalez</t>
  </si>
  <si>
    <t xml:space="preserve">Calle 15 entre la Carrera 10 y Carrera 12 </t>
  </si>
  <si>
    <t>Calle 15</t>
  </si>
  <si>
    <t>Carrera 10</t>
  </si>
  <si>
    <t>Carrera 12</t>
  </si>
  <si>
    <t>Monica Eloisa Rueda Peña - Instituto de Desarrollo Urbano - IDU</t>
  </si>
  <si>
    <t>Carrera 9 con Calle 6 – CIV 3000943</t>
  </si>
  <si>
    <t>Lorena Lucia Reyes</t>
  </si>
  <si>
    <t>Carrera 5 Este No. 4B- 02.</t>
  </si>
  <si>
    <t>Calle 4B</t>
  </si>
  <si>
    <t xml:space="preserve">Carrera 4AEste </t>
  </si>
  <si>
    <t>Carrera 5 Este</t>
  </si>
  <si>
    <t>Fabian Alexis Milla Prada</t>
  </si>
  <si>
    <t>Carrera 7 A Este</t>
  </si>
  <si>
    <t>Diagonal 5 A</t>
  </si>
  <si>
    <t>KR 7A E</t>
  </si>
  <si>
    <t>NO REQUIERE</t>
  </si>
  <si>
    <t>MANTENIMIENTO RUTINARIO</t>
  </si>
  <si>
    <t>MANTENIMIENTO PERIODICO</t>
  </si>
  <si>
    <t>REHABILITACION</t>
  </si>
  <si>
    <t>RECONSTRUCCION</t>
  </si>
  <si>
    <t>PRIORIZACION MALLA VIAL RURAL</t>
  </si>
  <si>
    <t>CTO-238-2024</t>
  </si>
  <si>
    <t>HOYA TEUSACA</t>
  </si>
  <si>
    <t>VERJON BAJO</t>
  </si>
  <si>
    <t>GLADYS RINCON RIVERA</t>
  </si>
  <si>
    <t>JEISON DAVID MACGREGOR SOLANO</t>
  </si>
  <si>
    <t>VERJON ALTO</t>
  </si>
  <si>
    <t>Maria Magdalena Rivera Ruiz</t>
  </si>
  <si>
    <t>CONCRETO</t>
  </si>
  <si>
    <t>ANDENES</t>
  </si>
  <si>
    <t>MR43</t>
  </si>
  <si>
    <t>MD12</t>
  </si>
  <si>
    <t>SUBBASE</t>
  </si>
  <si>
    <t>RAJON</t>
  </si>
  <si>
    <t>ANDEN CONCRETO</t>
  </si>
  <si>
    <t>ASLFATO</t>
  </si>
  <si>
    <t>MD-12</t>
  </si>
  <si>
    <t>BASE</t>
  </si>
  <si>
    <t>ALCALDIA LOCAL DE SANTA FE</t>
  </si>
  <si>
    <t>TIPO</t>
  </si>
  <si>
    <t>INTERV</t>
  </si>
  <si>
    <t>LONG</t>
  </si>
  <si>
    <t>ANCHO</t>
  </si>
  <si>
    <t>AREA</t>
  </si>
  <si>
    <t>1. RECONSTRUCCION - REHABILITACION VIA PAVIMENTO FLEXIBLE</t>
  </si>
  <si>
    <t>2. RECONSTRUCCION - REHABILITACION VIA PAVIMENTO RIGIDO</t>
  </si>
  <si>
    <t>3. MANTENIMIENTO RUTINARIO-PERIODICO VIA PAVIMENTO FLEXIBLE</t>
  </si>
  <si>
    <t>4. MANTENIMIENTO RUTINARIO-PERIODICO VIA PAVIMENTO RIGIDO</t>
  </si>
  <si>
    <t>5. ESPACIO PUBLICO EN CONCRETO</t>
  </si>
  <si>
    <t>6. REDES</t>
  </si>
  <si>
    <t>7. SEÑALIZACION</t>
  </si>
  <si>
    <t>SUBTOTAL OBRAS (INCLUYE AIU)</t>
  </si>
  <si>
    <t>SUBTOTAL</t>
  </si>
  <si>
    <t>COSTO ACTIVIDADES AMBIENTALES Y SST</t>
  </si>
  <si>
    <t>COSTO ACTIVIDADES SOCIALES</t>
  </si>
  <si>
    <t>GEOCELDA</t>
  </si>
  <si>
    <t>VIA</t>
  </si>
  <si>
    <t>EP</t>
  </si>
  <si>
    <t>POAI 2025</t>
  </si>
  <si>
    <t>interv</t>
  </si>
  <si>
    <t>obra</t>
  </si>
  <si>
    <t>MALLA VIAL URB</t>
  </si>
  <si>
    <t>MALLA VIAL RURAL</t>
  </si>
  <si>
    <t>VALOR VIA + REDES</t>
  </si>
  <si>
    <t>VALOR ANDENES</t>
  </si>
  <si>
    <t>ARTERIAL</t>
  </si>
  <si>
    <t>RECONS RIG URB</t>
  </si>
  <si>
    <t>RECONS RIG FLEX</t>
  </si>
  <si>
    <t>REHAB RIG</t>
  </si>
  <si>
    <t>REHAB FELX</t>
  </si>
  <si>
    <t>MANT RIG</t>
  </si>
  <si>
    <t>MANT FLEX</t>
  </si>
  <si>
    <t>FALTANTE</t>
  </si>
  <si>
    <t>OFERTE AQUÍ</t>
  </si>
  <si>
    <r>
      <rPr>
        <b/>
        <sz val="11"/>
        <rFont val="Arial"/>
        <family val="2"/>
      </rPr>
      <t xml:space="preserve">NOTA 1: </t>
    </r>
    <r>
      <rPr>
        <sz val="11"/>
        <rFont val="Arial"/>
        <family val="2"/>
      </rPr>
      <t xml:space="preserve"> Se debe tener en cuenta que el PRECIO UNITARIO incluye el valor de A.I.U.  </t>
    </r>
  </si>
  <si>
    <t>K. VALOR PROPUESTO COSTO DIRECTO PARA PROVISIÓN PARA AJUSES, OBRAS COMPLEMENTARIAS Y ADICIONALES (DEBE PROPONERSE DE TAL FORMA QUE EL VALOR TOTAL CONTRATO PROPUESTO A EJECUTAR SEA IGUAL AL PRESUPUESTO OFICIAL), este rubro se encuentra en la versión 1 del pliego tipo y, aunque en las versiones posteriores se omitió, en las respuestas sobre su obligatoriedad la Agencia respondió que no era obligatorio pero si aconsejable):</t>
  </si>
  <si>
    <t>Actualización 2025-I Fase II + M.O. Ley 2101 de 2021</t>
  </si>
  <si>
    <t>Actualización 2025-I Fase II + M.O. 2026</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</si>
  <si>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</si>
  <si>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</si>
  <si>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</si>
  <si>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</si>
  <si>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</si>
  <si>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</si>
  <si>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</si>
  <si>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</si>
  <si>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</si>
  <si>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</si>
  <si>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</si>
  <si>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</si>
  <si>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</si>
  <si>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</si>
  <si>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</si>
  <si>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</si>
  <si>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</si>
  <si>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</si>
  <si>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</si>
  <si>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</si>
  <si>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</si>
  <si>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</si>
  <si>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</si>
  <si>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</si>
  <si>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</si>
  <si>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</si>
  <si>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</si>
  <si>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</si>
  <si>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</si>
  <si>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</si>
  <si>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</si>
  <si>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</si>
  <si>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</si>
  <si>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</si>
  <si>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</si>
  <si>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</si>
  <si>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</si>
  <si>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</si>
  <si>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</si>
  <si>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</si>
  <si>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</si>
  <si>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</si>
  <si>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</si>
  <si>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</si>
  <si>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</si>
  <si>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</si>
  <si>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</si>
  <si>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</si>
  <si>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</si>
  <si>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</si>
  <si>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</si>
  <si>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</si>
  <si>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</si>
  <si>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</si>
  <si>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</si>
  <si>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</si>
  <si>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</si>
  <si>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</si>
  <si>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</si>
  <si>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</si>
  <si>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</si>
  <si>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</si>
  <si>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</si>
  <si>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</si>
  <si>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</si>
  <si>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</si>
  <si>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</si>
  <si>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</si>
  <si>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</si>
  <si>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</si>
  <si>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</si>
  <si>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</si>
  <si>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</si>
  <si>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</si>
  <si>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</si>
  <si>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</si>
  <si>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</si>
  <si>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</si>
  <si>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</si>
  <si>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</si>
  <si>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</si>
  <si>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</si>
  <si>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</si>
  <si>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</si>
  <si>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</si>
  <si>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</si>
  <si>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</si>
  <si>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</si>
  <si>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</si>
  <si>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</si>
  <si>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</si>
  <si>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</si>
  <si>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</si>
  <si>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</si>
  <si>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</si>
  <si>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</si>
  <si>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</si>
  <si>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</si>
  <si>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</si>
  <si>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</si>
  <si>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</si>
  <si>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</si>
  <si>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</si>
  <si>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</si>
  <si>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</si>
  <si>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</si>
  <si>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</si>
  <si>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</si>
  <si>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</si>
  <si>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</si>
  <si>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</si>
  <si>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</si>
  <si>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</si>
  <si>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</si>
  <si>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</si>
  <si>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</si>
  <si>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</si>
  <si>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</si>
  <si>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</si>
  <si>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</si>
  <si>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</si>
  <si>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</si>
  <si>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</si>
  <si>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</si>
  <si>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</si>
  <si>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</si>
  <si>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</si>
  <si>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</si>
  <si>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</si>
  <si>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</si>
  <si>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</si>
  <si>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</si>
  <si>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</si>
  <si>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</si>
  <si>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</si>
  <si>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BOTA DE CAUCHO CON PUNTERA Y ENTRESUELA EN ACERO,  CINTA AMARILLA</t>
  </si>
  <si>
    <t xml:space="preserve">GUANTE DE CARNAZA LARGO REFORZADO </t>
  </si>
  <si>
    <t>EQUIPO DE PRESION - SUCCION - SONDEO - LIMPIEZA - RECOLECCIÓN DE LODOS NO PELIGROSOS (No incluye agua).</t>
  </si>
  <si>
    <t>KIT DE NIVELACION PARA HIDRANTE TIPO TRAFICO D=6" LONGITUD 400mm</t>
  </si>
  <si>
    <t>REDUCCION HD E.L. D=4" x 3"</t>
  </si>
  <si>
    <t>REDUCCION HD J.H. D=6" x 4"</t>
  </si>
  <si>
    <t>REDUCCION HD J.H. D=4" x 2"</t>
  </si>
  <si>
    <t>SOLDADURA DE ESTAÑO 4060 x LB y 1/16" DE DIÁMETRO</t>
  </si>
  <si>
    <t>TUBERIA ACERO GALVANIZADO D=1" CALIBRE 16 (E=1.5MM)</t>
  </si>
  <si>
    <t>REDUCCION HD J.H. D=4" x 3"</t>
  </si>
  <si>
    <t>REDUCCION HD J.H. D=8" x 6"</t>
  </si>
  <si>
    <t>KIT DE NIVELACION PARA HIDRANTE TIPO TRAFICO D=4" LONGITUD 400mm</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</si>
  <si>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</si>
  <si>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</si>
  <si>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</si>
  <si>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</si>
  <si>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</si>
  <si>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</si>
  <si>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</si>
  <si>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</si>
  <si>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</si>
  <si>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</si>
  <si>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</si>
  <si>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</si>
  <si>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</si>
  <si>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</si>
  <si>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TARIFA MES OPERADOR EQUIPO (INCLUYE FACTOR DE PRESTACIONES)</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</si>
  <si>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</si>
  <si>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</si>
  <si>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</si>
  <si>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</si>
  <si>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</si>
  <si>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</si>
  <si>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NO DRENADA CU 3 PUNTOS). Norma técnica: INVE-153-13 UNE-EN-ISO-17892-9-19 Numerales 6.4 y 6.7.2* (Norma de referencia) ASTM D4767-11 (20)</t>
  </si>
  <si>
    <t>SOLDADURA EXOTÉRMICA 90gr</t>
  </si>
  <si>
    <t>REDUCCION HD E.L. D=4" x 2"</t>
  </si>
  <si>
    <t>REDUCCION HD E.L. D=14" x 12"</t>
  </si>
  <si>
    <t>TAPON HD E.L. D=3"</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</si>
  <si>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</si>
  <si>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</si>
  <si>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</si>
  <si>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</si>
  <si>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</si>
  <si>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</si>
  <si>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</si>
  <si>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</si>
  <si>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</si>
  <si>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</si>
  <si>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</si>
  <si>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FILTRO PARTICULAS PARA RESPIRADOR</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</si>
  <si>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</si>
  <si>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</si>
  <si>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</si>
  <si>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</si>
  <si>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</si>
  <si>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</si>
  <si>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</si>
  <si>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</si>
  <si>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</si>
  <si>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</si>
  <si>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</si>
  <si>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</si>
  <si>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</si>
  <si>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</si>
  <si>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</si>
  <si>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</si>
  <si>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</si>
  <si>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</si>
  <si>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</si>
  <si>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</si>
  <si>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</si>
  <si>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</si>
  <si>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</si>
  <si>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</si>
  <si>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</si>
  <si>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</si>
  <si>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</si>
  <si>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</si>
  <si>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</si>
  <si>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</si>
  <si>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</si>
  <si>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</si>
  <si>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</si>
  <si>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</si>
  <si>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</si>
  <si>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</si>
  <si>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</si>
  <si>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</si>
  <si>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</si>
  <si>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</si>
  <si>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</si>
  <si>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</si>
  <si>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</si>
  <si>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</si>
  <si>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USO DEL PENETROMETRO DINAMICO DE CONO EN APLICACIONES DE PAVIMENTOS A POCA PROFUNDIDAD. Norma técnica: INVE-172-13 ASTM D6951/D6951M-18 (23)</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</si>
  <si>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</si>
  <si>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</si>
  <si>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</si>
  <si>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</si>
  <si>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</si>
  <si>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</si>
  <si>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</si>
  <si>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</si>
  <si>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</si>
  <si>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</si>
  <si>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</si>
  <si>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</si>
  <si>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</si>
  <si>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</si>
  <si>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</si>
  <si>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BRIDA FLANGLES SLIP-ON ACERO AL CARBON D= 12" CLASE 150 LB. ANSI B16.5</t>
  </si>
  <si>
    <t xml:space="preserve">BRIDA FLANGLES SLIP-ON ACERO AL CARBON D= 4" CLASE 150 LB. ANSI B16.5 </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</si>
  <si>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</si>
  <si>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</si>
  <si>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</si>
  <si>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</si>
  <si>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</si>
  <si>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</si>
  <si>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</si>
  <si>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UNION DE DESMONTAJE AUTOPORTANTE HD D=16"</t>
  </si>
  <si>
    <t>UNION DE DESMONTAJE AUTOPORTANTE HD D=12"</t>
  </si>
  <si>
    <t>UNION DE DESMONTAJE AUTOPORTANTE HD D=24"</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</si>
  <si>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</si>
  <si>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</si>
  <si>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</si>
  <si>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</si>
  <si>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</si>
  <si>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</si>
  <si>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</si>
  <si>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</si>
  <si>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</si>
  <si>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</si>
  <si>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BRIDA FLANGLES SLIP-ON ACERO AL CARBON D= 3" CLASE 150 LB. ANSI B16.5</t>
  </si>
  <si>
    <t>BRIDA FLANGLES SLIP-ON ACERO AL CARBON D= 6" CLASE 150 LB. ANSI B16.5</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</si>
  <si>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</si>
  <si>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</si>
  <si>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</si>
  <si>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</si>
  <si>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</si>
  <si>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</si>
  <si>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</si>
  <si>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</si>
  <si>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</si>
  <si>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</si>
  <si>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</si>
  <si>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</si>
  <si>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</si>
  <si>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</si>
  <si>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</si>
  <si>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</si>
  <si>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</si>
  <si>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</si>
  <si>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</si>
  <si>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</si>
  <si>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</si>
  <si>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</si>
  <si>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</si>
  <si>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</si>
  <si>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</si>
  <si>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</si>
  <si>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</si>
  <si>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</si>
  <si>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</si>
  <si>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</si>
  <si>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</si>
  <si>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</si>
  <si>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</si>
  <si>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</si>
  <si>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</si>
  <si>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</si>
  <si>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</si>
  <si>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</si>
  <si>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</si>
  <si>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</si>
  <si>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</si>
  <si>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</si>
  <si>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</si>
  <si>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</si>
  <si>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</si>
  <si>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</si>
  <si>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</si>
  <si>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</si>
  <si>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</si>
  <si>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</si>
  <si>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</si>
  <si>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</si>
  <si>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</si>
  <si>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</si>
  <si>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</si>
  <si>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</si>
  <si>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</si>
  <si>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</si>
  <si>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</si>
  <si>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</si>
  <si>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</si>
  <si>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</si>
  <si>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</si>
  <si>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</si>
  <si>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</si>
  <si>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</si>
  <si>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</si>
  <si>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</si>
  <si>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</si>
  <si>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</si>
  <si>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</si>
  <si>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</si>
  <si>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</si>
  <si>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</si>
  <si>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</si>
  <si>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</si>
  <si>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</si>
  <si>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</si>
  <si>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</si>
  <si>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</si>
  <si>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</si>
  <si>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</si>
  <si>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LIMPIADOR BASE ÁCIDO ESPECIAL PARA LIMPIAR Y DESMANCHAR LADRILLO-CONCRETO</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</si>
  <si>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</si>
  <si>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</si>
  <si>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</si>
  <si>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</si>
  <si>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</si>
  <si>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</si>
  <si>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</si>
  <si>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</si>
  <si>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</si>
  <si>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</si>
  <si>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</si>
  <si>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</si>
  <si>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</si>
  <si>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</si>
  <si>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</si>
  <si>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</si>
  <si>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</si>
  <si>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</si>
  <si>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</si>
  <si>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</si>
  <si>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</si>
  <si>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</si>
  <si>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</si>
  <si>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</si>
  <si>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</si>
  <si>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</si>
  <si>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</si>
  <si>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</si>
  <si>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</si>
  <si>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</si>
  <si>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</si>
  <si>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</si>
  <si>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</si>
  <si>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</si>
  <si>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</si>
  <si>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</si>
  <si>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</si>
  <si>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</si>
  <si>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</si>
  <si>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</si>
  <si>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</si>
  <si>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</si>
  <si>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</si>
  <si>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</si>
  <si>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</si>
  <si>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</si>
  <si>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</si>
  <si>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</si>
  <si>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</si>
  <si>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</si>
  <si>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</si>
  <si>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</si>
  <si>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</si>
  <si>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</si>
  <si>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</si>
  <si>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</si>
  <si>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</si>
  <si>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</si>
  <si>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TAPA INICIO / FINAL PARA SARDINEL DE DRENAJE RD 200 H:33 CM</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</si>
  <si>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</si>
  <si>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</si>
  <si>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</si>
  <si>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</si>
  <si>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</si>
  <si>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</si>
  <si>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</si>
  <si>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</si>
  <si>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</si>
  <si>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</si>
  <si>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</si>
  <si>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</si>
  <si>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</si>
  <si>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</si>
  <si>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</si>
  <si>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</si>
  <si>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</si>
  <si>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</si>
  <si>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</si>
  <si>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</si>
  <si>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</si>
  <si>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</si>
  <si>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</si>
  <si>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</si>
  <si>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</si>
  <si>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</si>
  <si>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</si>
  <si>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</si>
  <si>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</si>
  <si>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</si>
  <si>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</si>
  <si>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</si>
  <si>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</si>
  <si>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</si>
  <si>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</si>
  <si>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</si>
  <si>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</si>
  <si>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</si>
  <si>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</si>
  <si>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</si>
  <si>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</si>
  <si>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</si>
  <si>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</si>
  <si>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</si>
  <si>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</si>
  <si>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</si>
  <si>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</si>
  <si>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</si>
  <si>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</si>
  <si>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</si>
  <si>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</si>
  <si>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</si>
  <si>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</si>
  <si>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</si>
  <si>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</si>
  <si>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</si>
  <si>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</si>
  <si>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</si>
  <si>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</si>
  <si>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</si>
  <si>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</si>
  <si>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</si>
  <si>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</si>
  <si>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</si>
  <si>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</si>
  <si>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</si>
  <si>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</si>
  <si>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</si>
  <si>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</si>
  <si>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</si>
  <si>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</si>
  <si>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</si>
  <si>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</si>
  <si>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</si>
  <si>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</si>
  <si>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</si>
  <si>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</si>
  <si>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</si>
  <si>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</si>
  <si>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</si>
  <si>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</si>
  <si>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</si>
  <si>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</si>
  <si>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</si>
  <si>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</si>
  <si>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</si>
  <si>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</si>
  <si>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</si>
  <si>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</si>
  <si>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</si>
  <si>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</si>
  <si>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</si>
  <si>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</si>
  <si>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</si>
  <si>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</si>
  <si>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</si>
  <si>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</si>
  <si>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</si>
  <si>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</si>
  <si>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</si>
  <si>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</si>
  <si>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</si>
  <si>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EJECUTAR A MONTO AGOTABLE SIN FORMULA DE REAJUSTE POR EL SISTEMA DE PRECIOS UNITARIOS, LAS ACTIVIDADES PARA LA CONSERVACIÓN DE LA MALLA VIAL LOCAL E INTERMEDIA Y ESPACIO PÚBLICO EN LA LOCALIDAD DE TUNJUELITO DE LA CIUDAD DE BOGOTÁ D.C</t>
  </si>
  <si>
    <t>J. VALOR PROPUESTO COSTO DIRECTO PARA PROVISIÓN PARA AJUSES, OBRAS COMPLEMENTARIAS Y ADICIONALES (DEBE PROPONERSE DE TAL FORMA QUE EL VALOR TOTAL CONTRATO PROPUESTO A EJECUTAR SEA IGUAL AL PRESUPUESTO OFICIAL), este rubro se encuentra en la versión 1 del pliego tipo y, aunque en las versiones posteriores se omitió, en las respuestas sobre su obligatoriedad la Agencia respondió que no era obligatorio pero si aconsejable):</t>
  </si>
  <si>
    <t>ESTABILIZACIÓN DE SUB BASE Y BASES GRANULARES CON ADITIVO POTENCIALIZADOR FLEXIBILIZANTE + CEMENTO 5% (M3 COMPACTO)</t>
  </si>
  <si>
    <t>NOTA: NO SE PAGARÁN CELADORES ADICIONALES, EL CONTRATISTA ACEPTA CON ESTE AIU A EJECUTAR EL PROYECTO EN ESTAS CONDICIONES.</t>
  </si>
  <si>
    <t xml:space="preserve"> SUBTOTAL GASTOS OPERACIONALES</t>
  </si>
  <si>
    <t xml:space="preserve">	KR 19B Entre DG 50A S hasta CL 51 S</t>
  </si>
  <si>
    <t>PK</t>
  </si>
  <si>
    <t>diseño tipo</t>
  </si>
  <si>
    <t>subbase granular</t>
  </si>
  <si>
    <t>zona dura</t>
  </si>
  <si>
    <t>30% de llenos en subbasse</t>
  </si>
  <si>
    <t>MOVILIZACIÓN DE EQUIPO DESDE LA OBRA HASTA SITIO
AUTORIZADO EN CUMPLIMIENTO DEL PMT DENTRO DEL AREA
DE INFLUENCIA DE LA OBRA (INCLUYE CARGUE, DESCARGUE Y
CARROS ESCOLTA). EL VIAJE ES IDA Y VUELTA.</t>
  </si>
  <si>
    <t>ESPACIO PUBLICO</t>
  </si>
  <si>
    <t>VIAS</t>
  </si>
  <si>
    <t>pk</t>
  </si>
  <si>
    <t>PLAZA MERCADO SAN BENITO</t>
  </si>
  <si>
    <t>PLAZA MERCADO SAN CARLOS</t>
  </si>
  <si>
    <t>ANDEN PARQUE 06-088</t>
  </si>
  <si>
    <t>Dg 52 B S Entre Cra 54 hasta Cra 54 A</t>
  </si>
  <si>
    <t>PARCHEO</t>
  </si>
  <si>
    <t>6001743 y 6001749</t>
  </si>
  <si>
    <t xml:space="preserve">Calle 53A Sur entre KR 10A y KR 9A </t>
  </si>
  <si>
    <t>325206 y 325221</t>
  </si>
  <si>
    <t>BACHEO</t>
  </si>
  <si>
    <t>CL 52B Sur entre KR24D y KR 25</t>
  </si>
  <si>
    <t>KR 36 entre CL 49A sur y CL 49B sur</t>
  </si>
  <si>
    <t>CL 58 Sur entre KR 15 y KR 16</t>
  </si>
  <si>
    <t>HUECOS GENERAL</t>
  </si>
  <si>
    <t>1. RECONSTRUCCION - REHABILITACION VIA PAVIMENTO RIGIDO</t>
  </si>
  <si>
    <t>2. MANTENIMIENTO RUTINARIO-PERIODICO VIA PAVIMENTO FLEXIBLE</t>
  </si>
  <si>
    <t>3. ESPACIO PUBLICO EN CONCRETO</t>
  </si>
  <si>
    <t>4. SEÑALIZACION</t>
  </si>
  <si>
    <t>TOTALES</t>
  </si>
  <si>
    <t>TOTAL VIAS</t>
  </si>
  <si>
    <t>TOTAL ANDENES</t>
  </si>
  <si>
    <t xml:space="preserve">F. SUBTOTAL OBRAS (INCLUYE AIU) </t>
  </si>
  <si>
    <t>POR DEFINIR</t>
  </si>
  <si>
    <t>ANDEN CIERRE</t>
  </si>
  <si>
    <t xml:space="preserve">BRIGADAS DE ACCIONES DE MOVILIDAD </t>
  </si>
  <si>
    <t>EJECUTAR A MONTO AGOTABLE Y POR EL SISTEMA DE PRECIOS UNITARIOS, MEDIANTE BRIGADAS DE MANTENIMIENTO, ACTIVIDADES PUNTUALES PARA LA ATENCIÓN DE DAÑOS EN LA MALLA VIAL LOCAL E INTERMEDIA Y EN EL ESPACIO PÚBLICO DE LA LOCALIDAD DE TUNJUELITO, BOGOTÁ D.C.</t>
  </si>
  <si>
    <t>INTERVENTORIA</t>
  </si>
  <si>
    <t>andenes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</si>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</sst>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8" formatCode="&quot;$&quot;\ #,##0.00;[Red]\-&quot;$&quot;\ #,##0.00"/>
    <numFmt numFmtId="41" formatCode="_-* #,##0_-;\-* #,##0_-;_-* &quot;-&quot;_-;_-@_-"/>
    <numFmt numFmtId="44" formatCode="_-&quot;$&quot;\ * #,##0.00_-;\-&quot;$&quot;\ * #,##0.00_-;_-&quot;$&quot;\ *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quot;$&quot;\ * #,##0_ ;_ &quot;$&quot;\ * \-#,##0_ ;_ &quot;$&quot;\ * &quot;-&quot;_ ;_ @_ "/>
    <numFmt numFmtId="168" formatCode="&quot;$&quot;\ #,##0.00;[Red]&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0.0"/>
    <numFmt numFmtId="179" formatCode="0.000"/>
    <numFmt numFmtId="180" formatCode="0.0000"/>
    <numFmt numFmtId="181" formatCode="_(&quot;$&quot;\ * #,##0.00_);_(&quot;$&quot;\ * \(#,##0.00\);_(&quot;$&quot;\ * &quot;-&quot;??_);_(@_)"/>
    <numFmt numFmtId="182" formatCode="_-&quot;$&quot;* #,##0_-;\-&quot;$&quot;* #,##0_-;_-&quot;$&quot;* &quot;-&quot;??_-;_-@_-"/>
    <numFmt numFmtId="183" formatCode="_(* #,##0.00_);_(* \(#,##0.00\);_(* &quot;-&quot;??_);_(@_)"/>
    <numFmt numFmtId="184" formatCode="[$$-240A]\ #,##0"/>
    <numFmt numFmtId="185" formatCode="[$$-240A]\ #,##0.0"/>
    <numFmt numFmtId="186" formatCode="_-* #,##0_-;\-* #,##0_-;_-* &quot;-&quot;??_-;_-@_-"/>
    <numFmt numFmtId="187" formatCode="_ * #,##0.0_ ;_ * \-#,##0.0_ ;_ * &quot;-&quot;??_ ;_ @_ "/>
    <numFmt numFmtId="188" formatCode="[$$-240A]\ #,##0.00"/>
    <numFmt numFmtId="189" formatCode="&quot;$&quot;\ #,##0.0"/>
    <numFmt numFmtId="190" formatCode="&quot;$&quot;\ #,##0.00"/>
    <numFmt numFmtId="191" formatCode="[$$-240A]#,##0.00;[Red]\([$$-240A]#,##0.00\)"/>
    <numFmt numFmtId="192" formatCode="#,##0.00;[Red]#,##0.00"/>
    <numFmt numFmtId="193" formatCode="[$$-240A]\ #,##0.00_);[Red]\([$$-240A]\ #,##0.00\)"/>
    <numFmt numFmtId="194" formatCode="0.0000%"/>
    <numFmt numFmtId="195" formatCode="&quot;$&quot;\ #,##0;[Red]&quot;$&quot;\ \-#,##0"/>
    <numFmt numFmtId="196" formatCode="&quot;$&quot;\ #,##0.0;[Red]&quot;$&quot;\ \-#,##0.0"/>
    <numFmt numFmtId="197" formatCode="#,##0.0"/>
    <numFmt numFmtId="198" formatCode="_-&quot;$&quot;* #,##0_-;\-&quot;$&quot;* #,##0_-;_-&quot;$&quot;* &quot;-&quot;??_-;_-@"/>
    <numFmt numFmtId="199" formatCode="#,##0.0000"/>
    <numFmt numFmtId="200" formatCode="_ &quot;$&quot;\ * #,##0.00_ ;_ &quot;$&quot;\ * \-#,##0.00_ ;_ &quot;$&quot;\ * &quot;-&quot;??_ ;_ @_ "/>
    <numFmt numFmtId="201" formatCode="_-[$$-240A]\ * #,##0.00_-;\-[$$-240A]\ * #,##0.00_-;_-[$$-240A]\ * &quot;-&quot;??_-;_-@_-"/>
    <numFmt numFmtId="202" formatCode="_(&quot;$&quot;\ * #,##0_);_(&quot;$&quot;\ * \(#,##0\);_(&quot;$&quot;\ * &quot;-&quot;??_);_(@_)"/>
    <numFmt numFmtId="203" formatCode="_-&quot;$&quot;\ * #,##0_-;\-&quot;$&quot;\ * #,##0_-;_-&quot;$&quot;\ * &quot;-&quot;??_-;_-@_-"/>
  </numFmts>
  <fonts count="49" x14ac:knownFonts="1">
    <font>
      <sz val="11"/>
      <color theme="1"/>
      <name val="Calibri"/>
      <family val="2"/>
      <scheme val="minor"/>
    </font>
    <font>
      <sz val="11"/>
      <color theme="1"/>
      <name val="Calibri"/>
      <family val="2"/>
      <scheme val="minor"/>
    </font>
    <font>
      <b/>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b/>
      <sz val="11"/>
      <name val="Calibri"/>
      <family val="2"/>
    </font>
    <font>
      <sz val="11"/>
      <name val="Arial"/>
      <family val="2"/>
    </font>
    <font>
      <sz val="8"/>
      <name val="Arial Narrow"/>
      <family val="2"/>
    </font>
    <font>
      <sz val="10"/>
      <name val="Arial Narrow"/>
      <family val="2"/>
    </font>
    <font>
      <b/>
      <sz val="12"/>
      <name val="Arial Narrow"/>
      <family val="2"/>
    </font>
    <font>
      <b/>
      <sz val="14"/>
      <color theme="1"/>
      <name val="Arial"/>
      <family val="2"/>
    </font>
    <font>
      <b/>
      <sz val="11"/>
      <color theme="1"/>
      <name val="Calibri"/>
      <family val="2"/>
    </font>
    <font>
      <b/>
      <sz val="11"/>
      <color theme="1"/>
      <name val="Arial"/>
      <family val="2"/>
    </font>
    <font>
      <b/>
      <sz val="14"/>
      <color rgb="FFFF0000"/>
      <name val="Arial"/>
      <family val="2"/>
    </font>
    <font>
      <b/>
      <sz val="11"/>
      <color rgb="FF000000"/>
      <name val="Arial"/>
      <family val="2"/>
    </font>
    <font>
      <sz val="11"/>
      <color theme="1"/>
      <name val="Arial"/>
      <family val="2"/>
    </font>
    <font>
      <sz val="11"/>
      <color rgb="FFFF0000"/>
      <name val="Arial"/>
      <family val="2"/>
    </font>
    <font>
      <b/>
      <i/>
      <u/>
      <sz val="10"/>
      <name val="Arial"/>
      <family val="2"/>
    </font>
    <font>
      <b/>
      <sz val="11"/>
      <color indexed="8"/>
      <name val="Calibri"/>
      <family val="2"/>
    </font>
    <font>
      <sz val="11"/>
      <color indexed="8"/>
      <name val="Calibri"/>
      <family val="2"/>
    </font>
    <font>
      <b/>
      <sz val="10"/>
      <name val="Arial"/>
      <family val="2"/>
    </font>
    <font>
      <b/>
      <sz val="8"/>
      <name val="Arial"/>
      <family val="2"/>
    </font>
    <font>
      <b/>
      <sz val="7"/>
      <name val="Arial"/>
      <family val="2"/>
    </font>
    <font>
      <sz val="8"/>
      <name val="Arial"/>
      <family val="2"/>
    </font>
    <font>
      <b/>
      <sz val="9"/>
      <name val="Arial"/>
      <family val="2"/>
    </font>
    <font>
      <sz val="5"/>
      <name val="Arial"/>
      <family val="2"/>
    </font>
    <font>
      <sz val="9"/>
      <color theme="1"/>
      <name val="Calibri"/>
      <family val="2"/>
      <scheme val="minor"/>
    </font>
    <font>
      <b/>
      <sz val="10"/>
      <name val="Arial"/>
      <family val="2"/>
      <charset val="1"/>
    </font>
    <font>
      <sz val="9"/>
      <name val="Arial"/>
      <family val="2"/>
      <charset val="1"/>
    </font>
    <font>
      <sz val="9"/>
      <color theme="1"/>
      <name val="Arial"/>
      <family val="2"/>
    </font>
    <font>
      <b/>
      <sz val="9"/>
      <color indexed="8"/>
      <name val="Arial"/>
      <family val="2"/>
    </font>
    <font>
      <b/>
      <sz val="8"/>
      <color indexed="8"/>
      <name val="Arial"/>
      <family val="2"/>
    </font>
    <font>
      <sz val="9"/>
      <color indexed="8"/>
      <name val="Arial"/>
      <family val="2"/>
    </font>
    <font>
      <b/>
      <sz val="9"/>
      <color theme="1"/>
      <name val="Arial"/>
      <family val="2"/>
    </font>
    <font>
      <sz val="9"/>
      <name val="Arial"/>
      <family val="2"/>
    </font>
    <font>
      <b/>
      <sz val="10"/>
      <color indexed="8"/>
      <name val="Arial"/>
      <family val="2"/>
    </font>
    <font>
      <sz val="6"/>
      <name val="Arial"/>
      <family val="2"/>
    </font>
    <font>
      <b/>
      <sz val="10"/>
      <color theme="1"/>
      <name val="Arial"/>
      <family val="2"/>
    </font>
    <font>
      <sz val="11"/>
      <color rgb="FF000000"/>
      <name val="Arial"/>
      <family val="2"/>
    </font>
    <font>
      <b/>
      <sz val="12"/>
      <name val="Arial"/>
      <family val="2"/>
    </font>
    <font>
      <sz val="11"/>
      <color rgb="FF000000"/>
      <name val="Calibri"/>
      <family val="2"/>
    </font>
    <font>
      <sz val="10"/>
      <color rgb="FF000000"/>
      <name val="Segoe UI"/>
      <family val="2"/>
    </font>
    <font>
      <sz val="10"/>
      <name val="Segoe UI"/>
      <family val="2"/>
    </font>
    <font>
      <b/>
      <sz val="11"/>
      <color rgb="FFFF0000"/>
      <name val="Arial"/>
      <family val="2"/>
    </font>
  </fonts>
  <fills count="15">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theme="0" tint="-0.14999847407452621"/>
        <bgColor indexed="64"/>
      </patternFill>
    </fill>
    <fill>
      <patternFill patternType="solid">
        <fgColor indexed="22"/>
        <bgColor indexed="64"/>
      </patternFill>
    </fill>
    <fill>
      <patternFill patternType="solid">
        <fgColor theme="4" tint="0.79998168889431442"/>
        <bgColor indexed="64"/>
      </patternFill>
    </fill>
    <fill>
      <patternFill patternType="solid">
        <fgColor rgb="FFDBE5F1"/>
        <bgColor rgb="FFDBE5F1"/>
      </patternFill>
    </fill>
    <fill>
      <patternFill patternType="solid">
        <fgColor theme="1" tint="0.49998474074526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thin">
        <color indexed="64"/>
      </left>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47">
    <xf numFmtId="0" fontId="0" fillId="0" borderId="0"/>
    <xf numFmtId="44" fontId="1" fillId="0" borderId="0" applyFont="0" applyFill="0" applyBorder="0" applyAlignment="0" applyProtection="0"/>
    <xf numFmtId="0" fontId="1" fillId="0" borderId="0"/>
    <xf numFmtId="0" fontId="6" fillId="0" borderId="0"/>
    <xf numFmtId="0" fontId="1" fillId="0" borderId="0"/>
    <xf numFmtId="0" fontId="1" fillId="0" borderId="0"/>
    <xf numFmtId="0" fontId="6" fillId="0" borderId="0"/>
    <xf numFmtId="167" fontId="6" fillId="0" borderId="0" applyFont="0" applyFill="0" applyBorder="0" applyAlignment="0" applyProtection="0"/>
    <xf numFmtId="168" fontId="6" fillId="0" borderId="0" applyFont="0" applyFill="0" applyBorder="0" applyAlignment="0" applyProtection="0"/>
    <xf numFmtId="0" fontId="6" fillId="0" borderId="0"/>
    <xf numFmtId="0" fontId="6" fillId="0" borderId="0"/>
    <xf numFmtId="0" fontId="6" fillId="0" borderId="0"/>
    <xf numFmtId="0" fontId="6" fillId="0" borderId="0"/>
    <xf numFmtId="9" fontId="6" fillId="0" borderId="0" applyFont="0" applyFill="0" applyBorder="0" applyAlignment="0" applyProtection="0"/>
    <xf numFmtId="171" fontId="6" fillId="0" borderId="0" applyFont="0" applyFill="0" applyBorder="0" applyAlignment="0" applyProtection="0"/>
    <xf numFmtId="44" fontId="6" fillId="0" borderId="0" applyFont="0" applyFill="0" applyBorder="0" applyAlignment="0" applyProtection="0"/>
    <xf numFmtId="0" fontId="6" fillId="0" borderId="0"/>
    <xf numFmtId="174" fontId="6" fillId="0" borderId="0" applyFont="0" applyFill="0" applyBorder="0" applyAlignment="0" applyProtection="0"/>
    <xf numFmtId="176" fontId="6" fillId="0" borderId="0" applyFont="0" applyFill="0" applyBorder="0" applyAlignment="0" applyProtection="0"/>
    <xf numFmtId="0" fontId="1" fillId="0" borderId="0"/>
    <xf numFmtId="41" fontId="1" fillId="0" borderId="0" applyFont="0" applyFill="0" applyBorder="0" applyAlignment="0" applyProtection="0"/>
    <xf numFmtId="166" fontId="1" fillId="0" borderId="0" applyFont="0" applyFill="0" applyBorder="0" applyAlignment="0" applyProtection="0"/>
    <xf numFmtId="0" fontId="6" fillId="0" borderId="0"/>
    <xf numFmtId="9" fontId="1" fillId="0" borderId="0" applyFont="0" applyFill="0" applyBorder="0" applyAlignment="0" applyProtection="0"/>
    <xf numFmtId="181" fontId="1" fillId="0" borderId="0" applyFont="0" applyFill="0" applyBorder="0" applyAlignment="0" applyProtection="0"/>
    <xf numFmtId="9" fontId="24" fillId="0" borderId="0" applyFont="0" applyFill="0" applyBorder="0" applyAlignment="0" applyProtection="0"/>
    <xf numFmtId="183" fontId="24" fillId="0" borderId="0" applyFont="0" applyFill="0" applyBorder="0" applyAlignment="0" applyProtection="0"/>
    <xf numFmtId="0" fontId="6" fillId="0" borderId="0" applyBorder="0"/>
    <xf numFmtId="0" fontId="6" fillId="0" borderId="0"/>
    <xf numFmtId="9" fontId="6" fillId="0" borderId="0" applyFont="0" applyFill="0" applyBorder="0" applyAlignment="0" applyProtection="0"/>
    <xf numFmtId="183" fontId="6" fillId="0" borderId="0" applyFont="0" applyFill="0" applyBorder="0" applyAlignment="0" applyProtection="0"/>
    <xf numFmtId="183" fontId="6" fillId="0" borderId="0" applyFont="0" applyFill="0" applyBorder="0" applyAlignment="0" applyProtection="0"/>
    <xf numFmtId="183" fontId="1"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9" fontId="6" fillId="0" borderId="0" applyFill="0" applyBorder="0" applyAlignment="0" applyProtection="0"/>
    <xf numFmtId="166" fontId="6" fillId="0" borderId="0" applyFont="0" applyFill="0" applyBorder="0" applyAlignment="0" applyProtection="0"/>
    <xf numFmtId="0" fontId="6" fillId="0" borderId="0"/>
    <xf numFmtId="0" fontId="6" fillId="0" borderId="0"/>
    <xf numFmtId="0" fontId="6" fillId="0" borderId="0" applyBorder="0"/>
    <xf numFmtId="200" fontId="6" fillId="0" borderId="0" applyFont="0" applyFill="0" applyBorder="0" applyAlignment="0" applyProtection="0"/>
    <xf numFmtId="0" fontId="45" fillId="0" borderId="0"/>
    <xf numFmtId="44" fontId="45"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930">
    <xf numFmtId="0" fontId="0" fillId="0" borderId="0" xfId="0"/>
    <xf numFmtId="0" fontId="2" fillId="0" borderId="1" xfId="0" applyFont="1" applyBorder="1" applyAlignment="1">
      <alignment horizontal="center" vertical="center"/>
    </xf>
    <xf numFmtId="0" fontId="0" fillId="0" borderId="1" xfId="0" applyBorder="1"/>
    <xf numFmtId="0" fontId="3" fillId="0" borderId="0" xfId="2" applyFont="1"/>
    <xf numFmtId="0" fontId="4" fillId="0" borderId="0" xfId="2" applyFont="1"/>
    <xf numFmtId="0" fontId="3" fillId="0" borderId="2" xfId="2" applyFont="1" applyBorder="1"/>
    <xf numFmtId="0" fontId="3" fillId="0" borderId="3" xfId="2" applyFont="1" applyBorder="1"/>
    <xf numFmtId="0" fontId="3" fillId="0" borderId="4" xfId="2" applyFont="1" applyBorder="1"/>
    <xf numFmtId="0" fontId="3" fillId="0" borderId="5" xfId="2" applyFont="1" applyBorder="1"/>
    <xf numFmtId="0" fontId="3" fillId="0" borderId="8" xfId="2" applyFont="1" applyBorder="1"/>
    <xf numFmtId="0" fontId="7" fillId="0" borderId="9" xfId="3" applyFont="1" applyBorder="1" applyAlignment="1">
      <alignment horizontal="left" vertical="center"/>
    </xf>
    <xf numFmtId="0" fontId="8" fillId="0" borderId="9" xfId="3" applyFont="1" applyBorder="1" applyAlignment="1">
      <alignment horizontal="left" vertical="center"/>
    </xf>
    <xf numFmtId="0" fontId="3" fillId="2" borderId="0" xfId="2" applyFont="1" applyFill="1"/>
    <xf numFmtId="0" fontId="3" fillId="2" borderId="11" xfId="2" applyFont="1" applyFill="1" applyBorder="1"/>
    <xf numFmtId="0" fontId="3" fillId="2" borderId="8" xfId="2" applyFont="1" applyFill="1" applyBorder="1"/>
    <xf numFmtId="0" fontId="4" fillId="2" borderId="0" xfId="2" applyFont="1" applyFill="1"/>
    <xf numFmtId="0" fontId="3" fillId="0" borderId="11" xfId="2" applyFont="1" applyBorder="1"/>
    <xf numFmtId="0" fontId="3" fillId="0" borderId="0" xfId="10" applyFont="1"/>
    <xf numFmtId="0" fontId="3" fillId="0" borderId="5" xfId="10" applyFont="1" applyBorder="1"/>
    <xf numFmtId="0" fontId="9" fillId="3" borderId="26" xfId="3" applyFont="1" applyFill="1" applyBorder="1" applyAlignment="1">
      <alignment horizontal="right" vertical="center"/>
    </xf>
    <xf numFmtId="169" fontId="9" fillId="3" borderId="27" xfId="3" applyNumberFormat="1" applyFont="1" applyFill="1" applyBorder="1" applyAlignment="1">
      <alignment vertical="center"/>
    </xf>
    <xf numFmtId="0" fontId="3" fillId="0" borderId="8" xfId="10" applyFont="1" applyBorder="1"/>
    <xf numFmtId="0" fontId="12" fillId="0" borderId="0" xfId="10" applyFont="1"/>
    <xf numFmtId="49" fontId="9" fillId="0" borderId="0" xfId="11" applyNumberFormat="1" applyFont="1" applyAlignment="1">
      <alignment horizontal="right" vertical="center"/>
    </xf>
    <xf numFmtId="170" fontId="9" fillId="0" borderId="0" xfId="11" applyNumberFormat="1" applyFont="1" applyAlignment="1">
      <alignment vertical="center"/>
    </xf>
    <xf numFmtId="0" fontId="11" fillId="0" borderId="0" xfId="12" applyFont="1"/>
    <xf numFmtId="0" fontId="11" fillId="0" borderId="0" xfId="12" applyFont="1" applyAlignment="1">
      <alignment horizontal="center"/>
    </xf>
    <xf numFmtId="172" fontId="11" fillId="0" borderId="16" xfId="14" applyNumberFormat="1" applyFont="1" applyBorder="1" applyAlignment="1">
      <alignment vertical="center"/>
    </xf>
    <xf numFmtId="10" fontId="11" fillId="0" borderId="1" xfId="12" applyNumberFormat="1" applyFont="1" applyBorder="1" applyAlignment="1">
      <alignment horizontal="right" vertical="center"/>
    </xf>
    <xf numFmtId="0" fontId="9" fillId="0" borderId="36" xfId="12" applyFont="1" applyBorder="1" applyAlignment="1">
      <alignment horizontal="left" vertical="center"/>
    </xf>
    <xf numFmtId="9" fontId="11" fillId="0" borderId="37" xfId="14" applyNumberFormat="1" applyFont="1" applyBorder="1" applyAlignment="1">
      <alignment horizontal="center" vertical="center"/>
    </xf>
    <xf numFmtId="172" fontId="9" fillId="0" borderId="37" xfId="14" applyNumberFormat="1" applyFont="1" applyBorder="1" applyAlignment="1">
      <alignment vertical="center"/>
    </xf>
    <xf numFmtId="0" fontId="11" fillId="0" borderId="38" xfId="12" applyFont="1" applyBorder="1" applyAlignment="1">
      <alignment vertical="center"/>
    </xf>
    <xf numFmtId="2" fontId="11" fillId="0" borderId="0" xfId="12" applyNumberFormat="1" applyFont="1"/>
    <xf numFmtId="172" fontId="11" fillId="0" borderId="0" xfId="14" applyNumberFormat="1" applyFont="1"/>
    <xf numFmtId="39" fontId="9" fillId="0" borderId="0" xfId="14" applyNumberFormat="1" applyFont="1" applyAlignment="1">
      <alignment vertical="center"/>
    </xf>
    <xf numFmtId="0" fontId="9" fillId="0" borderId="32" xfId="16" applyFont="1" applyBorder="1" applyAlignment="1">
      <alignment vertical="center"/>
    </xf>
    <xf numFmtId="173" fontId="3" fillId="0" borderId="8" xfId="10" applyNumberFormat="1" applyFont="1" applyBorder="1"/>
    <xf numFmtId="170" fontId="9" fillId="4" borderId="28" xfId="17" applyNumberFormat="1" applyFont="1" applyFill="1" applyBorder="1" applyAlignment="1">
      <alignment horizontal="center" vertical="center"/>
    </xf>
    <xf numFmtId="175" fontId="3" fillId="0" borderId="8" xfId="10" applyNumberFormat="1" applyFont="1" applyBorder="1"/>
    <xf numFmtId="170" fontId="9" fillId="4" borderId="1" xfId="17" applyNumberFormat="1" applyFont="1" applyFill="1" applyBorder="1" applyAlignment="1">
      <alignment horizontal="center" vertical="center"/>
    </xf>
    <xf numFmtId="0" fontId="11" fillId="0" borderId="40" xfId="3" applyFont="1" applyBorder="1" applyAlignment="1">
      <alignment vertical="center" wrapText="1"/>
    </xf>
    <xf numFmtId="0" fontId="13" fillId="0" borderId="0" xfId="10" applyFont="1"/>
    <xf numFmtId="0" fontId="11" fillId="0" borderId="41" xfId="3" applyFont="1" applyBorder="1" applyAlignment="1">
      <alignment vertical="center" wrapText="1"/>
    </xf>
    <xf numFmtId="0" fontId="11" fillId="0" borderId="42" xfId="3" applyFont="1" applyBorder="1" applyAlignment="1">
      <alignment vertical="center" wrapText="1"/>
    </xf>
    <xf numFmtId="0" fontId="11" fillId="0" borderId="0" xfId="3" applyFont="1" applyAlignment="1">
      <alignment vertical="center" wrapText="1"/>
    </xf>
    <xf numFmtId="0" fontId="11" fillId="0" borderId="30" xfId="3" applyFont="1" applyBorder="1" applyAlignment="1">
      <alignment vertical="center" wrapText="1"/>
    </xf>
    <xf numFmtId="0" fontId="11" fillId="0" borderId="20" xfId="3" applyFont="1" applyBorder="1" applyAlignment="1">
      <alignment vertical="center" wrapText="1"/>
    </xf>
    <xf numFmtId="0" fontId="11" fillId="0" borderId="10" xfId="3" applyFont="1" applyBorder="1" applyAlignment="1">
      <alignment vertical="center" wrapText="1"/>
    </xf>
    <xf numFmtId="0" fontId="11" fillId="0" borderId="29" xfId="3" applyFont="1" applyBorder="1" applyAlignment="1">
      <alignment vertical="center" wrapText="1"/>
    </xf>
    <xf numFmtId="0" fontId="3" fillId="0" borderId="43" xfId="10" applyFont="1" applyBorder="1"/>
    <xf numFmtId="0" fontId="3" fillId="0" borderId="44" xfId="2" applyFont="1" applyBorder="1"/>
    <xf numFmtId="177" fontId="3" fillId="0" borderId="44" xfId="18" applyNumberFormat="1" applyFont="1" applyBorder="1"/>
    <xf numFmtId="0" fontId="3" fillId="0" borderId="45" xfId="2" applyFont="1" applyBorder="1"/>
    <xf numFmtId="0" fontId="3" fillId="0" borderId="1" xfId="2" applyFont="1" applyBorder="1" applyAlignment="1">
      <alignment horizontal="center" vertical="center"/>
    </xf>
    <xf numFmtId="0" fontId="3" fillId="2" borderId="1" xfId="2" applyFont="1" applyFill="1" applyBorder="1" applyAlignment="1">
      <alignment horizontal="center" vertical="center"/>
    </xf>
    <xf numFmtId="10" fontId="11" fillId="0" borderId="48" xfId="12" applyNumberFormat="1" applyFont="1" applyBorder="1" applyAlignment="1">
      <alignment horizontal="right" vertical="center"/>
    </xf>
    <xf numFmtId="0" fontId="11" fillId="0" borderId="10" xfId="12" applyFont="1" applyBorder="1" applyAlignment="1">
      <alignment vertical="center"/>
    </xf>
    <xf numFmtId="3" fontId="9" fillId="4" borderId="50" xfId="4" applyNumberFormat="1" applyFont="1" applyFill="1" applyBorder="1" applyAlignment="1">
      <alignment horizontal="center" vertical="center" wrapText="1"/>
    </xf>
    <xf numFmtId="170" fontId="9" fillId="4" borderId="48" xfId="17" applyNumberFormat="1" applyFont="1" applyFill="1" applyBorder="1" applyAlignment="1">
      <alignment horizontal="center" vertical="center"/>
    </xf>
    <xf numFmtId="0" fontId="11" fillId="2" borderId="1" xfId="3" applyFont="1" applyFill="1" applyBorder="1" applyAlignment="1">
      <alignment horizontal="center" vertical="center" wrapText="1"/>
    </xf>
    <xf numFmtId="0" fontId="9" fillId="2" borderId="48" xfId="3" applyFont="1" applyFill="1" applyBorder="1" applyAlignment="1">
      <alignment vertical="center"/>
    </xf>
    <xf numFmtId="0" fontId="9" fillId="2" borderId="34" xfId="3" applyFont="1" applyFill="1" applyBorder="1" applyAlignment="1">
      <alignment vertical="center"/>
    </xf>
    <xf numFmtId="0" fontId="9" fillId="2" borderId="35" xfId="3" applyFont="1" applyFill="1" applyBorder="1" applyAlignment="1">
      <alignment vertical="center"/>
    </xf>
    <xf numFmtId="0" fontId="9" fillId="2" borderId="34" xfId="3" applyFont="1" applyFill="1" applyBorder="1" applyAlignment="1">
      <alignment vertical="center" wrapText="1"/>
    </xf>
    <xf numFmtId="0" fontId="9" fillId="2" borderId="35" xfId="3" applyFont="1" applyFill="1" applyBorder="1" applyAlignment="1">
      <alignment vertical="center" wrapText="1"/>
    </xf>
    <xf numFmtId="0" fontId="9" fillId="2" borderId="48" xfId="3" applyFont="1" applyFill="1" applyBorder="1" applyAlignment="1">
      <alignment horizontal="left" vertical="center"/>
    </xf>
    <xf numFmtId="0" fontId="9" fillId="2" borderId="34" xfId="3" applyFont="1" applyFill="1" applyBorder="1" applyAlignment="1">
      <alignment horizontal="left" vertical="center"/>
    </xf>
    <xf numFmtId="0" fontId="9" fillId="2" borderId="35" xfId="3" applyFont="1" applyFill="1" applyBorder="1" applyAlignment="1">
      <alignment horizontal="left" vertical="center"/>
    </xf>
    <xf numFmtId="44" fontId="11" fillId="2" borderId="1" xfId="1" applyFont="1" applyFill="1" applyBorder="1" applyAlignment="1">
      <alignment horizontal="center" vertical="center" wrapText="1"/>
    </xf>
    <xf numFmtId="173" fontId="3" fillId="0" borderId="0" xfId="10" applyNumberFormat="1" applyFont="1"/>
    <xf numFmtId="175" fontId="3" fillId="0" borderId="0" xfId="10" applyNumberFormat="1" applyFont="1"/>
    <xf numFmtId="10" fontId="11" fillId="5" borderId="16" xfId="13" applyNumberFormat="1" applyFont="1" applyFill="1" applyBorder="1" applyAlignment="1">
      <alignment horizontal="center" vertical="center"/>
    </xf>
    <xf numFmtId="0" fontId="4" fillId="0" borderId="1" xfId="2" applyFont="1" applyBorder="1"/>
    <xf numFmtId="0" fontId="0" fillId="0" borderId="1" xfId="0" applyBorder="1" applyAlignment="1">
      <alignment horizontal="center" vertical="center"/>
    </xf>
    <xf numFmtId="0" fontId="0" fillId="0" borderId="46" xfId="0" applyBorder="1" applyAlignment="1">
      <alignment horizontal="center" vertical="center"/>
    </xf>
    <xf numFmtId="0" fontId="3" fillId="0" borderId="1" xfId="2" applyFont="1" applyBorder="1" applyAlignment="1">
      <alignment vertical="center"/>
    </xf>
    <xf numFmtId="0" fontId="14" fillId="0" borderId="1" xfId="10" applyFont="1" applyBorder="1" applyAlignment="1">
      <alignment vertical="center"/>
    </xf>
    <xf numFmtId="44" fontId="3" fillId="0" borderId="1" xfId="2" applyNumberFormat="1" applyFont="1" applyBorder="1" applyAlignment="1">
      <alignment vertical="center"/>
    </xf>
    <xf numFmtId="44" fontId="14" fillId="0" borderId="1" xfId="10" applyNumberFormat="1" applyFont="1" applyBorder="1" applyAlignment="1">
      <alignment vertical="center"/>
    </xf>
    <xf numFmtId="0" fontId="3" fillId="0" borderId="0" xfId="2" applyFont="1" applyAlignment="1">
      <alignment horizontal="right"/>
    </xf>
    <xf numFmtId="0" fontId="0" fillId="4" borderId="1" xfId="0" applyFill="1" applyBorder="1"/>
    <xf numFmtId="0" fontId="0" fillId="6" borderId="1" xfId="0" applyFill="1" applyBorder="1"/>
    <xf numFmtId="0" fontId="0" fillId="4" borderId="1" xfId="0" applyFill="1" applyBorder="1" applyAlignment="1">
      <alignment wrapText="1"/>
    </xf>
    <xf numFmtId="0" fontId="0" fillId="7" borderId="1" xfId="0" applyFill="1" applyBorder="1"/>
    <xf numFmtId="0" fontId="0" fillId="8" borderId="1" xfId="0" applyFill="1" applyBorder="1"/>
    <xf numFmtId="0" fontId="0" fillId="8" borderId="1" xfId="0" applyFill="1" applyBorder="1" applyAlignment="1">
      <alignment wrapText="1"/>
    </xf>
    <xf numFmtId="0" fontId="11" fillId="2" borderId="0" xfId="3" applyFont="1" applyFill="1" applyAlignment="1">
      <alignment horizontal="center" vertical="center" wrapText="1"/>
    </xf>
    <xf numFmtId="44" fontId="11" fillId="2" borderId="30" xfId="1" applyFont="1" applyFill="1" applyBorder="1" applyAlignment="1">
      <alignment horizontal="center" vertical="center" wrapText="1"/>
    </xf>
    <xf numFmtId="44" fontId="11" fillId="2" borderId="0" xfId="1" applyFont="1" applyFill="1" applyBorder="1" applyAlignment="1">
      <alignment horizontal="center" vertical="center" wrapText="1"/>
    </xf>
    <xf numFmtId="2" fontId="0" fillId="0" borderId="1" xfId="0" applyNumberFormat="1" applyBorder="1" applyAlignment="1">
      <alignment horizontal="center" vertical="center"/>
    </xf>
    <xf numFmtId="0" fontId="0" fillId="0" borderId="1" xfId="0" applyBorder="1" applyAlignment="1">
      <alignment vertical="center"/>
    </xf>
    <xf numFmtId="44" fontId="4" fillId="2" borderId="0" xfId="2" applyNumberFormat="1" applyFont="1" applyFill="1"/>
    <xf numFmtId="44" fontId="0" fillId="0" borderId="1" xfId="1" applyFont="1" applyBorder="1" applyAlignment="1">
      <alignment vertical="center"/>
    </xf>
    <xf numFmtId="44" fontId="0" fillId="0" borderId="0" xfId="0" applyNumberFormat="1"/>
    <xf numFmtId="1" fontId="0" fillId="0" borderId="1" xfId="0" applyNumberFormat="1" applyBorder="1"/>
    <xf numFmtId="44" fontId="0" fillId="0" borderId="0" xfId="1" applyFont="1"/>
    <xf numFmtId="44" fontId="3" fillId="0" borderId="0" xfId="10" applyNumberFormat="1" applyFont="1"/>
    <xf numFmtId="0" fontId="0" fillId="4" borderId="1" xfId="0" applyFill="1" applyBorder="1" applyAlignment="1">
      <alignment vertical="center"/>
    </xf>
    <xf numFmtId="44" fontId="0" fillId="4" borderId="1" xfId="1" applyFont="1" applyFill="1" applyBorder="1" applyAlignment="1">
      <alignment vertical="center"/>
    </xf>
    <xf numFmtId="0" fontId="0" fillId="4" borderId="0" xfId="0" applyFill="1"/>
    <xf numFmtId="0" fontId="0" fillId="9" borderId="1" xfId="0" applyFill="1" applyBorder="1" applyAlignment="1">
      <alignment vertical="center"/>
    </xf>
    <xf numFmtId="44" fontId="0" fillId="9" borderId="1" xfId="1" applyFont="1" applyFill="1" applyBorder="1" applyAlignment="1">
      <alignment vertical="center"/>
    </xf>
    <xf numFmtId="0" fontId="0" fillId="0" borderId="1" xfId="0" applyBorder="1" applyAlignment="1">
      <alignment wrapText="1"/>
    </xf>
    <xf numFmtId="1" fontId="0" fillId="0" borderId="0" xfId="0" applyNumberFormat="1"/>
    <xf numFmtId="44" fontId="0" fillId="0" borderId="1" xfId="1" applyFont="1" applyFill="1" applyBorder="1" applyAlignment="1">
      <alignment vertical="center"/>
    </xf>
    <xf numFmtId="0" fontId="0" fillId="8" borderId="0" xfId="0" applyFill="1"/>
    <xf numFmtId="0" fontId="0" fillId="0" borderId="0" xfId="0" applyAlignment="1">
      <alignment vertical="center"/>
    </xf>
    <xf numFmtId="2" fontId="11" fillId="2" borderId="1" xfId="3" applyNumberFormat="1" applyFont="1" applyFill="1" applyBorder="1" applyAlignment="1">
      <alignment horizontal="center" vertical="center" wrapText="1"/>
    </xf>
    <xf numFmtId="0" fontId="11" fillId="2" borderId="50" xfId="3" applyFont="1" applyFill="1" applyBorder="1" applyAlignment="1">
      <alignment horizontal="center" vertical="center" wrapText="1"/>
    </xf>
    <xf numFmtId="0" fontId="11" fillId="2" borderId="54" xfId="3" applyFont="1" applyFill="1" applyBorder="1" applyAlignment="1">
      <alignment horizontal="center" vertical="center" wrapText="1"/>
    </xf>
    <xf numFmtId="2" fontId="11" fillId="2" borderId="54" xfId="3" applyNumberFormat="1" applyFont="1" applyFill="1" applyBorder="1" applyAlignment="1">
      <alignment horizontal="center" vertical="center" wrapText="1"/>
    </xf>
    <xf numFmtId="44" fontId="11" fillId="2" borderId="54" xfId="1" applyFont="1" applyFill="1" applyBorder="1" applyAlignment="1">
      <alignment horizontal="center" vertical="center" wrapText="1"/>
    </xf>
    <xf numFmtId="44" fontId="11" fillId="2" borderId="55" xfId="1" applyFont="1" applyFill="1" applyBorder="1" applyAlignment="1">
      <alignment horizontal="center" vertical="center" wrapText="1"/>
    </xf>
    <xf numFmtId="0" fontId="11" fillId="2" borderId="57" xfId="3" applyFont="1" applyFill="1" applyBorder="1" applyAlignment="1">
      <alignment horizontal="center" vertical="center" wrapText="1"/>
    </xf>
    <xf numFmtId="0" fontId="11" fillId="2" borderId="53" xfId="3" applyFont="1" applyFill="1" applyBorder="1" applyAlignment="1">
      <alignment horizontal="center" vertical="center" wrapText="1"/>
    </xf>
    <xf numFmtId="2" fontId="11" fillId="2" borderId="53" xfId="3" applyNumberFormat="1" applyFont="1" applyFill="1" applyBorder="1" applyAlignment="1">
      <alignment horizontal="center" vertical="center" wrapText="1"/>
    </xf>
    <xf numFmtId="44" fontId="11" fillId="2" borderId="41" xfId="1" applyFont="1" applyFill="1" applyBorder="1" applyAlignment="1">
      <alignment horizontal="center" vertical="center" wrapText="1"/>
    </xf>
    <xf numFmtId="0" fontId="9" fillId="0" borderId="1" xfId="3" applyFont="1" applyBorder="1" applyAlignment="1">
      <alignment horizontal="right" vertical="center"/>
    </xf>
    <xf numFmtId="169" fontId="9" fillId="0" borderId="1" xfId="3" applyNumberFormat="1" applyFont="1" applyBorder="1" applyAlignment="1">
      <alignment vertical="center"/>
    </xf>
    <xf numFmtId="0" fontId="9" fillId="0" borderId="46" xfId="3" applyFont="1" applyBorder="1" applyAlignment="1">
      <alignment horizontal="right" vertical="center"/>
    </xf>
    <xf numFmtId="169" fontId="9" fillId="0" borderId="46" xfId="3" applyNumberFormat="1" applyFont="1" applyBorder="1" applyAlignment="1">
      <alignment vertical="center"/>
    </xf>
    <xf numFmtId="0" fontId="9" fillId="0" borderId="57" xfId="3" applyFont="1" applyBorder="1" applyAlignment="1">
      <alignment horizontal="right" vertical="center"/>
    </xf>
    <xf numFmtId="0" fontId="9" fillId="0" borderId="53" xfId="3" applyFont="1" applyBorder="1" applyAlignment="1">
      <alignment horizontal="right" vertical="center"/>
    </xf>
    <xf numFmtId="169" fontId="9" fillId="0" borderId="41" xfId="3" applyNumberFormat="1" applyFont="1" applyBorder="1" applyAlignment="1">
      <alignment vertical="center"/>
    </xf>
    <xf numFmtId="169" fontId="9" fillId="3" borderId="59" xfId="3" applyNumberFormat="1" applyFont="1" applyFill="1" applyBorder="1" applyAlignment="1">
      <alignment vertical="center"/>
    </xf>
    <xf numFmtId="0" fontId="1" fillId="0" borderId="0" xfId="19" applyAlignment="1">
      <alignment horizontal="center"/>
    </xf>
    <xf numFmtId="0" fontId="1" fillId="0" borderId="0" xfId="19"/>
    <xf numFmtId="0" fontId="16" fillId="0" borderId="0" xfId="19" applyFont="1" applyAlignment="1">
      <alignment horizontal="right" vertical="center" wrapText="1"/>
    </xf>
    <xf numFmtId="15" fontId="16" fillId="0" borderId="0" xfId="19" applyNumberFormat="1" applyFont="1" applyAlignment="1">
      <alignment horizontal="center" vertical="center" wrapText="1"/>
    </xf>
    <xf numFmtId="0" fontId="17" fillId="2" borderId="0" xfId="19" applyFont="1" applyFill="1" applyAlignment="1">
      <alignment horizontal="center" vertical="center"/>
    </xf>
    <xf numFmtId="0" fontId="17" fillId="2" borderId="12" xfId="19" applyFont="1" applyFill="1" applyBorder="1" applyAlignment="1">
      <alignment horizontal="center" vertical="center"/>
    </xf>
    <xf numFmtId="166" fontId="17" fillId="2" borderId="0" xfId="21" applyFont="1" applyFill="1" applyBorder="1" applyAlignment="1">
      <alignment horizontal="center" vertical="center"/>
    </xf>
    <xf numFmtId="3" fontId="19" fillId="0" borderId="12" xfId="19" applyNumberFormat="1" applyFont="1" applyBorder="1" applyAlignment="1">
      <alignment vertical="center"/>
    </xf>
    <xf numFmtId="14" fontId="17" fillId="2" borderId="14" xfId="19" applyNumberFormat="1" applyFont="1" applyFill="1" applyBorder="1" applyAlignment="1">
      <alignment horizontal="center" vertical="center"/>
    </xf>
    <xf numFmtId="41" fontId="17" fillId="2" borderId="0" xfId="19" applyNumberFormat="1" applyFont="1" applyFill="1" applyAlignment="1">
      <alignment horizontal="center" vertical="center"/>
    </xf>
    <xf numFmtId="0" fontId="17" fillId="2" borderId="15" xfId="19" applyFont="1" applyFill="1" applyBorder="1" applyAlignment="1">
      <alignment horizontal="center" vertical="center"/>
    </xf>
    <xf numFmtId="0" fontId="21" fillId="4" borderId="1" xfId="19" applyFont="1" applyFill="1" applyBorder="1" applyAlignment="1">
      <alignment horizontal="center" vertical="center" wrapText="1"/>
    </xf>
    <xf numFmtId="0" fontId="20" fillId="4" borderId="16" xfId="19" applyFont="1" applyFill="1" applyBorder="1" applyAlignment="1">
      <alignment horizontal="center" vertical="center" wrapText="1"/>
    </xf>
    <xf numFmtId="9" fontId="17" fillId="2" borderId="0" xfId="23" applyFont="1" applyFill="1" applyBorder="1" applyAlignment="1">
      <alignment horizontal="center" vertical="center"/>
    </xf>
    <xf numFmtId="0" fontId="17" fillId="2" borderId="17" xfId="19" applyFont="1" applyFill="1" applyBorder="1" applyAlignment="1">
      <alignment horizontal="center" vertical="center"/>
    </xf>
    <xf numFmtId="0" fontId="17" fillId="2" borderId="20" xfId="19" applyFont="1" applyFill="1" applyBorder="1" applyAlignment="1">
      <alignment horizontal="center" vertical="center"/>
    </xf>
    <xf numFmtId="0" fontId="17" fillId="2" borderId="21" xfId="19" applyFont="1" applyFill="1" applyBorder="1" applyAlignment="1">
      <alignment horizontal="center" vertical="center"/>
    </xf>
    <xf numFmtId="0" fontId="20" fillId="0" borderId="0" xfId="19" applyFont="1" applyAlignment="1">
      <alignment horizontal="center"/>
    </xf>
    <xf numFmtId="0" fontId="20" fillId="0" borderId="0" xfId="19" applyFont="1"/>
    <xf numFmtId="9" fontId="20" fillId="0" borderId="0" xfId="23" applyFont="1"/>
    <xf numFmtId="0" fontId="20" fillId="0" borderId="1" xfId="19" applyFont="1" applyBorder="1" applyAlignment="1">
      <alignment vertical="center" wrapText="1"/>
    </xf>
    <xf numFmtId="166" fontId="20" fillId="0" borderId="1" xfId="19" applyNumberFormat="1" applyFont="1" applyBorder="1" applyAlignment="1">
      <alignment horizontal="right" vertical="center" wrapText="1"/>
    </xf>
    <xf numFmtId="4" fontId="20" fillId="0" borderId="1" xfId="19" applyNumberFormat="1" applyFont="1" applyBorder="1" applyAlignment="1">
      <alignment horizontal="center" vertical="center" wrapText="1"/>
    </xf>
    <xf numFmtId="0" fontId="20" fillId="0" borderId="1" xfId="19" applyFont="1" applyBorder="1" applyAlignment="1">
      <alignment horizontal="center" vertical="center" wrapText="1"/>
    </xf>
    <xf numFmtId="0" fontId="1" fillId="0" borderId="0" xfId="19" applyAlignment="1">
      <alignment vertical="center"/>
    </xf>
    <xf numFmtId="164" fontId="20" fillId="0" borderId="1" xfId="19" applyNumberFormat="1" applyFont="1" applyBorder="1" applyAlignment="1">
      <alignment horizontal="right" vertical="center" wrapText="1"/>
    </xf>
    <xf numFmtId="9" fontId="20" fillId="0" borderId="1" xfId="23" applyFont="1" applyFill="1" applyBorder="1" applyAlignment="1">
      <alignment horizontal="center" vertical="center" wrapText="1"/>
    </xf>
    <xf numFmtId="0" fontId="20" fillId="0" borderId="0" xfId="19" applyFont="1" applyAlignment="1">
      <alignment horizontal="center" vertical="center" wrapText="1"/>
    </xf>
    <xf numFmtId="0" fontId="17" fillId="0" borderId="42" xfId="19" applyFont="1" applyBorder="1" applyAlignment="1">
      <alignment horizontal="center" vertical="center" wrapText="1"/>
    </xf>
    <xf numFmtId="0" fontId="17" fillId="0" borderId="0" xfId="19" applyFont="1" applyAlignment="1">
      <alignment vertical="center" wrapText="1"/>
    </xf>
    <xf numFmtId="9" fontId="17" fillId="0" borderId="0" xfId="23" applyFont="1" applyBorder="1" applyAlignment="1">
      <alignment vertical="center" wrapText="1"/>
    </xf>
    <xf numFmtId="165" fontId="17" fillId="0" borderId="0" xfId="19" applyNumberFormat="1" applyFont="1" applyAlignment="1">
      <alignment horizontal="justify" vertical="center" wrapText="1"/>
    </xf>
    <xf numFmtId="0" fontId="17" fillId="0" borderId="0" xfId="19" applyFont="1" applyAlignment="1">
      <alignment horizontal="center" vertical="center" wrapText="1"/>
    </xf>
    <xf numFmtId="164" fontId="20" fillId="0" borderId="0" xfId="19" applyNumberFormat="1" applyFont="1" applyAlignment="1">
      <alignment horizontal="right" vertical="center" wrapText="1"/>
    </xf>
    <xf numFmtId="10" fontId="20" fillId="4" borderId="1" xfId="23" applyNumberFormat="1" applyFont="1" applyFill="1" applyBorder="1" applyAlignment="1">
      <alignment horizontal="center" vertical="center" wrapText="1"/>
    </xf>
    <xf numFmtId="0" fontId="17" fillId="0" borderId="1" xfId="19" applyFont="1" applyBorder="1" applyAlignment="1">
      <alignment vertical="center" wrapText="1"/>
    </xf>
    <xf numFmtId="9" fontId="17" fillId="4" borderId="1" xfId="23" applyFont="1" applyFill="1" applyBorder="1" applyAlignment="1">
      <alignment horizontal="center" vertical="center" wrapText="1"/>
    </xf>
    <xf numFmtId="9" fontId="17" fillId="4" borderId="1" xfId="19" applyNumberFormat="1" applyFont="1" applyFill="1" applyBorder="1" applyAlignment="1">
      <alignment horizontal="center" vertical="center" wrapText="1"/>
    </xf>
    <xf numFmtId="2" fontId="17" fillId="0" borderId="1" xfId="19" applyNumberFormat="1" applyFont="1" applyBorder="1" applyAlignment="1">
      <alignment horizontal="center" vertical="center" wrapText="1"/>
    </xf>
    <xf numFmtId="9" fontId="1" fillId="0" borderId="0" xfId="23" applyFont="1"/>
    <xf numFmtId="166" fontId="1" fillId="0" borderId="0" xfId="19" applyNumberFormat="1"/>
    <xf numFmtId="0" fontId="6" fillId="0" borderId="35" xfId="12" applyBorder="1" applyAlignment="1">
      <alignment horizontal="center"/>
    </xf>
    <xf numFmtId="0" fontId="6" fillId="0" borderId="0" xfId="12"/>
    <xf numFmtId="0" fontId="22" fillId="0" borderId="0" xfId="12" applyFont="1" applyAlignment="1">
      <alignment vertical="center" wrapText="1"/>
    </xf>
    <xf numFmtId="0" fontId="23" fillId="11" borderId="39" xfId="19" applyFont="1" applyFill="1" applyBorder="1" applyAlignment="1">
      <alignment horizontal="center"/>
    </xf>
    <xf numFmtId="0" fontId="23" fillId="0" borderId="0" xfId="19" applyFont="1" applyAlignment="1">
      <alignment horizontal="center"/>
    </xf>
    <xf numFmtId="0" fontId="23" fillId="0" borderId="1" xfId="19" applyFont="1" applyBorder="1"/>
    <xf numFmtId="10" fontId="23" fillId="0" borderId="1" xfId="25" applyNumberFormat="1" applyFont="1" applyBorder="1"/>
    <xf numFmtId="0" fontId="23" fillId="0" borderId="0" xfId="19" applyFont="1"/>
    <xf numFmtId="0" fontId="1" fillId="0" borderId="1" xfId="19" applyBorder="1"/>
    <xf numFmtId="10" fontId="24" fillId="0" borderId="1" xfId="25" applyNumberFormat="1" applyFont="1" applyBorder="1"/>
    <xf numFmtId="9" fontId="1" fillId="0" borderId="1" xfId="25" applyFont="1" applyBorder="1"/>
    <xf numFmtId="9" fontId="1" fillId="0" borderId="1" xfId="19" applyNumberFormat="1" applyBorder="1"/>
    <xf numFmtId="10" fontId="1" fillId="0" borderId="1" xfId="19" applyNumberFormat="1" applyBorder="1"/>
    <xf numFmtId="10" fontId="23" fillId="0" borderId="1" xfId="19" applyNumberFormat="1" applyFont="1" applyBorder="1"/>
    <xf numFmtId="9" fontId="23" fillId="0" borderId="1" xfId="19" applyNumberFormat="1" applyFont="1" applyBorder="1"/>
    <xf numFmtId="0" fontId="6" fillId="0" borderId="0" xfId="22" applyAlignment="1">
      <alignment horizontal="center" vertical="center"/>
    </xf>
    <xf numFmtId="0" fontId="6" fillId="0" borderId="0" xfId="22" applyAlignment="1">
      <alignment vertical="center"/>
    </xf>
    <xf numFmtId="0" fontId="6" fillId="0" borderId="0" xfId="22"/>
    <xf numFmtId="0" fontId="11" fillId="0" borderId="0" xfId="22" applyFont="1" applyAlignment="1">
      <alignment vertical="center"/>
    </xf>
    <xf numFmtId="0" fontId="11" fillId="0" borderId="0" xfId="22" applyFont="1" applyAlignment="1">
      <alignment horizontal="center" vertical="center"/>
    </xf>
    <xf numFmtId="0" fontId="6" fillId="0" borderId="69" xfId="22" applyBorder="1" applyAlignment="1">
      <alignment vertical="top" wrapText="1"/>
    </xf>
    <xf numFmtId="0" fontId="6" fillId="0" borderId="67" xfId="22" applyBorder="1" applyAlignment="1">
      <alignment vertical="top" wrapText="1"/>
    </xf>
    <xf numFmtId="0" fontId="25" fillId="0" borderId="50" xfId="28" applyFont="1" applyBorder="1" applyAlignment="1">
      <alignment horizontal="center" vertical="center" wrapText="1"/>
    </xf>
    <xf numFmtId="0" fontId="6" fillId="0" borderId="54" xfId="28" applyBorder="1" applyAlignment="1">
      <alignment horizontal="left" vertical="center"/>
    </xf>
    <xf numFmtId="0" fontId="6" fillId="0" borderId="54" xfId="28" applyBorder="1" applyAlignment="1">
      <alignment horizontal="center" vertical="center"/>
    </xf>
    <xf numFmtId="178" fontId="6" fillId="0" borderId="54" xfId="28" applyNumberFormat="1" applyBorder="1" applyAlignment="1">
      <alignment horizontal="center" vertical="center"/>
    </xf>
    <xf numFmtId="2" fontId="6" fillId="0" borderId="54" xfId="29" applyNumberFormat="1" applyFont="1" applyFill="1" applyBorder="1" applyAlignment="1">
      <alignment horizontal="center" vertical="center"/>
    </xf>
    <xf numFmtId="2" fontId="6" fillId="0" borderId="54" xfId="28" applyNumberFormat="1" applyBorder="1" applyAlignment="1">
      <alignment horizontal="center" vertical="center"/>
    </xf>
    <xf numFmtId="184" fontId="6" fillId="0" borderId="54" xfId="28" applyNumberFormat="1" applyBorder="1" applyAlignment="1">
      <alignment horizontal="right" vertical="center"/>
    </xf>
    <xf numFmtId="180" fontId="6" fillId="0" borderId="54" xfId="28" applyNumberFormat="1" applyBorder="1" applyAlignment="1">
      <alignment horizontal="center" vertical="center"/>
    </xf>
    <xf numFmtId="185" fontId="6" fillId="0" borderId="55" xfId="30" applyNumberFormat="1" applyFont="1" applyFill="1" applyBorder="1" applyAlignment="1">
      <alignment horizontal="right" vertical="center"/>
    </xf>
    <xf numFmtId="0" fontId="25" fillId="0" borderId="48" xfId="27" applyFont="1" applyBorder="1" applyAlignment="1">
      <alignment vertical="center"/>
    </xf>
    <xf numFmtId="0" fontId="25" fillId="0" borderId="34" xfId="27" applyFont="1" applyBorder="1" applyAlignment="1">
      <alignment vertical="center"/>
    </xf>
    <xf numFmtId="0" fontId="25" fillId="0" borderId="34" xfId="27" applyFont="1" applyBorder="1" applyAlignment="1">
      <alignment horizontal="center" vertical="center"/>
    </xf>
    <xf numFmtId="185" fontId="25" fillId="0" borderId="35" xfId="27" applyNumberFormat="1" applyFont="1" applyBorder="1" applyAlignment="1">
      <alignment vertical="center"/>
    </xf>
    <xf numFmtId="0" fontId="25" fillId="5" borderId="1" xfId="28" applyFont="1" applyFill="1" applyBorder="1" applyAlignment="1">
      <alignment horizontal="center" vertical="center"/>
    </xf>
    <xf numFmtId="0" fontId="26" fillId="5" borderId="1" xfId="28" applyFont="1" applyFill="1" applyBorder="1" applyAlignment="1">
      <alignment horizontal="center" vertical="center"/>
    </xf>
    <xf numFmtId="0" fontId="26" fillId="5" borderId="1" xfId="28" applyFont="1" applyFill="1" applyBorder="1" applyAlignment="1">
      <alignment horizontal="center" vertical="center" wrapText="1"/>
    </xf>
    <xf numFmtId="0" fontId="27" fillId="5" borderId="1" xfId="28" applyFont="1" applyFill="1" applyBorder="1" applyAlignment="1">
      <alignment horizontal="center" vertical="center" wrapText="1"/>
    </xf>
    <xf numFmtId="185" fontId="25" fillId="5" borderId="1" xfId="28" applyNumberFormat="1" applyFont="1" applyFill="1" applyBorder="1" applyAlignment="1">
      <alignment horizontal="center" vertical="center" wrapText="1"/>
    </xf>
    <xf numFmtId="184" fontId="25" fillId="5" borderId="1" xfId="28" applyNumberFormat="1" applyFont="1" applyFill="1" applyBorder="1" applyAlignment="1">
      <alignment horizontal="center" vertical="center" wrapText="1"/>
    </xf>
    <xf numFmtId="0" fontId="25" fillId="0" borderId="1" xfId="28" applyFont="1" applyBorder="1" applyAlignment="1">
      <alignment horizontal="center" vertical="center" wrapText="1"/>
    </xf>
    <xf numFmtId="180" fontId="6" fillId="0" borderId="1" xfId="28" applyNumberFormat="1" applyBorder="1" applyAlignment="1">
      <alignment horizontal="center" vertical="center"/>
    </xf>
    <xf numFmtId="0" fontId="25" fillId="0" borderId="48" xfId="28" applyFont="1" applyBorder="1" applyAlignment="1">
      <alignment horizontal="center" vertical="center" wrapText="1"/>
    </xf>
    <xf numFmtId="0" fontId="6" fillId="0" borderId="34" xfId="28" applyBorder="1" applyAlignment="1">
      <alignment horizontal="left" vertical="center"/>
    </xf>
    <xf numFmtId="0" fontId="6" fillId="0" borderId="34" xfId="28" applyBorder="1" applyAlignment="1">
      <alignment horizontal="center" vertical="center"/>
    </xf>
    <xf numFmtId="1" fontId="6" fillId="0" borderId="34" xfId="28" applyNumberFormat="1" applyBorder="1" applyAlignment="1">
      <alignment horizontal="center" vertical="center"/>
    </xf>
    <xf numFmtId="2" fontId="6" fillId="0" borderId="34" xfId="29" applyNumberFormat="1" applyFont="1" applyFill="1" applyBorder="1" applyAlignment="1">
      <alignment horizontal="center" vertical="center"/>
    </xf>
    <xf numFmtId="2" fontId="6" fillId="0" borderId="34" xfId="28" applyNumberFormat="1" applyBorder="1" applyAlignment="1">
      <alignment horizontal="center" vertical="center"/>
    </xf>
    <xf numFmtId="184" fontId="6" fillId="0" borderId="34" xfId="28" applyNumberFormat="1" applyBorder="1" applyAlignment="1">
      <alignment horizontal="right" vertical="center"/>
    </xf>
    <xf numFmtId="180" fontId="6" fillId="0" borderId="34" xfId="28" applyNumberFormat="1" applyBorder="1" applyAlignment="1">
      <alignment horizontal="center" vertical="center"/>
    </xf>
    <xf numFmtId="185" fontId="6" fillId="0" borderId="35" xfId="30" applyNumberFormat="1" applyFont="1" applyFill="1" applyBorder="1" applyAlignment="1">
      <alignment horizontal="right" vertical="center"/>
    </xf>
    <xf numFmtId="185" fontId="11" fillId="0" borderId="0" xfId="22" applyNumberFormat="1" applyFont="1" applyAlignment="1">
      <alignment vertical="center"/>
    </xf>
    <xf numFmtId="186" fontId="6" fillId="0" borderId="1" xfId="31" applyNumberFormat="1" applyFont="1" applyFill="1" applyBorder="1" applyAlignment="1">
      <alignment horizontal="center" vertical="center"/>
    </xf>
    <xf numFmtId="0" fontId="6" fillId="12" borderId="39" xfId="28" applyFill="1" applyBorder="1" applyAlignment="1">
      <alignment horizontal="center" vertical="center"/>
    </xf>
    <xf numFmtId="1" fontId="6" fillId="12" borderId="39" xfId="28" applyNumberFormat="1" applyFill="1" applyBorder="1" applyAlignment="1">
      <alignment horizontal="center" vertical="center"/>
    </xf>
    <xf numFmtId="2" fontId="6" fillId="12" borderId="39" xfId="29" applyNumberFormat="1" applyFont="1" applyFill="1" applyBorder="1" applyAlignment="1">
      <alignment horizontal="center" vertical="center"/>
    </xf>
    <xf numFmtId="2" fontId="6" fillId="0" borderId="39" xfId="28" applyNumberFormat="1" applyBorder="1" applyAlignment="1">
      <alignment horizontal="center" vertical="center"/>
    </xf>
    <xf numFmtId="184" fontId="6" fillId="2" borderId="39" xfId="28" applyNumberFormat="1" applyFill="1" applyBorder="1" applyAlignment="1">
      <alignment horizontal="right" vertical="center"/>
    </xf>
    <xf numFmtId="185" fontId="6" fillId="0" borderId="39" xfId="30" applyNumberFormat="1" applyFont="1" applyFill="1" applyBorder="1" applyAlignment="1">
      <alignment horizontal="right" vertical="center"/>
    </xf>
    <xf numFmtId="0" fontId="25" fillId="0" borderId="0" xfId="28" applyFont="1" applyAlignment="1">
      <alignment vertical="center"/>
    </xf>
    <xf numFmtId="185" fontId="25" fillId="0" borderId="1" xfId="30" applyNumberFormat="1" applyFont="1" applyFill="1" applyBorder="1" applyAlignment="1">
      <alignment horizontal="right" vertical="center"/>
    </xf>
    <xf numFmtId="0" fontId="25" fillId="0" borderId="0" xfId="28" applyFont="1" applyAlignment="1">
      <alignment horizontal="center" vertical="center"/>
    </xf>
    <xf numFmtId="185" fontId="25" fillId="0" borderId="0" xfId="30" applyNumberFormat="1" applyFont="1" applyFill="1" applyBorder="1" applyAlignment="1">
      <alignment horizontal="right" vertical="center"/>
    </xf>
    <xf numFmtId="0" fontId="25" fillId="5" borderId="39" xfId="22" applyFont="1" applyFill="1" applyBorder="1" applyAlignment="1">
      <alignment horizontal="center" vertical="center"/>
    </xf>
    <xf numFmtId="0" fontId="25" fillId="0" borderId="1" xfId="22" applyFont="1" applyBorder="1" applyAlignment="1">
      <alignment horizontal="center" vertical="center" wrapText="1"/>
    </xf>
    <xf numFmtId="0" fontId="6" fillId="0" borderId="1" xfId="22" applyBorder="1" applyAlignment="1">
      <alignment horizontal="justify" vertical="center" wrapText="1"/>
    </xf>
    <xf numFmtId="0" fontId="25" fillId="0" borderId="0" xfId="28" applyFont="1" applyAlignment="1">
      <alignment vertical="center" wrapText="1"/>
    </xf>
    <xf numFmtId="0" fontId="25" fillId="0" borderId="0" xfId="28" applyFont="1" applyAlignment="1">
      <alignment horizontal="center" vertical="center" wrapText="1"/>
    </xf>
    <xf numFmtId="0" fontId="11" fillId="0" borderId="53" xfId="22" applyFont="1" applyBorder="1" applyAlignment="1">
      <alignment vertical="center"/>
    </xf>
    <xf numFmtId="0" fontId="25" fillId="0" borderId="53" xfId="28" applyFont="1" applyBorder="1" applyAlignment="1">
      <alignment vertical="center" wrapText="1"/>
    </xf>
    <xf numFmtId="2" fontId="25" fillId="0" borderId="1" xfId="28" applyNumberFormat="1" applyFont="1" applyBorder="1" applyAlignment="1">
      <alignment horizontal="center" vertical="center"/>
    </xf>
    <xf numFmtId="0" fontId="25" fillId="10" borderId="1" xfId="28" applyFont="1" applyFill="1" applyBorder="1" applyAlignment="1">
      <alignment horizontal="center" vertical="center"/>
    </xf>
    <xf numFmtId="0" fontId="25" fillId="10" borderId="48" xfId="28" applyFont="1" applyFill="1" applyBorder="1" applyAlignment="1">
      <alignment vertical="center"/>
    </xf>
    <xf numFmtId="0" fontId="25" fillId="10" borderId="34" xfId="28" applyFont="1" applyFill="1" applyBorder="1" applyAlignment="1">
      <alignment vertical="center"/>
    </xf>
    <xf numFmtId="0" fontId="6" fillId="10" borderId="34" xfId="28" applyFill="1" applyBorder="1" applyAlignment="1">
      <alignment vertical="center"/>
    </xf>
    <xf numFmtId="0" fontId="6" fillId="10" borderId="35" xfId="28" applyFill="1" applyBorder="1" applyAlignment="1">
      <alignment vertical="center"/>
    </xf>
    <xf numFmtId="186" fontId="6" fillId="10" borderId="1" xfId="31" applyNumberFormat="1" applyFont="1" applyFill="1" applyBorder="1" applyAlignment="1">
      <alignment horizontal="center" vertical="center" wrapText="1"/>
    </xf>
    <xf numFmtId="178" fontId="6" fillId="10" borderId="48" xfId="27" applyNumberFormat="1" applyFill="1" applyBorder="1" applyAlignment="1">
      <alignment horizontal="center" vertical="center" wrapText="1"/>
    </xf>
    <xf numFmtId="178" fontId="6" fillId="10" borderId="35" xfId="27" applyNumberFormat="1" applyFill="1" applyBorder="1" applyAlignment="1">
      <alignment horizontal="center" vertical="center" wrapText="1"/>
    </xf>
    <xf numFmtId="10" fontId="9" fillId="0" borderId="1" xfId="33" applyNumberFormat="1" applyFont="1" applyFill="1" applyBorder="1" applyAlignment="1">
      <alignment horizontal="right" vertical="center"/>
    </xf>
    <xf numFmtId="0" fontId="6" fillId="0" borderId="0" xfId="22" applyAlignment="1">
      <alignment vertical="top" wrapText="1"/>
    </xf>
    <xf numFmtId="0" fontId="6" fillId="0" borderId="30" xfId="22" applyBorder="1" applyAlignment="1">
      <alignment vertical="top" wrapText="1"/>
    </xf>
    <xf numFmtId="0" fontId="6" fillId="0" borderId="54" xfId="22" applyBorder="1" applyAlignment="1">
      <alignment vertical="center"/>
    </xf>
    <xf numFmtId="0" fontId="25" fillId="0" borderId="12" xfId="22" applyFont="1" applyBorder="1" applyAlignment="1">
      <alignment vertical="center"/>
    </xf>
    <xf numFmtId="0" fontId="26" fillId="0" borderId="18" xfId="34" applyFont="1" applyBorder="1" applyAlignment="1">
      <alignment horizontal="center" vertical="center"/>
    </xf>
    <xf numFmtId="0" fontId="6" fillId="0" borderId="37" xfId="22" applyBorder="1" applyAlignment="1">
      <alignment vertical="center"/>
    </xf>
    <xf numFmtId="0" fontId="25" fillId="0" borderId="17" xfId="22" applyFont="1" applyBorder="1" applyAlignment="1">
      <alignment vertical="center"/>
    </xf>
    <xf numFmtId="0" fontId="26" fillId="0" borderId="0" xfId="34" applyFont="1" applyAlignment="1">
      <alignment horizontal="center" vertical="center" wrapText="1"/>
    </xf>
    <xf numFmtId="0" fontId="8" fillId="0" borderId="0" xfId="34" applyFont="1" applyAlignment="1">
      <alignment vertical="center"/>
    </xf>
    <xf numFmtId="0" fontId="8" fillId="0" borderId="0" xfId="34" applyFont="1" applyAlignment="1">
      <alignment horizontal="center" vertical="center"/>
    </xf>
    <xf numFmtId="0" fontId="26" fillId="10" borderId="1" xfId="34" applyFont="1" applyFill="1" applyBorder="1" applyAlignment="1">
      <alignment horizontal="center" vertical="center"/>
    </xf>
    <xf numFmtId="0" fontId="7" fillId="0" borderId="0" xfId="34" applyFont="1" applyAlignment="1">
      <alignment horizontal="center" vertical="center"/>
    </xf>
    <xf numFmtId="0" fontId="26" fillId="10" borderId="1" xfId="34" applyFont="1" applyFill="1" applyBorder="1" applyAlignment="1">
      <alignment horizontal="center" vertical="center" wrapText="1"/>
    </xf>
    <xf numFmtId="0" fontId="26" fillId="10" borderId="34" xfId="34" applyFont="1" applyFill="1" applyBorder="1" applyAlignment="1">
      <alignment horizontal="left" vertical="center" wrapText="1"/>
    </xf>
    <xf numFmtId="0" fontId="28" fillId="10" borderId="34" xfId="34" applyFont="1" applyFill="1" applyBorder="1" applyAlignment="1">
      <alignment vertical="center" wrapText="1"/>
    </xf>
    <xf numFmtId="0" fontId="28" fillId="10" borderId="35" xfId="34" applyFont="1" applyFill="1" applyBorder="1" applyAlignment="1">
      <alignment vertical="center" wrapText="1"/>
    </xf>
    <xf numFmtId="179" fontId="8" fillId="0" borderId="1" xfId="34" applyNumberFormat="1" applyFont="1" applyBorder="1" applyAlignment="1">
      <alignment horizontal="center" vertical="center"/>
    </xf>
    <xf numFmtId="0" fontId="28" fillId="0" borderId="48" xfId="34" applyFont="1" applyBorder="1" applyAlignment="1">
      <alignment horizontal="left" vertical="center"/>
    </xf>
    <xf numFmtId="0" fontId="28" fillId="0" borderId="34" xfId="34" applyFont="1" applyBorder="1" applyAlignment="1">
      <alignment horizontal="left" vertical="center"/>
    </xf>
    <xf numFmtId="0" fontId="28" fillId="0" borderId="35" xfId="34" applyFont="1" applyBorder="1" applyAlignment="1">
      <alignment horizontal="left" vertical="center"/>
    </xf>
    <xf numFmtId="191" fontId="28" fillId="0" borderId="1" xfId="34" applyNumberFormat="1" applyFont="1" applyBorder="1" applyAlignment="1">
      <alignment horizontal="right" vertical="center" wrapText="1"/>
    </xf>
    <xf numFmtId="191" fontId="8" fillId="0" borderId="0" xfId="34" applyNumberFormat="1" applyFont="1" applyAlignment="1">
      <alignment vertical="center"/>
    </xf>
    <xf numFmtId="191" fontId="26" fillId="0" borderId="1" xfId="34" applyNumberFormat="1" applyFont="1" applyBorder="1" applyAlignment="1">
      <alignment vertical="center"/>
    </xf>
    <xf numFmtId="37" fontId="26" fillId="0" borderId="0" xfId="34" applyNumberFormat="1" applyFont="1" applyAlignment="1">
      <alignment vertical="center"/>
    </xf>
    <xf numFmtId="0" fontId="7" fillId="0" borderId="0" xfId="34" applyFont="1" applyAlignment="1">
      <alignment vertical="center"/>
    </xf>
    <xf numFmtId="0" fontId="28" fillId="0" borderId="1" xfId="34" applyFont="1" applyBorder="1" applyAlignment="1">
      <alignment vertical="center" wrapText="1"/>
    </xf>
    <xf numFmtId="192" fontId="28" fillId="0" borderId="1" xfId="34" applyNumberFormat="1" applyFont="1" applyBorder="1" applyAlignment="1">
      <alignment horizontal="center" vertical="center" wrapText="1"/>
    </xf>
    <xf numFmtId="0" fontId="31" fillId="0" borderId="0" xfId="22" applyFont="1"/>
    <xf numFmtId="193" fontId="8" fillId="0" borderId="0" xfId="34" applyNumberFormat="1" applyFont="1" applyAlignment="1">
      <alignment vertical="center"/>
    </xf>
    <xf numFmtId="10" fontId="31" fillId="0" borderId="0" xfId="22" applyNumberFormat="1" applyFont="1"/>
    <xf numFmtId="0" fontId="30" fillId="0" borderId="1" xfId="34" applyFont="1" applyBorder="1" applyAlignment="1">
      <alignment horizontal="center" vertical="center" wrapText="1"/>
    </xf>
    <xf numFmtId="181" fontId="8" fillId="0" borderId="0" xfId="34" applyNumberFormat="1" applyFont="1" applyAlignment="1">
      <alignment vertical="center"/>
    </xf>
    <xf numFmtId="43" fontId="8" fillId="0" borderId="0" xfId="36" applyFont="1" applyFill="1" applyAlignment="1">
      <alignment vertical="center"/>
    </xf>
    <xf numFmtId="0" fontId="26" fillId="0" borderId="48" xfId="34" applyFont="1" applyBorder="1" applyAlignment="1">
      <alignment vertical="center"/>
    </xf>
    <xf numFmtId="0" fontId="26" fillId="0" borderId="34" xfId="34" applyFont="1" applyBorder="1" applyAlignment="1">
      <alignment vertical="center"/>
    </xf>
    <xf numFmtId="0" fontId="26" fillId="0" borderId="35" xfId="34" applyFont="1" applyBorder="1" applyAlignment="1">
      <alignment horizontal="left" vertical="center"/>
    </xf>
    <xf numFmtId="10" fontId="25" fillId="0" borderId="35" xfId="37" applyNumberFormat="1" applyFont="1" applyFill="1" applyBorder="1" applyAlignment="1" applyProtection="1">
      <alignment horizontal="center" vertical="center"/>
    </xf>
    <xf numFmtId="10" fontId="26" fillId="0" borderId="1" xfId="34" applyNumberFormat="1" applyFont="1" applyBorder="1" applyAlignment="1">
      <alignment horizontal="center" vertical="center"/>
    </xf>
    <xf numFmtId="166" fontId="7" fillId="0" borderId="0" xfId="38" applyFont="1" applyFill="1" applyAlignment="1">
      <alignment vertical="center"/>
    </xf>
    <xf numFmtId="181" fontId="7" fillId="0" borderId="0" xfId="34" applyNumberFormat="1" applyFont="1" applyAlignment="1">
      <alignment vertical="center"/>
    </xf>
    <xf numFmtId="10" fontId="8" fillId="0" borderId="0" xfId="34" applyNumberFormat="1" applyFont="1" applyAlignment="1">
      <alignment vertical="center"/>
    </xf>
    <xf numFmtId="0" fontId="7" fillId="0" borderId="35" xfId="34" applyFont="1" applyBorder="1" applyAlignment="1">
      <alignment horizontal="left" vertical="center"/>
    </xf>
    <xf numFmtId="10" fontId="32" fillId="0" borderId="1" xfId="34" applyNumberFormat="1" applyFont="1" applyBorder="1" applyAlignment="1">
      <alignment horizontal="center" vertical="center"/>
    </xf>
    <xf numFmtId="10" fontId="33" fillId="6" borderId="0" xfId="39" applyNumberFormat="1" applyFont="1" applyFill="1" applyAlignment="1">
      <alignment horizontal="center" vertical="center"/>
    </xf>
    <xf numFmtId="0" fontId="32" fillId="0" borderId="0" xfId="34" applyFont="1" applyAlignment="1">
      <alignment horizontal="left" vertical="center"/>
    </xf>
    <xf numFmtId="0" fontId="32" fillId="0" borderId="0" xfId="34" applyFont="1" applyAlignment="1">
      <alignment vertical="center"/>
    </xf>
    <xf numFmtId="194" fontId="32" fillId="0" borderId="0" xfId="34" applyNumberFormat="1" applyFont="1" applyAlignment="1">
      <alignment vertical="center"/>
    </xf>
    <xf numFmtId="0" fontId="34" fillId="0" borderId="0" xfId="22" applyFont="1" applyAlignment="1">
      <alignment vertical="center"/>
    </xf>
    <xf numFmtId="0" fontId="20" fillId="0" borderId="0" xfId="22" applyFont="1"/>
    <xf numFmtId="0" fontId="20" fillId="0" borderId="62" xfId="22" applyFont="1" applyBorder="1"/>
    <xf numFmtId="0" fontId="25" fillId="0" borderId="0" xfId="22" applyFont="1" applyAlignment="1">
      <alignment vertical="center"/>
    </xf>
    <xf numFmtId="0" fontId="25" fillId="0" borderId="42" xfId="22" applyFont="1" applyBorder="1" applyAlignment="1">
      <alignment vertical="center"/>
    </xf>
    <xf numFmtId="0" fontId="20" fillId="0" borderId="20" xfId="22" applyFont="1" applyBorder="1"/>
    <xf numFmtId="0" fontId="25" fillId="0" borderId="0" xfId="22" applyFont="1" applyAlignment="1">
      <alignment vertical="top"/>
    </xf>
    <xf numFmtId="0" fontId="6" fillId="0" borderId="54" xfId="22" applyBorder="1" applyAlignment="1">
      <alignment vertical="top" wrapText="1"/>
    </xf>
    <xf numFmtId="0" fontId="35" fillId="0" borderId="34" xfId="22" applyFont="1" applyBorder="1" applyAlignment="1">
      <alignment horizontal="center" vertical="center" wrapText="1"/>
    </xf>
    <xf numFmtId="0" fontId="35" fillId="0" borderId="46" xfId="22" applyFont="1" applyBorder="1" applyAlignment="1">
      <alignment horizontal="center" vertical="center" wrapText="1"/>
    </xf>
    <xf numFmtId="0" fontId="35" fillId="10" borderId="46" xfId="22" applyFont="1" applyFill="1" applyBorder="1" applyAlignment="1">
      <alignment horizontal="center" vertical="center" wrapText="1"/>
    </xf>
    <xf numFmtId="0" fontId="36" fillId="10" borderId="46" xfId="22" applyFont="1" applyFill="1" applyBorder="1" applyAlignment="1">
      <alignment horizontal="center" vertical="center" wrapText="1"/>
    </xf>
    <xf numFmtId="0" fontId="35" fillId="0" borderId="48" xfId="22" applyFont="1" applyBorder="1" applyAlignment="1">
      <alignment vertical="center" wrapText="1"/>
    </xf>
    <xf numFmtId="0" fontId="35" fillId="0" borderId="34" xfId="22" applyFont="1" applyBorder="1" applyAlignment="1">
      <alignment vertical="center" wrapText="1"/>
    </xf>
    <xf numFmtId="0" fontId="6" fillId="0" borderId="34" xfId="22" applyBorder="1" applyAlignment="1">
      <alignment horizontal="center" vertical="center" wrapText="1"/>
    </xf>
    <xf numFmtId="0" fontId="6" fillId="0" borderId="34" xfId="22" applyBorder="1" applyAlignment="1">
      <alignment horizontal="right" vertical="center" wrapText="1"/>
    </xf>
    <xf numFmtId="195" fontId="6" fillId="0" borderId="35" xfId="22" applyNumberFormat="1" applyBorder="1" applyAlignment="1">
      <alignment horizontal="right" vertical="center" wrapText="1"/>
    </xf>
    <xf numFmtId="0" fontId="37" fillId="0" borderId="1" xfId="22" applyFont="1" applyBorder="1" applyAlignment="1">
      <alignment horizontal="center" vertical="center" wrapText="1"/>
    </xf>
    <xf numFmtId="0" fontId="37" fillId="0" borderId="1" xfId="22" applyFont="1" applyBorder="1" applyAlignment="1">
      <alignment vertical="center" wrapText="1"/>
    </xf>
    <xf numFmtId="195" fontId="37" fillId="0" borderId="1" xfId="22" applyNumberFormat="1" applyFont="1" applyBorder="1" applyAlignment="1">
      <alignment horizontal="right" vertical="center" wrapText="1"/>
    </xf>
    <xf numFmtId="180" fontId="37" fillId="0" borderId="1" xfId="22" applyNumberFormat="1" applyFont="1" applyBorder="1" applyAlignment="1">
      <alignment horizontal="center" vertical="center" wrapText="1"/>
    </xf>
    <xf numFmtId="2" fontId="37" fillId="0" borderId="1" xfId="22" applyNumberFormat="1" applyFont="1" applyBorder="1" applyAlignment="1">
      <alignment horizontal="center" vertical="center" wrapText="1"/>
    </xf>
    <xf numFmtId="196" fontId="37" fillId="0" borderId="1" xfId="22" applyNumberFormat="1" applyFont="1" applyBorder="1" applyAlignment="1">
      <alignment horizontal="right" vertical="center" wrapText="1"/>
    </xf>
    <xf numFmtId="0" fontId="38" fillId="0" borderId="1" xfId="22" applyFont="1" applyBorder="1" applyAlignment="1">
      <alignment horizontal="justify" vertical="center" wrapText="1"/>
    </xf>
    <xf numFmtId="4" fontId="35" fillId="0" borderId="1" xfId="36" applyNumberFormat="1" applyFont="1" applyFill="1" applyBorder="1" applyAlignment="1">
      <alignment horizontal="center" vertical="center" wrapText="1"/>
    </xf>
    <xf numFmtId="0" fontId="34" fillId="2" borderId="1" xfId="22" applyFont="1" applyFill="1" applyBorder="1" applyAlignment="1">
      <alignment horizontal="justify" vertical="center" wrapText="1"/>
    </xf>
    <xf numFmtId="0" fontId="6" fillId="0" borderId="48" xfId="22" applyBorder="1" applyAlignment="1">
      <alignment vertical="center" wrapText="1"/>
    </xf>
    <xf numFmtId="0" fontId="20" fillId="0" borderId="34" xfId="22" applyFont="1" applyBorder="1"/>
    <xf numFmtId="0" fontId="6" fillId="0" borderId="34" xfId="22" applyBorder="1" applyAlignment="1">
      <alignment vertical="center" wrapText="1"/>
    </xf>
    <xf numFmtId="0" fontId="39" fillId="0" borderId="34" xfId="40" applyFont="1" applyBorder="1" applyAlignment="1">
      <alignment horizontal="center" vertical="center" wrapText="1"/>
    </xf>
    <xf numFmtId="0" fontId="35" fillId="0" borderId="35" xfId="22" applyFont="1" applyBorder="1" applyAlignment="1">
      <alignment horizontal="right" vertical="center"/>
    </xf>
    <xf numFmtId="196" fontId="35" fillId="0" borderId="35" xfId="22" applyNumberFormat="1" applyFont="1" applyBorder="1" applyAlignment="1">
      <alignment horizontal="right" vertical="center" wrapText="1"/>
    </xf>
    <xf numFmtId="0" fontId="20" fillId="0" borderId="53" xfId="22" applyFont="1" applyBorder="1"/>
    <xf numFmtId="0" fontId="6" fillId="0" borderId="53" xfId="22" applyBorder="1" applyAlignment="1">
      <alignment horizontal="center" vertical="center" wrapText="1"/>
    </xf>
    <xf numFmtId="0" fontId="6" fillId="0" borderId="53" xfId="22" applyBorder="1" applyAlignment="1">
      <alignment vertical="center" wrapText="1"/>
    </xf>
    <xf numFmtId="0" fontId="39" fillId="0" borderId="53" xfId="40" applyFont="1" applyBorder="1" applyAlignment="1">
      <alignment horizontal="center" vertical="center" wrapText="1"/>
    </xf>
    <xf numFmtId="0" fontId="35" fillId="0" borderId="53" xfId="22" applyFont="1" applyBorder="1" applyAlignment="1">
      <alignment horizontal="right" vertical="center"/>
    </xf>
    <xf numFmtId="195" fontId="35" fillId="0" borderId="41" xfId="22" applyNumberFormat="1" applyFont="1" applyBorder="1" applyAlignment="1">
      <alignment horizontal="right" vertical="center" wrapText="1"/>
    </xf>
    <xf numFmtId="0" fontId="6" fillId="0" borderId="53" xfId="22" applyBorder="1" applyAlignment="1">
      <alignment horizontal="right" vertical="center" wrapText="1"/>
    </xf>
    <xf numFmtId="195" fontId="6" fillId="0" borderId="41" xfId="22" applyNumberFormat="1" applyBorder="1" applyAlignment="1">
      <alignment horizontal="right" vertical="center" wrapText="1"/>
    </xf>
    <xf numFmtId="0" fontId="35" fillId="10" borderId="1" xfId="22" applyFont="1" applyFill="1" applyBorder="1" applyAlignment="1">
      <alignment horizontal="center" vertical="center" wrapText="1"/>
    </xf>
    <xf numFmtId="0" fontId="35" fillId="10" borderId="35" xfId="22" applyFont="1" applyFill="1" applyBorder="1" applyAlignment="1">
      <alignment horizontal="center" vertical="center" wrapText="1"/>
    </xf>
    <xf numFmtId="0" fontId="36" fillId="10" borderId="1" xfId="22" applyFont="1" applyFill="1" applyBorder="1" applyAlignment="1">
      <alignment horizontal="center" vertical="center" wrapText="1"/>
    </xf>
    <xf numFmtId="0" fontId="11" fillId="0" borderId="1" xfId="22" applyFont="1" applyBorder="1" applyAlignment="1">
      <alignment horizontal="center" vertical="center"/>
    </xf>
    <xf numFmtId="0" fontId="35" fillId="0" borderId="50" xfId="22" applyFont="1" applyBorder="1" applyAlignment="1">
      <alignment horizontal="center" vertical="center" wrapText="1"/>
    </xf>
    <xf numFmtId="0" fontId="35" fillId="0" borderId="70" xfId="22" applyFont="1" applyBorder="1" applyAlignment="1">
      <alignment vertical="center" wrapText="1"/>
    </xf>
    <xf numFmtId="0" fontId="20" fillId="0" borderId="0" xfId="22" applyFont="1" applyAlignment="1">
      <alignment horizontal="center"/>
    </xf>
    <xf numFmtId="195" fontId="37" fillId="0" borderId="35" xfId="22" applyNumberFormat="1" applyFont="1" applyBorder="1" applyAlignment="1">
      <alignment horizontal="right" vertical="center" wrapText="1"/>
    </xf>
    <xf numFmtId="178" fontId="37" fillId="0" borderId="1" xfId="22" applyNumberFormat="1" applyFont="1" applyBorder="1" applyAlignment="1">
      <alignment vertical="center" wrapText="1"/>
    </xf>
    <xf numFmtId="178" fontId="37" fillId="12" borderId="1" xfId="22" applyNumberFormat="1" applyFont="1" applyFill="1" applyBorder="1" applyAlignment="1">
      <alignment vertical="center" wrapText="1"/>
    </xf>
    <xf numFmtId="0" fontId="20" fillId="0" borderId="1" xfId="22" applyFont="1" applyBorder="1"/>
    <xf numFmtId="0" fontId="35" fillId="0" borderId="1" xfId="22" applyFont="1" applyBorder="1" applyAlignment="1">
      <alignment horizontal="center" vertical="center" wrapText="1"/>
    </xf>
    <xf numFmtId="196" fontId="35" fillId="0" borderId="35" xfId="22" applyNumberFormat="1" applyFont="1" applyBorder="1" applyAlignment="1">
      <alignment horizontal="center" vertical="center" wrapText="1"/>
    </xf>
    <xf numFmtId="197" fontId="37" fillId="0" borderId="1" xfId="22" applyNumberFormat="1" applyFont="1" applyBorder="1" applyAlignment="1">
      <alignment vertical="center" wrapText="1"/>
    </xf>
    <xf numFmtId="168" fontId="35" fillId="0" borderId="35" xfId="22" applyNumberFormat="1" applyFont="1" applyBorder="1" applyAlignment="1">
      <alignment horizontal="right" vertical="center" wrapText="1"/>
    </xf>
    <xf numFmtId="0" fontId="20" fillId="0" borderId="34" xfId="22" applyFont="1" applyBorder="1" applyAlignment="1">
      <alignment horizontal="center"/>
    </xf>
    <xf numFmtId="0" fontId="38" fillId="0" borderId="0" xfId="22" applyFont="1" applyAlignment="1">
      <alignment vertical="center"/>
    </xf>
    <xf numFmtId="0" fontId="35" fillId="0" borderId="35" xfId="22" applyFont="1" applyBorder="1" applyAlignment="1">
      <alignment horizontal="center" vertical="center" wrapText="1"/>
    </xf>
    <xf numFmtId="0" fontId="17" fillId="0" borderId="0" xfId="22" applyFont="1"/>
    <xf numFmtId="4" fontId="37" fillId="12" borderId="1" xfId="22" applyNumberFormat="1" applyFont="1" applyFill="1" applyBorder="1" applyAlignment="1">
      <alignment horizontal="center" vertical="center" wrapText="1"/>
    </xf>
    <xf numFmtId="178" fontId="39" fillId="0" borderId="1" xfId="22" applyNumberFormat="1" applyFont="1" applyBorder="1" applyAlignment="1">
      <alignment horizontal="center" vertical="center" wrapText="1"/>
    </xf>
    <xf numFmtId="196" fontId="39" fillId="0" borderId="1" xfId="22" applyNumberFormat="1" applyFont="1" applyBorder="1" applyAlignment="1">
      <alignment horizontal="right" vertical="center" wrapText="1"/>
    </xf>
    <xf numFmtId="0" fontId="6" fillId="0" borderId="0" xfId="22" applyAlignment="1">
      <alignment horizontal="center" vertical="center" wrapText="1"/>
    </xf>
    <xf numFmtId="0" fontId="37" fillId="0" borderId="0" xfId="22" applyFont="1" applyAlignment="1">
      <alignment vertical="center" wrapText="1"/>
    </xf>
    <xf numFmtId="0" fontId="37" fillId="0" borderId="0" xfId="22" applyFont="1" applyAlignment="1">
      <alignment horizontal="center" vertical="center" wrapText="1"/>
    </xf>
    <xf numFmtId="0" fontId="6" fillId="0" borderId="0" xfId="22" applyAlignment="1">
      <alignment horizontal="right" vertical="center" wrapText="1"/>
    </xf>
    <xf numFmtId="196" fontId="35" fillId="0" borderId="0" xfId="22" applyNumberFormat="1" applyFont="1" applyAlignment="1">
      <alignment horizontal="right" vertical="center" wrapText="1"/>
    </xf>
    <xf numFmtId="0" fontId="20" fillId="0" borderId="0" xfId="22" applyFont="1" applyAlignment="1">
      <alignment vertical="center" wrapText="1"/>
    </xf>
    <xf numFmtId="0" fontId="20" fillId="0" borderId="0" xfId="22" applyFont="1" applyAlignment="1">
      <alignment horizontal="left" vertical="center" wrapText="1"/>
    </xf>
    <xf numFmtId="0" fontId="35" fillId="0" borderId="0" xfId="22" applyFont="1" applyAlignment="1">
      <alignment vertical="center" wrapText="1"/>
    </xf>
    <xf numFmtId="196" fontId="20" fillId="0" borderId="0" xfId="22" applyNumberFormat="1" applyFont="1" applyAlignment="1">
      <alignment vertical="center" wrapText="1"/>
    </xf>
    <xf numFmtId="10" fontId="35" fillId="0" borderId="34" xfId="29" applyNumberFormat="1" applyFont="1" applyBorder="1" applyAlignment="1">
      <alignment vertical="center" wrapText="1"/>
    </xf>
    <xf numFmtId="0" fontId="6" fillId="0" borderId="0" xfId="22" applyAlignment="1">
      <alignment horizontal="left" vertical="center" wrapText="1"/>
    </xf>
    <xf numFmtId="10" fontId="6" fillId="0" borderId="0" xfId="22" applyNumberFormat="1" applyAlignment="1">
      <alignment horizontal="center" vertical="center" wrapText="1"/>
    </xf>
    <xf numFmtId="184" fontId="6" fillId="0" borderId="0" xfId="22" applyNumberFormat="1" applyAlignment="1">
      <alignment horizontal="center" vertical="center" wrapText="1"/>
    </xf>
    <xf numFmtId="196" fontId="40" fillId="0" borderId="35" xfId="22" applyNumberFormat="1" applyFont="1" applyBorder="1" applyAlignment="1">
      <alignment horizontal="right" vertical="center" wrapText="1"/>
    </xf>
    <xf numFmtId="0" fontId="41" fillId="0" borderId="1" xfId="34" applyFont="1" applyBorder="1" applyAlignment="1">
      <alignment horizontal="center" vertical="center" wrapText="1"/>
    </xf>
    <xf numFmtId="0" fontId="8" fillId="0" borderId="57" xfId="34" applyFont="1" applyBorder="1" applyAlignment="1">
      <alignment vertical="center"/>
    </xf>
    <xf numFmtId="0" fontId="8" fillId="0" borderId="70" xfId="34" applyFont="1" applyBorder="1" applyAlignment="1">
      <alignment vertical="center"/>
    </xf>
    <xf numFmtId="0" fontId="8" fillId="0" borderId="50" xfId="34" applyFont="1" applyBorder="1" applyAlignment="1">
      <alignment vertical="center"/>
    </xf>
    <xf numFmtId="0" fontId="6" fillId="0" borderId="54" xfId="41" applyBorder="1" applyAlignment="1">
      <alignment vertical="center"/>
    </xf>
    <xf numFmtId="0" fontId="6" fillId="0" borderId="55" xfId="41" applyBorder="1" applyAlignment="1">
      <alignment vertical="center"/>
    </xf>
    <xf numFmtId="0" fontId="6" fillId="0" borderId="0" xfId="41" applyAlignment="1">
      <alignment horizontal="center" vertical="center"/>
    </xf>
    <xf numFmtId="0" fontId="6" fillId="0" borderId="0" xfId="41" applyAlignment="1">
      <alignment vertical="center"/>
    </xf>
    <xf numFmtId="0" fontId="25" fillId="0" borderId="0" xfId="41" applyFont="1" applyAlignment="1">
      <alignment vertical="center"/>
    </xf>
    <xf numFmtId="0" fontId="17" fillId="0" borderId="1" xfId="22" applyFont="1" applyBorder="1" applyAlignment="1">
      <alignment horizontal="center" vertical="center"/>
    </xf>
    <xf numFmtId="0" fontId="42" fillId="0" borderId="70" xfId="22" applyFont="1" applyBorder="1" applyAlignment="1">
      <alignment horizontal="center" vertical="center"/>
    </xf>
    <xf numFmtId="0" fontId="42" fillId="0" borderId="0" xfId="22" applyFont="1" applyAlignment="1">
      <alignment horizontal="center" vertical="center"/>
    </xf>
    <xf numFmtId="178" fontId="25" fillId="10" borderId="1" xfId="41" applyNumberFormat="1" applyFont="1" applyFill="1" applyBorder="1" applyAlignment="1">
      <alignment horizontal="center" vertical="center"/>
    </xf>
    <xf numFmtId="0" fontId="25" fillId="10" borderId="1" xfId="41" applyFont="1" applyFill="1" applyBorder="1" applyAlignment="1">
      <alignment horizontal="center" vertical="center"/>
    </xf>
    <xf numFmtId="0" fontId="25" fillId="10" borderId="46" xfId="41" applyFont="1" applyFill="1" applyBorder="1" applyAlignment="1">
      <alignment horizontal="center" vertical="center" wrapText="1"/>
    </xf>
    <xf numFmtId="0" fontId="25" fillId="10" borderId="1" xfId="41" applyFont="1" applyFill="1" applyBorder="1" applyAlignment="1">
      <alignment horizontal="center" vertical="center" wrapText="1"/>
    </xf>
    <xf numFmtId="0" fontId="25" fillId="0" borderId="60" xfId="41" applyFont="1" applyBorder="1" applyAlignment="1">
      <alignment horizontal="center" vertical="center"/>
    </xf>
    <xf numFmtId="0" fontId="25" fillId="0" borderId="48" xfId="41" applyFont="1" applyBorder="1" applyAlignment="1">
      <alignment horizontal="left" vertical="center"/>
    </xf>
    <xf numFmtId="0" fontId="6" fillId="0" borderId="34" xfId="41" applyBorder="1" applyAlignment="1">
      <alignment horizontal="left" vertical="center"/>
    </xf>
    <xf numFmtId="0" fontId="6" fillId="0" borderId="34" xfId="41" applyBorder="1" applyAlignment="1">
      <alignment horizontal="center" vertical="center"/>
    </xf>
    <xf numFmtId="4" fontId="6" fillId="0" borderId="34" xfId="41" applyNumberFormat="1" applyBorder="1" applyAlignment="1">
      <alignment horizontal="right" vertical="center"/>
    </xf>
    <xf numFmtId="4" fontId="6" fillId="0" borderId="66" xfId="41" applyNumberFormat="1" applyBorder="1" applyAlignment="1">
      <alignment horizontal="right" vertical="center"/>
    </xf>
    <xf numFmtId="0" fontId="25" fillId="0" borderId="15" xfId="41" applyFont="1" applyBorder="1" applyAlignment="1">
      <alignment horizontal="center" vertical="center"/>
    </xf>
    <xf numFmtId="0" fontId="6" fillId="0" borderId="74" xfId="22" applyBorder="1" applyAlignment="1">
      <alignment horizontal="center" vertical="center"/>
    </xf>
    <xf numFmtId="198" fontId="6" fillId="0" borderId="74" xfId="22" applyNumberFormat="1" applyBorder="1" applyAlignment="1">
      <alignment horizontal="center" vertical="center"/>
    </xf>
    <xf numFmtId="199" fontId="6" fillId="0" borderId="75" xfId="22" applyNumberFormat="1" applyBorder="1" applyAlignment="1">
      <alignment horizontal="center" vertical="center"/>
    </xf>
    <xf numFmtId="4" fontId="6" fillId="13" borderId="75" xfId="22" applyNumberFormat="1" applyFill="1" applyBorder="1" applyAlignment="1">
      <alignment horizontal="center" vertical="center"/>
    </xf>
    <xf numFmtId="197" fontId="6" fillId="0" borderId="74" xfId="22" applyNumberFormat="1" applyBorder="1" applyAlignment="1">
      <alignment horizontal="center" vertical="center"/>
    </xf>
    <xf numFmtId="189" fontId="6" fillId="0" borderId="76" xfId="22" applyNumberFormat="1" applyBorder="1" applyAlignment="1">
      <alignment horizontal="right" vertical="center"/>
    </xf>
    <xf numFmtId="0" fontId="20" fillId="0" borderId="0" xfId="22" applyFont="1" applyAlignment="1">
      <alignment horizontal="center" vertical="center"/>
    </xf>
    <xf numFmtId="0" fontId="43" fillId="0" borderId="0" xfId="22" applyFont="1" applyAlignment="1">
      <alignment horizontal="center" vertical="center"/>
    </xf>
    <xf numFmtId="0" fontId="25" fillId="0" borderId="77" xfId="22" applyFont="1" applyBorder="1" applyAlignment="1">
      <alignment horizontal="center" vertical="center"/>
    </xf>
    <xf numFmtId="0" fontId="25" fillId="0" borderId="75" xfId="22" applyFont="1" applyBorder="1" applyAlignment="1">
      <alignment horizontal="left" vertical="center"/>
    </xf>
    <xf numFmtId="0" fontId="6" fillId="0" borderId="78" xfId="22" applyBorder="1" applyAlignment="1">
      <alignment horizontal="left" vertical="center"/>
    </xf>
    <xf numFmtId="0" fontId="6" fillId="0" borderId="78" xfId="22" applyBorder="1" applyAlignment="1">
      <alignment horizontal="center" vertical="center"/>
    </xf>
    <xf numFmtId="4" fontId="6" fillId="0" borderId="78" xfId="22" applyNumberFormat="1" applyBorder="1" applyAlignment="1">
      <alignment horizontal="right" vertical="center"/>
    </xf>
    <xf numFmtId="197" fontId="6" fillId="0" borderId="78" xfId="22" applyNumberFormat="1" applyBorder="1" applyAlignment="1">
      <alignment horizontal="right" vertical="center"/>
    </xf>
    <xf numFmtId="189" fontId="6" fillId="0" borderId="79" xfId="22" applyNumberFormat="1" applyBorder="1" applyAlignment="1">
      <alignment horizontal="right" vertical="center"/>
    </xf>
    <xf numFmtId="178" fontId="6" fillId="0" borderId="80" xfId="22" applyNumberFormat="1" applyBorder="1" applyAlignment="1">
      <alignment horizontal="center" vertical="center"/>
    </xf>
    <xf numFmtId="0" fontId="6" fillId="0" borderId="81" xfId="22" applyBorder="1" applyAlignment="1">
      <alignment horizontal="left" vertical="center" wrapText="1"/>
    </xf>
    <xf numFmtId="2" fontId="6" fillId="13" borderId="81" xfId="22" applyNumberFormat="1" applyFill="1" applyBorder="1" applyAlignment="1">
      <alignment horizontal="center" vertical="center"/>
    </xf>
    <xf numFmtId="2" fontId="6" fillId="0" borderId="82" xfId="22" applyNumberFormat="1" applyBorder="1" applyAlignment="1">
      <alignment horizontal="center" vertical="center"/>
    </xf>
    <xf numFmtId="0" fontId="6" fillId="0" borderId="81" xfId="22" applyBorder="1" applyAlignment="1">
      <alignment horizontal="center" vertical="center"/>
    </xf>
    <xf numFmtId="4" fontId="6" fillId="0" borderId="75" xfId="22" applyNumberFormat="1" applyBorder="1" applyAlignment="1">
      <alignment horizontal="center" vertical="center"/>
    </xf>
    <xf numFmtId="178" fontId="6" fillId="13" borderId="81" xfId="22" applyNumberFormat="1" applyFill="1" applyBorder="1" applyAlignment="1">
      <alignment horizontal="center" vertical="center"/>
    </xf>
    <xf numFmtId="178" fontId="6" fillId="11" borderId="60" xfId="41" applyNumberFormat="1" applyFill="1" applyBorder="1" applyAlignment="1">
      <alignment horizontal="center" vertical="center"/>
    </xf>
    <xf numFmtId="0" fontId="25" fillId="11" borderId="48" xfId="41" applyFont="1" applyFill="1" applyBorder="1" applyAlignment="1">
      <alignment horizontal="right" vertical="center"/>
    </xf>
    <xf numFmtId="178" fontId="6" fillId="11" borderId="34" xfId="41" applyNumberFormat="1" applyFill="1" applyBorder="1" applyAlignment="1">
      <alignment horizontal="left" vertical="center"/>
    </xf>
    <xf numFmtId="0" fontId="6" fillId="11" borderId="34" xfId="41" applyFill="1" applyBorder="1" applyAlignment="1">
      <alignment horizontal="left" vertical="center"/>
    </xf>
    <xf numFmtId="178" fontId="6" fillId="11" borderId="34" xfId="41" applyNumberFormat="1" applyFill="1" applyBorder="1" applyAlignment="1">
      <alignment vertical="center"/>
    </xf>
    <xf numFmtId="4" fontId="6" fillId="11" borderId="34" xfId="41" applyNumberFormat="1" applyFill="1" applyBorder="1" applyAlignment="1">
      <alignment horizontal="right" vertical="center"/>
    </xf>
    <xf numFmtId="197" fontId="25" fillId="11" borderId="35" xfId="41" applyNumberFormat="1" applyFont="1" applyFill="1" applyBorder="1" applyAlignment="1">
      <alignment horizontal="right" vertical="center"/>
    </xf>
    <xf numFmtId="189" fontId="25" fillId="11" borderId="16" xfId="41" applyNumberFormat="1" applyFont="1" applyFill="1" applyBorder="1" applyAlignment="1">
      <alignment horizontal="right" vertical="center"/>
    </xf>
    <xf numFmtId="197" fontId="6" fillId="0" borderId="34" xfId="41" applyNumberFormat="1" applyBorder="1" applyAlignment="1">
      <alignment horizontal="right" vertical="center"/>
    </xf>
    <xf numFmtId="178" fontId="6" fillId="0" borderId="15" xfId="41" applyNumberFormat="1" applyBorder="1" applyAlignment="1">
      <alignment horizontal="center" vertical="center"/>
    </xf>
    <xf numFmtId="0" fontId="6" fillId="0" borderId="1" xfId="41" applyBorder="1" applyAlignment="1">
      <alignment horizontal="justify" vertical="center" wrapText="1"/>
    </xf>
    <xf numFmtId="0" fontId="6" fillId="0" borderId="1" xfId="41" applyBorder="1" applyAlignment="1">
      <alignment horizontal="center" vertical="center"/>
    </xf>
    <xf numFmtId="0" fontId="6" fillId="12" borderId="1" xfId="41" applyFill="1" applyBorder="1" applyAlignment="1">
      <alignment horizontal="center" vertical="center" wrapText="1"/>
    </xf>
    <xf numFmtId="182" fontId="6" fillId="0" borderId="1" xfId="42" applyNumberFormat="1" applyFont="1" applyFill="1" applyBorder="1" applyAlignment="1">
      <alignment horizontal="center" vertical="center"/>
    </xf>
    <xf numFmtId="189" fontId="6" fillId="0" borderId="66" xfId="41" applyNumberFormat="1" applyBorder="1" applyAlignment="1">
      <alignment horizontal="right" vertical="center"/>
    </xf>
    <xf numFmtId="0" fontId="11" fillId="0" borderId="0" xfId="22" applyFont="1"/>
    <xf numFmtId="0" fontId="6" fillId="13" borderId="83" xfId="22" applyFill="1" applyBorder="1" applyAlignment="1">
      <alignment horizontal="center" vertical="center" wrapText="1"/>
    </xf>
    <xf numFmtId="178" fontId="6" fillId="11" borderId="36" xfId="41" applyNumberFormat="1" applyFill="1" applyBorder="1" applyAlignment="1">
      <alignment horizontal="center" vertical="center"/>
    </xf>
    <xf numFmtId="0" fontId="25" fillId="11" borderId="49" xfId="41" applyFont="1" applyFill="1" applyBorder="1" applyAlignment="1">
      <alignment horizontal="right" vertical="center"/>
    </xf>
    <xf numFmtId="178" fontId="6" fillId="11" borderId="37" xfId="41" applyNumberFormat="1" applyFill="1" applyBorder="1" applyAlignment="1">
      <alignment horizontal="left" vertical="center"/>
    </xf>
    <xf numFmtId="0" fontId="6" fillId="11" borderId="37" xfId="41" applyFill="1" applyBorder="1" applyAlignment="1">
      <alignment horizontal="left" vertical="center"/>
    </xf>
    <xf numFmtId="178" fontId="6" fillId="11" borderId="37" xfId="41" applyNumberFormat="1" applyFill="1" applyBorder="1" applyAlignment="1">
      <alignment vertical="center"/>
    </xf>
    <xf numFmtId="4" fontId="6" fillId="11" borderId="37" xfId="41" applyNumberFormat="1" applyFill="1" applyBorder="1" applyAlignment="1">
      <alignment horizontal="right" vertical="center"/>
    </xf>
    <xf numFmtId="189" fontId="25" fillId="11" borderId="19" xfId="41" applyNumberFormat="1" applyFont="1" applyFill="1" applyBorder="1" applyAlignment="1">
      <alignment horizontal="right" vertical="center"/>
    </xf>
    <xf numFmtId="178" fontId="6" fillId="0" borderId="0" xfId="41" applyNumberFormat="1" applyBorder="1" applyAlignment="1">
      <alignment horizontal="center" vertical="center"/>
    </xf>
    <xf numFmtId="0" fontId="25" fillId="0" borderId="0" xfId="41" applyFont="1" applyBorder="1" applyAlignment="1">
      <alignment horizontal="right" vertical="center"/>
    </xf>
    <xf numFmtId="178" fontId="25" fillId="0" borderId="0" xfId="41" applyNumberFormat="1" applyFont="1" applyBorder="1" applyAlignment="1">
      <alignment horizontal="center" vertical="center"/>
    </xf>
    <xf numFmtId="178" fontId="6" fillId="0" borderId="0" xfId="41" applyNumberFormat="1" applyBorder="1" applyAlignment="1">
      <alignment vertical="center"/>
    </xf>
    <xf numFmtId="4" fontId="6" fillId="0" borderId="0" xfId="41" applyNumberFormat="1" applyBorder="1" applyAlignment="1">
      <alignment vertical="center"/>
    </xf>
    <xf numFmtId="189" fontId="6" fillId="0" borderId="0" xfId="41" applyNumberFormat="1" applyBorder="1" applyAlignment="1">
      <alignment vertical="center"/>
    </xf>
    <xf numFmtId="0" fontId="25" fillId="0" borderId="34" xfId="41" applyFont="1" applyBorder="1" applyAlignment="1">
      <alignment horizontal="center" vertical="center"/>
    </xf>
    <xf numFmtId="0" fontId="25" fillId="0" borderId="35" xfId="41" applyFont="1" applyBorder="1" applyAlignment="1">
      <alignment horizontal="center" vertical="center"/>
    </xf>
    <xf numFmtId="189" fontId="25" fillId="0" borderId="1" xfId="42" applyNumberFormat="1" applyFont="1" applyFill="1" applyBorder="1" applyAlignment="1">
      <alignment vertical="center"/>
    </xf>
    <xf numFmtId="4" fontId="25" fillId="0" borderId="34" xfId="41" applyNumberFormat="1" applyFont="1" applyBorder="1" applyAlignment="1">
      <alignment horizontal="center" vertical="center"/>
    </xf>
    <xf numFmtId="10" fontId="25" fillId="0" borderId="1" xfId="33" applyNumberFormat="1" applyFont="1" applyFill="1" applyBorder="1" applyAlignment="1">
      <alignment vertical="center"/>
    </xf>
    <xf numFmtId="0" fontId="6" fillId="0" borderId="0" xfId="41" applyBorder="1" applyAlignment="1">
      <alignment vertical="center"/>
    </xf>
    <xf numFmtId="189" fontId="44" fillId="11" borderId="1" xfId="41" applyNumberFormat="1" applyFont="1" applyFill="1" applyBorder="1" applyAlignment="1">
      <alignment vertical="center"/>
    </xf>
    <xf numFmtId="10" fontId="7" fillId="0" borderId="0" xfId="34" applyNumberFormat="1" applyFont="1" applyAlignment="1">
      <alignment vertical="center"/>
    </xf>
    <xf numFmtId="2" fontId="20" fillId="0" borderId="1" xfId="19" applyNumberFormat="1" applyFont="1" applyBorder="1" applyAlignment="1">
      <alignment horizontal="center" vertical="center" wrapText="1"/>
    </xf>
    <xf numFmtId="166" fontId="20" fillId="0" borderId="1" xfId="19" applyNumberFormat="1" applyFont="1" applyBorder="1" applyAlignment="1">
      <alignment horizontal="center" vertical="center" wrapText="1"/>
    </xf>
    <xf numFmtId="0" fontId="20" fillId="0" borderId="0" xfId="19" applyFont="1" applyAlignment="1">
      <alignment vertical="center" wrapText="1"/>
    </xf>
    <xf numFmtId="0" fontId="17" fillId="10" borderId="1" xfId="19" applyFont="1" applyFill="1" applyBorder="1" applyAlignment="1">
      <alignment horizontal="center" vertical="center" wrapText="1"/>
    </xf>
    <xf numFmtId="9" fontId="17" fillId="10" borderId="1" xfId="23" applyFont="1" applyFill="1" applyBorder="1" applyAlignment="1">
      <alignment horizontal="center" vertical="center" wrapText="1"/>
    </xf>
    <xf numFmtId="0" fontId="17" fillId="0" borderId="1" xfId="19" applyFont="1" applyBorder="1" applyAlignment="1">
      <alignment horizontal="center" vertical="center" wrapText="1"/>
    </xf>
    <xf numFmtId="165" fontId="17" fillId="0" borderId="1" xfId="19" applyNumberFormat="1" applyFont="1" applyBorder="1" applyAlignment="1">
      <alignment horizontal="center" vertical="center" wrapText="1"/>
    </xf>
    <xf numFmtId="10" fontId="17" fillId="0" borderId="1" xfId="23" applyNumberFormat="1" applyFont="1" applyBorder="1" applyAlignment="1">
      <alignment horizontal="center" vertical="center" wrapText="1"/>
    </xf>
    <xf numFmtId="9" fontId="20" fillId="0" borderId="0" xfId="23" applyFont="1" applyFill="1" applyBorder="1" applyAlignment="1">
      <alignment horizontal="center" vertical="center" wrapText="1"/>
    </xf>
    <xf numFmtId="4" fontId="20" fillId="0" borderId="0" xfId="19" applyNumberFormat="1" applyFont="1" applyAlignment="1">
      <alignment horizontal="center" vertical="center" wrapText="1"/>
    </xf>
    <xf numFmtId="0" fontId="17" fillId="4" borderId="1" xfId="19" applyFont="1" applyFill="1" applyBorder="1" applyAlignment="1">
      <alignment horizontal="center" vertical="center" wrapText="1"/>
    </xf>
    <xf numFmtId="0" fontId="17" fillId="4" borderId="1" xfId="19" applyFont="1" applyFill="1" applyBorder="1" applyAlignment="1">
      <alignment vertical="center" wrapText="1"/>
    </xf>
    <xf numFmtId="9" fontId="17" fillId="4" borderId="1" xfId="23" applyFont="1" applyFill="1" applyBorder="1" applyAlignment="1">
      <alignment vertical="center" wrapText="1"/>
    </xf>
    <xf numFmtId="164" fontId="20" fillId="0" borderId="1" xfId="19" applyNumberFormat="1" applyFont="1" applyBorder="1" applyAlignment="1">
      <alignment horizontal="center" vertical="center" wrapText="1"/>
    </xf>
    <xf numFmtId="4" fontId="17" fillId="4" borderId="1" xfId="19" applyNumberFormat="1" applyFont="1" applyFill="1" applyBorder="1" applyAlignment="1">
      <alignment vertical="center" wrapText="1"/>
    </xf>
    <xf numFmtId="166" fontId="17" fillId="0" borderId="0" xfId="19" applyNumberFormat="1" applyFont="1" applyAlignment="1">
      <alignment vertical="center" wrapText="1"/>
    </xf>
    <xf numFmtId="9" fontId="20" fillId="0" borderId="0" xfId="23" applyFont="1" applyBorder="1"/>
    <xf numFmtId="0" fontId="17" fillId="4" borderId="1" xfId="19" applyFont="1" applyFill="1" applyBorder="1" applyAlignment="1">
      <alignment horizontal="right" vertical="center" wrapText="1"/>
    </xf>
    <xf numFmtId="166" fontId="17" fillId="0" borderId="1" xfId="19" applyNumberFormat="1" applyFont="1" applyBorder="1" applyAlignment="1">
      <alignment vertical="center" wrapText="1"/>
    </xf>
    <xf numFmtId="182" fontId="17" fillId="0" borderId="1" xfId="21" applyNumberFormat="1" applyFont="1" applyBorder="1" applyAlignment="1">
      <alignment horizontal="center" vertical="center" wrapText="1"/>
    </xf>
    <xf numFmtId="166" fontId="17" fillId="0" borderId="1" xfId="19" applyNumberFormat="1" applyFont="1" applyBorder="1" applyAlignment="1">
      <alignment horizontal="center" vertical="center" wrapText="1"/>
    </xf>
    <xf numFmtId="0" fontId="17" fillId="0" borderId="1" xfId="19" applyFont="1" applyBorder="1" applyAlignment="1">
      <alignment horizontal="right" vertical="center" wrapText="1"/>
    </xf>
    <xf numFmtId="10" fontId="17" fillId="8" borderId="1" xfId="19" applyNumberFormat="1" applyFont="1" applyFill="1" applyBorder="1" applyAlignment="1">
      <alignment horizontal="center" vertical="center" wrapText="1"/>
    </xf>
    <xf numFmtId="0" fontId="20" fillId="0" borderId="34" xfId="19" applyFont="1" applyBorder="1" applyAlignment="1">
      <alignment horizontal="left" vertical="center" wrapText="1"/>
    </xf>
    <xf numFmtId="4" fontId="37" fillId="12" borderId="1" xfId="36" applyNumberFormat="1" applyFont="1" applyFill="1" applyBorder="1" applyAlignment="1">
      <alignment horizontal="center" vertical="center" wrapText="1"/>
    </xf>
    <xf numFmtId="4" fontId="37" fillId="0" borderId="1" xfId="36" applyNumberFormat="1" applyFont="1" applyFill="1" applyBorder="1" applyAlignment="1">
      <alignment horizontal="center" vertical="center" wrapText="1"/>
    </xf>
    <xf numFmtId="4" fontId="35" fillId="0" borderId="1" xfId="36" applyNumberFormat="1" applyFont="1" applyBorder="1" applyAlignment="1">
      <alignment horizontal="center" vertical="center" wrapText="1"/>
    </xf>
    <xf numFmtId="44" fontId="4" fillId="0" borderId="0" xfId="1" applyFont="1"/>
    <xf numFmtId="2" fontId="11" fillId="0" borderId="1" xfId="3" applyNumberFormat="1" applyFont="1" applyBorder="1" applyAlignment="1">
      <alignment horizontal="center" vertical="center" wrapText="1"/>
    </xf>
    <xf numFmtId="44" fontId="0" fillId="0" borderId="1" xfId="1" applyFont="1" applyFill="1" applyBorder="1"/>
    <xf numFmtId="169" fontId="9" fillId="3" borderId="1" xfId="3" applyNumberFormat="1" applyFont="1" applyFill="1" applyBorder="1" applyAlignment="1">
      <alignment vertical="center"/>
    </xf>
    <xf numFmtId="194" fontId="11" fillId="0" borderId="48" xfId="12" applyNumberFormat="1" applyFont="1" applyBorder="1" applyAlignment="1">
      <alignment horizontal="right" vertical="center"/>
    </xf>
    <xf numFmtId="170" fontId="9" fillId="0" borderId="1" xfId="11" applyNumberFormat="1" applyFont="1" applyBorder="1" applyAlignment="1">
      <alignment horizontal="center" vertical="center"/>
    </xf>
    <xf numFmtId="49" fontId="9" fillId="0" borderId="1" xfId="11" applyNumberFormat="1" applyFont="1" applyBorder="1" applyAlignment="1">
      <alignment horizontal="center" vertical="center" wrapText="1"/>
    </xf>
    <xf numFmtId="0" fontId="9" fillId="2" borderId="48" xfId="3" applyFont="1" applyFill="1" applyBorder="1" applyAlignment="1">
      <alignment horizontal="right" vertical="center"/>
    </xf>
    <xf numFmtId="0" fontId="9" fillId="2" borderId="34" xfId="3" applyFont="1" applyFill="1" applyBorder="1" applyAlignment="1">
      <alignment horizontal="right" vertical="center"/>
    </xf>
    <xf numFmtId="169" fontId="9" fillId="2" borderId="35" xfId="3" applyNumberFormat="1" applyFont="1" applyFill="1" applyBorder="1" applyAlignment="1">
      <alignment vertical="center"/>
    </xf>
    <xf numFmtId="169" fontId="9" fillId="3" borderId="84" xfId="3" applyNumberFormat="1" applyFont="1" applyFill="1" applyBorder="1" applyAlignment="1">
      <alignment vertical="center"/>
    </xf>
    <xf numFmtId="44" fontId="11" fillId="10" borderId="14" xfId="1" applyFont="1" applyFill="1" applyBorder="1" applyAlignment="1">
      <alignment vertical="center"/>
    </xf>
    <xf numFmtId="44" fontId="11" fillId="0" borderId="16" xfId="1" applyFont="1" applyBorder="1" applyAlignment="1">
      <alignment vertical="center"/>
    </xf>
    <xf numFmtId="49" fontId="9" fillId="14" borderId="1" xfId="11" applyNumberFormat="1" applyFont="1" applyFill="1" applyBorder="1" applyAlignment="1">
      <alignment horizontal="center" vertical="center" wrapText="1"/>
    </xf>
    <xf numFmtId="170" fontId="9" fillId="14" borderId="16" xfId="11" applyNumberFormat="1" applyFont="1" applyFill="1" applyBorder="1" applyAlignment="1">
      <alignment horizontal="center" vertical="center"/>
    </xf>
    <xf numFmtId="44" fontId="11" fillId="0" borderId="52" xfId="1" applyFont="1" applyBorder="1" applyAlignment="1">
      <alignment vertical="center"/>
    </xf>
    <xf numFmtId="44" fontId="11" fillId="0" borderId="59" xfId="1" applyFont="1" applyBorder="1" applyAlignment="1">
      <alignment vertical="center"/>
    </xf>
    <xf numFmtId="194" fontId="11" fillId="0" borderId="57" xfId="12" applyNumberFormat="1" applyFont="1" applyBorder="1" applyAlignment="1">
      <alignment horizontal="right" vertical="center"/>
    </xf>
    <xf numFmtId="44" fontId="11" fillId="0" borderId="85" xfId="1" applyFont="1" applyBorder="1" applyAlignment="1">
      <alignment vertical="center"/>
    </xf>
    <xf numFmtId="44" fontId="11" fillId="10" borderId="59" xfId="1" applyFont="1" applyFill="1" applyBorder="1" applyAlignment="1">
      <alignment vertical="center"/>
    </xf>
    <xf numFmtId="0" fontId="9" fillId="2" borderId="0" xfId="3" applyFont="1" applyFill="1" applyAlignment="1">
      <alignment vertical="center" wrapText="1"/>
    </xf>
    <xf numFmtId="0" fontId="9" fillId="2" borderId="1" xfId="3" applyFont="1" applyFill="1" applyBorder="1" applyAlignment="1">
      <alignment vertical="center" wrapText="1"/>
    </xf>
    <xf numFmtId="2" fontId="4" fillId="0" borderId="0" xfId="2" applyNumberFormat="1" applyFont="1"/>
    <xf numFmtId="201" fontId="12" fillId="0" borderId="0" xfId="10" applyNumberFormat="1" applyFont="1"/>
    <xf numFmtId="44" fontId="20" fillId="0" borderId="0" xfId="1" applyFont="1"/>
    <xf numFmtId="0" fontId="46" fillId="2" borderId="86" xfId="0" applyFont="1" applyFill="1" applyBorder="1" applyAlignment="1">
      <alignment horizontal="center" vertical="center"/>
    </xf>
    <xf numFmtId="0" fontId="46" fillId="2" borderId="86" xfId="0" applyFont="1" applyFill="1" applyBorder="1" applyAlignment="1">
      <alignment horizontal="left" vertical="center"/>
    </xf>
    <xf numFmtId="202" fontId="46" fillId="2" borderId="86" xfId="1" applyNumberFormat="1" applyFont="1" applyFill="1" applyBorder="1" applyAlignment="1">
      <alignment horizontal="right" vertical="center"/>
    </xf>
    <xf numFmtId="0" fontId="46" fillId="0" borderId="86" xfId="43" applyFont="1" applyBorder="1" applyAlignment="1">
      <alignment horizontal="center"/>
    </xf>
    <xf numFmtId="0" fontId="46" fillId="0" borderId="86" xfId="43" applyFont="1" applyBorder="1" applyAlignment="1">
      <alignment horizontal="left"/>
    </xf>
    <xf numFmtId="203" fontId="47" fillId="0" borderId="86" xfId="44" applyNumberFormat="1" applyFont="1" applyFill="1" applyBorder="1" applyAlignment="1">
      <alignment horizontal="left"/>
    </xf>
    <xf numFmtId="203" fontId="46" fillId="0" borderId="86" xfId="44" applyNumberFormat="1" applyFont="1" applyFill="1" applyBorder="1" applyAlignment="1">
      <alignment horizontal="left"/>
    </xf>
    <xf numFmtId="0" fontId="25" fillId="0" borderId="34" xfId="41" applyFont="1" applyBorder="1" applyAlignment="1">
      <alignment horizontal="center" vertical="center"/>
    </xf>
    <xf numFmtId="0" fontId="25" fillId="10" borderId="46" xfId="41" applyFont="1" applyFill="1" applyBorder="1" applyAlignment="1">
      <alignment horizontal="center" vertical="center" wrapText="1"/>
    </xf>
    <xf numFmtId="4" fontId="25" fillId="0" borderId="34" xfId="41" applyNumberFormat="1" applyFont="1" applyBorder="1" applyAlignment="1">
      <alignment horizontal="center" vertical="center"/>
    </xf>
    <xf numFmtId="0" fontId="0" fillId="0" borderId="0" xfId="0"/>
    <xf numFmtId="172" fontId="11" fillId="0" borderId="64" xfId="14" applyNumberFormat="1" applyFont="1" applyBorder="1" applyAlignment="1">
      <alignment vertical="center"/>
    </xf>
    <xf numFmtId="194" fontId="11" fillId="0" borderId="1" xfId="12" applyNumberFormat="1" applyFont="1" applyBorder="1" applyAlignment="1">
      <alignment horizontal="right" vertical="center"/>
    </xf>
    <xf numFmtId="172" fontId="11" fillId="0" borderId="1" xfId="14" applyNumberFormat="1" applyFont="1" applyBorder="1" applyAlignment="1">
      <alignment vertical="center"/>
    </xf>
    <xf numFmtId="0" fontId="11" fillId="0" borderId="1" xfId="12" applyFont="1" applyBorder="1" applyAlignment="1">
      <alignment vertical="center"/>
    </xf>
    <xf numFmtId="2" fontId="4" fillId="0" borderId="1" xfId="2" applyNumberFormat="1" applyFont="1" applyBorder="1"/>
    <xf numFmtId="8" fontId="12" fillId="0" borderId="0" xfId="10" applyNumberFormat="1" applyFont="1"/>
    <xf numFmtId="44" fontId="12" fillId="0" borderId="0" xfId="1" applyFont="1"/>
    <xf numFmtId="0" fontId="0" fillId="0" borderId="0" xfId="19" applyFont="1"/>
    <xf numFmtId="182" fontId="48" fillId="0" borderId="1" xfId="21" applyNumberFormat="1" applyFont="1" applyBorder="1" applyAlignment="1">
      <alignment horizontal="center" vertical="center" wrapText="1"/>
    </xf>
    <xf numFmtId="44" fontId="4" fillId="0" borderId="1" xfId="2" applyNumberFormat="1" applyFont="1" applyBorder="1"/>
    <xf numFmtId="172" fontId="12" fillId="0" borderId="0" xfId="10" applyNumberFormat="1" applyFont="1"/>
    <xf numFmtId="44" fontId="11" fillId="2" borderId="46" xfId="1" applyFont="1" applyFill="1" applyBorder="1" applyAlignment="1">
      <alignment horizontal="center" vertical="center" wrapText="1"/>
    </xf>
    <xf numFmtId="44" fontId="9" fillId="2" borderId="25" xfId="1" applyFont="1" applyFill="1" applyBorder="1" applyAlignment="1">
      <alignment horizontal="center" vertical="center" wrapText="1"/>
    </xf>
    <xf numFmtId="44" fontId="9" fillId="2" borderId="27" xfId="1" applyFont="1" applyFill="1" applyBorder="1" applyAlignment="1">
      <alignment horizontal="center" vertical="center" wrapText="1"/>
    </xf>
    <xf numFmtId="44" fontId="11" fillId="2" borderId="39" xfId="1" applyFont="1" applyFill="1" applyBorder="1" applyAlignment="1">
      <alignment horizontal="center" vertical="center" wrapText="1"/>
    </xf>
    <xf numFmtId="0" fontId="9" fillId="2" borderId="25" xfId="3" applyFont="1" applyFill="1" applyBorder="1" applyAlignment="1">
      <alignment horizontal="left" vertical="center"/>
    </xf>
    <xf numFmtId="44" fontId="9" fillId="2" borderId="27" xfId="3" applyNumberFormat="1" applyFont="1" applyFill="1" applyBorder="1" applyAlignment="1">
      <alignment horizontal="left" vertical="center"/>
    </xf>
    <xf numFmtId="39" fontId="3" fillId="0" borderId="0" xfId="2" applyNumberFormat="1" applyFont="1"/>
    <xf numFmtId="44" fontId="12" fillId="0" borderId="0" xfId="10" applyNumberFormat="1" applyFont="1"/>
    <xf numFmtId="39" fontId="3" fillId="0" borderId="3" xfId="2" applyNumberFormat="1" applyFont="1" applyBorder="1"/>
    <xf numFmtId="39" fontId="48" fillId="0" borderId="0" xfId="14" applyNumberFormat="1" applyFont="1" applyAlignment="1">
      <alignment vertical="center"/>
    </xf>
    <xf numFmtId="10" fontId="4" fillId="0" borderId="0" xfId="46" applyNumberFormat="1" applyFont="1"/>
    <xf numFmtId="8" fontId="4" fillId="0" borderId="0" xfId="1" applyNumberFormat="1" applyFont="1"/>
    <xf numFmtId="0" fontId="4" fillId="0" borderId="48" xfId="2" applyFont="1" applyBorder="1" applyAlignment="1">
      <alignment horizontal="center"/>
    </xf>
    <xf numFmtId="0" fontId="4" fillId="0" borderId="35" xfId="2" applyFont="1" applyBorder="1" applyAlignment="1">
      <alignment horizontal="center"/>
    </xf>
    <xf numFmtId="4" fontId="9" fillId="2" borderId="46" xfId="3" applyNumberFormat="1" applyFont="1" applyFill="1" applyBorder="1" applyAlignment="1">
      <alignment horizontal="center" vertical="center" wrapText="1"/>
    </xf>
    <xf numFmtId="4" fontId="9" fillId="2" borderId="39" xfId="3" applyNumberFormat="1"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39" xfId="3" applyFont="1" applyFill="1" applyBorder="1" applyAlignment="1">
      <alignment horizontal="center" vertical="center" wrapText="1"/>
    </xf>
    <xf numFmtId="0" fontId="4" fillId="0" borderId="1" xfId="2" applyFont="1" applyBorder="1" applyAlignment="1">
      <alignment horizontal="center"/>
    </xf>
    <xf numFmtId="0" fontId="9" fillId="2" borderId="1" xfId="3" applyFont="1" applyFill="1" applyBorder="1" applyAlignment="1">
      <alignment horizontal="center" vertical="center" wrapText="1"/>
    </xf>
    <xf numFmtId="4" fontId="9" fillId="2" borderId="1" xfId="3" applyNumberFormat="1" applyFont="1" applyFill="1" applyBorder="1" applyAlignment="1">
      <alignment horizontal="center" vertical="center" wrapText="1"/>
    </xf>
    <xf numFmtId="0" fontId="4" fillId="0" borderId="1" xfId="2" applyFont="1" applyBorder="1" applyAlignment="1">
      <alignment horizontal="center" wrapText="1"/>
    </xf>
    <xf numFmtId="0" fontId="4" fillId="0" borderId="48" xfId="2" applyFont="1" applyBorder="1" applyAlignment="1">
      <alignment horizontal="center" wrapText="1"/>
    </xf>
    <xf numFmtId="0" fontId="9" fillId="0" borderId="36" xfId="12" applyFont="1" applyBorder="1" applyAlignment="1">
      <alignment horizontal="right" vertical="center"/>
    </xf>
    <xf numFmtId="0" fontId="9" fillId="0" borderId="37" xfId="12" applyFont="1" applyBorder="1" applyAlignment="1">
      <alignment horizontal="right" vertical="center"/>
    </xf>
    <xf numFmtId="0" fontId="9" fillId="0" borderId="38" xfId="12" applyFont="1" applyBorder="1" applyAlignment="1">
      <alignment horizontal="right" vertical="center"/>
    </xf>
    <xf numFmtId="0" fontId="9" fillId="2" borderId="48" xfId="3" applyFont="1" applyFill="1" applyBorder="1" applyAlignment="1">
      <alignment horizontal="center" vertical="center"/>
    </xf>
    <xf numFmtId="0" fontId="9" fillId="2" borderId="34" xfId="3" applyFont="1" applyFill="1" applyBorder="1" applyAlignment="1">
      <alignment horizontal="center" vertical="center"/>
    </xf>
    <xf numFmtId="0" fontId="9" fillId="2" borderId="35" xfId="3" applyFont="1" applyFill="1" applyBorder="1" applyAlignment="1">
      <alignment horizontal="center" vertical="center"/>
    </xf>
    <xf numFmtId="0" fontId="9" fillId="4" borderId="15" xfId="4" applyFont="1" applyFill="1" applyBorder="1" applyAlignment="1">
      <alignment vertical="center" wrapText="1"/>
    </xf>
    <xf numFmtId="0" fontId="11" fillId="4" borderId="1" xfId="4" applyFont="1" applyFill="1" applyBorder="1" applyAlignment="1">
      <alignment vertical="center" wrapText="1"/>
    </xf>
    <xf numFmtId="0" fontId="11" fillId="2" borderId="18" xfId="4" applyFont="1" applyFill="1" applyBorder="1" applyAlignment="1">
      <alignment horizontal="center" vertical="center" wrapText="1"/>
    </xf>
    <xf numFmtId="0" fontId="11" fillId="2" borderId="49" xfId="4" applyFont="1" applyFill="1" applyBorder="1" applyAlignment="1">
      <alignment horizontal="center" vertical="center" wrapText="1"/>
    </xf>
    <xf numFmtId="0" fontId="11" fillId="2" borderId="19" xfId="4" applyFont="1" applyFill="1" applyBorder="1" applyAlignment="1">
      <alignment horizontal="center" vertical="center" wrapText="1"/>
    </xf>
    <xf numFmtId="0" fontId="11" fillId="4" borderId="15" xfId="4" applyFont="1" applyFill="1" applyBorder="1" applyAlignment="1">
      <alignment vertical="center" wrapText="1"/>
    </xf>
    <xf numFmtId="3" fontId="9" fillId="4" borderId="1" xfId="4" applyNumberFormat="1" applyFont="1" applyFill="1" applyBorder="1" applyAlignment="1">
      <alignment horizontal="center" vertical="center"/>
    </xf>
    <xf numFmtId="0" fontId="9" fillId="4" borderId="1" xfId="4" applyFont="1" applyFill="1" applyBorder="1" applyAlignment="1">
      <alignment horizontal="center" vertical="center" wrapText="1"/>
    </xf>
    <xf numFmtId="0" fontId="9" fillId="4" borderId="1" xfId="4" applyFont="1" applyFill="1" applyBorder="1" applyAlignment="1">
      <alignment horizontal="center" vertical="center"/>
    </xf>
    <xf numFmtId="3" fontId="9" fillId="4" borderId="1" xfId="4" applyNumberFormat="1" applyFont="1" applyFill="1" applyBorder="1" applyAlignment="1">
      <alignment horizontal="center" vertical="center" wrapText="1"/>
    </xf>
    <xf numFmtId="3" fontId="9" fillId="4" borderId="39" xfId="4" applyNumberFormat="1" applyFont="1" applyFill="1" applyBorder="1" applyAlignment="1">
      <alignment horizontal="center" vertical="center" wrapText="1"/>
    </xf>
    <xf numFmtId="0" fontId="11" fillId="0" borderId="33" xfId="16" applyFont="1" applyBorder="1" applyAlignment="1">
      <alignment horizontal="center" vertical="center"/>
    </xf>
    <xf numFmtId="0" fontId="11" fillId="0" borderId="24" xfId="16" applyFont="1" applyBorder="1" applyAlignment="1">
      <alignment horizontal="center" vertical="center"/>
    </xf>
    <xf numFmtId="0" fontId="11" fillId="0" borderId="60" xfId="12" applyFont="1" applyBorder="1" applyAlignment="1">
      <alignment horizontal="center" vertical="center" wrapText="1"/>
    </xf>
    <xf numFmtId="0" fontId="11" fillId="0" borderId="34" xfId="12" applyFont="1" applyBorder="1" applyAlignment="1">
      <alignment horizontal="center" vertical="center" wrapText="1"/>
    </xf>
    <xf numFmtId="0" fontId="11" fillId="0" borderId="35" xfId="12" applyFont="1" applyBorder="1" applyAlignment="1">
      <alignment horizontal="center" vertical="center" wrapText="1"/>
    </xf>
    <xf numFmtId="0" fontId="9" fillId="3" borderId="25" xfId="3" applyFont="1" applyFill="1" applyBorder="1" applyAlignment="1">
      <alignment horizontal="right" vertical="center"/>
    </xf>
    <xf numFmtId="0" fontId="9" fillId="3" borderId="26" xfId="3" applyFont="1" applyFill="1" applyBorder="1" applyAlignment="1">
      <alignment horizontal="right" vertical="center"/>
    </xf>
    <xf numFmtId="0" fontId="9" fillId="3" borderId="31" xfId="3" applyFont="1" applyFill="1" applyBorder="1" applyAlignment="1">
      <alignment horizontal="right" vertical="center"/>
    </xf>
    <xf numFmtId="0" fontId="9" fillId="0" borderId="60" xfId="12" applyFont="1" applyBorder="1" applyAlignment="1">
      <alignment horizontal="right" vertical="center" wrapText="1"/>
    </xf>
    <xf numFmtId="0" fontId="9" fillId="0" borderId="34" xfId="12" applyFont="1" applyBorder="1" applyAlignment="1">
      <alignment horizontal="right" vertical="center" wrapText="1"/>
    </xf>
    <xf numFmtId="0" fontId="9" fillId="0" borderId="35" xfId="12" applyFont="1" applyBorder="1" applyAlignment="1">
      <alignment horizontal="right" vertical="center" wrapText="1"/>
    </xf>
    <xf numFmtId="0" fontId="11" fillId="0" borderId="60" xfId="12" applyFont="1" applyBorder="1" applyAlignment="1">
      <alignment horizontal="right" vertical="center" wrapText="1"/>
    </xf>
    <xf numFmtId="0" fontId="11" fillId="0" borderId="34" xfId="12" applyFont="1" applyBorder="1" applyAlignment="1">
      <alignment horizontal="right" vertical="center" wrapText="1"/>
    </xf>
    <xf numFmtId="0" fontId="11" fillId="0" borderId="35" xfId="12" applyFont="1" applyBorder="1" applyAlignment="1">
      <alignment horizontal="right" vertical="center" wrapText="1"/>
    </xf>
    <xf numFmtId="44" fontId="12" fillId="0" borderId="0" xfId="10" applyNumberFormat="1" applyFont="1" applyAlignment="1">
      <alignment horizontal="center" vertical="center"/>
    </xf>
    <xf numFmtId="0" fontId="12" fillId="0" borderId="0" xfId="10" applyFont="1" applyAlignment="1">
      <alignment horizontal="center" vertical="center"/>
    </xf>
    <xf numFmtId="0" fontId="5" fillId="0" borderId="6" xfId="2" applyFont="1" applyBorder="1" applyAlignment="1">
      <alignment horizontal="center" wrapText="1"/>
    </xf>
    <xf numFmtId="0" fontId="5" fillId="0" borderId="7" xfId="2" applyFont="1" applyBorder="1" applyAlignment="1">
      <alignment horizontal="center" wrapText="1"/>
    </xf>
    <xf numFmtId="0" fontId="9" fillId="0" borderId="0" xfId="4" applyFont="1" applyAlignment="1">
      <alignment horizontal="center" vertical="top"/>
    </xf>
    <xf numFmtId="0" fontId="9" fillId="0" borderId="10" xfId="4" applyFont="1" applyBorder="1" applyAlignment="1">
      <alignment horizontal="center"/>
    </xf>
    <xf numFmtId="0" fontId="10" fillId="0" borderId="12" xfId="3" applyFont="1" applyBorder="1" applyAlignment="1">
      <alignment horizontal="center" vertical="center" wrapText="1"/>
    </xf>
    <xf numFmtId="0" fontId="10" fillId="0" borderId="13" xfId="3" applyFont="1" applyBorder="1" applyAlignment="1">
      <alignment horizontal="center" vertical="center" wrapText="1"/>
    </xf>
    <xf numFmtId="0" fontId="11" fillId="0" borderId="13" xfId="5" applyFont="1" applyBorder="1" applyAlignment="1">
      <alignment horizontal="center" vertical="center" wrapText="1"/>
    </xf>
    <xf numFmtId="0" fontId="11" fillId="0" borderId="23" xfId="5" applyFont="1" applyBorder="1" applyAlignment="1">
      <alignment horizontal="center" vertical="center" wrapText="1"/>
    </xf>
    <xf numFmtId="0" fontId="11" fillId="0" borderId="14" xfId="5" applyFont="1" applyBorder="1" applyAlignment="1">
      <alignment horizontal="center" vertical="center" wrapText="1"/>
    </xf>
    <xf numFmtId="0" fontId="11" fillId="0" borderId="1" xfId="5" applyFont="1" applyBorder="1" applyAlignment="1">
      <alignment horizontal="center" vertical="center" wrapText="1"/>
    </xf>
    <xf numFmtId="0" fontId="11" fillId="0" borderId="48" xfId="5" applyFont="1" applyBorder="1" applyAlignment="1">
      <alignment horizontal="center" vertical="center" wrapText="1"/>
    </xf>
    <xf numFmtId="0" fontId="11" fillId="0" borderId="16" xfId="5" applyFont="1" applyBorder="1" applyAlignment="1">
      <alignment horizontal="center" vertical="center" wrapText="1"/>
    </xf>
    <xf numFmtId="0" fontId="10" fillId="0" borderId="15" xfId="3" applyFont="1" applyBorder="1" applyAlignment="1">
      <alignment horizontal="center" vertical="center" wrapText="1"/>
    </xf>
    <xf numFmtId="0" fontId="10" fillId="0" borderId="1" xfId="3" applyFont="1" applyBorder="1" applyAlignment="1">
      <alignment horizontal="center" vertical="center" wrapText="1"/>
    </xf>
    <xf numFmtId="4" fontId="9" fillId="2" borderId="13" xfId="3" applyNumberFormat="1" applyFont="1" applyFill="1" applyBorder="1" applyAlignment="1">
      <alignment horizontal="center" vertical="center" wrapText="1"/>
    </xf>
    <xf numFmtId="0" fontId="11" fillId="0" borderId="15" xfId="5" applyFont="1" applyBorder="1" applyAlignment="1">
      <alignment horizontal="center" vertical="center" wrapText="1"/>
    </xf>
    <xf numFmtId="0" fontId="11" fillId="0" borderId="17" xfId="5" applyFont="1" applyBorder="1" applyAlignment="1">
      <alignment horizontal="center" vertical="center" wrapText="1"/>
    </xf>
    <xf numFmtId="0" fontId="11" fillId="0" borderId="18" xfId="5" applyFont="1" applyBorder="1" applyAlignment="1">
      <alignment horizontal="center" vertical="center" wrapText="1"/>
    </xf>
    <xf numFmtId="0" fontId="11" fillId="0" borderId="49" xfId="5" applyFont="1" applyBorder="1" applyAlignment="1">
      <alignment horizontal="center" vertical="center" wrapText="1"/>
    </xf>
    <xf numFmtId="0" fontId="11" fillId="0" borderId="19" xfId="5" applyFont="1" applyBorder="1" applyAlignment="1">
      <alignment horizontal="center" vertical="center" wrapText="1"/>
    </xf>
    <xf numFmtId="0" fontId="9" fillId="3" borderId="20" xfId="3" applyFont="1" applyFill="1" applyBorder="1" applyAlignment="1">
      <alignment horizontal="left" vertical="center"/>
    </xf>
    <xf numFmtId="0" fontId="9" fillId="3" borderId="10" xfId="3" applyFont="1" applyFill="1" applyBorder="1" applyAlignment="1">
      <alignment horizontal="left" vertical="center"/>
    </xf>
    <xf numFmtId="0" fontId="9" fillId="3" borderId="21" xfId="3" applyFont="1" applyFill="1" applyBorder="1" applyAlignment="1">
      <alignment horizontal="left" vertical="center"/>
    </xf>
    <xf numFmtId="0" fontId="9" fillId="2" borderId="12"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2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3" xfId="3" applyFont="1" applyFill="1" applyBorder="1" applyAlignment="1">
      <alignment horizontal="center" vertical="center" wrapText="1"/>
    </xf>
    <xf numFmtId="0" fontId="4" fillId="2" borderId="0" xfId="2" applyFont="1" applyFill="1" applyAlignment="1">
      <alignment horizontal="center"/>
    </xf>
    <xf numFmtId="0" fontId="4" fillId="0" borderId="0" xfId="2" applyFont="1" applyAlignment="1">
      <alignment horizontal="center"/>
    </xf>
    <xf numFmtId="0" fontId="9" fillId="10" borderId="25" xfId="12" applyFont="1" applyFill="1" applyBorder="1" applyAlignment="1">
      <alignment horizontal="center" vertical="center" wrapText="1"/>
    </xf>
    <xf numFmtId="0" fontId="9" fillId="10" borderId="26" xfId="12" applyFont="1" applyFill="1" applyBorder="1" applyAlignment="1">
      <alignment horizontal="center" vertical="center" wrapText="1"/>
    </xf>
    <xf numFmtId="0" fontId="9" fillId="10" borderId="31" xfId="12" applyFont="1" applyFill="1" applyBorder="1" applyAlignment="1">
      <alignment horizontal="center" vertical="center" wrapText="1"/>
    </xf>
    <xf numFmtId="0" fontId="9" fillId="10" borderId="32" xfId="12" applyFont="1" applyFill="1" applyBorder="1" applyAlignment="1">
      <alignment horizontal="center" vertical="center" wrapText="1"/>
    </xf>
    <xf numFmtId="0" fontId="9" fillId="10" borderId="33" xfId="12" applyFont="1" applyFill="1" applyBorder="1" applyAlignment="1">
      <alignment horizontal="center" vertical="center" wrapText="1"/>
    </xf>
    <xf numFmtId="0" fontId="9" fillId="10" borderId="56" xfId="12" applyFont="1" applyFill="1" applyBorder="1" applyAlignment="1">
      <alignment horizontal="center" vertical="center" wrapText="1"/>
    </xf>
    <xf numFmtId="0" fontId="11" fillId="0" borderId="42" xfId="12" applyFont="1" applyBorder="1" applyAlignment="1">
      <alignment horizontal="center" vertical="center" wrapText="1"/>
    </xf>
    <xf numFmtId="0" fontId="11" fillId="0" borderId="0" xfId="12" applyFont="1" applyAlignment="1">
      <alignment horizontal="center" vertical="center" wrapText="1"/>
    </xf>
    <xf numFmtId="0" fontId="11" fillId="0" borderId="30" xfId="12" applyFont="1" applyBorder="1" applyAlignment="1">
      <alignment horizontal="center" vertical="center" wrapText="1"/>
    </xf>
    <xf numFmtId="49" fontId="9" fillId="14" borderId="15" xfId="11" applyNumberFormat="1" applyFont="1" applyFill="1" applyBorder="1" applyAlignment="1">
      <alignment horizontal="center" vertical="center"/>
    </xf>
    <xf numFmtId="49" fontId="9" fillId="14" borderId="1" xfId="11" applyNumberFormat="1" applyFont="1" applyFill="1" applyBorder="1" applyAlignment="1">
      <alignment horizontal="center" vertical="center"/>
    </xf>
    <xf numFmtId="0" fontId="9" fillId="3" borderId="27" xfId="3" applyFont="1" applyFill="1" applyBorder="1" applyAlignment="1">
      <alignment horizontal="right" vertical="center"/>
    </xf>
    <xf numFmtId="0" fontId="11" fillId="0" borderId="40" xfId="12" applyFont="1" applyBorder="1" applyAlignment="1">
      <alignment horizontal="right" vertical="center" wrapText="1"/>
    </xf>
    <xf numFmtId="0" fontId="11" fillId="0" borderId="53" xfId="12" applyFont="1" applyBorder="1" applyAlignment="1">
      <alignment horizontal="right" vertical="center" wrapText="1"/>
    </xf>
    <xf numFmtId="0" fontId="9" fillId="0" borderId="48" xfId="3" applyFont="1" applyBorder="1" applyAlignment="1">
      <alignment horizontal="right" vertical="center"/>
    </xf>
    <xf numFmtId="0" fontId="9" fillId="0" borderId="34" xfId="3" applyFont="1" applyBorder="1" applyAlignment="1">
      <alignment horizontal="right" vertical="center"/>
    </xf>
    <xf numFmtId="0" fontId="9" fillId="3" borderId="0" xfId="3" applyFont="1" applyFill="1" applyAlignment="1">
      <alignment horizontal="left" vertical="center"/>
    </xf>
    <xf numFmtId="0" fontId="9" fillId="2" borderId="23" xfId="3" applyFont="1" applyFill="1" applyBorder="1" applyAlignment="1">
      <alignment horizontal="center" vertical="center" wrapText="1"/>
    </xf>
    <xf numFmtId="0" fontId="9" fillId="2" borderId="57" xfId="3" applyFont="1" applyFill="1" applyBorder="1" applyAlignment="1">
      <alignment horizontal="center" vertical="center" wrapText="1"/>
    </xf>
    <xf numFmtId="4" fontId="9" fillId="2" borderId="0" xfId="3" applyNumberFormat="1" applyFont="1" applyFill="1" applyAlignment="1">
      <alignment horizontal="center" vertical="center" wrapText="1"/>
    </xf>
    <xf numFmtId="4" fontId="9" fillId="2" borderId="24" xfId="3" applyNumberFormat="1" applyFont="1" applyFill="1" applyBorder="1" applyAlignment="1">
      <alignment horizontal="center" vertical="center" wrapText="1"/>
    </xf>
    <xf numFmtId="4" fontId="9" fillId="2" borderId="61" xfId="3" applyNumberFormat="1" applyFont="1" applyFill="1" applyBorder="1" applyAlignment="1">
      <alignment horizontal="center" vertical="center" wrapText="1"/>
    </xf>
    <xf numFmtId="0" fontId="20" fillId="0" borderId="0" xfId="19" applyFont="1" applyAlignment="1">
      <alignment horizontal="center"/>
    </xf>
    <xf numFmtId="0" fontId="17" fillId="0" borderId="1" xfId="19" applyFont="1" applyBorder="1" applyAlignment="1">
      <alignment horizontal="center" vertical="center" wrapText="1"/>
    </xf>
    <xf numFmtId="0" fontId="17" fillId="8" borderId="1" xfId="19" applyFont="1" applyFill="1" applyBorder="1" applyAlignment="1">
      <alignment horizontal="center" vertical="center" wrapText="1"/>
    </xf>
    <xf numFmtId="164" fontId="17" fillId="0" borderId="1" xfId="19" applyNumberFormat="1" applyFont="1" applyBorder="1" applyAlignment="1">
      <alignment horizontal="center" vertical="center" wrapText="1"/>
    </xf>
    <xf numFmtId="0" fontId="17" fillId="10" borderId="1" xfId="19" applyFont="1" applyFill="1" applyBorder="1" applyAlignment="1">
      <alignment horizontal="left" vertical="center" wrapText="1"/>
    </xf>
    <xf numFmtId="0" fontId="20" fillId="0" borderId="1" xfId="19" applyFont="1" applyBorder="1" applyAlignment="1">
      <alignment horizontal="left" vertical="center" wrapText="1"/>
    </xf>
    <xf numFmtId="0" fontId="17" fillId="4" borderId="1" xfId="19" applyFont="1" applyFill="1" applyBorder="1" applyAlignment="1">
      <alignment horizontal="left" vertical="center" wrapText="1"/>
    </xf>
    <xf numFmtId="0" fontId="17" fillId="10" borderId="1" xfId="19" applyFont="1" applyFill="1" applyBorder="1" applyAlignment="1">
      <alignment horizontal="center" vertical="center" wrapText="1"/>
    </xf>
    <xf numFmtId="0" fontId="15" fillId="0" borderId="1" xfId="19" applyFont="1" applyBorder="1" applyAlignment="1">
      <alignment horizontal="center" vertical="center" wrapText="1"/>
    </xf>
    <xf numFmtId="0" fontId="16" fillId="0" borderId="1" xfId="19" applyFont="1" applyBorder="1" applyAlignment="1">
      <alignment horizontal="center" vertical="center" wrapText="1"/>
    </xf>
    <xf numFmtId="166" fontId="18" fillId="4" borderId="23" xfId="20" applyNumberFormat="1" applyFont="1" applyFill="1" applyBorder="1" applyAlignment="1">
      <alignment horizontal="center"/>
    </xf>
    <xf numFmtId="164" fontId="18" fillId="4" borderId="24" xfId="20" applyNumberFormat="1" applyFont="1" applyFill="1" applyBorder="1" applyAlignment="1">
      <alignment horizontal="center"/>
    </xf>
    <xf numFmtId="0" fontId="17" fillId="2" borderId="40" xfId="19" applyFont="1" applyFill="1" applyBorder="1" applyAlignment="1">
      <alignment vertical="center"/>
    </xf>
    <xf numFmtId="0" fontId="17" fillId="2" borderId="61" xfId="19" applyFont="1" applyFill="1" applyBorder="1" applyAlignment="1">
      <alignment vertical="center"/>
    </xf>
    <xf numFmtId="164" fontId="20" fillId="0" borderId="18" xfId="20" applyNumberFormat="1" applyFont="1" applyBorder="1" applyAlignment="1">
      <alignment horizontal="center"/>
    </xf>
    <xf numFmtId="164" fontId="20" fillId="0" borderId="19" xfId="20" applyNumberFormat="1" applyFont="1" applyBorder="1" applyAlignment="1">
      <alignment horizontal="center"/>
    </xf>
    <xf numFmtId="0" fontId="23" fillId="0" borderId="1" xfId="19" applyFont="1" applyBorder="1" applyAlignment="1">
      <alignment horizontal="left"/>
    </xf>
    <xf numFmtId="0" fontId="1" fillId="0" borderId="1" xfId="19" applyBorder="1" applyAlignment="1">
      <alignment horizontal="left"/>
    </xf>
    <xf numFmtId="0" fontId="23" fillId="11" borderId="1" xfId="19" applyFont="1" applyFill="1" applyBorder="1" applyAlignment="1">
      <alignment horizontal="right" vertical="center"/>
    </xf>
    <xf numFmtId="183" fontId="23" fillId="11" borderId="1" xfId="26" applyFont="1" applyFill="1" applyBorder="1" applyAlignment="1">
      <alignment horizontal="left" vertical="center"/>
    </xf>
    <xf numFmtId="0" fontId="6" fillId="0" borderId="63" xfId="12" applyBorder="1" applyAlignment="1">
      <alignment horizontal="center"/>
    </xf>
    <xf numFmtId="0" fontId="6" fillId="0" borderId="68" xfId="12" applyBorder="1" applyAlignment="1">
      <alignment horizontal="center"/>
    </xf>
    <xf numFmtId="0" fontId="6" fillId="0" borderId="65" xfId="12" applyBorder="1" applyAlignment="1">
      <alignment horizontal="center"/>
    </xf>
    <xf numFmtId="0" fontId="22" fillId="0" borderId="62" xfId="12" applyFont="1" applyBorder="1" applyAlignment="1">
      <alignment horizontal="center" vertical="center" wrapText="1"/>
    </xf>
    <xf numFmtId="0" fontId="22" fillId="0" borderId="67" xfId="12" applyFont="1" applyBorder="1" applyAlignment="1">
      <alignment horizontal="center" vertical="center" wrapText="1"/>
    </xf>
    <xf numFmtId="0" fontId="22" fillId="0" borderId="42" xfId="12" applyFont="1" applyBorder="1" applyAlignment="1">
      <alignment horizontal="center" vertical="center" wrapText="1"/>
    </xf>
    <xf numFmtId="0" fontId="22" fillId="0" borderId="64" xfId="12" applyFont="1" applyBorder="1" applyAlignment="1">
      <alignment horizontal="center" vertical="center" wrapText="1"/>
    </xf>
    <xf numFmtId="0" fontId="22" fillId="0" borderId="20" xfId="12" applyFont="1" applyBorder="1" applyAlignment="1">
      <alignment horizontal="center" vertical="center" wrapText="1"/>
    </xf>
    <xf numFmtId="0" fontId="22" fillId="0" borderId="21" xfId="12" applyFont="1" applyBorder="1" applyAlignment="1">
      <alignment horizontal="center" vertical="center" wrapText="1"/>
    </xf>
    <xf numFmtId="0" fontId="22" fillId="0" borderId="63" xfId="12" applyFont="1" applyBorder="1" applyAlignment="1">
      <alignment horizontal="center" vertical="center" wrapText="1"/>
    </xf>
    <xf numFmtId="0" fontId="22" fillId="0" borderId="68" xfId="12" applyFont="1" applyBorder="1" applyAlignment="1">
      <alignment horizontal="center" vertical="center" wrapText="1"/>
    </xf>
    <xf numFmtId="0" fontId="22" fillId="0" borderId="65" xfId="12" applyFont="1" applyBorder="1" applyAlignment="1">
      <alignment horizontal="center" vertical="center" wrapText="1"/>
    </xf>
    <xf numFmtId="0" fontId="9" fillId="0" borderId="0" xfId="22" applyFont="1" applyAlignment="1">
      <alignment vertical="center" wrapText="1"/>
    </xf>
    <xf numFmtId="0" fontId="25" fillId="0" borderId="1" xfId="28" applyFont="1" applyBorder="1" applyAlignment="1">
      <alignment horizontal="center" vertical="center" wrapText="1"/>
    </xf>
    <xf numFmtId="190" fontId="25" fillId="0" borderId="1" xfId="32" applyNumberFormat="1" applyFont="1" applyFill="1" applyBorder="1" applyAlignment="1">
      <alignment horizontal="right" vertical="center" wrapText="1"/>
    </xf>
    <xf numFmtId="0" fontId="25" fillId="0" borderId="48" xfId="28" applyFont="1" applyBorder="1" applyAlignment="1">
      <alignment horizontal="center" vertical="center" wrapText="1"/>
    </xf>
    <xf numFmtId="0" fontId="25" fillId="0" borderId="34" xfId="28" applyFont="1" applyBorder="1" applyAlignment="1">
      <alignment horizontal="center" vertical="center" wrapText="1"/>
    </xf>
    <xf numFmtId="0" fontId="25" fillId="0" borderId="35" xfId="28" applyFont="1" applyBorder="1" applyAlignment="1">
      <alignment horizontal="center" vertical="center" wrapText="1"/>
    </xf>
    <xf numFmtId="185" fontId="25" fillId="0" borderId="1" xfId="30" applyNumberFormat="1" applyFont="1" applyFill="1" applyBorder="1" applyAlignment="1">
      <alignment horizontal="right" vertical="center"/>
    </xf>
    <xf numFmtId="0" fontId="25" fillId="0" borderId="0" xfId="28" applyFont="1" applyAlignment="1">
      <alignment horizontal="center" vertical="center" wrapText="1"/>
    </xf>
    <xf numFmtId="185" fontId="25" fillId="0" borderId="0" xfId="30" applyNumberFormat="1" applyFont="1" applyFill="1" applyBorder="1" applyAlignment="1">
      <alignment horizontal="right" vertical="center"/>
    </xf>
    <xf numFmtId="0" fontId="25" fillId="0" borderId="46" xfId="28" applyFont="1" applyBorder="1" applyAlignment="1">
      <alignment horizontal="center" vertical="center" wrapText="1"/>
    </xf>
    <xf numFmtId="0" fontId="25" fillId="0" borderId="39" xfId="28" applyFont="1" applyBorder="1" applyAlignment="1">
      <alignment horizontal="center" vertical="center" wrapText="1"/>
    </xf>
    <xf numFmtId="0" fontId="6" fillId="0" borderId="57" xfId="28" applyBorder="1" applyAlignment="1">
      <alignment horizontal="justify" vertical="center" wrapText="1"/>
    </xf>
    <xf numFmtId="0" fontId="6" fillId="0" borderId="53" xfId="28" applyBorder="1" applyAlignment="1">
      <alignment horizontal="justify" vertical="center" wrapText="1"/>
    </xf>
    <xf numFmtId="0" fontId="6" fillId="0" borderId="41" xfId="28" applyBorder="1" applyAlignment="1">
      <alignment horizontal="justify" vertical="center" wrapText="1"/>
    </xf>
    <xf numFmtId="0" fontId="6" fillId="0" borderId="50" xfId="28" applyBorder="1" applyAlignment="1">
      <alignment horizontal="justify" vertical="center" wrapText="1"/>
    </xf>
    <xf numFmtId="0" fontId="6" fillId="0" borderId="54" xfId="28" applyBorder="1" applyAlignment="1">
      <alignment horizontal="justify" vertical="center" wrapText="1"/>
    </xf>
    <xf numFmtId="0" fontId="6" fillId="0" borderId="55" xfId="28" applyBorder="1" applyAlignment="1">
      <alignment horizontal="justify" vertical="center" wrapText="1"/>
    </xf>
    <xf numFmtId="178" fontId="6" fillId="12" borderId="1" xfId="27" applyNumberFormat="1" applyFill="1" applyBorder="1" applyAlignment="1">
      <alignment horizontal="center" vertical="center" wrapText="1"/>
    </xf>
    <xf numFmtId="188" fontId="6" fillId="0" borderId="48" xfId="28" applyNumberFormat="1" applyBorder="1" applyAlignment="1">
      <alignment horizontal="right" vertical="center" wrapText="1"/>
    </xf>
    <xf numFmtId="188" fontId="6" fillId="0" borderId="34" xfId="28" applyNumberFormat="1" applyBorder="1" applyAlignment="1">
      <alignment horizontal="right" vertical="center" wrapText="1"/>
    </xf>
    <xf numFmtId="188" fontId="6" fillId="0" borderId="35" xfId="28" applyNumberFormat="1" applyBorder="1" applyAlignment="1">
      <alignment horizontal="right" vertical="center" wrapText="1"/>
    </xf>
    <xf numFmtId="190" fontId="6" fillId="0" borderId="48" xfId="32" applyNumberFormat="1" applyFont="1" applyFill="1" applyBorder="1" applyAlignment="1">
      <alignment horizontal="right" vertical="center" wrapText="1"/>
    </xf>
    <xf numFmtId="190" fontId="6" fillId="0" borderId="35" xfId="32" applyNumberFormat="1" applyFont="1" applyFill="1" applyBorder="1" applyAlignment="1">
      <alignment horizontal="right" vertical="center" wrapText="1"/>
    </xf>
    <xf numFmtId="190" fontId="6" fillId="0" borderId="1" xfId="32" applyNumberFormat="1" applyFont="1" applyFill="1" applyBorder="1" applyAlignment="1">
      <alignment horizontal="right" vertical="center" wrapText="1"/>
    </xf>
    <xf numFmtId="0" fontId="25" fillId="0" borderId="1" xfId="28" applyFont="1" applyBorder="1" applyAlignment="1">
      <alignment horizontal="justify" vertical="center" wrapText="1"/>
    </xf>
    <xf numFmtId="0" fontId="6" fillId="0" borderId="57" xfId="28" applyBorder="1" applyAlignment="1">
      <alignment vertical="center" wrapText="1"/>
    </xf>
    <xf numFmtId="0" fontId="6" fillId="0" borderId="53" xfId="28" applyBorder="1" applyAlignment="1">
      <alignment vertical="center" wrapText="1"/>
    </xf>
    <xf numFmtId="0" fontId="6" fillId="0" borderId="41" xfId="28" applyBorder="1" applyAlignment="1">
      <alignment vertical="center" wrapText="1"/>
    </xf>
    <xf numFmtId="0" fontId="6" fillId="0" borderId="50" xfId="28" applyBorder="1" applyAlignment="1">
      <alignment vertical="center" wrapText="1"/>
    </xf>
    <xf numFmtId="0" fontId="6" fillId="0" borderId="54" xfId="28" applyBorder="1" applyAlignment="1">
      <alignment vertical="center" wrapText="1"/>
    </xf>
    <xf numFmtId="0" fontId="6" fillId="0" borderId="55" xfId="28" applyBorder="1" applyAlignment="1">
      <alignment vertical="center" wrapText="1"/>
    </xf>
    <xf numFmtId="0" fontId="6" fillId="0" borderId="1" xfId="28" applyBorder="1" applyAlignment="1">
      <alignment horizontal="justify" vertical="center" wrapText="1"/>
    </xf>
    <xf numFmtId="0" fontId="25" fillId="5" borderId="1" xfId="28" applyFont="1" applyFill="1" applyBorder="1" applyAlignment="1">
      <alignment horizontal="center" vertical="center"/>
    </xf>
    <xf numFmtId="185" fontId="25" fillId="5" borderId="1" xfId="28" applyNumberFormat="1" applyFont="1" applyFill="1" applyBorder="1" applyAlignment="1">
      <alignment horizontal="center" vertical="center" wrapText="1"/>
    </xf>
    <xf numFmtId="184" fontId="25" fillId="5" borderId="1" xfId="28" applyNumberFormat="1" applyFont="1" applyFill="1" applyBorder="1" applyAlignment="1">
      <alignment horizontal="center" vertical="center" wrapText="1"/>
    </xf>
    <xf numFmtId="189" fontId="25" fillId="0" borderId="1" xfId="30" applyNumberFormat="1" applyFont="1" applyFill="1" applyBorder="1" applyAlignment="1">
      <alignment horizontal="right" vertical="center"/>
    </xf>
    <xf numFmtId="189" fontId="25" fillId="0" borderId="48" xfId="30" applyNumberFormat="1" applyFont="1" applyFill="1" applyBorder="1" applyAlignment="1">
      <alignment horizontal="right" vertical="center"/>
    </xf>
    <xf numFmtId="189" fontId="25" fillId="0" borderId="35" xfId="30" applyNumberFormat="1" applyFont="1" applyFill="1" applyBorder="1" applyAlignment="1">
      <alignment horizontal="right" vertical="center"/>
    </xf>
    <xf numFmtId="0" fontId="6" fillId="0" borderId="48" xfId="28" applyBorder="1" applyAlignment="1">
      <alignment vertical="center" wrapText="1"/>
    </xf>
    <xf numFmtId="0" fontId="6" fillId="0" borderId="34" xfId="28" applyBorder="1" applyAlignment="1">
      <alignment vertical="center" wrapText="1"/>
    </xf>
    <xf numFmtId="0" fontId="6" fillId="0" borderId="35" xfId="28" applyBorder="1" applyAlignment="1">
      <alignment vertical="center" wrapText="1"/>
    </xf>
    <xf numFmtId="189" fontId="6" fillId="0" borderId="48" xfId="32" applyNumberFormat="1" applyFont="1" applyFill="1" applyBorder="1" applyAlignment="1">
      <alignment horizontal="right" vertical="center" wrapText="1"/>
    </xf>
    <xf numFmtId="189" fontId="6" fillId="0" borderId="35" xfId="32" applyNumberFormat="1" applyFont="1" applyFill="1" applyBorder="1" applyAlignment="1">
      <alignment horizontal="right" vertical="center" wrapText="1"/>
    </xf>
    <xf numFmtId="185" fontId="6" fillId="10" borderId="48" xfId="28" applyNumberFormat="1" applyFill="1" applyBorder="1" applyAlignment="1">
      <alignment horizontal="right" vertical="center" wrapText="1"/>
    </xf>
    <xf numFmtId="185" fontId="6" fillId="10" borderId="34" xfId="28" applyNumberFormat="1" applyFill="1" applyBorder="1" applyAlignment="1">
      <alignment horizontal="right" vertical="center" wrapText="1"/>
    </xf>
    <xf numFmtId="185" fontId="6" fillId="10" borderId="35" xfId="28" applyNumberFormat="1" applyFill="1" applyBorder="1" applyAlignment="1">
      <alignment horizontal="right" vertical="center" wrapText="1"/>
    </xf>
    <xf numFmtId="189" fontId="6" fillId="10" borderId="48" xfId="32" applyNumberFormat="1" applyFont="1" applyFill="1" applyBorder="1" applyAlignment="1">
      <alignment horizontal="right" vertical="center" wrapText="1"/>
    </xf>
    <xf numFmtId="189" fontId="6" fillId="10" borderId="35" xfId="32" applyNumberFormat="1" applyFont="1" applyFill="1" applyBorder="1" applyAlignment="1">
      <alignment horizontal="right" vertical="center" wrapText="1"/>
    </xf>
    <xf numFmtId="0" fontId="25" fillId="0" borderId="1" xfId="28" applyFont="1" applyBorder="1" applyAlignment="1">
      <alignment horizontal="justify" vertical="center"/>
    </xf>
    <xf numFmtId="0" fontId="6" fillId="0" borderId="53" xfId="28" applyBorder="1" applyAlignment="1">
      <alignment horizontal="left" vertical="center" wrapText="1"/>
    </xf>
    <xf numFmtId="0" fontId="6" fillId="0" borderId="0" xfId="28" applyAlignment="1">
      <alignment horizontal="left" vertical="center" wrapText="1"/>
    </xf>
    <xf numFmtId="0" fontId="6" fillId="0" borderId="54" xfId="28" applyBorder="1" applyAlignment="1">
      <alignment horizontal="left" vertical="center" wrapText="1"/>
    </xf>
    <xf numFmtId="0" fontId="11" fillId="0" borderId="0" xfId="22" applyFont="1" applyAlignment="1">
      <alignment horizontal="center" vertical="center"/>
    </xf>
    <xf numFmtId="0" fontId="11" fillId="0" borderId="30" xfId="22" applyFont="1" applyBorder="1" applyAlignment="1">
      <alignment horizontal="center" vertical="center"/>
    </xf>
    <xf numFmtId="189" fontId="25" fillId="0" borderId="39" xfId="30" applyNumberFormat="1" applyFont="1" applyFill="1" applyBorder="1" applyAlignment="1">
      <alignment horizontal="right" vertical="center"/>
    </xf>
    <xf numFmtId="189" fontId="6" fillId="0" borderId="1" xfId="32" applyNumberFormat="1" applyFont="1" applyFill="1" applyBorder="1" applyAlignment="1">
      <alignment horizontal="right" vertical="center" wrapText="1"/>
    </xf>
    <xf numFmtId="0" fontId="6" fillId="0" borderId="1" xfId="28" applyBorder="1" applyAlignment="1">
      <alignment horizontal="left" vertical="center" wrapText="1"/>
    </xf>
    <xf numFmtId="0" fontId="6" fillId="0" borderId="1" xfId="28" applyBorder="1" applyAlignment="1">
      <alignment vertical="center" wrapText="1"/>
    </xf>
    <xf numFmtId="0" fontId="11" fillId="0" borderId="54" xfId="22" applyFont="1" applyBorder="1" applyAlignment="1">
      <alignment horizontal="center" vertical="center"/>
    </xf>
    <xf numFmtId="0" fontId="25" fillId="0" borderId="47" xfId="28" applyFont="1" applyBorder="1" applyAlignment="1">
      <alignment horizontal="center" vertical="center" wrapText="1"/>
    </xf>
    <xf numFmtId="0" fontId="6" fillId="0" borderId="57" xfId="28" applyBorder="1" applyAlignment="1">
      <alignment horizontal="left" vertical="center" wrapText="1"/>
    </xf>
    <xf numFmtId="0" fontId="6" fillId="0" borderId="41" xfId="28" applyBorder="1" applyAlignment="1">
      <alignment horizontal="left" vertical="center" wrapText="1"/>
    </xf>
    <xf numFmtId="0" fontId="6" fillId="0" borderId="70" xfId="28" applyBorder="1" applyAlignment="1">
      <alignment horizontal="left" vertical="center" wrapText="1"/>
    </xf>
    <xf numFmtId="0" fontId="6" fillId="0" borderId="30" xfId="28" applyBorder="1" applyAlignment="1">
      <alignment horizontal="left" vertical="center" wrapText="1"/>
    </xf>
    <xf numFmtId="0" fontId="6" fillId="0" borderId="50" xfId="28" applyBorder="1" applyAlignment="1">
      <alignment horizontal="left" vertical="center" wrapText="1"/>
    </xf>
    <xf numFmtId="0" fontId="6" fillId="0" borderId="55" xfId="28" applyBorder="1" applyAlignment="1">
      <alignment horizontal="left" vertical="center" wrapText="1"/>
    </xf>
    <xf numFmtId="178" fontId="6" fillId="12" borderId="48" xfId="27" applyNumberFormat="1" applyFill="1" applyBorder="1" applyAlignment="1">
      <alignment horizontal="center" vertical="center" wrapText="1"/>
    </xf>
    <xf numFmtId="178" fontId="6" fillId="12" borderId="35" xfId="27" applyNumberFormat="1" applyFill="1" applyBorder="1" applyAlignment="1">
      <alignment horizontal="center" vertical="center" wrapText="1"/>
    </xf>
    <xf numFmtId="0" fontId="25" fillId="0" borderId="1" xfId="22" applyFont="1" applyBorder="1" applyAlignment="1">
      <alignment horizontal="left" vertical="center" wrapText="1"/>
    </xf>
    <xf numFmtId="0" fontId="11" fillId="0" borderId="53" xfId="22" applyFont="1" applyBorder="1" applyAlignment="1">
      <alignment horizontal="center" vertical="center"/>
    </xf>
    <xf numFmtId="0" fontId="11" fillId="0" borderId="41" xfId="22" applyFont="1" applyBorder="1" applyAlignment="1">
      <alignment horizontal="center" vertical="center"/>
    </xf>
    <xf numFmtId="0" fontId="25" fillId="0" borderId="48" xfId="28" applyFont="1" applyBorder="1" applyAlignment="1">
      <alignment horizontal="justify" vertical="center"/>
    </xf>
    <xf numFmtId="0" fontId="25" fillId="0" borderId="34" xfId="28" applyFont="1" applyBorder="1" applyAlignment="1">
      <alignment horizontal="justify" vertical="center"/>
    </xf>
    <xf numFmtId="0" fontId="25" fillId="0" borderId="35" xfId="28" applyFont="1" applyBorder="1" applyAlignment="1">
      <alignment horizontal="justify" vertical="center"/>
    </xf>
    <xf numFmtId="0" fontId="25" fillId="5" borderId="39" xfId="22" applyFont="1" applyFill="1" applyBorder="1" applyAlignment="1">
      <alignment horizontal="center" vertical="center"/>
    </xf>
    <xf numFmtId="0" fontId="25" fillId="5" borderId="39" xfId="22" applyFont="1" applyFill="1" applyBorder="1" applyAlignment="1">
      <alignment horizontal="center" vertical="center" wrapText="1"/>
    </xf>
    <xf numFmtId="187" fontId="25" fillId="5" borderId="39" xfId="32" applyNumberFormat="1" applyFont="1" applyFill="1" applyBorder="1" applyAlignment="1">
      <alignment horizontal="center" vertical="center" wrapText="1"/>
    </xf>
    <xf numFmtId="0" fontId="25" fillId="5" borderId="39" xfId="28" applyFont="1" applyFill="1" applyBorder="1" applyAlignment="1">
      <alignment horizontal="center" vertical="center"/>
    </xf>
    <xf numFmtId="0" fontId="25" fillId="0" borderId="48" xfId="28" applyFont="1" applyBorder="1" applyAlignment="1">
      <alignment horizontal="left" vertical="center"/>
    </xf>
    <xf numFmtId="0" fontId="25" fillId="0" borderId="34" xfId="28" applyFont="1" applyBorder="1" applyAlignment="1">
      <alignment horizontal="left" vertical="center"/>
    </xf>
    <xf numFmtId="0" fontId="6" fillId="0" borderId="50" xfId="28" applyBorder="1" applyAlignment="1">
      <alignment horizontal="left" vertical="center"/>
    </xf>
    <xf numFmtId="0" fontId="6" fillId="0" borderId="54" xfId="28" applyBorder="1" applyAlignment="1">
      <alignment horizontal="left" vertical="center"/>
    </xf>
    <xf numFmtId="0" fontId="6" fillId="0" borderId="55" xfId="28" applyBorder="1" applyAlignment="1">
      <alignment horizontal="left" vertical="center"/>
    </xf>
    <xf numFmtId="0" fontId="25" fillId="0" borderId="1" xfId="28" applyFont="1" applyBorder="1" applyAlignment="1">
      <alignment horizontal="center" vertical="center"/>
    </xf>
    <xf numFmtId="0" fontId="25" fillId="0" borderId="48" xfId="22" applyFont="1" applyBorder="1" applyAlignment="1">
      <alignment vertical="center"/>
    </xf>
    <xf numFmtId="0" fontId="25" fillId="0" borderId="34" xfId="22" applyFont="1" applyBorder="1" applyAlignment="1">
      <alignment vertical="center"/>
    </xf>
    <xf numFmtId="0" fontId="25" fillId="0" borderId="35" xfId="22" applyFont="1" applyBorder="1" applyAlignment="1">
      <alignment vertical="center"/>
    </xf>
    <xf numFmtId="0" fontId="25" fillId="0" borderId="34" xfId="27" applyFont="1" applyBorder="1" applyAlignment="1">
      <alignment horizontal="center" vertical="center"/>
    </xf>
    <xf numFmtId="0" fontId="25" fillId="5" borderId="48" xfId="27" applyFont="1" applyFill="1" applyBorder="1" applyAlignment="1">
      <alignment horizontal="center" vertical="center"/>
    </xf>
    <xf numFmtId="0" fontId="25" fillId="5" borderId="34" xfId="27" applyFont="1" applyFill="1" applyBorder="1" applyAlignment="1">
      <alignment horizontal="center" vertical="center"/>
    </xf>
    <xf numFmtId="0" fontId="25" fillId="5" borderId="35" xfId="27" applyFont="1" applyFill="1" applyBorder="1" applyAlignment="1">
      <alignment horizontal="center" vertical="center"/>
    </xf>
    <xf numFmtId="0" fontId="25" fillId="5" borderId="48" xfId="28" applyFont="1" applyFill="1" applyBorder="1" applyAlignment="1">
      <alignment horizontal="center" vertical="center"/>
    </xf>
    <xf numFmtId="0" fontId="25" fillId="5" borderId="34" xfId="28" applyFont="1" applyFill="1" applyBorder="1" applyAlignment="1">
      <alignment horizontal="center" vertical="center"/>
    </xf>
    <xf numFmtId="0" fontId="25" fillId="5" borderId="35" xfId="28" applyFont="1" applyFill="1" applyBorder="1" applyAlignment="1">
      <alignment horizontal="center" vertical="center"/>
    </xf>
    <xf numFmtId="0" fontId="11" fillId="0" borderId="62" xfId="22" applyFont="1" applyBorder="1" applyAlignment="1">
      <alignment horizontal="center" vertical="center"/>
    </xf>
    <xf numFmtId="0" fontId="11" fillId="0" borderId="69" xfId="22" applyFont="1" applyBorder="1" applyAlignment="1">
      <alignment horizontal="center" vertical="center"/>
    </xf>
    <xf numFmtId="0" fontId="11" fillId="0" borderId="42" xfId="22" applyFont="1" applyBorder="1" applyAlignment="1">
      <alignment horizontal="center" vertical="center"/>
    </xf>
    <xf numFmtId="0" fontId="11" fillId="0" borderId="20" xfId="22" applyFont="1" applyBorder="1" applyAlignment="1">
      <alignment horizontal="center" vertical="center"/>
    </xf>
    <xf numFmtId="0" fontId="11" fillId="0" borderId="10" xfId="22" applyFont="1" applyBorder="1" applyAlignment="1">
      <alignment horizontal="center" vertical="center"/>
    </xf>
    <xf numFmtId="0" fontId="9" fillId="0" borderId="69" xfId="22" applyFont="1" applyBorder="1" applyAlignment="1">
      <alignment horizontal="center" vertical="center"/>
    </xf>
    <xf numFmtId="0" fontId="9" fillId="0" borderId="67" xfId="22" applyFont="1" applyBorder="1" applyAlignment="1">
      <alignment horizontal="center" vertical="center"/>
    </xf>
    <xf numFmtId="0" fontId="9" fillId="0" borderId="0" xfId="22" applyFont="1" applyAlignment="1">
      <alignment horizontal="center" vertical="center"/>
    </xf>
    <xf numFmtId="0" fontId="9" fillId="0" borderId="64" xfId="22" applyFont="1" applyBorder="1" applyAlignment="1">
      <alignment horizontal="center" vertical="center"/>
    </xf>
    <xf numFmtId="0" fontId="9" fillId="0" borderId="10" xfId="22" applyFont="1" applyBorder="1" applyAlignment="1">
      <alignment horizontal="center" vertical="center"/>
    </xf>
    <xf numFmtId="0" fontId="9" fillId="0" borderId="21" xfId="22" applyFont="1" applyBorder="1" applyAlignment="1">
      <alignment horizontal="center" vertical="center"/>
    </xf>
    <xf numFmtId="0" fontId="6" fillId="0" borderId="12" xfId="22" applyBorder="1" applyAlignment="1">
      <alignment horizontal="center" vertical="center"/>
    </xf>
    <xf numFmtId="0" fontId="6" fillId="0" borderId="13" xfId="22" applyBorder="1" applyAlignment="1">
      <alignment horizontal="center" vertical="center"/>
    </xf>
    <xf numFmtId="0" fontId="6" fillId="0" borderId="14" xfId="22" applyBorder="1" applyAlignment="1">
      <alignment horizontal="center" vertical="center"/>
    </xf>
    <xf numFmtId="0" fontId="6" fillId="0" borderId="15" xfId="22" applyBorder="1" applyAlignment="1">
      <alignment horizontal="center" vertical="center"/>
    </xf>
    <xf numFmtId="0" fontId="6" fillId="0" borderId="1" xfId="22" applyBorder="1" applyAlignment="1">
      <alignment horizontal="center" vertical="center"/>
    </xf>
    <xf numFmtId="0" fontId="6" fillId="0" borderId="16" xfId="22" applyBorder="1" applyAlignment="1">
      <alignment horizontal="center" vertical="center"/>
    </xf>
    <xf numFmtId="0" fontId="6" fillId="0" borderId="17" xfId="22" applyBorder="1" applyAlignment="1">
      <alignment horizontal="center" vertical="center"/>
    </xf>
    <xf numFmtId="0" fontId="6" fillId="0" borderId="18" xfId="22" applyBorder="1" applyAlignment="1">
      <alignment horizontal="center" vertical="center"/>
    </xf>
    <xf numFmtId="0" fontId="6" fillId="0" borderId="19" xfId="22" applyBorder="1" applyAlignment="1">
      <alignment horizontal="center" vertical="center"/>
    </xf>
    <xf numFmtId="0" fontId="25" fillId="0" borderId="25" xfId="22" applyFont="1" applyBorder="1" applyAlignment="1">
      <alignment horizontal="center" vertical="center" wrapText="1"/>
    </xf>
    <xf numFmtId="0" fontId="25" fillId="0" borderId="26" xfId="22" applyFont="1" applyBorder="1" applyAlignment="1">
      <alignment horizontal="center" vertical="center" wrapText="1"/>
    </xf>
    <xf numFmtId="0" fontId="25" fillId="0" borderId="27" xfId="22" applyFont="1" applyBorder="1" applyAlignment="1">
      <alignment horizontal="center" vertical="center" wrapText="1"/>
    </xf>
    <xf numFmtId="0" fontId="6" fillId="0" borderId="25" xfId="22" applyBorder="1" applyAlignment="1">
      <alignment horizontal="center" vertical="center" wrapText="1"/>
    </xf>
    <xf numFmtId="0" fontId="6" fillId="0" borderId="26" xfId="22" applyBorder="1" applyAlignment="1">
      <alignment horizontal="center" vertical="center" wrapText="1"/>
    </xf>
    <xf numFmtId="0" fontId="6" fillId="0" borderId="31" xfId="22" applyBorder="1" applyAlignment="1">
      <alignment horizontal="center" vertical="center" wrapText="1"/>
    </xf>
    <xf numFmtId="0" fontId="25" fillId="0" borderId="1" xfId="27" applyFont="1" applyBorder="1" applyAlignment="1">
      <alignment horizontal="center" vertical="center"/>
    </xf>
    <xf numFmtId="37" fontId="26" fillId="0" borderId="48" xfId="34" applyNumberFormat="1" applyFont="1" applyBorder="1" applyAlignment="1">
      <alignment horizontal="right" vertical="center"/>
    </xf>
    <xf numFmtId="37" fontId="26" fillId="0" borderId="34" xfId="34" applyNumberFormat="1" applyFont="1" applyBorder="1" applyAlignment="1">
      <alignment horizontal="right" vertical="center"/>
    </xf>
    <xf numFmtId="37" fontId="26" fillId="0" borderId="35" xfId="34" applyNumberFormat="1" applyFont="1" applyBorder="1" applyAlignment="1">
      <alignment horizontal="right" vertical="center"/>
    </xf>
    <xf numFmtId="0" fontId="26" fillId="0" borderId="0" xfId="34" applyFont="1" applyAlignment="1">
      <alignment horizontal="left" vertical="center"/>
    </xf>
    <xf numFmtId="10" fontId="28" fillId="0" borderId="48" xfId="34" applyNumberFormat="1" applyFont="1" applyBorder="1" applyAlignment="1">
      <alignment horizontal="center" vertical="center" wrapText="1"/>
    </xf>
    <xf numFmtId="10" fontId="28" fillId="0" borderId="35" xfId="34" applyNumberFormat="1" applyFont="1" applyBorder="1" applyAlignment="1">
      <alignment horizontal="center" vertical="center" wrapText="1"/>
    </xf>
    <xf numFmtId="191" fontId="28" fillId="0" borderId="48" xfId="34" applyNumberFormat="1" applyFont="1" applyBorder="1" applyAlignment="1">
      <alignment horizontal="center" vertical="center" wrapText="1"/>
    </xf>
    <xf numFmtId="191" fontId="28" fillId="0" borderId="35" xfId="34" applyNumberFormat="1" applyFont="1" applyBorder="1" applyAlignment="1">
      <alignment horizontal="center" vertical="center" wrapText="1"/>
    </xf>
    <xf numFmtId="9" fontId="28" fillId="4" borderId="1" xfId="34" applyNumberFormat="1" applyFont="1" applyFill="1" applyBorder="1" applyAlignment="1">
      <alignment horizontal="center" vertical="center" wrapText="1"/>
    </xf>
    <xf numFmtId="0" fontId="26" fillId="10" borderId="1" xfId="34" applyFont="1" applyFill="1" applyBorder="1" applyAlignment="1">
      <alignment horizontal="center" vertical="center"/>
    </xf>
    <xf numFmtId="0" fontId="26" fillId="10" borderId="48" xfId="34" applyFont="1" applyFill="1" applyBorder="1" applyAlignment="1">
      <alignment horizontal="center" vertical="center"/>
    </xf>
    <xf numFmtId="0" fontId="26" fillId="10" borderId="35" xfId="34" applyFont="1" applyFill="1" applyBorder="1" applyAlignment="1">
      <alignment horizontal="center" vertical="center"/>
    </xf>
    <xf numFmtId="0" fontId="26" fillId="10" borderId="48" xfId="34" applyFont="1" applyFill="1" applyBorder="1" applyAlignment="1">
      <alignment horizontal="center" vertical="center" wrapText="1"/>
    </xf>
    <xf numFmtId="0" fontId="26" fillId="10" borderId="35" xfId="34" applyFont="1" applyFill="1" applyBorder="1" applyAlignment="1">
      <alignment horizontal="center" vertical="center" wrapText="1"/>
    </xf>
    <xf numFmtId="0" fontId="30" fillId="0" borderId="46" xfId="34" applyFont="1" applyBorder="1" applyAlignment="1">
      <alignment horizontal="center" vertical="center" wrapText="1"/>
    </xf>
    <xf numFmtId="0" fontId="30" fillId="0" borderId="47" xfId="34" applyFont="1" applyBorder="1" applyAlignment="1">
      <alignment horizontal="center" vertical="center" wrapText="1"/>
    </xf>
    <xf numFmtId="0" fontId="26" fillId="10" borderId="1" xfId="34" applyFont="1" applyFill="1" applyBorder="1" applyAlignment="1">
      <alignment vertical="center"/>
    </xf>
    <xf numFmtId="0" fontId="26" fillId="0" borderId="17" xfId="34" applyFont="1" applyBorder="1" applyAlignment="1">
      <alignment horizontal="center" vertical="center"/>
    </xf>
    <xf numFmtId="0" fontId="26" fillId="0" borderId="18" xfId="34" applyFont="1" applyBorder="1" applyAlignment="1">
      <alignment horizontal="center" vertical="center"/>
    </xf>
    <xf numFmtId="0" fontId="26" fillId="0" borderId="19" xfId="34" applyFont="1" applyBorder="1" applyAlignment="1">
      <alignment horizontal="center" vertical="center"/>
    </xf>
    <xf numFmtId="0" fontId="26" fillId="10" borderId="1" xfId="34" applyFont="1" applyFill="1" applyBorder="1" applyAlignment="1">
      <alignment horizontal="left" vertical="center"/>
    </xf>
    <xf numFmtId="178" fontId="26" fillId="10" borderId="1" xfId="34" applyNumberFormat="1" applyFont="1" applyFill="1" applyBorder="1" applyAlignment="1">
      <alignment vertical="center"/>
    </xf>
    <xf numFmtId="0" fontId="26" fillId="10" borderId="34" xfId="34" applyFont="1" applyFill="1" applyBorder="1" applyAlignment="1">
      <alignment horizontal="center" vertical="center" wrapText="1"/>
    </xf>
    <xf numFmtId="0" fontId="28" fillId="10" borderId="34" xfId="34" applyFont="1" applyFill="1" applyBorder="1" applyAlignment="1">
      <alignment horizontal="center" vertical="center" wrapText="1"/>
    </xf>
    <xf numFmtId="10" fontId="28" fillId="4" borderId="48" xfId="34" applyNumberFormat="1" applyFont="1" applyFill="1" applyBorder="1" applyAlignment="1">
      <alignment horizontal="center" vertical="center" wrapText="1"/>
    </xf>
    <xf numFmtId="10" fontId="28" fillId="4" borderId="35" xfId="34" applyNumberFormat="1" applyFont="1" applyFill="1" applyBorder="1" applyAlignment="1">
      <alignment horizontal="center" vertical="center" wrapText="1"/>
    </xf>
    <xf numFmtId="0" fontId="26" fillId="0" borderId="12" xfId="34" applyFont="1" applyBorder="1" applyAlignment="1">
      <alignment horizontal="center" vertical="center"/>
    </xf>
    <xf numFmtId="0" fontId="26" fillId="0" borderId="13" xfId="34" applyFont="1" applyBorder="1" applyAlignment="1">
      <alignment horizontal="center" vertical="center"/>
    </xf>
    <xf numFmtId="191" fontId="29" fillId="0" borderId="13" xfId="35" applyNumberFormat="1" applyFont="1" applyBorder="1" applyAlignment="1">
      <alignment horizontal="center" vertical="center"/>
    </xf>
    <xf numFmtId="191" fontId="29" fillId="0" borderId="14" xfId="35" applyNumberFormat="1" applyFont="1" applyBorder="1" applyAlignment="1">
      <alignment horizontal="center" vertical="center"/>
    </xf>
    <xf numFmtId="15" fontId="6" fillId="0" borderId="13" xfId="22" applyNumberFormat="1" applyBorder="1" applyAlignment="1">
      <alignment horizontal="center" vertical="center"/>
    </xf>
    <xf numFmtId="15" fontId="6" fillId="0" borderId="14" xfId="22" applyNumberFormat="1" applyBorder="1" applyAlignment="1">
      <alignment horizontal="center" vertical="center"/>
    </xf>
    <xf numFmtId="0" fontId="25" fillId="0" borderId="62" xfId="22" applyFont="1" applyBorder="1" applyAlignment="1">
      <alignment horizontal="center" vertical="center"/>
    </xf>
    <xf numFmtId="0" fontId="25" fillId="0" borderId="69" xfId="22" applyFont="1" applyBorder="1" applyAlignment="1">
      <alignment horizontal="center" vertical="center"/>
    </xf>
    <xf numFmtId="0" fontId="25" fillId="0" borderId="67" xfId="22" applyFont="1" applyBorder="1" applyAlignment="1">
      <alignment horizontal="center" vertical="center"/>
    </xf>
    <xf numFmtId="0" fontId="25" fillId="0" borderId="42" xfId="22" applyFont="1" applyBorder="1" applyAlignment="1">
      <alignment horizontal="center" vertical="center"/>
    </xf>
    <xf numFmtId="0" fontId="25" fillId="0" borderId="0" xfId="22" applyFont="1" applyAlignment="1">
      <alignment horizontal="center" vertical="center"/>
    </xf>
    <xf numFmtId="0" fontId="25" fillId="0" borderId="64" xfId="22" applyFont="1" applyBorder="1" applyAlignment="1">
      <alignment horizontal="center" vertical="center"/>
    </xf>
    <xf numFmtId="0" fontId="25" fillId="0" borderId="20" xfId="22" applyFont="1" applyBorder="1" applyAlignment="1">
      <alignment horizontal="center" vertical="center"/>
    </xf>
    <xf numFmtId="0" fontId="25" fillId="0" borderId="10" xfId="22" applyFont="1" applyBorder="1" applyAlignment="1">
      <alignment horizontal="center" vertical="center"/>
    </xf>
    <xf numFmtId="0" fontId="25" fillId="0" borderId="21" xfId="22" applyFont="1" applyBorder="1" applyAlignment="1">
      <alignment horizontal="center" vertical="center"/>
    </xf>
    <xf numFmtId="0" fontId="6" fillId="0" borderId="62" xfId="22" applyBorder="1" applyAlignment="1">
      <alignment horizontal="center" vertical="center"/>
    </xf>
    <xf numFmtId="0" fontId="6" fillId="0" borderId="69" xfId="22" applyBorder="1" applyAlignment="1">
      <alignment horizontal="center" vertical="center"/>
    </xf>
    <xf numFmtId="0" fontId="6" fillId="0" borderId="67" xfId="22" applyBorder="1" applyAlignment="1">
      <alignment horizontal="center" vertical="center"/>
    </xf>
    <xf numFmtId="0" fontId="6" fillId="0" borderId="42" xfId="22" applyBorder="1" applyAlignment="1">
      <alignment horizontal="center" vertical="center"/>
    </xf>
    <xf numFmtId="0" fontId="6" fillId="0" borderId="0" xfId="22" applyAlignment="1">
      <alignment horizontal="center" vertical="center"/>
    </xf>
    <xf numFmtId="0" fontId="6" fillId="0" borderId="64" xfId="22" applyBorder="1" applyAlignment="1">
      <alignment horizontal="center" vertical="center"/>
    </xf>
    <xf numFmtId="0" fontId="6" fillId="0" borderId="20" xfId="22" applyBorder="1" applyAlignment="1">
      <alignment horizontal="center" vertical="center"/>
    </xf>
    <xf numFmtId="0" fontId="6" fillId="0" borderId="10" xfId="22" applyBorder="1" applyAlignment="1">
      <alignment horizontal="center" vertical="center"/>
    </xf>
    <xf numFmtId="0" fontId="6" fillId="0" borderId="21" xfId="22" applyBorder="1" applyAlignment="1">
      <alignment horizontal="center" vertical="center"/>
    </xf>
    <xf numFmtId="0" fontId="25" fillId="0" borderId="25" xfId="22" applyFont="1" applyBorder="1" applyAlignment="1">
      <alignment horizontal="center" vertical="center"/>
    </xf>
    <xf numFmtId="0" fontId="25" fillId="0" borderId="31" xfId="22" applyFont="1" applyBorder="1" applyAlignment="1">
      <alignment horizontal="center" vertical="center"/>
    </xf>
    <xf numFmtId="0" fontId="28" fillId="0" borderId="71" xfId="22" applyFont="1" applyBorder="1" applyAlignment="1">
      <alignment horizontal="center" vertical="center" wrapText="1"/>
    </xf>
    <xf numFmtId="0" fontId="28" fillId="0" borderId="26" xfId="22" applyFont="1" applyBorder="1" applyAlignment="1">
      <alignment horizontal="center" vertical="center" wrapText="1"/>
    </xf>
    <xf numFmtId="0" fontId="28" fillId="0" borderId="27" xfId="22" applyFont="1" applyBorder="1" applyAlignment="1">
      <alignment horizontal="center" vertical="center" wrapText="1"/>
    </xf>
    <xf numFmtId="0" fontId="6" fillId="0" borderId="72" xfId="22" applyBorder="1" applyAlignment="1">
      <alignment horizontal="center" vertical="top" wrapText="1"/>
    </xf>
    <xf numFmtId="0" fontId="6" fillId="0" borderId="58" xfId="22" applyBorder="1" applyAlignment="1">
      <alignment horizontal="center" vertical="top" wrapText="1"/>
    </xf>
    <xf numFmtId="0" fontId="6" fillId="0" borderId="59" xfId="22" applyBorder="1" applyAlignment="1">
      <alignment horizontal="center" vertical="top" wrapText="1"/>
    </xf>
    <xf numFmtId="0" fontId="35" fillId="0" borderId="48" xfId="22" applyFont="1" applyBorder="1" applyAlignment="1">
      <alignment horizontal="left" vertical="center" wrapText="1"/>
    </xf>
    <xf numFmtId="0" fontId="35" fillId="0" borderId="34" xfId="22" applyFont="1" applyBorder="1" applyAlignment="1">
      <alignment horizontal="left" vertical="center" wrapText="1"/>
    </xf>
    <xf numFmtId="0" fontId="20" fillId="0" borderId="0" xfId="22" applyFont="1" applyAlignment="1">
      <alignment horizontal="left" vertical="center" wrapText="1"/>
    </xf>
    <xf numFmtId="195" fontId="37" fillId="0" borderId="48" xfId="22" applyNumberFormat="1" applyFont="1" applyBorder="1" applyAlignment="1">
      <alignment horizontal="right" vertical="center" wrapText="1"/>
    </xf>
    <xf numFmtId="195" fontId="37" fillId="0" borderId="35" xfId="22" applyNumberFormat="1" applyFont="1" applyBorder="1" applyAlignment="1">
      <alignment horizontal="right" vertical="center" wrapText="1"/>
    </xf>
    <xf numFmtId="0" fontId="35" fillId="0" borderId="0" xfId="22" applyFont="1" applyAlignment="1">
      <alignment horizontal="left" vertical="center" wrapText="1"/>
    </xf>
    <xf numFmtId="0" fontId="35" fillId="10" borderId="1" xfId="22" applyFont="1" applyFill="1" applyBorder="1" applyAlignment="1">
      <alignment horizontal="center" vertical="center" wrapText="1"/>
    </xf>
    <xf numFmtId="0" fontId="35" fillId="0" borderId="48" xfId="22" applyFont="1" applyBorder="1" applyAlignment="1">
      <alignment horizontal="center" vertical="center" wrapText="1"/>
    </xf>
    <xf numFmtId="0" fontId="35" fillId="0" borderId="34" xfId="22" applyFont="1" applyBorder="1" applyAlignment="1">
      <alignment horizontal="center" vertical="center" wrapText="1"/>
    </xf>
    <xf numFmtId="0" fontId="35" fillId="10" borderId="46" xfId="22" applyFont="1" applyFill="1" applyBorder="1" applyAlignment="1">
      <alignment horizontal="center" vertical="center" wrapText="1"/>
    </xf>
    <xf numFmtId="0" fontId="35" fillId="0" borderId="48" xfId="22" applyFont="1" applyBorder="1" applyAlignment="1">
      <alignment vertical="center" wrapText="1"/>
    </xf>
    <xf numFmtId="0" fontId="35" fillId="0" borderId="34" xfId="22" applyFont="1" applyBorder="1" applyAlignment="1">
      <alignment vertical="center" wrapText="1"/>
    </xf>
    <xf numFmtId="0" fontId="35" fillId="0" borderId="53" xfId="22" applyFont="1" applyBorder="1" applyAlignment="1">
      <alignment vertical="center" wrapText="1"/>
    </xf>
    <xf numFmtId="0" fontId="35" fillId="10" borderId="48" xfId="22" applyFont="1" applyFill="1" applyBorder="1" applyAlignment="1">
      <alignment horizontal="center" vertical="center" wrapText="1"/>
    </xf>
    <xf numFmtId="0" fontId="35" fillId="10" borderId="35" xfId="22" applyFont="1" applyFill="1" applyBorder="1" applyAlignment="1">
      <alignment horizontal="center" vertical="center" wrapText="1"/>
    </xf>
    <xf numFmtId="0" fontId="25" fillId="0" borderId="56" xfId="22" applyFont="1" applyBorder="1" applyAlignment="1">
      <alignment horizontal="center" vertical="center"/>
    </xf>
    <xf numFmtId="0" fontId="25" fillId="0" borderId="14" xfId="22" applyFont="1" applyBorder="1" applyAlignment="1">
      <alignment horizontal="center" vertical="center"/>
    </xf>
    <xf numFmtId="0" fontId="25" fillId="0" borderId="35" xfId="22" applyFont="1" applyBorder="1" applyAlignment="1">
      <alignment horizontal="center" vertical="center"/>
    </xf>
    <xf numFmtId="0" fontId="25" fillId="0" borderId="16" xfId="22" applyFont="1" applyBorder="1" applyAlignment="1">
      <alignment horizontal="center" vertical="center"/>
    </xf>
    <xf numFmtId="0" fontId="25" fillId="0" borderId="38" xfId="22" applyFont="1" applyBorder="1" applyAlignment="1">
      <alignment horizontal="center" vertical="center"/>
    </xf>
    <xf numFmtId="0" fontId="25" fillId="0" borderId="19" xfId="22" applyFont="1" applyBorder="1" applyAlignment="1">
      <alignment horizontal="center" vertical="center"/>
    </xf>
    <xf numFmtId="0" fontId="6" fillId="0" borderId="20" xfId="22" applyBorder="1" applyAlignment="1">
      <alignment horizontal="center" vertical="center" wrapText="1"/>
    </xf>
    <xf numFmtId="0" fontId="6" fillId="0" borderId="10" xfId="22" applyBorder="1" applyAlignment="1">
      <alignment horizontal="center" vertical="center" wrapText="1"/>
    </xf>
    <xf numFmtId="0" fontId="6" fillId="0" borderId="27" xfId="22" applyBorder="1" applyAlignment="1">
      <alignment horizontal="center" vertical="center" wrapText="1"/>
    </xf>
    <xf numFmtId="0" fontId="8" fillId="0" borderId="53" xfId="34" applyFont="1" applyBorder="1" applyAlignment="1">
      <alignment horizontal="justify" vertical="center" wrapText="1"/>
    </xf>
    <xf numFmtId="0" fontId="8" fillId="0" borderId="41" xfId="34" applyFont="1" applyBorder="1" applyAlignment="1">
      <alignment horizontal="justify" vertical="center" wrapText="1"/>
    </xf>
    <xf numFmtId="0" fontId="8" fillId="0" borderId="0" xfId="34" applyFont="1" applyAlignment="1">
      <alignment horizontal="justify" vertical="center" wrapText="1"/>
    </xf>
    <xf numFmtId="0" fontId="8" fillId="0" borderId="30" xfId="34" applyFont="1" applyBorder="1" applyAlignment="1">
      <alignment horizontal="justify" vertical="center" wrapText="1"/>
    </xf>
    <xf numFmtId="0" fontId="8" fillId="0" borderId="54" xfId="34" applyFont="1" applyBorder="1" applyAlignment="1">
      <alignment horizontal="justify" vertical="center" wrapText="1"/>
    </xf>
    <xf numFmtId="0" fontId="8" fillId="0" borderId="55" xfId="34" applyFont="1" applyBorder="1" applyAlignment="1">
      <alignment horizontal="justify" vertical="center" wrapText="1"/>
    </xf>
    <xf numFmtId="0" fontId="41" fillId="0" borderId="46" xfId="34" applyFont="1" applyBorder="1" applyAlignment="1">
      <alignment horizontal="center" vertical="center" wrapText="1"/>
    </xf>
    <xf numFmtId="0" fontId="41" fillId="0" borderId="47" xfId="34" applyFont="1" applyBorder="1" applyAlignment="1">
      <alignment horizontal="center" vertical="center" wrapText="1"/>
    </xf>
    <xf numFmtId="0" fontId="25" fillId="0" borderId="40" xfId="22" applyFont="1" applyBorder="1" applyAlignment="1">
      <alignment horizontal="center" vertical="center"/>
    </xf>
    <xf numFmtId="0" fontId="25" fillId="0" borderId="53" xfId="22" applyFont="1" applyBorder="1" applyAlignment="1">
      <alignment horizontal="center" vertical="center"/>
    </xf>
    <xf numFmtId="0" fontId="25" fillId="0" borderId="61" xfId="22" applyFont="1" applyBorder="1" applyAlignment="1">
      <alignment horizontal="center" vertical="center"/>
    </xf>
    <xf numFmtId="0" fontId="26" fillId="10" borderId="23" xfId="41" applyFont="1" applyFill="1" applyBorder="1" applyAlignment="1">
      <alignment horizontal="center" vertical="center" wrapText="1"/>
    </xf>
    <xf numFmtId="0" fontId="26" fillId="10" borderId="33" xfId="41" applyFont="1" applyFill="1" applyBorder="1" applyAlignment="1">
      <alignment horizontal="center" vertical="center" wrapText="1"/>
    </xf>
    <xf numFmtId="0" fontId="26" fillId="10" borderId="56" xfId="41" applyFont="1" applyFill="1" applyBorder="1" applyAlignment="1">
      <alignment horizontal="center" vertical="center" wrapText="1"/>
    </xf>
    <xf numFmtId="0" fontId="25" fillId="10" borderId="13" xfId="41" applyFont="1" applyFill="1" applyBorder="1" applyAlignment="1">
      <alignment horizontal="center" vertical="center" wrapText="1"/>
    </xf>
    <xf numFmtId="0" fontId="25" fillId="10" borderId="46" xfId="41" applyFont="1" applyFill="1" applyBorder="1" applyAlignment="1">
      <alignment horizontal="center" vertical="center" wrapText="1"/>
    </xf>
    <xf numFmtId="0" fontId="25" fillId="10" borderId="14" xfId="41" applyFont="1" applyFill="1" applyBorder="1" applyAlignment="1">
      <alignment horizontal="center" vertical="center"/>
    </xf>
    <xf numFmtId="0" fontId="25" fillId="10" borderId="52" xfId="41" applyFont="1" applyFill="1" applyBorder="1" applyAlignment="1">
      <alignment horizontal="center" vertical="center"/>
    </xf>
    <xf numFmtId="0" fontId="25" fillId="0" borderId="48" xfId="41" applyFont="1" applyBorder="1" applyAlignment="1">
      <alignment horizontal="center" vertical="center"/>
    </xf>
    <xf numFmtId="0" fontId="25" fillId="0" borderId="34" xfId="41" applyFont="1" applyBorder="1" applyAlignment="1">
      <alignment horizontal="center" vertical="center"/>
    </xf>
    <xf numFmtId="4" fontId="25" fillId="0" borderId="48" xfId="41" applyNumberFormat="1" applyFont="1" applyBorder="1" applyAlignment="1">
      <alignment horizontal="center" vertical="center"/>
    </xf>
    <xf numFmtId="4" fontId="25" fillId="0" borderId="34" xfId="41" applyNumberFormat="1" applyFont="1" applyBorder="1" applyAlignment="1">
      <alignment horizontal="center" vertical="center"/>
    </xf>
    <xf numFmtId="0" fontId="25" fillId="10" borderId="12" xfId="41" applyFont="1" applyFill="1" applyBorder="1" applyAlignment="1">
      <alignment horizontal="center" vertical="center"/>
    </xf>
    <xf numFmtId="0" fontId="25" fillId="10" borderId="15" xfId="41" applyFont="1" applyFill="1" applyBorder="1" applyAlignment="1">
      <alignment horizontal="center" vertical="center"/>
    </xf>
    <xf numFmtId="0" fontId="25" fillId="10" borderId="13" xfId="41" applyFont="1" applyFill="1" applyBorder="1" applyAlignment="1">
      <alignment horizontal="center" vertical="center"/>
    </xf>
    <xf numFmtId="0" fontId="25" fillId="10" borderId="46" xfId="41" applyFont="1" applyFill="1" applyBorder="1" applyAlignment="1">
      <alignment horizontal="center" vertical="center"/>
    </xf>
    <xf numFmtId="0" fontId="25" fillId="0" borderId="1" xfId="41" applyFont="1" applyBorder="1" applyAlignment="1">
      <alignment horizontal="center" vertical="center"/>
    </xf>
    <xf numFmtId="0" fontId="42" fillId="0" borderId="48" xfId="22" applyFont="1" applyBorder="1" applyAlignment="1">
      <alignment horizontal="center" vertical="center"/>
    </xf>
    <xf numFmtId="0" fontId="42" fillId="0" borderId="34" xfId="22" applyFont="1" applyBorder="1" applyAlignment="1">
      <alignment horizontal="center" vertical="center"/>
    </xf>
    <xf numFmtId="0" fontId="25" fillId="0" borderId="0" xfId="41" applyFont="1" applyBorder="1" applyAlignment="1">
      <alignment horizontal="center" vertical="center"/>
    </xf>
    <xf numFmtId="0" fontId="17" fillId="0" borderId="62" xfId="22" applyFont="1" applyBorder="1" applyAlignment="1">
      <alignment horizontal="center" vertical="center"/>
    </xf>
    <xf numFmtId="0" fontId="17" fillId="0" borderId="69" xfId="22" applyFont="1" applyBorder="1" applyAlignment="1">
      <alignment horizontal="center" vertical="center"/>
    </xf>
    <xf numFmtId="0" fontId="17" fillId="0" borderId="73" xfId="22" applyFont="1" applyBorder="1" applyAlignment="1">
      <alignment horizontal="center" vertical="center"/>
    </xf>
    <xf numFmtId="0" fontId="17" fillId="0" borderId="42" xfId="22" applyFont="1" applyBorder="1" applyAlignment="1">
      <alignment horizontal="center" vertical="center"/>
    </xf>
    <xf numFmtId="0" fontId="17" fillId="0" borderId="0" xfId="22" applyFont="1" applyAlignment="1">
      <alignment horizontal="center" vertical="center"/>
    </xf>
    <xf numFmtId="0" fontId="17" fillId="0" borderId="30" xfId="22" applyFont="1" applyBorder="1" applyAlignment="1">
      <alignment horizontal="center" vertical="center"/>
    </xf>
    <xf numFmtId="0" fontId="17" fillId="0" borderId="20" xfId="22" applyFont="1" applyBorder="1" applyAlignment="1">
      <alignment horizontal="center" vertical="center"/>
    </xf>
    <xf numFmtId="0" fontId="17" fillId="0" borderId="10" xfId="22" applyFont="1" applyBorder="1" applyAlignment="1">
      <alignment horizontal="center" vertical="center"/>
    </xf>
    <xf numFmtId="0" fontId="17" fillId="0" borderId="29" xfId="22" applyFont="1" applyBorder="1" applyAlignment="1">
      <alignment horizontal="center" vertical="center"/>
    </xf>
    <xf numFmtId="0" fontId="20" fillId="0" borderId="13" xfId="22" applyFont="1" applyBorder="1" applyAlignment="1">
      <alignment horizontal="center"/>
    </xf>
    <xf numFmtId="0" fontId="20" fillId="0" borderId="14" xfId="22" applyFont="1" applyBorder="1" applyAlignment="1">
      <alignment horizontal="center"/>
    </xf>
    <xf numFmtId="0" fontId="20" fillId="0" borderId="1" xfId="22" applyFont="1" applyBorder="1" applyAlignment="1">
      <alignment horizontal="center"/>
    </xf>
    <xf numFmtId="0" fontId="20" fillId="0" borderId="16" xfId="22" applyFont="1" applyBorder="1" applyAlignment="1">
      <alignment horizontal="center"/>
    </xf>
    <xf numFmtId="0" fontId="20" fillId="0" borderId="18" xfId="22" applyFont="1" applyBorder="1" applyAlignment="1">
      <alignment horizontal="center"/>
    </xf>
    <xf numFmtId="0" fontId="20" fillId="0" borderId="19" xfId="22" applyFont="1" applyBorder="1" applyAlignment="1">
      <alignment horizontal="center"/>
    </xf>
    <xf numFmtId="0" fontId="17" fillId="0" borderId="25" xfId="22" applyFont="1" applyBorder="1" applyAlignment="1">
      <alignment horizontal="center" vertical="center"/>
    </xf>
    <xf numFmtId="0" fontId="17" fillId="0" borderId="31" xfId="22" applyFont="1" applyBorder="1" applyAlignment="1">
      <alignment horizontal="center" vertical="center"/>
    </xf>
    <xf numFmtId="0" fontId="6" fillId="0" borderId="71" xfId="41" applyBorder="1" applyAlignment="1">
      <alignment horizontal="center" vertical="center" wrapText="1"/>
    </xf>
    <xf numFmtId="0" fontId="6" fillId="0" borderId="26" xfId="41" applyBorder="1" applyAlignment="1">
      <alignment horizontal="center" vertical="center" wrapText="1"/>
    </xf>
    <xf numFmtId="0" fontId="6" fillId="0" borderId="27" xfId="41" applyBorder="1" applyAlignment="1">
      <alignment horizontal="center" vertical="center" wrapText="1"/>
    </xf>
    <xf numFmtId="0" fontId="35" fillId="0" borderId="35" xfId="22" applyFont="1" applyBorder="1" applyAlignment="1">
      <alignment horizontal="center" vertical="center" wrapText="1"/>
    </xf>
    <xf numFmtId="0" fontId="2" fillId="0" borderId="48"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4" fontId="9" fillId="2" borderId="14" xfId="3" applyNumberFormat="1" applyFont="1" applyFill="1" applyBorder="1" applyAlignment="1">
      <alignment horizontal="center" vertical="center" wrapText="1"/>
    </xf>
    <xf numFmtId="4" fontId="9" fillId="2" borderId="52" xfId="3" applyNumberFormat="1" applyFont="1" applyFill="1" applyBorder="1" applyAlignment="1">
      <alignment horizontal="center" vertical="center" wrapText="1"/>
    </xf>
    <xf numFmtId="0" fontId="11" fillId="0" borderId="15" xfId="12" applyFont="1" applyBorder="1" applyAlignment="1">
      <alignment horizontal="left" vertical="center" wrapText="1"/>
    </xf>
    <xf numFmtId="0" fontId="11" fillId="0" borderId="1" xfId="12" applyFont="1" applyBorder="1" applyAlignment="1">
      <alignment horizontal="left" vertical="center" wrapText="1"/>
    </xf>
    <xf numFmtId="0" fontId="0" fillId="0" borderId="0" xfId="0" applyAlignment="1">
      <alignment horizontal="center"/>
    </xf>
  </cellXfs>
  <cellStyles count="47">
    <cellStyle name="Millares [0] 3" xfId="20" xr:uid="{9259B357-19A1-4B61-9559-12F2DC23C525}"/>
    <cellStyle name="Millares 13 2 5" xfId="32" xr:uid="{B9649488-8F81-403C-AA85-A2AF527717AD}"/>
    <cellStyle name="Millares 2" xfId="7" xr:uid="{BE81D252-B141-40A1-A166-E636B526617D}"/>
    <cellStyle name="Millares 2 6 2" xfId="26" xr:uid="{24F2239E-7622-4F8A-9077-3FA5D80B68BE}"/>
    <cellStyle name="Millares 3" xfId="18" xr:uid="{2E5027F4-4932-4170-AE41-5043DAF395FD}"/>
    <cellStyle name="Millares 5 3" xfId="36" xr:uid="{C5A30221-E9CD-484E-9111-408A2C5A0DF1}"/>
    <cellStyle name="Millares_FORMULARIO 4 - M-OFERENTE PPTA ECONOMICA" xfId="17" xr:uid="{DCECDD71-E92D-413E-B512-09AEEA2EC6C8}"/>
    <cellStyle name="Millares_PRESUPUESTO  AMBIENTAL Y SOCIAL anexo 8A 2" xfId="31" xr:uid="{543C34EA-45ED-484E-B85D-B69BD48BBC22}"/>
    <cellStyle name="Millares_PRESUPUESTOS Preliminares 2" xfId="30" xr:uid="{9C0CCA78-478F-4E98-94EC-6FBF30F02AC6}"/>
    <cellStyle name="Moneda" xfId="1" builtinId="4"/>
    <cellStyle name="Moneda 2" xfId="8" xr:uid="{12C33269-3D6A-4681-A702-9F8018961088}"/>
    <cellStyle name="Moneda 2 2 2 2 2" xfId="14" xr:uid="{AE1916F0-7A37-42A6-AAE4-C1E7E6960C8B}"/>
    <cellStyle name="Moneda 2 7 2" xfId="24" xr:uid="{5FFFB5CA-36DC-43B9-B329-7F8578A27990}"/>
    <cellStyle name="Moneda 3" xfId="15" xr:uid="{D6D25E6D-4498-42E5-82F2-3496B6583DDB}"/>
    <cellStyle name="Moneda 3 2 2" xfId="38" xr:uid="{781AFA79-BC21-411D-BC25-1C9E80599C38}"/>
    <cellStyle name="Moneda 4" xfId="45" xr:uid="{00000000-0005-0000-0000-00005A000000}"/>
    <cellStyle name="Moneda 4 2" xfId="44" xr:uid="{00200F7D-9945-4C6F-B5BD-D7B3BE7B8454}"/>
    <cellStyle name="Moneda 7" xfId="21" xr:uid="{6867837B-A474-48DB-84CD-E6DA9054B4B3}"/>
    <cellStyle name="Moneda_PPTO TOTAL-VERSION-15-OCT-2009" xfId="42" xr:uid="{1A22382C-4843-43D9-880F-8EDA8B269AAB}"/>
    <cellStyle name="Normal" xfId="0" builtinId="0"/>
    <cellStyle name="Normal 10 3 2" xfId="22" xr:uid="{D651693A-D8AB-4EE5-A0C0-AF27EB7703B3}"/>
    <cellStyle name="Normal 11" xfId="43" xr:uid="{4F0AFF6F-E211-480C-8327-A92B981F018B}"/>
    <cellStyle name="Normal 13" xfId="19" xr:uid="{CD947B2C-6268-408E-B18C-E0CA21F1B7CA}"/>
    <cellStyle name="Normal 2" xfId="3" xr:uid="{B67EA0DA-22C1-41A6-AE8E-9957A13F9AEC}"/>
    <cellStyle name="Normal 2 10 2 2" xfId="9" xr:uid="{B43FA3AF-8C7A-4922-B81E-A6CFBDDCEB35}"/>
    <cellStyle name="Normal 2 10 3" xfId="6" xr:uid="{9157D23B-435C-42B6-B1CD-E6BFDD67015C}"/>
    <cellStyle name="Normal 2 2" xfId="16" xr:uid="{A3932B0A-264D-47F3-B6A9-1DA0DF6E7861}"/>
    <cellStyle name="Normal 3" xfId="2" xr:uid="{6321E88F-5614-4517-98E7-73F9E6608006}"/>
    <cellStyle name="Normal 3 11" xfId="4" xr:uid="{2730BC03-7ED2-4007-A918-C543119730E2}"/>
    <cellStyle name="Normal 3 2" xfId="10" xr:uid="{B23769D7-0D17-44E5-8A0F-A5264F8449C3}"/>
    <cellStyle name="Normal 3 2 2" xfId="12" xr:uid="{8818AB77-8EE9-43D5-B5ED-580575667F82}"/>
    <cellStyle name="Normal 3 4" xfId="5" xr:uid="{1B739252-AA7C-4F34-A71F-5D36FD0FA0F4}"/>
    <cellStyle name="Normal_AIU AMBIENTAL Y SISO AV 19 NUEVO v01" xfId="39" xr:uid="{004D922B-34A8-4787-80AB-E6283A2662CC}"/>
    <cellStyle name="Normal_CALCULO DEL AIU 2011_revisar" xfId="35" xr:uid="{4CEE5601-19B0-481E-A675-0D5D73FC14AA}"/>
    <cellStyle name="Normal_PPTO-ETAPA- I-07-SEPTIEMBRE-12" xfId="34" xr:uid="{52F4CA58-04BC-471E-8595-A97D381DB0D2}"/>
    <cellStyle name="Normal_Presup AIU FdC PMT Amb Obra Redes" xfId="41" xr:uid="{9B1F7D1C-82B3-47E7-99B5-47BB1AEB886E}"/>
    <cellStyle name="Normal_PRESUPUESTO Ambiental_PPTO-CANTON NORTE KR 11 100-106 + ALAMEDA-16-OCTUBRE-2012" xfId="27" xr:uid="{6411068D-661B-4E42-BC35-61F12881E3FB}"/>
    <cellStyle name="Normal_Presupuesto STED3" xfId="40" xr:uid="{CF3CFB13-3AD4-4929-BA0D-9708514D47F0}"/>
    <cellStyle name="Normal_PRESUPUESTOS Preliminares_PPTO-ETAPA- I-16-MAYO-12-PREPLIEGO" xfId="28" xr:uid="{DB10C7E9-63B4-4423-A3BF-E995F48F7779}"/>
    <cellStyle name="Normal_PTO OFICIAL PREPLIEGO (CORREGIDO) 2" xfId="11" xr:uid="{E6EA9F6E-EA9B-4B42-BDC5-887FBBE57D3B}"/>
    <cellStyle name="Porcentaje" xfId="46" builtinId="5"/>
    <cellStyle name="Porcentaje 2" xfId="13" xr:uid="{30D45F4A-8F8A-4025-86AC-E66C2FAA829C}"/>
    <cellStyle name="Porcentaje 2 2" xfId="25" xr:uid="{B3D03274-7CAD-410F-8116-D44028618392}"/>
    <cellStyle name="Porcentaje 2 2 2" xfId="29" xr:uid="{F28FAE53-A7F3-470B-8A5B-0BF655D4F55C}"/>
    <cellStyle name="Porcentaje 2 4 2" xfId="33" xr:uid="{86B6CC0E-9D8D-4ACD-B332-9C1DC97FE92F}"/>
    <cellStyle name="Porcentaje 6 2" xfId="23" xr:uid="{B34D2B55-1730-4E0B-BD16-A0580AEF21A3}"/>
    <cellStyle name="Porcentual_CALCULO DEL AIU-2012" xfId="37" xr:uid="{F087935B-61F2-42C2-A85C-B0220A7A81F5}"/>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FF00"/>
          <bgColor rgb="FF000000"/>
        </patternFill>
      </fill>
    </dxf>
    <dxf>
      <fill>
        <patternFill patternType="solid">
          <fgColor rgb="FF92D05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8.xml"/><Relationship Id="rId21" Type="http://schemas.openxmlformats.org/officeDocument/2006/relationships/worksheet" Target="worksheets/sheet21.xml"/><Relationship Id="rId42" Type="http://schemas.openxmlformats.org/officeDocument/2006/relationships/externalLink" Target="externalLinks/externalLink13.xml"/><Relationship Id="rId63" Type="http://schemas.openxmlformats.org/officeDocument/2006/relationships/externalLink" Target="externalLinks/externalLink34.xml"/><Relationship Id="rId84" Type="http://schemas.openxmlformats.org/officeDocument/2006/relationships/externalLink" Target="externalLinks/externalLink55.xml"/><Relationship Id="rId138" Type="http://schemas.openxmlformats.org/officeDocument/2006/relationships/externalLink" Target="externalLinks/externalLink109.xml"/><Relationship Id="rId107" Type="http://schemas.openxmlformats.org/officeDocument/2006/relationships/externalLink" Target="externalLinks/externalLink78.xml"/><Relationship Id="rId11" Type="http://schemas.openxmlformats.org/officeDocument/2006/relationships/worksheet" Target="worksheets/sheet11.xml"/><Relationship Id="rId32" Type="http://schemas.openxmlformats.org/officeDocument/2006/relationships/externalLink" Target="externalLinks/externalLink3.xml"/><Relationship Id="rId53" Type="http://schemas.openxmlformats.org/officeDocument/2006/relationships/externalLink" Target="externalLinks/externalLink24.xml"/><Relationship Id="rId74" Type="http://schemas.openxmlformats.org/officeDocument/2006/relationships/externalLink" Target="externalLinks/externalLink45.xml"/><Relationship Id="rId128" Type="http://schemas.openxmlformats.org/officeDocument/2006/relationships/externalLink" Target="externalLinks/externalLink99.xml"/><Relationship Id="rId149" Type="http://schemas.openxmlformats.org/officeDocument/2006/relationships/sheetMetadata" Target="metadata.xml"/><Relationship Id="rId5" Type="http://schemas.openxmlformats.org/officeDocument/2006/relationships/worksheet" Target="worksheets/sheet5.xml"/><Relationship Id="rId95" Type="http://schemas.openxmlformats.org/officeDocument/2006/relationships/externalLink" Target="externalLinks/externalLink66.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14.xml"/><Relationship Id="rId48" Type="http://schemas.openxmlformats.org/officeDocument/2006/relationships/externalLink" Target="externalLinks/externalLink19.xml"/><Relationship Id="rId64" Type="http://schemas.openxmlformats.org/officeDocument/2006/relationships/externalLink" Target="externalLinks/externalLink35.xml"/><Relationship Id="rId69" Type="http://schemas.openxmlformats.org/officeDocument/2006/relationships/externalLink" Target="externalLinks/externalLink40.xml"/><Relationship Id="rId113" Type="http://schemas.openxmlformats.org/officeDocument/2006/relationships/externalLink" Target="externalLinks/externalLink84.xml"/><Relationship Id="rId118" Type="http://schemas.openxmlformats.org/officeDocument/2006/relationships/externalLink" Target="externalLinks/externalLink89.xml"/><Relationship Id="rId134" Type="http://schemas.openxmlformats.org/officeDocument/2006/relationships/externalLink" Target="externalLinks/externalLink105.xml"/><Relationship Id="rId139" Type="http://schemas.openxmlformats.org/officeDocument/2006/relationships/externalLink" Target="externalLinks/externalLink110.xml"/><Relationship Id="rId80" Type="http://schemas.openxmlformats.org/officeDocument/2006/relationships/externalLink" Target="externalLinks/externalLink51.xml"/><Relationship Id="rId85" Type="http://schemas.openxmlformats.org/officeDocument/2006/relationships/externalLink" Target="externalLinks/externalLink56.xml"/><Relationship Id="rId150" Type="http://schemas.openxmlformats.org/officeDocument/2006/relationships/calcChain" Target="calcChain.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4.xml"/><Relationship Id="rId38" Type="http://schemas.openxmlformats.org/officeDocument/2006/relationships/externalLink" Target="externalLinks/externalLink9.xml"/><Relationship Id="rId59" Type="http://schemas.openxmlformats.org/officeDocument/2006/relationships/externalLink" Target="externalLinks/externalLink30.xml"/><Relationship Id="rId103" Type="http://schemas.openxmlformats.org/officeDocument/2006/relationships/externalLink" Target="externalLinks/externalLink74.xml"/><Relationship Id="rId108" Type="http://schemas.openxmlformats.org/officeDocument/2006/relationships/externalLink" Target="externalLinks/externalLink79.xml"/><Relationship Id="rId124" Type="http://schemas.openxmlformats.org/officeDocument/2006/relationships/externalLink" Target="externalLinks/externalLink95.xml"/><Relationship Id="rId129" Type="http://schemas.openxmlformats.org/officeDocument/2006/relationships/externalLink" Target="externalLinks/externalLink100.xml"/><Relationship Id="rId54" Type="http://schemas.openxmlformats.org/officeDocument/2006/relationships/externalLink" Target="externalLinks/externalLink25.xml"/><Relationship Id="rId70" Type="http://schemas.openxmlformats.org/officeDocument/2006/relationships/externalLink" Target="externalLinks/externalLink41.xml"/><Relationship Id="rId75" Type="http://schemas.openxmlformats.org/officeDocument/2006/relationships/externalLink" Target="externalLinks/externalLink46.xml"/><Relationship Id="rId91" Type="http://schemas.openxmlformats.org/officeDocument/2006/relationships/externalLink" Target="externalLinks/externalLink62.xml"/><Relationship Id="rId96" Type="http://schemas.openxmlformats.org/officeDocument/2006/relationships/externalLink" Target="externalLinks/externalLink67.xml"/><Relationship Id="rId140" Type="http://schemas.openxmlformats.org/officeDocument/2006/relationships/externalLink" Target="externalLinks/externalLink111.xml"/><Relationship Id="rId145" Type="http://schemas.openxmlformats.org/officeDocument/2006/relationships/externalLink" Target="externalLinks/externalLink11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20.xml"/><Relationship Id="rId114" Type="http://schemas.openxmlformats.org/officeDocument/2006/relationships/externalLink" Target="externalLinks/externalLink85.xml"/><Relationship Id="rId119" Type="http://schemas.openxmlformats.org/officeDocument/2006/relationships/externalLink" Target="externalLinks/externalLink90.xml"/><Relationship Id="rId44" Type="http://schemas.openxmlformats.org/officeDocument/2006/relationships/externalLink" Target="externalLinks/externalLink15.xml"/><Relationship Id="rId60" Type="http://schemas.openxmlformats.org/officeDocument/2006/relationships/externalLink" Target="externalLinks/externalLink31.xml"/><Relationship Id="rId65" Type="http://schemas.openxmlformats.org/officeDocument/2006/relationships/externalLink" Target="externalLinks/externalLink36.xml"/><Relationship Id="rId81" Type="http://schemas.openxmlformats.org/officeDocument/2006/relationships/externalLink" Target="externalLinks/externalLink52.xml"/><Relationship Id="rId86" Type="http://schemas.openxmlformats.org/officeDocument/2006/relationships/externalLink" Target="externalLinks/externalLink57.xml"/><Relationship Id="rId130" Type="http://schemas.openxmlformats.org/officeDocument/2006/relationships/externalLink" Target="externalLinks/externalLink101.xml"/><Relationship Id="rId135" Type="http://schemas.openxmlformats.org/officeDocument/2006/relationships/externalLink" Target="externalLinks/externalLink106.xml"/><Relationship Id="rId151"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0.xml"/><Relationship Id="rId109" Type="http://schemas.openxmlformats.org/officeDocument/2006/relationships/externalLink" Target="externalLinks/externalLink80.xml"/><Relationship Id="rId34" Type="http://schemas.openxmlformats.org/officeDocument/2006/relationships/externalLink" Target="externalLinks/externalLink5.xml"/><Relationship Id="rId50" Type="http://schemas.openxmlformats.org/officeDocument/2006/relationships/externalLink" Target="externalLinks/externalLink21.xml"/><Relationship Id="rId55" Type="http://schemas.openxmlformats.org/officeDocument/2006/relationships/externalLink" Target="externalLinks/externalLink26.xml"/><Relationship Id="rId76" Type="http://schemas.openxmlformats.org/officeDocument/2006/relationships/externalLink" Target="externalLinks/externalLink47.xml"/><Relationship Id="rId97" Type="http://schemas.openxmlformats.org/officeDocument/2006/relationships/externalLink" Target="externalLinks/externalLink68.xml"/><Relationship Id="rId104" Type="http://schemas.openxmlformats.org/officeDocument/2006/relationships/externalLink" Target="externalLinks/externalLink75.xml"/><Relationship Id="rId120" Type="http://schemas.openxmlformats.org/officeDocument/2006/relationships/externalLink" Target="externalLinks/externalLink91.xml"/><Relationship Id="rId125" Type="http://schemas.openxmlformats.org/officeDocument/2006/relationships/externalLink" Target="externalLinks/externalLink96.xml"/><Relationship Id="rId141" Type="http://schemas.openxmlformats.org/officeDocument/2006/relationships/externalLink" Target="externalLinks/externalLink112.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42.xml"/><Relationship Id="rId92" Type="http://schemas.openxmlformats.org/officeDocument/2006/relationships/externalLink" Target="externalLinks/externalLink6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11.xml"/><Relationship Id="rId45" Type="http://schemas.openxmlformats.org/officeDocument/2006/relationships/externalLink" Target="externalLinks/externalLink16.xml"/><Relationship Id="rId66" Type="http://schemas.openxmlformats.org/officeDocument/2006/relationships/externalLink" Target="externalLinks/externalLink37.xml"/><Relationship Id="rId87" Type="http://schemas.openxmlformats.org/officeDocument/2006/relationships/externalLink" Target="externalLinks/externalLink58.xml"/><Relationship Id="rId110" Type="http://schemas.openxmlformats.org/officeDocument/2006/relationships/externalLink" Target="externalLinks/externalLink81.xml"/><Relationship Id="rId115" Type="http://schemas.openxmlformats.org/officeDocument/2006/relationships/externalLink" Target="externalLinks/externalLink86.xml"/><Relationship Id="rId131" Type="http://schemas.openxmlformats.org/officeDocument/2006/relationships/externalLink" Target="externalLinks/externalLink102.xml"/><Relationship Id="rId136" Type="http://schemas.openxmlformats.org/officeDocument/2006/relationships/externalLink" Target="externalLinks/externalLink107.xml"/><Relationship Id="rId61" Type="http://schemas.openxmlformats.org/officeDocument/2006/relationships/externalLink" Target="externalLinks/externalLink32.xml"/><Relationship Id="rId82" Type="http://schemas.openxmlformats.org/officeDocument/2006/relationships/externalLink" Target="externalLinks/externalLink53.xml"/><Relationship Id="rId152"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56" Type="http://schemas.openxmlformats.org/officeDocument/2006/relationships/externalLink" Target="externalLinks/externalLink27.xml"/><Relationship Id="rId77" Type="http://schemas.openxmlformats.org/officeDocument/2006/relationships/externalLink" Target="externalLinks/externalLink48.xml"/><Relationship Id="rId100" Type="http://schemas.openxmlformats.org/officeDocument/2006/relationships/externalLink" Target="externalLinks/externalLink71.xml"/><Relationship Id="rId105" Type="http://schemas.openxmlformats.org/officeDocument/2006/relationships/externalLink" Target="externalLinks/externalLink76.xml"/><Relationship Id="rId126" Type="http://schemas.openxmlformats.org/officeDocument/2006/relationships/externalLink" Target="externalLinks/externalLink97.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22.xml"/><Relationship Id="rId72" Type="http://schemas.openxmlformats.org/officeDocument/2006/relationships/externalLink" Target="externalLinks/externalLink43.xml"/><Relationship Id="rId93" Type="http://schemas.openxmlformats.org/officeDocument/2006/relationships/externalLink" Target="externalLinks/externalLink64.xml"/><Relationship Id="rId98" Type="http://schemas.openxmlformats.org/officeDocument/2006/relationships/externalLink" Target="externalLinks/externalLink69.xml"/><Relationship Id="rId121" Type="http://schemas.openxmlformats.org/officeDocument/2006/relationships/externalLink" Target="externalLinks/externalLink92.xml"/><Relationship Id="rId142" Type="http://schemas.openxmlformats.org/officeDocument/2006/relationships/externalLink" Target="externalLinks/externalLink11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7.xml"/><Relationship Id="rId67" Type="http://schemas.openxmlformats.org/officeDocument/2006/relationships/externalLink" Target="externalLinks/externalLink38.xml"/><Relationship Id="rId116" Type="http://schemas.openxmlformats.org/officeDocument/2006/relationships/externalLink" Target="externalLinks/externalLink87.xml"/><Relationship Id="rId137" Type="http://schemas.openxmlformats.org/officeDocument/2006/relationships/externalLink" Target="externalLinks/externalLink108.xml"/><Relationship Id="rId20" Type="http://schemas.openxmlformats.org/officeDocument/2006/relationships/worksheet" Target="worksheets/sheet20.xml"/><Relationship Id="rId41" Type="http://schemas.openxmlformats.org/officeDocument/2006/relationships/externalLink" Target="externalLinks/externalLink12.xml"/><Relationship Id="rId62" Type="http://schemas.openxmlformats.org/officeDocument/2006/relationships/externalLink" Target="externalLinks/externalLink33.xml"/><Relationship Id="rId83" Type="http://schemas.openxmlformats.org/officeDocument/2006/relationships/externalLink" Target="externalLinks/externalLink54.xml"/><Relationship Id="rId88" Type="http://schemas.openxmlformats.org/officeDocument/2006/relationships/externalLink" Target="externalLinks/externalLink59.xml"/><Relationship Id="rId111" Type="http://schemas.openxmlformats.org/officeDocument/2006/relationships/externalLink" Target="externalLinks/externalLink82.xml"/><Relationship Id="rId132" Type="http://schemas.openxmlformats.org/officeDocument/2006/relationships/externalLink" Target="externalLinks/externalLink103.xml"/><Relationship Id="rId153" Type="http://schemas.openxmlformats.org/officeDocument/2006/relationships/customXml" Target="../customXml/item3.xml"/><Relationship Id="rId15" Type="http://schemas.openxmlformats.org/officeDocument/2006/relationships/worksheet" Target="worksheets/sheet15.xml"/><Relationship Id="rId36" Type="http://schemas.openxmlformats.org/officeDocument/2006/relationships/externalLink" Target="externalLinks/externalLink7.xml"/><Relationship Id="rId57" Type="http://schemas.openxmlformats.org/officeDocument/2006/relationships/externalLink" Target="externalLinks/externalLink28.xml"/><Relationship Id="rId106" Type="http://schemas.openxmlformats.org/officeDocument/2006/relationships/externalLink" Target="externalLinks/externalLink77.xml"/><Relationship Id="rId127" Type="http://schemas.openxmlformats.org/officeDocument/2006/relationships/externalLink" Target="externalLinks/externalLink98.xml"/><Relationship Id="rId10" Type="http://schemas.openxmlformats.org/officeDocument/2006/relationships/worksheet" Target="worksheets/sheet10.xml"/><Relationship Id="rId31" Type="http://schemas.openxmlformats.org/officeDocument/2006/relationships/externalLink" Target="externalLinks/externalLink2.xml"/><Relationship Id="rId52" Type="http://schemas.openxmlformats.org/officeDocument/2006/relationships/externalLink" Target="externalLinks/externalLink23.xml"/><Relationship Id="rId73" Type="http://schemas.openxmlformats.org/officeDocument/2006/relationships/externalLink" Target="externalLinks/externalLink44.xml"/><Relationship Id="rId78" Type="http://schemas.openxmlformats.org/officeDocument/2006/relationships/externalLink" Target="externalLinks/externalLink49.xml"/><Relationship Id="rId94" Type="http://schemas.openxmlformats.org/officeDocument/2006/relationships/externalLink" Target="externalLinks/externalLink65.xml"/><Relationship Id="rId99" Type="http://schemas.openxmlformats.org/officeDocument/2006/relationships/externalLink" Target="externalLinks/externalLink70.xml"/><Relationship Id="rId101" Type="http://schemas.openxmlformats.org/officeDocument/2006/relationships/externalLink" Target="externalLinks/externalLink72.xml"/><Relationship Id="rId122" Type="http://schemas.openxmlformats.org/officeDocument/2006/relationships/externalLink" Target="externalLinks/externalLink93.xml"/><Relationship Id="rId143" Type="http://schemas.openxmlformats.org/officeDocument/2006/relationships/externalLink" Target="externalLinks/externalLink114.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8.xml"/><Relationship Id="rId68" Type="http://schemas.openxmlformats.org/officeDocument/2006/relationships/externalLink" Target="externalLinks/externalLink39.xml"/><Relationship Id="rId89" Type="http://schemas.openxmlformats.org/officeDocument/2006/relationships/externalLink" Target="externalLinks/externalLink60.xml"/><Relationship Id="rId112" Type="http://schemas.openxmlformats.org/officeDocument/2006/relationships/externalLink" Target="externalLinks/externalLink83.xml"/><Relationship Id="rId133"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externalLink" Target="externalLinks/externalLink8.xml"/><Relationship Id="rId58" Type="http://schemas.openxmlformats.org/officeDocument/2006/relationships/externalLink" Target="externalLinks/externalLink29.xml"/><Relationship Id="rId79" Type="http://schemas.openxmlformats.org/officeDocument/2006/relationships/externalLink" Target="externalLinks/externalLink50.xml"/><Relationship Id="rId102" Type="http://schemas.openxmlformats.org/officeDocument/2006/relationships/externalLink" Target="externalLinks/externalLink73.xml"/><Relationship Id="rId123" Type="http://schemas.openxmlformats.org/officeDocument/2006/relationships/externalLink" Target="externalLinks/externalLink94.xml"/><Relationship Id="rId144" Type="http://schemas.openxmlformats.org/officeDocument/2006/relationships/externalLink" Target="externalLinks/externalLink115.xml"/><Relationship Id="rId90" Type="http://schemas.openxmlformats.org/officeDocument/2006/relationships/externalLink" Target="externalLinks/externalLink6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1584240</xdr:colOff>
      <xdr:row>8</xdr:row>
      <xdr:rowOff>170827</xdr:rowOff>
    </xdr:to>
    <xdr:pic>
      <xdr:nvPicPr>
        <xdr:cNvPr id="2" name="Imagen 1">
          <a:extLst>
            <a:ext uri="{FF2B5EF4-FFF2-40B4-BE49-F238E27FC236}">
              <a16:creationId xmlns:a16="http://schemas.microsoft.com/office/drawing/2014/main" id="{8ACC543B-9F77-4D2B-8AD3-835405A777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13772" y="1390997"/>
          <a:ext cx="566278" cy="5362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6</xdr:row>
      <xdr:rowOff>34637</xdr:rowOff>
    </xdr:from>
    <xdr:to>
      <xdr:col>7</xdr:col>
      <xdr:colOff>554848</xdr:colOff>
      <xdr:row>8</xdr:row>
      <xdr:rowOff>170827</xdr:rowOff>
    </xdr:to>
    <xdr:pic>
      <xdr:nvPicPr>
        <xdr:cNvPr id="2" name="Imagen 1">
          <a:extLst>
            <a:ext uri="{FF2B5EF4-FFF2-40B4-BE49-F238E27FC236}">
              <a16:creationId xmlns:a16="http://schemas.microsoft.com/office/drawing/2014/main" id="{F9CFB39A-A020-4472-A88C-51B3CCA4C8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07454377-9DBF-4394-B01A-CD6816ABEB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488070C3-D149-4CC6-8761-DECBD864C2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EA6CFED2-8F0F-49AF-80FD-366E2EC78E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D6CCE733-A8C9-475D-92B0-4F10EDA617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19E17A3C-FDA6-439F-90C7-FD1FD9581F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460576AD-6983-4D6B-927F-ACAD56AED6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1021772</xdr:colOff>
      <xdr:row>6</xdr:row>
      <xdr:rowOff>34637</xdr:rowOff>
    </xdr:from>
    <xdr:to>
      <xdr:col>7</xdr:col>
      <xdr:colOff>1588050</xdr:colOff>
      <xdr:row>8</xdr:row>
      <xdr:rowOff>167017</xdr:rowOff>
    </xdr:to>
    <xdr:pic>
      <xdr:nvPicPr>
        <xdr:cNvPr id="2" name="Imagen 1">
          <a:extLst>
            <a:ext uri="{FF2B5EF4-FFF2-40B4-BE49-F238E27FC236}">
              <a16:creationId xmlns:a16="http://schemas.microsoft.com/office/drawing/2014/main" id="{468C9759-B082-4498-A1E0-9CA645F6F1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70872" y="1453862"/>
          <a:ext cx="566278" cy="5514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441e09d713fc7d8a/A2025/Tunjuelito/VIAS%20CORREGIDO/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441e09d713fc7d8a/A2025/Tunjuelito/VIAS%20CORREGIDO/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441e09d713fc7d8a/A2025/Tunjuelito/VIAS%20CORREGIDO/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gobiernobogota-my.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441e09d713fc7d8a/A2025/Tunjuelito/VIAS%20CORREGIDO/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441e09d713fc7d8a/A2025/Tunjuelito/VIAS%20CORREGIDO/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file:///D:\Fredy%20F\Documents\ALCALDIA%20TUNJUELITO\Convenio%20UMV\MATRIZ%20FINAL%20UMV%20CONVENIO.xlsx" TargetMode="External"/><Relationship Id="rId1" Type="http://schemas.openxmlformats.org/officeDocument/2006/relationships/externalLinkPath" Target="/Fredy%20F/Documents/ALCALDIA%20TUNJUELITO/Convenio%20UMV/MATRIZ%20FINAL%20UMV%20CONVENIO.xlsx"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file:///D:\Fredy%20F\Documents\ALCALDIA%20TUNJUELITO\Convenio%20UMV\FORMULACION%20NUEVO%20PROCESO%20VIAS%20Y%20ANDENES\INTERVENTORIA\4.%20Formulario%201.%20Presupuesto%20y%20oferta%20_Interventoria_Malla_Vial_2026.xlsx" TargetMode="External"/><Relationship Id="rId1" Type="http://schemas.openxmlformats.org/officeDocument/2006/relationships/externalLinkPath" Target="INTERVENTORIA/4.%20Formulario%201.%20Presupuesto%20y%20oferta%20_Interventoria_Malla_Vial_2026.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gobiernobogota-my.sharepoint.com/Mi%20unidad/CONSORCIO%20DISE&#209;OS%20SANTAFE/24.%20PRESUPUESTO/Precios-Unitarios-de-Referencia-2023-I-Fase-I-13_04_2023.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Mi%20unidad\TUNJUELITO\6.%20FORMULACIONES\1.%20MALLA%20VIAL\PRESUPUESTO%20OFICIAL%20MALLA%20VIAL%202025%20V4%20FDL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 val="INSUMOS"/>
      <sheetName val="TRANS"/>
      <sheetName val="CUADRI"/>
      <sheetName val="EQUI"/>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sheetData sheetId="5381"/>
      <sheetData sheetId="5382" refreshError="1"/>
      <sheetData sheetId="5383"/>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efreshError="1"/>
      <sheetData sheetId="5437" refreshError="1"/>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refreshError="1"/>
      <sheetData sheetId="5456" refreshError="1"/>
      <sheetData sheetId="5457" refreshError="1"/>
      <sheetData sheetId="5458" refreshError="1"/>
      <sheetData sheetId="5459"/>
      <sheetData sheetId="5460"/>
      <sheetData sheetId="5461"/>
      <sheetData sheetId="5462"/>
      <sheetData sheetId="5463"/>
      <sheetData sheetId="5464"/>
      <sheetData sheetId="5465"/>
      <sheetData sheetId="5466"/>
      <sheetData sheetId="5467"/>
      <sheetData sheetId="5468"/>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sheetData sheetId="5483"/>
      <sheetData sheetId="5484"/>
      <sheetData sheetId="5485"/>
      <sheetData sheetId="5486"/>
      <sheetData sheetId="5487" refreshError="1"/>
      <sheetData sheetId="5488"/>
      <sheetData sheetId="5489"/>
      <sheetData sheetId="5490"/>
      <sheetData sheetId="5491"/>
      <sheetData sheetId="5492"/>
      <sheetData sheetId="5493"/>
      <sheetData sheetId="5494"/>
      <sheetData sheetId="5495" refreshError="1"/>
      <sheetData sheetId="5496" refreshError="1"/>
      <sheetData sheetId="5497" refreshError="1"/>
      <sheetData sheetId="5498" refreshError="1"/>
      <sheetData sheetId="5499"/>
      <sheetData sheetId="5500" refreshError="1"/>
      <sheetData sheetId="5501" refreshError="1"/>
      <sheetData sheetId="5502" refreshError="1"/>
      <sheetData sheetId="5503" refreshError="1"/>
      <sheetData sheetId="5504"/>
      <sheetData sheetId="5505"/>
      <sheetData sheetId="5506"/>
      <sheetData sheetId="5507"/>
      <sheetData sheetId="5508"/>
      <sheetData sheetId="5509"/>
      <sheetData sheetId="5510"/>
      <sheetData sheetId="5511"/>
      <sheetData sheetId="5512" refreshError="1"/>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sheetData sheetId="5579"/>
      <sheetData sheetId="5580"/>
      <sheetData sheetId="5581"/>
      <sheetData sheetId="5582"/>
      <sheetData sheetId="5583"/>
      <sheetData sheetId="5584"/>
      <sheetData sheetId="5585" refreshError="1"/>
      <sheetData sheetId="5586" refreshError="1"/>
      <sheetData sheetId="5587"/>
      <sheetData sheetId="5588"/>
      <sheetData sheetId="5589" refreshError="1"/>
      <sheetData sheetId="5590" refreshError="1"/>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sheetData sheetId="5601"/>
      <sheetData sheetId="5602"/>
      <sheetData sheetId="5603"/>
      <sheetData sheetId="5604"/>
      <sheetData sheetId="5605"/>
      <sheetData sheetId="5606"/>
      <sheetData sheetId="5607"/>
      <sheetData sheetId="5608"/>
      <sheetData sheetId="5609" refreshError="1"/>
      <sheetData sheetId="5610" refreshError="1"/>
      <sheetData sheetId="5611" refreshError="1"/>
      <sheetData sheetId="5612" refreshError="1"/>
      <sheetData sheetId="56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PU (2)"/>
      <sheetName val="PR 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ACTOR PRESTACIONAL 2008"/>
      <sheetName val="SALARIO CELADOR 2008"/>
      <sheetName val="TARIFAS DIARIO OFICIAL 2008"/>
      <sheetName val="COSTOS OFICINA"/>
      <sheetName val="COSTOS CAMPAMENT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sheetData sheetId="3324"/>
      <sheetData sheetId="3325"/>
      <sheetData sheetId="3326"/>
      <sheetData sheetId="3327"/>
      <sheetData sheetId="3328"/>
      <sheetData sheetId="3329"/>
      <sheetData sheetId="3330"/>
      <sheetData sheetId="3331" refreshError="1"/>
      <sheetData sheetId="3332" refreshError="1"/>
      <sheetData sheetId="3333"/>
      <sheetData sheetId="3334" refreshError="1"/>
      <sheetData sheetId="3335" refreshError="1"/>
      <sheetData sheetId="3336" refreshError="1"/>
      <sheetData sheetId="3337"/>
      <sheetData sheetId="3338" refreshError="1"/>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sheetData sheetId="3494"/>
      <sheetData sheetId="3495" refreshError="1"/>
      <sheetData sheetId="3496"/>
      <sheetData sheetId="3497" refreshError="1"/>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sheetData sheetId="3538"/>
      <sheetData sheetId="3539"/>
      <sheetData sheetId="3540"/>
      <sheetData sheetId="354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refreshError="1"/>
      <sheetData sheetId="3629" refreshError="1"/>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refreshError="1"/>
      <sheetData sheetId="3681" refreshError="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sheetData sheetId="3718"/>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sheetData sheetId="3793"/>
      <sheetData sheetId="3794" refreshError="1"/>
      <sheetData sheetId="3795" refreshError="1"/>
      <sheetData sheetId="3796"/>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sheetData sheetId="3836"/>
      <sheetData sheetId="3837"/>
      <sheetData sheetId="3838"/>
      <sheetData sheetId="3839"/>
      <sheetData sheetId="3840"/>
      <sheetData sheetId="3841"/>
      <sheetData sheetId="3842"/>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refreshError="1"/>
      <sheetData sheetId="3879" refreshError="1"/>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refreshError="1"/>
      <sheetData sheetId="4063" refreshError="1"/>
      <sheetData sheetId="4064"/>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sheetData sheetId="4169"/>
      <sheetData sheetId="4170" refreshError="1"/>
      <sheetData sheetId="4171" refreshError="1"/>
      <sheetData sheetId="4172"/>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refreshError="1"/>
      <sheetData sheetId="4253" refreshError="1"/>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sheetData sheetId="4345"/>
      <sheetData sheetId="4346"/>
      <sheetData sheetId="4347"/>
      <sheetData sheetId="4348"/>
      <sheetData sheetId="4349"/>
      <sheetData sheetId="4350"/>
      <sheetData sheetId="435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refreshError="1"/>
      <sheetData sheetId="4637" refreshError="1"/>
      <sheetData sheetId="4638"/>
      <sheetData sheetId="4639" refreshError="1"/>
      <sheetData sheetId="4640" refreshError="1"/>
      <sheetData sheetId="4641" refreshError="1"/>
      <sheetData sheetId="4642" refreshError="1"/>
      <sheetData sheetId="4643" refreshError="1"/>
      <sheetData sheetId="4644" refreshError="1"/>
      <sheetData sheetId="4645" refreshError="1"/>
      <sheetData sheetId="4646"/>
      <sheetData sheetId="4647"/>
      <sheetData sheetId="4648"/>
      <sheetData sheetId="4649"/>
      <sheetData sheetId="4650"/>
      <sheetData sheetId="4651"/>
      <sheetData sheetId="4652" refreshError="1"/>
      <sheetData sheetId="4653"/>
      <sheetData sheetId="4654" refreshError="1"/>
      <sheetData sheetId="4655"/>
      <sheetData sheetId="4656"/>
      <sheetData sheetId="4657"/>
      <sheetData sheetId="4658" refreshError="1"/>
      <sheetData sheetId="4659"/>
      <sheetData sheetId="4660"/>
      <sheetData sheetId="4661"/>
      <sheetData sheetId="4662"/>
      <sheetData sheetId="4663" refreshError="1"/>
      <sheetData sheetId="4664"/>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sheetData sheetId="4898"/>
      <sheetData sheetId="4899"/>
      <sheetData sheetId="4900"/>
      <sheetData sheetId="4901" refreshError="1"/>
      <sheetData sheetId="4902" refreshError="1"/>
      <sheetData sheetId="4903" refreshError="1"/>
      <sheetData sheetId="4904" refreshError="1"/>
      <sheetData sheetId="4905" refreshError="1"/>
      <sheetData sheetId="4906" refreshError="1"/>
      <sheetData sheetId="4907"/>
      <sheetData sheetId="4908" refreshError="1"/>
      <sheetData sheetId="4909"/>
      <sheetData sheetId="4910" refreshError="1"/>
      <sheetData sheetId="4911"/>
      <sheetData sheetId="4912"/>
      <sheetData sheetId="4913"/>
      <sheetData sheetId="4914"/>
      <sheetData sheetId="4915" refreshError="1"/>
      <sheetData sheetId="4916"/>
      <sheetData sheetId="4917"/>
      <sheetData sheetId="4918"/>
      <sheetData sheetId="4919"/>
      <sheetData sheetId="4920" refreshError="1"/>
      <sheetData sheetId="4921" refreshError="1"/>
      <sheetData sheetId="4922" refreshError="1"/>
      <sheetData sheetId="4923"/>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sheetData sheetId="4933"/>
      <sheetData sheetId="4934" refreshError="1"/>
      <sheetData sheetId="4935" refreshError="1"/>
      <sheetData sheetId="4936" refreshError="1"/>
      <sheetData sheetId="4937" refreshError="1"/>
      <sheetData sheetId="4938" refreshError="1"/>
      <sheetData sheetId="4939"/>
      <sheetData sheetId="4940" refreshError="1"/>
      <sheetData sheetId="4941" refreshError="1"/>
      <sheetData sheetId="4942"/>
      <sheetData sheetId="4943" refreshError="1"/>
      <sheetData sheetId="4944"/>
      <sheetData sheetId="4945"/>
      <sheetData sheetId="4946"/>
      <sheetData sheetId="4947"/>
      <sheetData sheetId="4948"/>
      <sheetData sheetId="4949"/>
      <sheetData sheetId="4950" refreshError="1"/>
      <sheetData sheetId="4951"/>
      <sheetData sheetId="4952" refreshError="1"/>
      <sheetData sheetId="4953"/>
      <sheetData sheetId="4954" refreshError="1"/>
      <sheetData sheetId="4955" refreshError="1"/>
      <sheetData sheetId="4956" refreshError="1"/>
      <sheetData sheetId="4957"/>
      <sheetData sheetId="4958"/>
      <sheetData sheetId="4959"/>
      <sheetData sheetId="4960"/>
      <sheetData sheetId="496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sheetData sheetId="4974" refreshError="1"/>
      <sheetData sheetId="4975" refreshError="1"/>
      <sheetData sheetId="4976" refreshError="1"/>
      <sheetData sheetId="4977" refreshError="1"/>
      <sheetData sheetId="4978" refreshError="1"/>
      <sheetData sheetId="4979"/>
      <sheetData sheetId="4980"/>
      <sheetData sheetId="4981"/>
      <sheetData sheetId="4982"/>
      <sheetData sheetId="4983"/>
      <sheetData sheetId="4984"/>
      <sheetData sheetId="4985"/>
      <sheetData sheetId="4986" refreshError="1"/>
      <sheetData sheetId="4987"/>
      <sheetData sheetId="4988"/>
      <sheetData sheetId="4989"/>
      <sheetData sheetId="4990"/>
      <sheetData sheetId="4991"/>
      <sheetData sheetId="4992" refreshError="1"/>
      <sheetData sheetId="4993"/>
      <sheetData sheetId="4994"/>
      <sheetData sheetId="4995"/>
      <sheetData sheetId="4996"/>
      <sheetData sheetId="4997"/>
      <sheetData sheetId="4998"/>
      <sheetData sheetId="4999"/>
      <sheetData sheetId="5000"/>
      <sheetData sheetId="5001"/>
      <sheetData sheetId="5002"/>
      <sheetData sheetId="5003"/>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sheetData sheetId="5016"/>
      <sheetData sheetId="5017"/>
      <sheetData sheetId="5018"/>
      <sheetData sheetId="5019" refreshError="1"/>
      <sheetData sheetId="5020" refreshError="1"/>
      <sheetData sheetId="5021"/>
      <sheetData sheetId="5022"/>
      <sheetData sheetId="5023"/>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sheetData sheetId="5033"/>
      <sheetData sheetId="5034"/>
      <sheetData sheetId="5035"/>
      <sheetData sheetId="5036"/>
      <sheetData sheetId="5037"/>
      <sheetData sheetId="5038"/>
      <sheetData sheetId="5039"/>
      <sheetData sheetId="5040"/>
      <sheetData sheetId="5041"/>
      <sheetData sheetId="5042" refreshError="1"/>
      <sheetData sheetId="5043" refreshError="1"/>
      <sheetData sheetId="5044" refreshError="1"/>
      <sheetData sheetId="5045" refreshError="1"/>
      <sheetData sheetId="5046" refreshError="1"/>
      <sheetData sheetId="5047"/>
      <sheetData sheetId="5048"/>
      <sheetData sheetId="5049" refreshError="1"/>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efreshError="1"/>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efreshError="1"/>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refreshError="1"/>
      <sheetData sheetId="5108" refreshError="1"/>
      <sheetData sheetId="5109" refreshError="1"/>
      <sheetData sheetId="5110" refreshError="1"/>
      <sheetData sheetId="5111"/>
      <sheetData sheetId="5112"/>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sheetData sheetId="5194"/>
      <sheetData sheetId="5195"/>
      <sheetData sheetId="5196"/>
      <sheetData sheetId="5197"/>
      <sheetData sheetId="5198"/>
      <sheetData sheetId="5199"/>
      <sheetData sheetId="5200"/>
      <sheetData sheetId="5201"/>
      <sheetData sheetId="5202"/>
      <sheetData sheetId="5203" refreshError="1"/>
      <sheetData sheetId="5204"/>
      <sheetData sheetId="5205" refreshError="1"/>
      <sheetData sheetId="5206"/>
      <sheetData sheetId="5207" refreshError="1"/>
      <sheetData sheetId="5208" refreshError="1"/>
      <sheetData sheetId="5209" refreshError="1"/>
      <sheetData sheetId="5210" refreshError="1"/>
      <sheetData sheetId="5211"/>
      <sheetData sheetId="5212"/>
      <sheetData sheetId="5213"/>
      <sheetData sheetId="5214"/>
      <sheetData sheetId="5215"/>
      <sheetData sheetId="5216" refreshError="1"/>
      <sheetData sheetId="5217" refreshError="1"/>
      <sheetData sheetId="5218" refreshError="1"/>
      <sheetData sheetId="5219" refreshError="1"/>
      <sheetData sheetId="5220" refreshError="1"/>
      <sheetData sheetId="5221" refreshError="1"/>
      <sheetData sheetId="5222" refreshError="1"/>
      <sheetData sheetId="5223"/>
      <sheetData sheetId="5224"/>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refreshError="1"/>
      <sheetData sheetId="5289"/>
      <sheetData sheetId="5290"/>
      <sheetData sheetId="5291"/>
      <sheetData sheetId="5292"/>
      <sheetData sheetId="5293"/>
      <sheetData sheetId="5294" refreshError="1"/>
      <sheetData sheetId="5295"/>
      <sheetData sheetId="5296" refreshError="1"/>
      <sheetData sheetId="5297"/>
      <sheetData sheetId="5298"/>
      <sheetData sheetId="5299"/>
      <sheetData sheetId="5300"/>
      <sheetData sheetId="5301"/>
      <sheetData sheetId="5302"/>
      <sheetData sheetId="5303"/>
      <sheetData sheetId="5304"/>
      <sheetData sheetId="5305"/>
      <sheetData sheetId="5306"/>
      <sheetData sheetId="5307" refreshError="1"/>
      <sheetData sheetId="5308"/>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sheetData sheetId="5351" refreshError="1"/>
      <sheetData sheetId="5352"/>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sheetData sheetId="5369"/>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sheetData sheetId="5380"/>
      <sheetData sheetId="5381"/>
      <sheetData sheetId="5382"/>
      <sheetData sheetId="5383"/>
      <sheetData sheetId="5384"/>
      <sheetData sheetId="5385"/>
      <sheetData sheetId="5386"/>
      <sheetData sheetId="5387"/>
      <sheetData sheetId="5388"/>
      <sheetData sheetId="5389" refreshError="1"/>
      <sheetData sheetId="5390" refreshError="1"/>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sheetData sheetId="5424"/>
      <sheetData sheetId="5425"/>
      <sheetData sheetId="5426"/>
      <sheetData sheetId="5427"/>
      <sheetData sheetId="5428"/>
      <sheetData sheetId="5429"/>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sheetData sheetId="5485"/>
      <sheetData sheetId="5486"/>
      <sheetData sheetId="5487"/>
      <sheetData sheetId="5488"/>
      <sheetData sheetId="5489"/>
      <sheetData sheetId="5490" refreshError="1"/>
      <sheetData sheetId="5491" refreshError="1"/>
      <sheetData sheetId="5492" refreshError="1"/>
      <sheetData sheetId="5493"/>
      <sheetData sheetId="5494" refreshError="1"/>
      <sheetData sheetId="5495" refreshError="1"/>
      <sheetData sheetId="5496" refreshError="1"/>
      <sheetData sheetId="5497"/>
      <sheetData sheetId="5498"/>
      <sheetData sheetId="5499"/>
      <sheetData sheetId="5500"/>
      <sheetData sheetId="5501"/>
      <sheetData sheetId="5502"/>
      <sheetData sheetId="5503"/>
      <sheetData sheetId="5504"/>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refreshError="1"/>
      <sheetData sheetId="5534"/>
      <sheetData sheetId="5535" refreshError="1"/>
      <sheetData sheetId="5536" refreshError="1"/>
      <sheetData sheetId="5537"/>
      <sheetData sheetId="5538"/>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sheetData sheetId="5707"/>
      <sheetData sheetId="5708"/>
      <sheetData sheetId="5709" refreshError="1"/>
      <sheetData sheetId="5710" refreshError="1"/>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sheetData sheetId="5793"/>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refreshError="1"/>
      <sheetData sheetId="5826" refreshError="1"/>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refreshError="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sheetData sheetId="6228"/>
      <sheetData sheetId="6229"/>
      <sheetData sheetId="6230"/>
      <sheetData sheetId="6231"/>
      <sheetData sheetId="6232"/>
      <sheetData sheetId="6233"/>
      <sheetData sheetId="6234"/>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refreshError="1"/>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efreshError="1"/>
      <sheetData sheetId="7262" refreshError="1"/>
      <sheetData sheetId="7263" refreshError="1"/>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efreshError="1"/>
      <sheetData sheetId="7291" refreshError="1"/>
      <sheetData sheetId="7292" refreshError="1"/>
      <sheetData sheetId="7293" refreshError="1"/>
      <sheetData sheetId="7294" refreshError="1"/>
      <sheetData sheetId="7295"/>
      <sheetData sheetId="7296"/>
      <sheetData sheetId="7297"/>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refreshError="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refreshError="1"/>
      <sheetData sheetId="7425" refreshError="1"/>
      <sheetData sheetId="7426" refreshError="1"/>
      <sheetData sheetId="7427" refreshError="1"/>
      <sheetData sheetId="7428" refreshError="1"/>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refreshError="1"/>
      <sheetData sheetId="7864"/>
      <sheetData sheetId="7865"/>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_a  aaInformación GRUPO 4_A MIn"/>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LISTADO "/>
      <sheetName val="M.O."/>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sheetData sheetId="346"/>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sheetData sheetId="513"/>
      <sheetData sheetId="514"/>
      <sheetData sheetId="515"/>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Datos"/>
      <sheetName val="Cuadrillas"/>
      <sheetName val="Jornal"/>
      <sheetName val="Formulario N° 4"/>
      <sheetName val="MATERIALES"/>
      <sheetName val="EQUIPO"/>
      <sheetName val="CONT_ADI"/>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 val="[a  aaInformación]__cceficien_4"/>
      <sheetName val="[a  aaInformación]__cceficien_6"/>
      <sheetName val="[a  aaInformación]//cceficiente"/>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MC_SF_GAVIONES"/>
      <sheetName val="A__P__U_"/>
      <sheetName val="Análisis_de_precios"/>
      <sheetName val="ANEXO_7"/>
      <sheetName val="PREACTA"/>
      <sheetName val="Mat"/>
      <sheetName val="Equi"/>
      <sheetName val="Otros"/>
      <sheetName val="AiuApoSaraBrut2000.xls"/>
      <sheetName val="equipos"/>
      <sheetName val="indice alfabetico"/>
      <sheetName val="materiales"/>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MC_SF_GAVIONES"/>
      <sheetName val="ANEXO_7"/>
      <sheetName val="A__P__U_"/>
      <sheetName val="Análisis_de_precios"/>
      <sheetName val="DATOS"/>
      <sheetName val="PREACTA"/>
      <sheetName val="Informacion"/>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Hoja2"/>
      <sheetName val="Hoja1"/>
      <sheetName val="PREACTA_10"/>
      <sheetName val="Mezcla_"/>
      <sheetName val="Fresado_"/>
      <sheetName val="Imprimación_"/>
      <sheetName val="Transporte_Mezcla_"/>
      <sheetName val="Defensas_Metalicas"/>
      <sheetName val="Captafaros"/>
      <sheetName val="Excavación"/>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PREACTA 10"/>
      <sheetName val="Mezcla "/>
      <sheetName val="Fresado "/>
      <sheetName val="Imprimación "/>
      <sheetName val="Transporte Mezcla "/>
      <sheetName val="Defensas Metalicas"/>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sheetData sheetId="1" refreshError="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PU_PART2"/>
      <sheetName val="A__P__U_2"/>
      <sheetName val="Análisis_de_precios"/>
      <sheetName val="Analisis_de_Precios_Unitarios_2"/>
      <sheetName val="ESTADO_RED"/>
      <sheetName val="GENERALIDADES_"/>
      <sheetName val="A__P__U_3"/>
      <sheetName val="Anexo_No__5"/>
      <sheetName val="ESTADO_VÍA-CRIT_TECNICO"/>
      <sheetName val="PRESUPUESTO"/>
      <sheetName val="MANO"/>
      <sheetName val="EQUIPO"/>
      <sheetName val="MATERIAL"/>
      <sheetName val="TRANSPORTE"/>
      <sheetName val="BASES"/>
      <sheetName val="Aerocivil_-_Cantidades_"/>
      <sheetName val="Aerocivil_Acta"/>
      <sheetName val="Aerocivil_IVA"/>
      <sheetName val="101_Loc_Y_Repl"/>
      <sheetName val="CRONOGRAMA_AMBIENTAL"/>
      <sheetName val="DATA"/>
      <sheetName val="COSTOS_INDIRECTOS"/>
      <sheetName val="M&amp;E_"/>
      <sheetName val="UTILIDAD_ESPERADA"/>
      <sheetName val="SOLICITUDES_DE_PERSONAL"/>
      <sheetName val="PLAN_DE_INVERSIÓN_ANTICIPO"/>
      <sheetName val="DL"/>
      <sheetName val="2)"/>
      <sheetName val="3)_PRESUPUESTO"/>
      <sheetName val="PRIMARIO_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_P-INVERSIONES"/>
      <sheetName val="6)_FLUJO_DE_CAJA"/>
      <sheetName val="7)_INST_PROV"/>
      <sheetName val="Civil_work"/>
      <sheetName val="Aerocivil - Cantidades "/>
      <sheetName val="Aerocivil Acta"/>
      <sheetName val="Aerocivil IVA"/>
      <sheetName val="101 Loc Y Repl"/>
      <sheetName val="CRONOGRAMA AMBIENTAL"/>
      <sheetName val="COSTOS INDIRECTOS"/>
      <sheetName val="M&amp;E "/>
      <sheetName val="UTILIDAD ESPERADA"/>
      <sheetName val="SOLICITUDES DE PERSONAL"/>
      <sheetName val="PLAN DE INVERSIÓN ANTICIPO"/>
      <sheetName val="3) PRESUPUESTO"/>
      <sheetName val="PRIMARIO APUS"/>
      <sheetName val="5) P-INVERSIONES"/>
      <sheetName val="6) FLUJO DE CAJA"/>
      <sheetName val="7) INST PROV"/>
      <sheetName val="FLUJOS"/>
      <sheetName val="Civil work"/>
      <sheetName val="LISTADO APU"/>
      <sheetName val="\\Pc1\E\AMV-3005-2005\ADMON GRU"/>
      <sheetName val="PRESUPUESTO "/>
      <sheetName val="Cuadrillas"/>
      <sheetName val="Equ"/>
      <sheetName val="Trans"/>
      <sheetName val="Mat"/>
      <sheetName val="Salari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refreshError="1"/>
      <sheetData sheetId="869" refreshError="1"/>
      <sheetData sheetId="87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Cotas_Pav"/>
    </sheetNames>
    <sheetDataSet>
      <sheetData sheetId="0"/>
      <sheetData sheetId="1"/>
      <sheetData sheetId="2"/>
      <sheetData sheetId="3"/>
      <sheetData sheetId="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s>
    <sheetDataSet>
      <sheetData sheetId="0" refreshError="1"/>
      <sheetData sheetId="1" refreshError="1"/>
      <sheetData sheetId="2" refreshError="1"/>
      <sheetData sheetId="3"/>
      <sheetData sheetId="4" refreshError="1"/>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OFICIN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PROGRAMACION "/>
      <sheetName val="Hoja1"/>
    </sheetNames>
    <sheetDataSet>
      <sheetData sheetId="0"/>
      <sheetData sheetId="1" refreshError="1"/>
      <sheetData sheetId="2" refreshError="1"/>
      <sheetData sheetId="3" refreshError="1"/>
      <sheetData sheetId="4" refreshError="1"/>
      <sheetData sheetId="5" refreshError="1"/>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sheetData sheetId="107"/>
      <sheetData sheetId="108"/>
      <sheetData sheetId="10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s>
    <definedNames>
      <definedName name="Loan_Start" refersTo="#¡REF!"/>
    </definedNames>
    <sheetDataSet>
      <sheetData sheetId="0"/>
      <sheetData sheetId="1" refreshError="1"/>
      <sheetData sheetId="2" refreshError="1"/>
      <sheetData sheetId="3" refreshError="1"/>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 val="RESUMEN_INTERV"/>
      <sheetName val="TipIntSup-Indices_SITP_"/>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 val="Requisición1"/>
      <sheetName val="Summary"/>
      <sheetName val="CODCONST"/>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OGR_2"/>
      <sheetName val="A__P__U_"/>
      <sheetName val="ACTA_DE_MODIFICACION__(2)"/>
      <sheetName val="devdics"/>
      <sheetName val="CRA.MODI"/>
      <sheetName val="Presup_Cancha"/>
      <sheetName val="1,01"/>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IAS"/>
      <sheetName val="ESPACIO PUBLICO"/>
      <sheetName val="ANDENES"/>
    </sheetNames>
    <sheetDataSet>
      <sheetData sheetId="0"/>
      <sheetData sheetId="1">
        <row r="17">
          <cell r="B17">
            <v>323824</v>
          </cell>
          <cell r="N17">
            <v>61.35</v>
          </cell>
          <cell r="O17">
            <v>2.61</v>
          </cell>
        </row>
        <row r="18">
          <cell r="A18">
            <v>6001303</v>
          </cell>
          <cell r="B18">
            <v>323827</v>
          </cell>
          <cell r="N18">
            <v>42.83</v>
          </cell>
          <cell r="O18">
            <v>3.02</v>
          </cell>
          <cell r="Q18" t="str">
            <v>CL 51 S Entre 	KR 19B hasta KR 19C</v>
          </cell>
        </row>
        <row r="19">
          <cell r="A19">
            <v>6001244</v>
          </cell>
          <cell r="B19">
            <v>323671</v>
          </cell>
          <cell r="N19">
            <v>121.31</v>
          </cell>
          <cell r="O19">
            <v>2.67</v>
          </cell>
          <cell r="Q19" t="str">
            <v>CL 55 S Entre KR 24C hasta KR 25</v>
          </cell>
        </row>
        <row r="20">
          <cell r="A20" t="str">
            <v xml:space="preserve">	6001245</v>
          </cell>
          <cell r="B20">
            <v>323674</v>
          </cell>
          <cell r="N20">
            <v>25.62</v>
          </cell>
          <cell r="O20">
            <v>3.97</v>
          </cell>
          <cell r="Q20" t="str">
            <v>CL 55 SUR Entre SE hasta 	KR 24 C</v>
          </cell>
        </row>
        <row r="21">
          <cell r="A21">
            <v>6000084</v>
          </cell>
          <cell r="B21">
            <v>320317</v>
          </cell>
          <cell r="N21">
            <v>76.31</v>
          </cell>
          <cell r="O21">
            <v>2.87</v>
          </cell>
          <cell r="Q21" t="str">
            <v>DG 48 S Entre KR 54B hasta KR 55BIS</v>
          </cell>
        </row>
        <row r="22">
          <cell r="A22">
            <v>6000094</v>
          </cell>
          <cell r="B22">
            <v>320345</v>
          </cell>
          <cell r="N22">
            <v>47.17</v>
          </cell>
          <cell r="O22">
            <v>5.35</v>
          </cell>
          <cell r="Q22" t="str">
            <v>KR 52C Entre DG 46A S hasta DG 47 S</v>
          </cell>
        </row>
        <row r="23">
          <cell r="A23">
            <v>6000096</v>
          </cell>
          <cell r="B23">
            <v>320299</v>
          </cell>
          <cell r="N23">
            <v>34.950000000000003</v>
          </cell>
          <cell r="O23">
            <v>2.29</v>
          </cell>
          <cell r="Q23" t="str">
            <v>DG 47A S Entre KR 53C hasta KR 54</v>
          </cell>
        </row>
        <row r="27">
          <cell r="A27">
            <v>6001479</v>
          </cell>
          <cell r="B27">
            <v>324418</v>
          </cell>
          <cell r="N27">
            <v>38.21</v>
          </cell>
          <cell r="O27">
            <v>6.62</v>
          </cell>
          <cell r="Q27" t="str">
            <v>CL 57 S Entre KR 16 hasta KR 17</v>
          </cell>
        </row>
      </sheetData>
      <sheetData sheetId="2"/>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FERTA ECONOMICA"/>
      <sheetName val="PO"/>
      <sheetName val="SST"/>
      <sheetName val="insumos"/>
      <sheetName val="apu"/>
    </sheetNames>
    <sheetDataSet>
      <sheetData sheetId="0"/>
      <sheetData sheetId="1">
        <row r="49">
          <cell r="L49">
            <v>203624299</v>
          </cell>
        </row>
      </sheetData>
      <sheetData sheetId="2"/>
      <sheetData sheetId="3"/>
      <sheetData sheetId="4"/>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MENU"/>
      <sheetName val="PRESENTACION"/>
      <sheetName val="ASPECTOS TECNICOS"/>
      <sheetName val="MARCO"/>
      <sheetName val="Insumos sin EBSA"/>
      <sheetName val=" APU's sin EBSA"/>
      <sheetName val="Valores de referencia"/>
      <sheetName val="APU ASOCIADOS A INSUMOS ACERO"/>
      <sheetName val="Cable  aéreo san Cristóblal"/>
      <sheetName val="Troncal CLL13"/>
      <sheetName val="Novedades"/>
      <sheetName val="INSUMOS OCT"/>
      <sheetName val="ANALISIS OCT"/>
      <sheetName val="Fechas de Actualización"/>
      <sheetName val="Glosario"/>
      <sheetName val="Calculadora"/>
      <sheetName val="FOTOGRAFIAS"/>
      <sheetName val="VALIDACION INSUMO"/>
      <sheetName val="LISTA VALIDACION"/>
      <sheetName val="VALIDACION GRUPO"/>
    </sheetNames>
    <sheetDataSet>
      <sheetData sheetId="0"/>
      <sheetData sheetId="1"/>
      <sheetData sheetId="2"/>
      <sheetData sheetId="3"/>
      <sheetData sheetId="4"/>
      <sheetData sheetId="5">
        <row r="15">
          <cell r="G15">
            <v>322</v>
          </cell>
          <cell r="H15" t="str">
            <v>CONCRETO GRAVA COMÚN 2000 PSI 14 MPa (140 Kg/m2)</v>
          </cell>
          <cell r="I15" t="str">
            <v>M3</v>
          </cell>
          <cell r="J15">
            <v>467670</v>
          </cell>
        </row>
        <row r="16">
          <cell r="G16">
            <v>323</v>
          </cell>
          <cell r="H16" t="str">
            <v>CONCRETO GRAVA COMÚN 2500 PSI 17 MPa (175 Kg/cm2)</v>
          </cell>
          <cell r="I16" t="str">
            <v>M3</v>
          </cell>
          <cell r="J16">
            <v>481950</v>
          </cell>
        </row>
        <row r="17">
          <cell r="G17">
            <v>324</v>
          </cell>
          <cell r="H17" t="str">
            <v>CONCRETO GRAVA COMÚN 3000 PSI  21 MPa (210 Kg/cm2)</v>
          </cell>
          <cell r="I17" t="str">
            <v>M3</v>
          </cell>
          <cell r="J17">
            <v>490280</v>
          </cell>
        </row>
        <row r="18">
          <cell r="G18">
            <v>325</v>
          </cell>
          <cell r="H18" t="str">
            <v>CONCRETO GRAVA COMÚN 3500 PSI 24 MPa (245 Kg/cm2)</v>
          </cell>
          <cell r="I18" t="str">
            <v>M3</v>
          </cell>
          <cell r="J18">
            <v>508130</v>
          </cell>
        </row>
        <row r="19">
          <cell r="G19">
            <v>326</v>
          </cell>
          <cell r="H19" t="str">
            <v>CONCRETO GRAVA COMÚN 4000 PSI 27 MPa (280 Kg/cm2)</v>
          </cell>
          <cell r="I19" t="str">
            <v>M3</v>
          </cell>
          <cell r="J19">
            <v>520030</v>
          </cell>
        </row>
        <row r="20">
          <cell r="G20">
            <v>328</v>
          </cell>
          <cell r="H20" t="str">
            <v>CONCRETO GRAVA COMÚN 5000 PSI 34 MPa (350 Kg/cm2)</v>
          </cell>
          <cell r="I20" t="str">
            <v>M3</v>
          </cell>
          <cell r="J20">
            <v>547400</v>
          </cell>
        </row>
        <row r="21">
          <cell r="G21">
            <v>333</v>
          </cell>
          <cell r="H21" t="str">
            <v>CONCRETO GRAVA FINA 3000 PSI 21 MPa (210 Kg/cm2)</v>
          </cell>
          <cell r="I21" t="str">
            <v>M3</v>
          </cell>
          <cell r="J21">
            <v>508130</v>
          </cell>
        </row>
        <row r="22">
          <cell r="G22">
            <v>366</v>
          </cell>
          <cell r="H22" t="str">
            <v>MORTERO 2000 PSI 14 MPa (140 Kg/cm2)</v>
          </cell>
          <cell r="I22" t="str">
            <v>M3</v>
          </cell>
          <cell r="J22">
            <v>525980</v>
          </cell>
        </row>
        <row r="23">
          <cell r="G23">
            <v>1505</v>
          </cell>
          <cell r="H23" t="str">
            <v>COMPACTADOR DE LLANTAS - MASA SIN LASTRES DE 9 A 11 TONELADAS - INCLUYE OPERARIO Y COMBUSTIBLE</v>
          </cell>
          <cell r="I23" t="str">
            <v>HR</v>
          </cell>
          <cell r="J23">
            <v>179292</v>
          </cell>
        </row>
        <row r="24">
          <cell r="G24">
            <v>1512</v>
          </cell>
          <cell r="H24" t="str">
            <v>GRAMA</v>
          </cell>
          <cell r="I24" t="str">
            <v>M2</v>
          </cell>
          <cell r="J24">
            <v>8500</v>
          </cell>
        </row>
        <row r="25">
          <cell r="G25">
            <v>1515</v>
          </cell>
          <cell r="H25" t="str">
            <v>FORMALETA METÁLICA SARDINEL</v>
          </cell>
          <cell r="I25" t="str">
            <v>ML/DI</v>
          </cell>
          <cell r="J25">
            <v>321</v>
          </cell>
        </row>
        <row r="26">
          <cell r="G26">
            <v>1794</v>
          </cell>
          <cell r="H26" t="str">
            <v>ALAMBRE RECOCIDO No.18</v>
          </cell>
          <cell r="I26" t="str">
            <v>KG</v>
          </cell>
          <cell r="J26">
            <v>6307</v>
          </cell>
        </row>
        <row r="27">
          <cell r="G27">
            <v>2273</v>
          </cell>
          <cell r="H27" t="str">
            <v>LADRILLO TOLETE RECOCIDO 24x12x6</v>
          </cell>
          <cell r="I27" t="str">
            <v>UN</v>
          </cell>
          <cell r="J27">
            <v>761</v>
          </cell>
        </row>
        <row r="28">
          <cell r="G28">
            <v>2307</v>
          </cell>
          <cell r="H28" t="str">
            <v>ARENA DE PEÑA</v>
          </cell>
          <cell r="I28" t="str">
            <v>M3</v>
          </cell>
          <cell r="J28">
            <v>45740</v>
          </cell>
        </row>
        <row r="29">
          <cell r="G29">
            <v>2308</v>
          </cell>
          <cell r="H29" t="str">
            <v>ARENA DE RIO</v>
          </cell>
          <cell r="I29" t="str">
            <v>M3</v>
          </cell>
          <cell r="J29">
            <v>130686</v>
          </cell>
        </row>
        <row r="30">
          <cell r="G30">
            <v>2551</v>
          </cell>
          <cell r="H30" t="str">
            <v>MARCO Y TAPA PARA CAJA DE INSPECCIÓN 0.5x0.5m</v>
          </cell>
          <cell r="I30" t="str">
            <v>UN</v>
          </cell>
          <cell r="J30">
            <v>168199</v>
          </cell>
        </row>
        <row r="31">
          <cell r="G31">
            <v>2798</v>
          </cell>
          <cell r="H31" t="str">
            <v>LADRILLO TOLETE COMUN</v>
          </cell>
          <cell r="I31" t="str">
            <v>UN</v>
          </cell>
          <cell r="J31">
            <v>550</v>
          </cell>
        </row>
        <row r="32">
          <cell r="G32">
            <v>2910</v>
          </cell>
          <cell r="H32" t="str">
            <v>RECEBO COMUN</v>
          </cell>
          <cell r="I32" t="str">
            <v>M3</v>
          </cell>
          <cell r="J32">
            <v>4396</v>
          </cell>
        </row>
        <row r="33">
          <cell r="G33">
            <v>3386</v>
          </cell>
          <cell r="H33" t="str">
            <v>FORMALETA PARAL CORTO-CAMILLA  0.73x1.4m (M2)</v>
          </cell>
          <cell r="I33" t="str">
            <v>M2/MES</v>
          </cell>
          <cell r="J33">
            <v>6902</v>
          </cell>
        </row>
        <row r="34">
          <cell r="G34">
            <v>3995</v>
          </cell>
          <cell r="H34" t="str">
            <v>FORMALETA MADERA PARA TAPAS-CAJAS Y CAMARAS</v>
          </cell>
          <cell r="I34" t="str">
            <v>M2</v>
          </cell>
          <cell r="J34">
            <v>41319</v>
          </cell>
        </row>
        <row r="35">
          <cell r="G35">
            <v>4513</v>
          </cell>
          <cell r="H35" t="str">
            <v>DUCTO TELEFONICO LIVIANO PVC TIPO EB D=3"</v>
          </cell>
          <cell r="I35" t="str">
            <v>ML</v>
          </cell>
          <cell r="J35">
            <v>13987</v>
          </cell>
        </row>
        <row r="36">
          <cell r="G36">
            <v>4514</v>
          </cell>
          <cell r="H36" t="str">
            <v>DUCTO TELEFONICO LIVIANO PVC TIPO EB D=4"</v>
          </cell>
          <cell r="I36" t="str">
            <v>ML</v>
          </cell>
          <cell r="J36">
            <v>24081</v>
          </cell>
        </row>
        <row r="37">
          <cell r="G37">
            <v>4520</v>
          </cell>
          <cell r="H37" t="str">
            <v>DUCTO PVC TIPO TDP D=3"</v>
          </cell>
          <cell r="I37" t="str">
            <v>ML</v>
          </cell>
          <cell r="J37">
            <v>18689</v>
          </cell>
        </row>
        <row r="38">
          <cell r="G38">
            <v>4521</v>
          </cell>
          <cell r="H38" t="str">
            <v>DUCTO PVC TIPO TDP D=4"</v>
          </cell>
          <cell r="I38" t="str">
            <v>ML</v>
          </cell>
          <cell r="J38">
            <v>23150</v>
          </cell>
        </row>
        <row r="39">
          <cell r="G39">
            <v>4594</v>
          </cell>
          <cell r="H39" t="str">
            <v>CODO G.RAD. PVC U.M. NORMA NTC 382 90° D=2" RDE 21</v>
          </cell>
          <cell r="I39" t="str">
            <v>UN</v>
          </cell>
          <cell r="J39">
            <v>73221</v>
          </cell>
        </row>
        <row r="40">
          <cell r="G40">
            <v>4596</v>
          </cell>
          <cell r="H40" t="str">
            <v>CODO G.RAD. PVC U.M. NORMA NTC 382 90° D=4" RDE 21</v>
          </cell>
          <cell r="I40" t="str">
            <v>UN</v>
          </cell>
          <cell r="J40">
            <v>146062</v>
          </cell>
        </row>
        <row r="41">
          <cell r="G41">
            <v>4598</v>
          </cell>
          <cell r="H41" t="str">
            <v>CODO G.RAD. PVC U.M. NORMA NTC 382 90° D=8" RDE 21</v>
          </cell>
          <cell r="I41" t="str">
            <v>UN</v>
          </cell>
          <cell r="J41">
            <v>1272799</v>
          </cell>
        </row>
        <row r="42">
          <cell r="G42">
            <v>4600</v>
          </cell>
          <cell r="H42" t="str">
            <v>CODO G.RAD. PVC U.M. NORMA NTC 382 90° D=12" RDE 21</v>
          </cell>
          <cell r="I42" t="str">
            <v>UN</v>
          </cell>
          <cell r="J42">
            <v>3229502</v>
          </cell>
        </row>
        <row r="43">
          <cell r="G43">
            <v>4608</v>
          </cell>
          <cell r="H43" t="str">
            <v>UNION PVC U.M. NORMA NTC 382 D=2"</v>
          </cell>
          <cell r="I43" t="str">
            <v>UN</v>
          </cell>
          <cell r="J43">
            <v>35366</v>
          </cell>
        </row>
        <row r="44">
          <cell r="G44">
            <v>4609</v>
          </cell>
          <cell r="H44" t="str">
            <v>UNION PVC U.M. NORMA NTC 382 D=3"</v>
          </cell>
          <cell r="I44" t="str">
            <v>UN</v>
          </cell>
          <cell r="J44">
            <v>58252</v>
          </cell>
        </row>
        <row r="45">
          <cell r="G45">
            <v>4610</v>
          </cell>
          <cell r="H45" t="str">
            <v>UNION PVC U.M. NORMA NTC 382 D=4"</v>
          </cell>
          <cell r="I45" t="str">
            <v>UN</v>
          </cell>
          <cell r="J45">
            <v>84840</v>
          </cell>
        </row>
        <row r="46">
          <cell r="G46">
            <v>4611</v>
          </cell>
          <cell r="H46" t="str">
            <v>UNION PVC U.M. NORMA NTC 382 D=6"</v>
          </cell>
          <cell r="I46" t="str">
            <v>UN</v>
          </cell>
          <cell r="J46">
            <v>198097</v>
          </cell>
        </row>
        <row r="47">
          <cell r="G47">
            <v>4612</v>
          </cell>
          <cell r="H47" t="str">
            <v>UNION PVC U.M. NORMA NTC 382 D=8"</v>
          </cell>
          <cell r="I47" t="str">
            <v>UN</v>
          </cell>
          <cell r="J47">
            <v>363957</v>
          </cell>
        </row>
        <row r="48">
          <cell r="G48">
            <v>4613</v>
          </cell>
          <cell r="H48" t="str">
            <v>UNION PVC U.M. NORMA NTC 382 D=10"</v>
          </cell>
          <cell r="I48" t="str">
            <v>UN</v>
          </cell>
          <cell r="J48">
            <v>650279</v>
          </cell>
        </row>
        <row r="49">
          <cell r="G49">
            <v>4614</v>
          </cell>
          <cell r="H49" t="str">
            <v>UNION PVC U.M. NORMA NTC 382 D=12"</v>
          </cell>
          <cell r="I49" t="str">
            <v>UN</v>
          </cell>
          <cell r="J49">
            <v>1007787</v>
          </cell>
        </row>
        <row r="50">
          <cell r="G50">
            <v>4675</v>
          </cell>
          <cell r="H50" t="str">
            <v>CEMENTO GRIS TIPO III (Bulto x 50 Kg)</v>
          </cell>
          <cell r="I50" t="str">
            <v>UN</v>
          </cell>
          <cell r="J50">
            <v>26000</v>
          </cell>
        </row>
        <row r="51">
          <cell r="G51">
            <v>4694</v>
          </cell>
          <cell r="H51" t="str">
            <v>TUBERIA CONDUIT METALICA RMC D= 1"</v>
          </cell>
          <cell r="I51" t="str">
            <v>ML</v>
          </cell>
          <cell r="J51">
            <v>36720</v>
          </cell>
        </row>
        <row r="52">
          <cell r="G52">
            <v>4697</v>
          </cell>
          <cell r="H52" t="str">
            <v>TUBERIA CONDUIT METALICA RMC D= 1 1/2"</v>
          </cell>
          <cell r="I52" t="str">
            <v>ML</v>
          </cell>
          <cell r="J52">
            <v>43372</v>
          </cell>
        </row>
        <row r="53">
          <cell r="G53">
            <v>5038</v>
          </cell>
          <cell r="H53" t="str">
            <v>ACERO FIGURADO No. 3 (Ø 3/8") F'y=60000 PSI</v>
          </cell>
          <cell r="I53" t="str">
            <v>KG</v>
          </cell>
          <cell r="J53">
            <v>4570</v>
          </cell>
        </row>
        <row r="54">
          <cell r="G54">
            <v>5041</v>
          </cell>
          <cell r="H54" t="str">
            <v>ACERO FIGURADO No. 5 (Ø 5/8") F'y=60000 PSI</v>
          </cell>
          <cell r="I54" t="str">
            <v>KG</v>
          </cell>
          <cell r="J54">
            <v>4522</v>
          </cell>
        </row>
        <row r="55">
          <cell r="G55">
            <v>5042</v>
          </cell>
          <cell r="H55" t="str">
            <v>ACERO FIGURADO No. 6 (Ø 3/4") F'y=60000 PSI</v>
          </cell>
          <cell r="I55" t="str">
            <v>KG</v>
          </cell>
          <cell r="J55">
            <v>4522</v>
          </cell>
        </row>
        <row r="56">
          <cell r="G56">
            <v>5056</v>
          </cell>
          <cell r="H56" t="str">
            <v>MORTERO 1500 PSI 10,5 MPa (105 Kg/cm2)</v>
          </cell>
          <cell r="I56" t="str">
            <v>M3</v>
          </cell>
          <cell r="J56">
            <v>508130</v>
          </cell>
        </row>
        <row r="57">
          <cell r="G57">
            <v>5115</v>
          </cell>
          <cell r="H57" t="str">
            <v>A.C.P.M.</v>
          </cell>
          <cell r="I57" t="str">
            <v>GLN</v>
          </cell>
          <cell r="J57">
            <v>9372</v>
          </cell>
        </row>
        <row r="58">
          <cell r="G58">
            <v>5481</v>
          </cell>
          <cell r="H58" t="str">
            <v>BLOQUE PARA CAMARA TELEFONICA ETB</v>
          </cell>
          <cell r="I58" t="str">
            <v>UN</v>
          </cell>
          <cell r="J58">
            <v>8892</v>
          </cell>
        </row>
        <row r="59">
          <cell r="G59">
            <v>5661</v>
          </cell>
          <cell r="H59" t="str">
            <v>VIBROCOMPACTADORA TIPO RANA - VIBRACIONES POR MINUTO DE 5320 A 5880 - INCLUYE COMBUSTIBLE</v>
          </cell>
          <cell r="I59" t="str">
            <v>DIA</v>
          </cell>
          <cell r="J59">
            <v>48071</v>
          </cell>
        </row>
        <row r="60">
          <cell r="G60">
            <v>5890</v>
          </cell>
          <cell r="H60" t="str">
            <v>GRUA EXTENSION PARA POSTES DE BRAZO ARTICULADO. INCLUYE OPERARIO Y COMBUSTIBLE</v>
          </cell>
          <cell r="I60" t="str">
            <v>HR</v>
          </cell>
          <cell r="J60">
            <v>80859</v>
          </cell>
        </row>
        <row r="61">
          <cell r="G61">
            <v>5915</v>
          </cell>
          <cell r="H61" t="str">
            <v>GRAVILLA 1/2"</v>
          </cell>
          <cell r="I61" t="str">
            <v>M3</v>
          </cell>
          <cell r="J61">
            <v>86751</v>
          </cell>
        </row>
        <row r="62">
          <cell r="G62">
            <v>6013</v>
          </cell>
          <cell r="H62" t="str">
            <v>MOTONIVELADORA - MASA DE 16 A 18 TONELADAS - POTENCIA DE 93 A 122 KW - INCLUYE OPERARIO Y COMBUSTIBLE</v>
          </cell>
          <cell r="I62" t="str">
            <v>HR</v>
          </cell>
          <cell r="J62">
            <v>279650</v>
          </cell>
        </row>
        <row r="63">
          <cell r="G63">
            <v>6017</v>
          </cell>
          <cell r="H63" t="str">
            <v>RETROEXCAVADORA - MASA DE 7 A 9 TONELADAS - POTENCIA DE 74 A 99 HP - INCLUYE OPERARIO Y COMBUSTIBLE</v>
          </cell>
          <cell r="I63" t="str">
            <v>HR</v>
          </cell>
          <cell r="J63">
            <v>157602</v>
          </cell>
        </row>
        <row r="64">
          <cell r="G64">
            <v>6026</v>
          </cell>
          <cell r="H64" t="str">
            <v>RETROEXCAVADORA - MASA DE 7 A 9 TONELADAS - POTENCIA DE 74 A 99 HP - INCLUYE OPERARIO Y COMBUSTI</v>
          </cell>
          <cell r="I64" t="str">
            <v>HR</v>
          </cell>
          <cell r="J64">
            <v>157602</v>
          </cell>
        </row>
        <row r="65">
          <cell r="G65">
            <v>6062</v>
          </cell>
          <cell r="H65" t="str">
            <v>VIBROCOMPACTADOR DE CILINDRO LISO - MASA DE 10 A 13 TONELADAS - AMPLITUD DE COMPACTACIÓN  MÁXIMA 2mm - INCLUYE OPERARIO Y COMBUSTIBLE</v>
          </cell>
          <cell r="I65" t="str">
            <v>HR</v>
          </cell>
          <cell r="J65">
            <v>181526</v>
          </cell>
        </row>
        <row r="66">
          <cell r="G66">
            <v>6072</v>
          </cell>
          <cell r="H66" t="str">
            <v>CONCRETO MR41</v>
          </cell>
          <cell r="I66" t="str">
            <v>M3</v>
          </cell>
          <cell r="J66">
            <v>539070</v>
          </cell>
        </row>
        <row r="67">
          <cell r="G67">
            <v>6073</v>
          </cell>
          <cell r="H67" t="str">
            <v>CONCRETO MR43</v>
          </cell>
          <cell r="I67" t="str">
            <v>M3</v>
          </cell>
          <cell r="J67">
            <v>550970</v>
          </cell>
        </row>
        <row r="68">
          <cell r="G68">
            <v>6087</v>
          </cell>
          <cell r="H68" t="str">
            <v>TARIFA JORNAL - PERSONAL DE OBRA - AYUDANTE (INCLUYE FACTOR DE PRESTACIONES)</v>
          </cell>
          <cell r="I68" t="str">
            <v>JR</v>
          </cell>
          <cell r="J68">
            <v>63722</v>
          </cell>
        </row>
        <row r="69">
          <cell r="G69">
            <v>6088</v>
          </cell>
          <cell r="H69" t="str">
            <v>TARIFA JORNAL - PERSONAL DE OBRA - OFICIAL (INCLUYE FACTOR DE PRESTACIONES)</v>
          </cell>
          <cell r="I69" t="str">
            <v>JR</v>
          </cell>
          <cell r="J69">
            <v>91715</v>
          </cell>
        </row>
        <row r="70">
          <cell r="G70">
            <v>6092</v>
          </cell>
          <cell r="H70" t="str">
            <v>HERRAMIENTA MENOR</v>
          </cell>
          <cell r="I70" t="str">
            <v>GLB</v>
          </cell>
          <cell r="J70">
            <v>2000</v>
          </cell>
        </row>
        <row r="71">
          <cell r="G71">
            <v>6098</v>
          </cell>
          <cell r="H71" t="str">
            <v>AGUA</v>
          </cell>
          <cell r="I71" t="str">
            <v>LT</v>
          </cell>
          <cell r="J71">
            <v>21</v>
          </cell>
        </row>
        <row r="72">
          <cell r="G72">
            <v>6107</v>
          </cell>
          <cell r="H72" t="str">
            <v>MORTERO 4000 PSI 28 MPa (280 Kg/cm2)</v>
          </cell>
          <cell r="I72" t="str">
            <v>M3</v>
          </cell>
          <cell r="J72">
            <v>597380</v>
          </cell>
        </row>
        <row r="73">
          <cell r="G73">
            <v>6109</v>
          </cell>
          <cell r="H73" t="str">
            <v>SARDINEL PREFABRICADO A10 (800x200x500mm)</v>
          </cell>
          <cell r="I73" t="str">
            <v>UN</v>
          </cell>
          <cell r="J73">
            <v>48396</v>
          </cell>
        </row>
        <row r="74">
          <cell r="G74">
            <v>6111</v>
          </cell>
          <cell r="H74" t="str">
            <v>LOSETA PREFABRICADA A30 (600x400x60mm)</v>
          </cell>
          <cell r="I74" t="str">
            <v>M2</v>
          </cell>
          <cell r="J74">
            <v>52150</v>
          </cell>
        </row>
        <row r="75">
          <cell r="G75">
            <v>6115</v>
          </cell>
          <cell r="H75" t="str">
            <v>LOSETA PREFABRICADA A60 (400x200x60mm)</v>
          </cell>
          <cell r="I75" t="str">
            <v>M2</v>
          </cell>
          <cell r="J75">
            <v>89663</v>
          </cell>
        </row>
        <row r="76">
          <cell r="G76">
            <v>6116</v>
          </cell>
          <cell r="H76" t="str">
            <v>BORDILLO PREFABRICADO A80 (800x200x350mm)</v>
          </cell>
          <cell r="I76" t="str">
            <v>UN</v>
          </cell>
          <cell r="J76">
            <v>37547</v>
          </cell>
        </row>
        <row r="77">
          <cell r="G77">
            <v>6117</v>
          </cell>
          <cell r="H77" t="str">
            <v>PIEZA REMATE A105 - RAMPA A (800x400x275mm)</v>
          </cell>
          <cell r="I77" t="str">
            <v>UN</v>
          </cell>
          <cell r="J77">
            <v>81601</v>
          </cell>
        </row>
        <row r="78">
          <cell r="G78">
            <v>6118</v>
          </cell>
          <cell r="H78" t="str">
            <v>SARDINEL ESPECIAL A100 - RAMPA A (600x200x500mm)</v>
          </cell>
          <cell r="I78" t="str">
            <v>UN</v>
          </cell>
          <cell r="J78">
            <v>44239</v>
          </cell>
        </row>
        <row r="79">
          <cell r="G79">
            <v>6122</v>
          </cell>
          <cell r="H79" t="str">
            <v>BORDE SEPARADOR VERDE A170 (800x300x820mm)</v>
          </cell>
          <cell r="I79" t="str">
            <v>UN</v>
          </cell>
          <cell r="J79">
            <v>374694</v>
          </cell>
        </row>
        <row r="80">
          <cell r="G80">
            <v>6126</v>
          </cell>
          <cell r="H80" t="str">
            <v>TUBERIA PVC U.M.  EXT CORRUGADO/INT LISO U.M. NORMA NTC 3722-1 D=110MM (4")</v>
          </cell>
          <cell r="I80" t="str">
            <v>ML</v>
          </cell>
          <cell r="J80">
            <v>22050</v>
          </cell>
        </row>
        <row r="81">
          <cell r="G81">
            <v>6127</v>
          </cell>
          <cell r="H81" t="str">
            <v>TUBERIA PVC U.M.  EXT CORRUGADO/INT LISO U.M. NORMA NTC 3722-1 D=160MM (6")</v>
          </cell>
          <cell r="I81" t="str">
            <v>ML</v>
          </cell>
          <cell r="J81">
            <v>42662</v>
          </cell>
        </row>
        <row r="82">
          <cell r="G82">
            <v>6128</v>
          </cell>
          <cell r="H82" t="str">
            <v>TUBERIA PVC U.M.  EXT CORRUGADO/INT LISO U.M. NORMA NTC 3722-1 D=200MM (8")</v>
          </cell>
          <cell r="I82" t="str">
            <v>ML</v>
          </cell>
          <cell r="J82">
            <v>60993</v>
          </cell>
        </row>
        <row r="83">
          <cell r="G83">
            <v>6129</v>
          </cell>
          <cell r="H83" t="str">
            <v>TUBERIA PVC U.M.  EXT CORRUGADO/INT LISO U.M. NORMA NTC 3722-1 D=250MM (10")</v>
          </cell>
          <cell r="I83" t="str">
            <v>ML</v>
          </cell>
          <cell r="J83">
            <v>89083</v>
          </cell>
        </row>
        <row r="84">
          <cell r="G84">
            <v>6130</v>
          </cell>
          <cell r="H84" t="str">
            <v>TUBERIA PVC U.M.  EXT CORRUGADO/INT LISO U.M. NORMA NTC 3722-1 D=315MM (12")</v>
          </cell>
          <cell r="I84" t="str">
            <v>ML</v>
          </cell>
          <cell r="J84">
            <v>128187</v>
          </cell>
        </row>
        <row r="85">
          <cell r="G85">
            <v>6131</v>
          </cell>
          <cell r="H85" t="str">
            <v>TUBERIA PVC U.M.  EXT CORRUGADO/INT LISO U.M. NORMA NTC 3722-1 D=400MM (16")</v>
          </cell>
          <cell r="I85" t="str">
            <v>ML</v>
          </cell>
          <cell r="J85">
            <v>234966</v>
          </cell>
        </row>
        <row r="86">
          <cell r="G86">
            <v>6132</v>
          </cell>
          <cell r="H86" t="str">
            <v>TUBERIA PVC U.M.  EXT CORRUGADO/INT LISO U.M. NORMA NTC 3722-1 D=450MM (18")</v>
          </cell>
          <cell r="I86" t="str">
            <v>ML</v>
          </cell>
          <cell r="J86">
            <v>303458</v>
          </cell>
        </row>
        <row r="87">
          <cell r="G87">
            <v>6133</v>
          </cell>
          <cell r="H87" t="str">
            <v>TUBERIA PVC U.M.  EXT CORRUGADO/INT LISO U.M. NORMA NTC 3722-1 D=500MM (20")</v>
          </cell>
          <cell r="I87" t="str">
            <v>ML</v>
          </cell>
          <cell r="J87">
            <v>395620</v>
          </cell>
        </row>
        <row r="88">
          <cell r="G88">
            <v>6140</v>
          </cell>
          <cell r="H88" t="str">
            <v>COMPRESOR REMOLCABLE PARA MARTILLOS NEUMATICOS - CAUDAL DE AIRE DE 185 CFM - INCLUYE COMBUSTIBLE</v>
          </cell>
          <cell r="I88" t="str">
            <v>HR</v>
          </cell>
          <cell r="J88">
            <v>54175</v>
          </cell>
        </row>
        <row r="89">
          <cell r="G89">
            <v>6143</v>
          </cell>
          <cell r="H89" t="str">
            <v>MICROESFERAS REFLECTIVAS</v>
          </cell>
          <cell r="I89" t="str">
            <v>KG</v>
          </cell>
          <cell r="J89">
            <v>7449</v>
          </cell>
        </row>
        <row r="90">
          <cell r="G90">
            <v>6147</v>
          </cell>
          <cell r="H90" t="str">
            <v>TUBERIA CONCRETO CL.1 D=6" (15cm)</v>
          </cell>
          <cell r="I90" t="str">
            <v>ML</v>
          </cell>
          <cell r="J90">
            <v>39653</v>
          </cell>
        </row>
        <row r="91">
          <cell r="G91">
            <v>6148</v>
          </cell>
          <cell r="H91" t="str">
            <v>TUBERIA CONCRETO CL.1 D=8" (20cm)</v>
          </cell>
          <cell r="I91" t="str">
            <v>ML</v>
          </cell>
          <cell r="J91">
            <v>66425</v>
          </cell>
        </row>
        <row r="92">
          <cell r="G92">
            <v>6149</v>
          </cell>
          <cell r="H92" t="str">
            <v>TUBERIA CONCRETO CL.1 D=10" (25cm)</v>
          </cell>
          <cell r="I92" t="str">
            <v>ML</v>
          </cell>
          <cell r="J92">
            <v>81523</v>
          </cell>
        </row>
        <row r="93">
          <cell r="G93">
            <v>6150</v>
          </cell>
          <cell r="H93" t="str">
            <v>TUBERIA CONCRETO CL.1 D=12" (30cm)</v>
          </cell>
          <cell r="I93" t="str">
            <v>ML</v>
          </cell>
          <cell r="J93">
            <v>96843</v>
          </cell>
        </row>
        <row r="94">
          <cell r="G94">
            <v>6151</v>
          </cell>
          <cell r="H94" t="str">
            <v>TUBERIA CONCRETO CL.1 D=14" (35cm)</v>
          </cell>
          <cell r="I94" t="str">
            <v>ML</v>
          </cell>
          <cell r="J94">
            <v>121811</v>
          </cell>
        </row>
        <row r="95">
          <cell r="G95">
            <v>6152</v>
          </cell>
          <cell r="H95" t="str">
            <v>TUBERIA CONCRETO CL.1 D=16" (40cm)</v>
          </cell>
          <cell r="I95" t="str">
            <v>ML</v>
          </cell>
          <cell r="J95">
            <v>160480</v>
          </cell>
        </row>
        <row r="96">
          <cell r="G96">
            <v>6153</v>
          </cell>
          <cell r="H96" t="str">
            <v>TUBERIA CONCRETO CL.1 D=18" (45cm)</v>
          </cell>
          <cell r="I96" t="str">
            <v>ML</v>
          </cell>
          <cell r="J96">
            <v>208376</v>
          </cell>
        </row>
        <row r="97">
          <cell r="G97">
            <v>6154</v>
          </cell>
          <cell r="H97" t="str">
            <v>TUBERIA CONCRETO CL.1 D=20" (50cm)</v>
          </cell>
          <cell r="I97" t="str">
            <v>ML</v>
          </cell>
          <cell r="J97">
            <v>269725</v>
          </cell>
        </row>
        <row r="98">
          <cell r="G98">
            <v>6155</v>
          </cell>
          <cell r="H98" t="str">
            <v>TUBERIA CONCRETO CL.1 D=24" (60cm)</v>
          </cell>
          <cell r="I98" t="str">
            <v>ML</v>
          </cell>
          <cell r="J98">
            <v>397527</v>
          </cell>
        </row>
        <row r="99">
          <cell r="G99">
            <v>6156</v>
          </cell>
          <cell r="H99" t="str">
            <v>TUBERIA CONCRETO CL.2 D=6" (15cm)</v>
          </cell>
          <cell r="I99" t="str">
            <v>ML</v>
          </cell>
          <cell r="J99">
            <v>48126</v>
          </cell>
        </row>
        <row r="100">
          <cell r="G100">
            <v>6157</v>
          </cell>
          <cell r="H100" t="str">
            <v>TUBERIA CONCRETO CL.2 D=8" (20cm)</v>
          </cell>
          <cell r="I100" t="str">
            <v>ML</v>
          </cell>
          <cell r="J100">
            <v>81561</v>
          </cell>
        </row>
        <row r="101">
          <cell r="G101">
            <v>6158</v>
          </cell>
          <cell r="H101" t="str">
            <v>TUBERIA CONCRETO CL.2 D=10" (25cm)</v>
          </cell>
          <cell r="I101" t="str">
            <v>ML</v>
          </cell>
          <cell r="J101">
            <v>104467</v>
          </cell>
        </row>
        <row r="102">
          <cell r="G102">
            <v>6159</v>
          </cell>
          <cell r="H102" t="str">
            <v>TUBERIA CONCRETO CL.2 D=12" (30cm)</v>
          </cell>
          <cell r="I102" t="str">
            <v>ML</v>
          </cell>
          <cell r="J102">
            <v>133393</v>
          </cell>
        </row>
        <row r="103">
          <cell r="G103">
            <v>6160</v>
          </cell>
          <cell r="H103" t="str">
            <v>TUBERIA CONCRETO CL.2 D=14" (35cm)</v>
          </cell>
          <cell r="I103" t="str">
            <v>ML</v>
          </cell>
          <cell r="J103">
            <v>176924</v>
          </cell>
        </row>
        <row r="104">
          <cell r="G104">
            <v>6161</v>
          </cell>
          <cell r="H104" t="str">
            <v>TUBERIA CONCRETO CL.2 D=16" (40cm)</v>
          </cell>
          <cell r="I104" t="str">
            <v>ML</v>
          </cell>
          <cell r="J104">
            <v>230188</v>
          </cell>
        </row>
        <row r="105">
          <cell r="G105">
            <v>6162</v>
          </cell>
          <cell r="H105" t="str">
            <v>TUBERIA CONCRETO CL.2 D=18" (45cm)</v>
          </cell>
          <cell r="I105" t="str">
            <v>ML</v>
          </cell>
          <cell r="J105">
            <v>310037</v>
          </cell>
        </row>
        <row r="106">
          <cell r="G106">
            <v>6163</v>
          </cell>
          <cell r="H106" t="str">
            <v>TUBERIA CONCRETO CL.2 D=20" (50cm)</v>
          </cell>
          <cell r="I106" t="str">
            <v>ML</v>
          </cell>
          <cell r="J106">
            <v>371299</v>
          </cell>
        </row>
        <row r="107">
          <cell r="G107">
            <v>6164</v>
          </cell>
          <cell r="H107" t="str">
            <v>TUBERIA CONCRETO CL.2 D=24"(60cm)</v>
          </cell>
          <cell r="I107" t="str">
            <v>ML</v>
          </cell>
          <cell r="J107">
            <v>534005</v>
          </cell>
        </row>
        <row r="108">
          <cell r="G108">
            <v>6165</v>
          </cell>
          <cell r="H108" t="str">
            <v>TUBERIA CONCRETO REF. CL.I D=24" (60cm)</v>
          </cell>
          <cell r="I108" t="str">
            <v>ML</v>
          </cell>
          <cell r="J108">
            <v>582119</v>
          </cell>
        </row>
        <row r="109">
          <cell r="G109">
            <v>6166</v>
          </cell>
          <cell r="H109" t="str">
            <v>TUBERIA CONCRETO REF. CL.I D=27" (70cm)</v>
          </cell>
          <cell r="I109" t="str">
            <v>ML</v>
          </cell>
          <cell r="J109">
            <v>710768</v>
          </cell>
        </row>
        <row r="110">
          <cell r="G110">
            <v>6167</v>
          </cell>
          <cell r="H110" t="str">
            <v>TUBERIA CONCRETO REF. CL.I D=32" (80cm)</v>
          </cell>
          <cell r="I110" t="str">
            <v>ML</v>
          </cell>
          <cell r="J110">
            <v>887678</v>
          </cell>
        </row>
        <row r="111">
          <cell r="G111">
            <v>6168</v>
          </cell>
          <cell r="H111" t="str">
            <v>TUBERIA CONCRETO REF. CL.I D=36" (90cm)</v>
          </cell>
          <cell r="I111" t="str">
            <v>ML</v>
          </cell>
          <cell r="J111">
            <v>1116667</v>
          </cell>
        </row>
        <row r="112">
          <cell r="G112">
            <v>6169</v>
          </cell>
          <cell r="H112" t="str">
            <v>TUBERIA CONCRETO REF. CL.I D=40" (100cm)</v>
          </cell>
          <cell r="I112" t="str">
            <v>ML</v>
          </cell>
          <cell r="J112">
            <v>1396760</v>
          </cell>
        </row>
        <row r="113">
          <cell r="G113">
            <v>6170</v>
          </cell>
          <cell r="H113" t="str">
            <v>TUBERIA CONCRETO REF. CL.I D=44" (110cm)</v>
          </cell>
          <cell r="I113" t="str">
            <v>ML</v>
          </cell>
          <cell r="J113">
            <v>1571738</v>
          </cell>
        </row>
        <row r="114">
          <cell r="G114">
            <v>6171</v>
          </cell>
          <cell r="H114" t="str">
            <v>TUBERIA CONCRETO REF. CL.I D=48" (120cm)</v>
          </cell>
          <cell r="I114" t="str">
            <v>ML</v>
          </cell>
          <cell r="J114">
            <v>1833857</v>
          </cell>
        </row>
        <row r="115">
          <cell r="G115">
            <v>6172</v>
          </cell>
          <cell r="H115" t="str">
            <v>TUBERIA CONCRETO REF. CL.I D=52" (130cm)</v>
          </cell>
          <cell r="I115" t="str">
            <v>ML</v>
          </cell>
          <cell r="J115">
            <v>2030626</v>
          </cell>
        </row>
        <row r="116">
          <cell r="G116">
            <v>6173</v>
          </cell>
          <cell r="H116" t="str">
            <v>TUBERIA CONCRETO REF. CL.I D=56" (140cm)</v>
          </cell>
          <cell r="I116" t="str">
            <v>ML</v>
          </cell>
          <cell r="J116">
            <v>2279455</v>
          </cell>
        </row>
        <row r="117">
          <cell r="G117">
            <v>6174</v>
          </cell>
          <cell r="H117" t="str">
            <v>TUBERIA CONCRETO REF. CL.I D=60" (150cm)</v>
          </cell>
          <cell r="I117" t="str">
            <v>ML</v>
          </cell>
          <cell r="J117">
            <v>2531977</v>
          </cell>
        </row>
        <row r="118">
          <cell r="G118">
            <v>6175</v>
          </cell>
          <cell r="H118" t="str">
            <v>TUBERIA CONCRETO REF. CL.I D=64" (160cm)</v>
          </cell>
          <cell r="I118" t="str">
            <v>ML</v>
          </cell>
          <cell r="J118">
            <v>2864777</v>
          </cell>
        </row>
        <row r="119">
          <cell r="G119">
            <v>6176</v>
          </cell>
          <cell r="H119" t="str">
            <v>TUBERIA CONCRETO REF. CL.I D=68" (170cm)</v>
          </cell>
          <cell r="I119" t="str">
            <v>ML</v>
          </cell>
          <cell r="J119">
            <v>3238109</v>
          </cell>
        </row>
        <row r="120">
          <cell r="G120">
            <v>6177</v>
          </cell>
          <cell r="H120" t="str">
            <v>TUBERIA CONCRETO REF. CL.I D=72" (180cm)</v>
          </cell>
          <cell r="I120" t="str">
            <v>ML</v>
          </cell>
          <cell r="J120">
            <v>3653119</v>
          </cell>
        </row>
        <row r="121">
          <cell r="G121">
            <v>6178</v>
          </cell>
          <cell r="H121" t="str">
            <v>TUBERIA CONCRETO REF. CL.I D=80" (200cm)</v>
          </cell>
          <cell r="I121" t="str">
            <v>ML</v>
          </cell>
          <cell r="J121">
            <v>4592010</v>
          </cell>
        </row>
        <row r="122">
          <cell r="G122">
            <v>6179</v>
          </cell>
          <cell r="H122" t="str">
            <v>TUBERIA CONCRETO REF. CL.I D=86" (215cm)</v>
          </cell>
          <cell r="I122" t="str">
            <v>ML</v>
          </cell>
          <cell r="J122">
            <v>5181950</v>
          </cell>
        </row>
        <row r="123">
          <cell r="G123">
            <v>6180</v>
          </cell>
          <cell r="H123" t="str">
            <v>TUBERIA CONCRETO REF. CL.I D=92" (230cm)</v>
          </cell>
          <cell r="I123" t="str">
            <v>ML</v>
          </cell>
          <cell r="J123">
            <v>5831762</v>
          </cell>
        </row>
        <row r="124">
          <cell r="G124">
            <v>6181</v>
          </cell>
          <cell r="H124" t="str">
            <v>TUBERIA CONCRETO REF. CL.II D=24" (60cm)</v>
          </cell>
          <cell r="I124" t="str">
            <v>ML</v>
          </cell>
          <cell r="J124">
            <v>582119</v>
          </cell>
        </row>
        <row r="125">
          <cell r="G125">
            <v>6182</v>
          </cell>
          <cell r="H125" t="str">
            <v>TUBERIA CONCRETO REF. CL.II D=27" (70cm)</v>
          </cell>
          <cell r="I125" t="str">
            <v>ML</v>
          </cell>
          <cell r="J125">
            <v>731379</v>
          </cell>
        </row>
        <row r="126">
          <cell r="G126">
            <v>6183</v>
          </cell>
          <cell r="H126" t="str">
            <v>TUBERIA CONCRETO REF. CL.II D=32" (80cm)</v>
          </cell>
          <cell r="I126" t="str">
            <v>ML</v>
          </cell>
          <cell r="J126">
            <v>913192</v>
          </cell>
        </row>
        <row r="127">
          <cell r="G127">
            <v>6184</v>
          </cell>
          <cell r="H127" t="str">
            <v>TUBERIA CONCRETO REF. CL.II D=36" (90cm)</v>
          </cell>
          <cell r="I127" t="str">
            <v>ML</v>
          </cell>
          <cell r="J127">
            <v>1145323</v>
          </cell>
        </row>
        <row r="128">
          <cell r="G128">
            <v>6185</v>
          </cell>
          <cell r="H128" t="str">
            <v>TUBERIA CONCRETO REF. CL.II D=40" (100cm)</v>
          </cell>
          <cell r="I128" t="str">
            <v>ML</v>
          </cell>
          <cell r="J128">
            <v>1433317</v>
          </cell>
        </row>
        <row r="129">
          <cell r="G129">
            <v>6188</v>
          </cell>
          <cell r="H129" t="str">
            <v>TUBERIA CONCRETO REF. CL.II D=44" (110cm)</v>
          </cell>
          <cell r="I129" t="str">
            <v>ML</v>
          </cell>
          <cell r="J129">
            <v>1605201</v>
          </cell>
        </row>
        <row r="130">
          <cell r="G130">
            <v>6189</v>
          </cell>
          <cell r="H130" t="str">
            <v>TUBERIA CONCRETO REF. CL.II D=48" (120cm)</v>
          </cell>
          <cell r="I130" t="str">
            <v>ML</v>
          </cell>
          <cell r="J130">
            <v>1881599</v>
          </cell>
        </row>
        <row r="131">
          <cell r="G131">
            <v>6190</v>
          </cell>
          <cell r="H131" t="str">
            <v>TUBERIA CONCRETO REF. CL.II D=52" (130cm)</v>
          </cell>
          <cell r="I131" t="str">
            <v>ML</v>
          </cell>
          <cell r="J131">
            <v>2087888</v>
          </cell>
        </row>
        <row r="132">
          <cell r="G132">
            <v>6191</v>
          </cell>
          <cell r="H132" t="str">
            <v>TUBERIA CONCRETO REF. CL.II D=56" (140cm)</v>
          </cell>
          <cell r="I132" t="str">
            <v>ML</v>
          </cell>
          <cell r="J132">
            <v>2313013</v>
          </cell>
        </row>
        <row r="133">
          <cell r="G133">
            <v>6192</v>
          </cell>
          <cell r="H133" t="str">
            <v>TUBERIA CONCRETO REF. CL.II D=60" (150cm)</v>
          </cell>
          <cell r="I133" t="str">
            <v>ML</v>
          </cell>
          <cell r="J133">
            <v>2584528</v>
          </cell>
        </row>
        <row r="134">
          <cell r="G134">
            <v>6193</v>
          </cell>
          <cell r="H134" t="str">
            <v>TUBERIA CONCRETO REF. CL.II D=64" (160cm)</v>
          </cell>
          <cell r="I134" t="str">
            <v>ML</v>
          </cell>
          <cell r="J134">
            <v>2937891</v>
          </cell>
        </row>
        <row r="135">
          <cell r="G135">
            <v>6194</v>
          </cell>
          <cell r="H135" t="str">
            <v>TUBERIA CONCRETO REF. CL.II D=68" (170cm)</v>
          </cell>
          <cell r="I135" t="str">
            <v>ML</v>
          </cell>
          <cell r="J135">
            <v>3320838</v>
          </cell>
        </row>
        <row r="136">
          <cell r="G136">
            <v>6195</v>
          </cell>
          <cell r="H136" t="str">
            <v>TUBERIA CONCRETO REF. CL.II D=72" (180cm)</v>
          </cell>
          <cell r="I136" t="str">
            <v>ML</v>
          </cell>
          <cell r="J136">
            <v>3670541</v>
          </cell>
        </row>
        <row r="137">
          <cell r="G137">
            <v>6196</v>
          </cell>
          <cell r="H137" t="str">
            <v>TUBERIA CONCRETO REF. CL.II D=80" (200cm)</v>
          </cell>
          <cell r="I137" t="str">
            <v>ML</v>
          </cell>
          <cell r="J137">
            <v>4614239</v>
          </cell>
        </row>
        <row r="138">
          <cell r="G138">
            <v>6197</v>
          </cell>
          <cell r="H138" t="str">
            <v>TUBERIA CONCRETO REF. CL.II D=86" (215cm)</v>
          </cell>
          <cell r="I138" t="str">
            <v>ML</v>
          </cell>
          <cell r="J138">
            <v>5267868</v>
          </cell>
        </row>
        <row r="139">
          <cell r="G139">
            <v>6198</v>
          </cell>
          <cell r="H139" t="str">
            <v>TUBERIA CONCRETO REF. CL.II D=92" (230cm)</v>
          </cell>
          <cell r="I139" t="str">
            <v>ML</v>
          </cell>
          <cell r="J139">
            <v>5927295</v>
          </cell>
        </row>
        <row r="140">
          <cell r="G140">
            <v>6199</v>
          </cell>
          <cell r="H140" t="str">
            <v>TUBERIA CONCRETO REF. CL.III D=24" (60cm)</v>
          </cell>
          <cell r="I140" t="str">
            <v>ML</v>
          </cell>
          <cell r="J140">
            <v>582119</v>
          </cell>
        </row>
        <row r="141">
          <cell r="G141">
            <v>6200</v>
          </cell>
          <cell r="H141" t="str">
            <v>TUBERIA CONCRETO REF. CL.III D=27" (70cm)</v>
          </cell>
          <cell r="I141" t="str">
            <v>ML</v>
          </cell>
          <cell r="J141">
            <v>774552</v>
          </cell>
        </row>
        <row r="142">
          <cell r="G142">
            <v>6201</v>
          </cell>
          <cell r="H142" t="str">
            <v>TUBERIA CONCRETO REF. CL.III D=32" (80cm)</v>
          </cell>
          <cell r="I142" t="str">
            <v>ML</v>
          </cell>
          <cell r="J142">
            <v>965695</v>
          </cell>
        </row>
        <row r="143">
          <cell r="G143">
            <v>6202</v>
          </cell>
          <cell r="H143" t="str">
            <v>TUBERIA CONCRETO REF. CL.III D=36" (90cm)</v>
          </cell>
          <cell r="I143" t="str">
            <v>ML</v>
          </cell>
          <cell r="J143">
            <v>1210630</v>
          </cell>
        </row>
        <row r="144">
          <cell r="G144">
            <v>6203</v>
          </cell>
          <cell r="H144" t="str">
            <v>TUBERIA CONCRETO REF. CL.III D=40" (100cm)</v>
          </cell>
          <cell r="I144" t="str">
            <v>ML</v>
          </cell>
          <cell r="J144">
            <v>1517569</v>
          </cell>
        </row>
        <row r="145">
          <cell r="G145">
            <v>6204</v>
          </cell>
          <cell r="H145" t="str">
            <v>TUBERIA CONCRETO REF. CL.III D=44" (110cm)</v>
          </cell>
          <cell r="I145" t="str">
            <v>ML</v>
          </cell>
          <cell r="J145">
            <v>1697307</v>
          </cell>
        </row>
        <row r="146">
          <cell r="G146">
            <v>6205</v>
          </cell>
          <cell r="H146" t="str">
            <v>TUBERIA CONCRETO REF. CL.III D=48" (120cm)</v>
          </cell>
          <cell r="I146" t="str">
            <v>ML</v>
          </cell>
          <cell r="J146">
            <v>1991460</v>
          </cell>
        </row>
        <row r="147">
          <cell r="G147">
            <v>6206</v>
          </cell>
          <cell r="H147" t="str">
            <v>TUBERIA CONCRETO REF. CL.III D=52" (130cm)</v>
          </cell>
          <cell r="I147" t="str">
            <v>ML</v>
          </cell>
          <cell r="J147">
            <v>2208888</v>
          </cell>
        </row>
        <row r="148">
          <cell r="G148">
            <v>6207</v>
          </cell>
          <cell r="H148" t="str">
            <v>TUBERIA CONCRETO REF. CL.III D=56" (140cm)</v>
          </cell>
          <cell r="I148" t="str">
            <v>ML</v>
          </cell>
          <cell r="J148">
            <v>2443484</v>
          </cell>
        </row>
        <row r="149">
          <cell r="G149">
            <v>6208</v>
          </cell>
          <cell r="H149" t="str">
            <v>TUBERIA CONCRETO REF. CL.III D=60" (150cm)</v>
          </cell>
          <cell r="I149" t="str">
            <v>ML</v>
          </cell>
          <cell r="J149">
            <v>2913920</v>
          </cell>
        </row>
        <row r="150">
          <cell r="G150">
            <v>6209</v>
          </cell>
          <cell r="H150" t="str">
            <v>TUBERIA CONCRETO REF. CL.III D=64" (160cm)</v>
          </cell>
          <cell r="I150" t="str">
            <v>ML</v>
          </cell>
          <cell r="J150">
            <v>3069981</v>
          </cell>
        </row>
        <row r="151">
          <cell r="G151">
            <v>6210</v>
          </cell>
          <cell r="H151" t="str">
            <v>TUBERIA CONCRETO REF. CL.III D=68" (170cm)</v>
          </cell>
          <cell r="I151" t="str">
            <v>ML</v>
          </cell>
          <cell r="J151">
            <v>3471968</v>
          </cell>
        </row>
        <row r="152">
          <cell r="G152">
            <v>6211</v>
          </cell>
          <cell r="H152" t="str">
            <v>TUBERIA CONCRETO REF. CL.III D=72" (180cm)</v>
          </cell>
          <cell r="I152" t="str">
            <v>ML</v>
          </cell>
          <cell r="J152">
            <v>4054054</v>
          </cell>
        </row>
        <row r="153">
          <cell r="G153">
            <v>6212</v>
          </cell>
          <cell r="H153" t="str">
            <v>TUBERIA CONCRETO REF. CL.III D=80" (200cm)</v>
          </cell>
          <cell r="I153" t="str">
            <v>ML</v>
          </cell>
          <cell r="J153">
            <v>4816349</v>
          </cell>
        </row>
        <row r="154">
          <cell r="G154">
            <v>6213</v>
          </cell>
          <cell r="H154" t="str">
            <v>TUBERIA CONCRETO REF. CL.III D=86" (215cm)</v>
          </cell>
          <cell r="I154" t="str">
            <v>ML</v>
          </cell>
          <cell r="J154">
            <v>5406289</v>
          </cell>
        </row>
        <row r="155">
          <cell r="G155">
            <v>6214</v>
          </cell>
          <cell r="H155" t="str">
            <v>TUBERIA CONCRETO REF. CL.III D=92" (230cm)</v>
          </cell>
          <cell r="I155" t="str">
            <v>ML</v>
          </cell>
          <cell r="J155">
            <v>6030682</v>
          </cell>
        </row>
        <row r="156">
          <cell r="G156">
            <v>6215</v>
          </cell>
          <cell r="H156" t="str">
            <v>TUBERIA CONCRETO REF. CL.IV D=24" (60cm)</v>
          </cell>
          <cell r="I156" t="str">
            <v>ML</v>
          </cell>
          <cell r="J156">
            <v>660088</v>
          </cell>
        </row>
        <row r="157">
          <cell r="G157">
            <v>6216</v>
          </cell>
          <cell r="H157" t="str">
            <v>TUBERIA CONCRETO REF. CL.IV D=27" (70cm)</v>
          </cell>
          <cell r="I157" t="str">
            <v>ML</v>
          </cell>
          <cell r="J157">
            <v>880986</v>
          </cell>
        </row>
        <row r="158">
          <cell r="G158">
            <v>6217</v>
          </cell>
          <cell r="H158" t="str">
            <v>TUBERIA CONCRETO REF. CL.IV D=32" (80cm)</v>
          </cell>
          <cell r="I158" t="str">
            <v>ML</v>
          </cell>
          <cell r="J158">
            <v>1104020</v>
          </cell>
        </row>
        <row r="159">
          <cell r="G159">
            <v>6218</v>
          </cell>
          <cell r="H159" t="str">
            <v>TUBERIA CONCRETO REF. CL.IV D=36" (90cm)</v>
          </cell>
          <cell r="I159" t="str">
            <v>ML</v>
          </cell>
          <cell r="J159">
            <v>1383846</v>
          </cell>
        </row>
        <row r="160">
          <cell r="G160">
            <v>6219</v>
          </cell>
          <cell r="H160" t="str">
            <v>TUBERIA CONCRETO REF. CL.IV D=40" (100cm)</v>
          </cell>
          <cell r="I160" t="str">
            <v>ML</v>
          </cell>
          <cell r="J160">
            <v>1732483</v>
          </cell>
        </row>
        <row r="161">
          <cell r="G161">
            <v>6220</v>
          </cell>
          <cell r="H161" t="str">
            <v>TUBERIA CONCRETO REF. CL.IV D=44" (110cm)</v>
          </cell>
          <cell r="I161" t="str">
            <v>ML</v>
          </cell>
          <cell r="J161">
            <v>1939210</v>
          </cell>
        </row>
        <row r="162">
          <cell r="G162">
            <v>6221</v>
          </cell>
          <cell r="H162" t="str">
            <v>TUBERIA CONCRETO REF. CL.IV D=48" (120cm)</v>
          </cell>
          <cell r="I162" t="str">
            <v>ML</v>
          </cell>
          <cell r="J162">
            <v>2274871</v>
          </cell>
        </row>
        <row r="163">
          <cell r="G163">
            <v>6222</v>
          </cell>
          <cell r="H163" t="str">
            <v>TUBERIA CONCRETO REF. CL.IV D=52" (130cm)</v>
          </cell>
          <cell r="I163" t="str">
            <v>ML</v>
          </cell>
          <cell r="J163">
            <v>2542992</v>
          </cell>
        </row>
        <row r="164">
          <cell r="G164">
            <v>6223</v>
          </cell>
          <cell r="H164" t="str">
            <v>TUBERIA CONCRETO REF. CL.IV D=56" (140cm)</v>
          </cell>
          <cell r="I164" t="str">
            <v>ML</v>
          </cell>
          <cell r="J164">
            <v>2694812</v>
          </cell>
        </row>
        <row r="165">
          <cell r="G165">
            <v>6224</v>
          </cell>
          <cell r="H165" t="str">
            <v>TUBERIA CONCRETO REF. CL.IV D=60" (150cm)</v>
          </cell>
          <cell r="I165" t="str">
            <v>ML</v>
          </cell>
          <cell r="J165">
            <v>3087279</v>
          </cell>
        </row>
        <row r="166">
          <cell r="G166">
            <v>6225</v>
          </cell>
          <cell r="H166" t="str">
            <v>TUBERIA CONCRETO REF. CL.IV D=64" (160cm)</v>
          </cell>
          <cell r="I166" t="str">
            <v>ML</v>
          </cell>
          <cell r="J166">
            <v>3510757</v>
          </cell>
        </row>
        <row r="167">
          <cell r="G167">
            <v>6226</v>
          </cell>
          <cell r="H167" t="str">
            <v>TUBERIA CONCRETO REF. CL.IV D=68" (170cm)</v>
          </cell>
          <cell r="I167" t="str">
            <v>ML</v>
          </cell>
          <cell r="J167">
            <v>3973196</v>
          </cell>
        </row>
        <row r="168">
          <cell r="G168">
            <v>6227</v>
          </cell>
          <cell r="H168" t="str">
            <v>TUBERIA CONCRETO REF. CL.IV D=72" (180cm)</v>
          </cell>
          <cell r="I168" t="str">
            <v>ML</v>
          </cell>
          <cell r="J168">
            <v>4442470</v>
          </cell>
        </row>
        <row r="169">
          <cell r="G169">
            <v>6228</v>
          </cell>
          <cell r="H169" t="str">
            <v>TUBERIA CONCRETO REF. CL.IV D=80" (200cm)</v>
          </cell>
          <cell r="I169" t="str">
            <v>ML</v>
          </cell>
          <cell r="J169">
            <v>5507025</v>
          </cell>
        </row>
        <row r="170">
          <cell r="G170">
            <v>6229</v>
          </cell>
          <cell r="H170" t="str">
            <v>TUBERIA CONCRETO REF. CL.IV D=86" (215cm)</v>
          </cell>
          <cell r="I170" t="str">
            <v>ML</v>
          </cell>
          <cell r="J170">
            <v>6602810</v>
          </cell>
        </row>
        <row r="171">
          <cell r="G171">
            <v>6230</v>
          </cell>
          <cell r="H171" t="str">
            <v>TUBERIA CONCRETO REF. CL.IV D=92" (230cm)</v>
          </cell>
          <cell r="I171" t="str">
            <v>ML</v>
          </cell>
          <cell r="J171">
            <v>7214494</v>
          </cell>
        </row>
        <row r="172">
          <cell r="G172">
            <v>6236</v>
          </cell>
          <cell r="H172" t="str">
            <v>YEE CONCRETO 8" x 6" x 0.60m</v>
          </cell>
          <cell r="I172" t="str">
            <v>UN</v>
          </cell>
          <cell r="J172">
            <v>111157</v>
          </cell>
        </row>
        <row r="173">
          <cell r="G173">
            <v>6237</v>
          </cell>
          <cell r="H173" t="str">
            <v>YEE CONCRETO 10" x 6" x 1.25m</v>
          </cell>
          <cell r="I173" t="str">
            <v>UN</v>
          </cell>
          <cell r="J173">
            <v>195707</v>
          </cell>
        </row>
        <row r="174">
          <cell r="G174">
            <v>6238</v>
          </cell>
          <cell r="H174" t="str">
            <v>YEE CONCRETO 12" x 6" x 1.25m</v>
          </cell>
          <cell r="I174" t="str">
            <v>UN</v>
          </cell>
          <cell r="J174">
            <v>251340</v>
          </cell>
        </row>
        <row r="175">
          <cell r="G175">
            <v>6239</v>
          </cell>
          <cell r="H175" t="str">
            <v>YEE CONCRETO 14" x 6" x 1.25m</v>
          </cell>
          <cell r="I175" t="str">
            <v>UN</v>
          </cell>
          <cell r="J175">
            <v>299611</v>
          </cell>
        </row>
        <row r="176">
          <cell r="G176">
            <v>6240</v>
          </cell>
          <cell r="H176" t="str">
            <v>YEE CONCRETO 16" x 6" x 1.25m</v>
          </cell>
          <cell r="I176" t="str">
            <v>UN</v>
          </cell>
          <cell r="J176">
            <v>382883</v>
          </cell>
        </row>
        <row r="177">
          <cell r="G177">
            <v>6241</v>
          </cell>
          <cell r="H177" t="str">
            <v>YEE CONCRETO 18" x 6" x 1.25m</v>
          </cell>
          <cell r="I177" t="str">
            <v>UN</v>
          </cell>
          <cell r="J177">
            <v>450891</v>
          </cell>
        </row>
        <row r="178">
          <cell r="G178">
            <v>6242</v>
          </cell>
          <cell r="H178" t="str">
            <v>YEE CONCRETO 20" x 6" x 1.25m</v>
          </cell>
          <cell r="I178" t="str">
            <v>UN</v>
          </cell>
          <cell r="J178">
            <v>543732</v>
          </cell>
        </row>
        <row r="179">
          <cell r="G179">
            <v>6243</v>
          </cell>
          <cell r="H179" t="str">
            <v>YEE CONCRETO 24" x 6" x 1.25m</v>
          </cell>
          <cell r="I179" t="str">
            <v>UN</v>
          </cell>
          <cell r="J179">
            <v>808355</v>
          </cell>
        </row>
        <row r="180">
          <cell r="G180">
            <v>6257</v>
          </cell>
          <cell r="H180" t="str">
            <v>TUBERIA PVC U.M. NORMA NTC 382 D=2" RDE 21</v>
          </cell>
          <cell r="I180" t="str">
            <v>ML</v>
          </cell>
          <cell r="J180">
            <v>16242</v>
          </cell>
        </row>
        <row r="181">
          <cell r="G181">
            <v>6258</v>
          </cell>
          <cell r="H181" t="str">
            <v>TUBERIA PVC U.M. NORMA NTC 382 D=2 1/2" RDE 21</v>
          </cell>
          <cell r="I181" t="str">
            <v>ML</v>
          </cell>
          <cell r="J181">
            <v>23826</v>
          </cell>
        </row>
        <row r="182">
          <cell r="G182">
            <v>6259</v>
          </cell>
          <cell r="H182" t="str">
            <v>TUBERIA PVC U.M. NORMA NTC 382 D=3" RDE 21</v>
          </cell>
          <cell r="I182" t="str">
            <v>ML</v>
          </cell>
          <cell r="J182">
            <v>40658</v>
          </cell>
        </row>
        <row r="183">
          <cell r="G183">
            <v>6260</v>
          </cell>
          <cell r="H183" t="str">
            <v>TUBERIA PVC U.M. NORMA NTC 382 D=4`` RDE 21</v>
          </cell>
          <cell r="I183" t="str">
            <v>ML</v>
          </cell>
          <cell r="J183">
            <v>53703</v>
          </cell>
        </row>
        <row r="184">
          <cell r="G184">
            <v>6261</v>
          </cell>
          <cell r="H184" t="str">
            <v>TUBERIA PVC U.M. NORMA NTC 382 D=6" RDE 21</v>
          </cell>
          <cell r="I184" t="str">
            <v>ML</v>
          </cell>
          <cell r="J184">
            <v>110333</v>
          </cell>
        </row>
        <row r="185">
          <cell r="G185">
            <v>6262</v>
          </cell>
          <cell r="H185" t="str">
            <v>TUBERIA PVC U.M. NORMA NTC 382 D=8" RDE 21</v>
          </cell>
          <cell r="I185" t="str">
            <v>ML</v>
          </cell>
          <cell r="J185">
            <v>186891</v>
          </cell>
        </row>
        <row r="186">
          <cell r="G186">
            <v>6263</v>
          </cell>
          <cell r="H186" t="str">
            <v>TUBERIA PVC U.M. NORMA NTC 382 D=10" RDE 21</v>
          </cell>
          <cell r="I186" t="str">
            <v>ML</v>
          </cell>
          <cell r="J186">
            <v>294205</v>
          </cell>
        </row>
        <row r="187">
          <cell r="G187">
            <v>6264</v>
          </cell>
          <cell r="H187" t="str">
            <v>TUBERIA PVC U.M. NORMA NTC 382 D=12" RDE 21</v>
          </cell>
          <cell r="I187" t="str">
            <v>ML</v>
          </cell>
          <cell r="J187">
            <v>411649</v>
          </cell>
        </row>
        <row r="188">
          <cell r="G188">
            <v>6265</v>
          </cell>
          <cell r="H188" t="str">
            <v>TUBERIA PVC U.M. NORMA NTC 382 D=2" RDE 26</v>
          </cell>
          <cell r="I188" t="str">
            <v>ML</v>
          </cell>
          <cell r="J188">
            <v>13476</v>
          </cell>
        </row>
        <row r="189">
          <cell r="G189">
            <v>6266</v>
          </cell>
          <cell r="H189" t="str">
            <v>TUBERIA PVC U.M. NORMA NTC 382 D=3" RDE 26</v>
          </cell>
          <cell r="I189" t="str">
            <v>ML</v>
          </cell>
          <cell r="J189">
            <v>33717</v>
          </cell>
        </row>
        <row r="190">
          <cell r="G190">
            <v>6267</v>
          </cell>
          <cell r="H190" t="str">
            <v>TUBERIA PVC U.M. NORMA NTC 382 D=2 1/2" RDE 26</v>
          </cell>
          <cell r="I190" t="str">
            <v>ML</v>
          </cell>
          <cell r="J190">
            <v>19898</v>
          </cell>
        </row>
        <row r="191">
          <cell r="G191">
            <v>6268</v>
          </cell>
          <cell r="H191" t="str">
            <v>TUBERIA PVC U.M. NORMA NTC 382 D=4" RDE 26</v>
          </cell>
          <cell r="I191" t="str">
            <v>ML</v>
          </cell>
          <cell r="J191">
            <v>45220</v>
          </cell>
        </row>
        <row r="192">
          <cell r="G192">
            <v>6269</v>
          </cell>
          <cell r="H192" t="str">
            <v>TUBERIA PVC U.M. NORMA NTC 382 D=6" RDE 26</v>
          </cell>
          <cell r="I192" t="str">
            <v>ML</v>
          </cell>
          <cell r="J192">
            <v>90368</v>
          </cell>
        </row>
        <row r="193">
          <cell r="G193">
            <v>6270</v>
          </cell>
          <cell r="H193" t="str">
            <v>TUBERIA PVC U.M. NORMA NTC 382 D=8" RDE 26</v>
          </cell>
          <cell r="I193" t="str">
            <v>ML</v>
          </cell>
          <cell r="J193">
            <v>153735</v>
          </cell>
        </row>
        <row r="194">
          <cell r="G194">
            <v>6271</v>
          </cell>
          <cell r="H194" t="str">
            <v>TUBERIA PVC U.M. NORMA NTC 382 D=10" RDE 26</v>
          </cell>
          <cell r="I194" t="str">
            <v>ML</v>
          </cell>
          <cell r="J194">
            <v>239291</v>
          </cell>
        </row>
        <row r="195">
          <cell r="G195">
            <v>6272</v>
          </cell>
          <cell r="H195" t="str">
            <v>TUBERIA PVC U.M. NORMA NTC 382 D=12" RDE 26</v>
          </cell>
          <cell r="I195" t="str">
            <v>ML</v>
          </cell>
          <cell r="J195">
            <v>337318</v>
          </cell>
        </row>
        <row r="196">
          <cell r="G196">
            <v>6273</v>
          </cell>
          <cell r="H196" t="str">
            <v>TUBERIA PVC U.M. NORMA NTC 382 D=3" RDE 32.5</v>
          </cell>
          <cell r="I196" t="str">
            <v>ML</v>
          </cell>
          <cell r="J196">
            <v>27172</v>
          </cell>
        </row>
        <row r="197">
          <cell r="G197">
            <v>6274</v>
          </cell>
          <cell r="H197" t="str">
            <v>TUBERIA PVC U.M. NORMA NTC 382 D=4" RDE 32.5</v>
          </cell>
          <cell r="I197" t="str">
            <v>ML</v>
          </cell>
          <cell r="J197">
            <v>36083</v>
          </cell>
        </row>
        <row r="198">
          <cell r="G198">
            <v>6275</v>
          </cell>
          <cell r="H198" t="str">
            <v>TUBERIA PVC U.M. NORMA NTC 382 D=6" RDE 32.5</v>
          </cell>
          <cell r="I198" t="str">
            <v>ML</v>
          </cell>
          <cell r="J198">
            <v>73717</v>
          </cell>
        </row>
        <row r="199">
          <cell r="G199">
            <v>6276</v>
          </cell>
          <cell r="H199" t="str">
            <v>TUBERIA PVC U.M. NORMA NTC 382 D=8" RDE 32.5</v>
          </cell>
          <cell r="I199" t="str">
            <v>ML</v>
          </cell>
          <cell r="J199">
            <v>125417</v>
          </cell>
        </row>
        <row r="200">
          <cell r="G200">
            <v>6277</v>
          </cell>
          <cell r="H200" t="str">
            <v>TUBERIA PVC U.M. NORMA NTC 382 D=10" RDE 32.5</v>
          </cell>
          <cell r="I200" t="str">
            <v>ML</v>
          </cell>
          <cell r="J200">
            <v>196000</v>
          </cell>
        </row>
        <row r="201">
          <cell r="G201">
            <v>6278</v>
          </cell>
          <cell r="H201" t="str">
            <v>TUBERIA PVC U.M. NORMA NTC 382 D=12" RDE 32.5</v>
          </cell>
          <cell r="I201" t="str">
            <v>ML</v>
          </cell>
          <cell r="J201">
            <v>276261</v>
          </cell>
        </row>
        <row r="202">
          <cell r="G202">
            <v>6279</v>
          </cell>
          <cell r="H202" t="str">
            <v>TUBERIA PVC U.M. NORMA NTC 382 D=4" RDE 41</v>
          </cell>
          <cell r="I202" t="str">
            <v>ML</v>
          </cell>
          <cell r="J202">
            <v>28034</v>
          </cell>
        </row>
        <row r="203">
          <cell r="G203">
            <v>6280</v>
          </cell>
          <cell r="H203" t="str">
            <v>TUBERIA PVC U.M. NORMA NTC 382 D=6" RDE 41</v>
          </cell>
          <cell r="I203" t="str">
            <v>ML</v>
          </cell>
          <cell r="J203">
            <v>59430</v>
          </cell>
        </row>
        <row r="204">
          <cell r="G204">
            <v>6281</v>
          </cell>
          <cell r="H204" t="str">
            <v>TUBERIA PVC U.M. NORMA NTC 382 D=8" RDE 41</v>
          </cell>
          <cell r="I204" t="str">
            <v>ML</v>
          </cell>
          <cell r="J204">
            <v>100381</v>
          </cell>
        </row>
        <row r="205">
          <cell r="G205">
            <v>6282</v>
          </cell>
          <cell r="H205" t="str">
            <v>TUBERIA PVC U.M. NORMA NTC 382 D=10" RDE 41</v>
          </cell>
          <cell r="I205" t="str">
            <v>ML</v>
          </cell>
          <cell r="J205">
            <v>156970</v>
          </cell>
        </row>
        <row r="206">
          <cell r="G206">
            <v>6283</v>
          </cell>
          <cell r="H206" t="str">
            <v>TUBERIA PVC U.M. NORMA NTC 382 D=12" RDE 41</v>
          </cell>
          <cell r="I206" t="str">
            <v>ML</v>
          </cell>
          <cell r="J206">
            <v>218339</v>
          </cell>
        </row>
        <row r="207">
          <cell r="G207">
            <v>6285</v>
          </cell>
          <cell r="H207" t="str">
            <v>CONCRETO GRAVA COMÚN 1500 PSI 10.5 MPa (105 Kg/cm2)</v>
          </cell>
          <cell r="I207" t="str">
            <v>M3</v>
          </cell>
          <cell r="J207">
            <v>455770</v>
          </cell>
        </row>
        <row r="208">
          <cell r="G208">
            <v>6295</v>
          </cell>
          <cell r="H208" t="str">
            <v>POSTE EN CONCRETO LA, H=8m, CR=510 KG</v>
          </cell>
          <cell r="I208" t="str">
            <v>UN</v>
          </cell>
          <cell r="J208">
            <v>399999</v>
          </cell>
        </row>
        <row r="209">
          <cell r="G209">
            <v>6296</v>
          </cell>
          <cell r="H209" t="str">
            <v>POSTE EN CONCRETO LA, H=8m, CR=750 KG</v>
          </cell>
          <cell r="I209" t="str">
            <v>UN</v>
          </cell>
          <cell r="J209">
            <v>500000</v>
          </cell>
        </row>
        <row r="210">
          <cell r="G210">
            <v>6297</v>
          </cell>
          <cell r="H210" t="str">
            <v>POSTE EN CONCRETO LA, H=8m, CR=1050 KG</v>
          </cell>
          <cell r="I210" t="str">
            <v>UN</v>
          </cell>
          <cell r="J210">
            <v>600000</v>
          </cell>
        </row>
        <row r="211">
          <cell r="G211">
            <v>6298</v>
          </cell>
          <cell r="H211" t="str">
            <v>POSTE EN CONCRETO AP, H=8m, CR=510 KG</v>
          </cell>
          <cell r="I211" t="str">
            <v>UN</v>
          </cell>
          <cell r="J211">
            <v>399999</v>
          </cell>
        </row>
        <row r="212">
          <cell r="G212">
            <v>6303</v>
          </cell>
          <cell r="H212" t="str">
            <v>POSTE EN CONCRETO LA, H=10m, CR=510 KG</v>
          </cell>
          <cell r="I212" t="str">
            <v>UN</v>
          </cell>
          <cell r="J212">
            <v>600000</v>
          </cell>
        </row>
        <row r="213">
          <cell r="G213">
            <v>6304</v>
          </cell>
          <cell r="H213" t="str">
            <v>POSTE EN CONCRETO LA, H=10m, CR=750 KG</v>
          </cell>
          <cell r="I213" t="str">
            <v>UN</v>
          </cell>
          <cell r="J213">
            <v>700000</v>
          </cell>
        </row>
        <row r="214">
          <cell r="G214">
            <v>6305</v>
          </cell>
          <cell r="H214" t="str">
            <v>POSTE EN CONCRETO LA, H=10m, CR=1050 KG</v>
          </cell>
          <cell r="I214" t="str">
            <v>UN</v>
          </cell>
          <cell r="J214">
            <v>800000</v>
          </cell>
        </row>
        <row r="215">
          <cell r="G215">
            <v>6306</v>
          </cell>
          <cell r="H215" t="str">
            <v>POSTE EN CONCRETO AP, H=10m, CR=510 KG</v>
          </cell>
          <cell r="I215" t="str">
            <v>UN</v>
          </cell>
          <cell r="J215">
            <v>600000</v>
          </cell>
        </row>
        <row r="216">
          <cell r="G216">
            <v>6307</v>
          </cell>
          <cell r="H216" t="str">
            <v>POSTE EN CONCRETO AP, H=10m, CR=750 KG</v>
          </cell>
          <cell r="I216" t="str">
            <v>UN</v>
          </cell>
          <cell r="J216">
            <v>700000</v>
          </cell>
        </row>
        <row r="217">
          <cell r="G217">
            <v>6308</v>
          </cell>
          <cell r="H217" t="str">
            <v>POSTE EN CONCRETO AP, H=10m, CR=1050 KG</v>
          </cell>
          <cell r="I217" t="str">
            <v>UN</v>
          </cell>
          <cell r="J217">
            <v>800000</v>
          </cell>
        </row>
        <row r="218">
          <cell r="G218">
            <v>6309</v>
          </cell>
          <cell r="H218" t="str">
            <v>POSTE EN CONCRETO LA, H=12m, CR=510 KG</v>
          </cell>
          <cell r="I218" t="str">
            <v>UN</v>
          </cell>
          <cell r="J218">
            <v>802060</v>
          </cell>
        </row>
        <row r="219">
          <cell r="G219">
            <v>6310</v>
          </cell>
          <cell r="H219" t="str">
            <v>POSTE EN CONCRETO LA, H=12m, CR=750 KG</v>
          </cell>
          <cell r="I219" t="str">
            <v>UN</v>
          </cell>
          <cell r="J219">
            <v>927550</v>
          </cell>
        </row>
        <row r="220">
          <cell r="G220">
            <v>6311</v>
          </cell>
          <cell r="H220" t="str">
            <v>POSTE EN CONCRETO LA, H=12m, CR=1050 KG</v>
          </cell>
          <cell r="I220" t="str">
            <v>UN</v>
          </cell>
          <cell r="J220">
            <v>1300000</v>
          </cell>
        </row>
        <row r="221">
          <cell r="G221">
            <v>6312</v>
          </cell>
          <cell r="H221" t="str">
            <v>POSTE EN CONCRETO AP, H=12m, CR=510 KG</v>
          </cell>
          <cell r="I221" t="str">
            <v>UN</v>
          </cell>
          <cell r="J221">
            <v>759700</v>
          </cell>
        </row>
        <row r="222">
          <cell r="G222">
            <v>6314</v>
          </cell>
          <cell r="H222" t="str">
            <v>POSTE EN CONCRETO AP, H=12m, CR=1050 KG</v>
          </cell>
          <cell r="I222" t="str">
            <v>UN</v>
          </cell>
          <cell r="J222">
            <v>1300000</v>
          </cell>
        </row>
        <row r="223">
          <cell r="G223">
            <v>6315</v>
          </cell>
          <cell r="H223" t="str">
            <v>POSTE EN CONCRETO LA, H=14m, CR=750 KG</v>
          </cell>
          <cell r="I223" t="str">
            <v>UN</v>
          </cell>
          <cell r="J223">
            <v>1400000</v>
          </cell>
        </row>
        <row r="224">
          <cell r="G224">
            <v>6316</v>
          </cell>
          <cell r="H224" t="str">
            <v>POSTE EN CONCRETO LA, H=14m, CR=1050 KG</v>
          </cell>
          <cell r="I224" t="str">
            <v>UN</v>
          </cell>
          <cell r="J224">
            <v>1500000</v>
          </cell>
        </row>
        <row r="225">
          <cell r="G225">
            <v>6317</v>
          </cell>
          <cell r="H225" t="str">
            <v>POSTE EN CONCRETO LA, H=14m, CR=1350 KG</v>
          </cell>
          <cell r="I225" t="str">
            <v>UN</v>
          </cell>
          <cell r="J225">
            <v>1600000</v>
          </cell>
        </row>
        <row r="226">
          <cell r="G226">
            <v>6318</v>
          </cell>
          <cell r="H226" t="str">
            <v>POSTE EN CONCRETO AP, H=14m, CR=750 KG</v>
          </cell>
          <cell r="I226" t="str">
            <v>UN</v>
          </cell>
          <cell r="J226">
            <v>1400000</v>
          </cell>
        </row>
        <row r="227">
          <cell r="G227">
            <v>6319</v>
          </cell>
          <cell r="H227" t="str">
            <v>POSTE EN CONCRETO AP, H=14m, CR=1050 KG</v>
          </cell>
          <cell r="I227" t="str">
            <v>UN</v>
          </cell>
          <cell r="J227">
            <v>1500000</v>
          </cell>
        </row>
        <row r="228">
          <cell r="G228">
            <v>6320</v>
          </cell>
          <cell r="H228" t="str">
            <v>POSTE EN CONCRETO AP, H=14m, CR=1350 KG</v>
          </cell>
          <cell r="I228" t="str">
            <v>UN</v>
          </cell>
          <cell r="J228">
            <v>1600000</v>
          </cell>
        </row>
        <row r="229">
          <cell r="G229">
            <v>6324</v>
          </cell>
          <cell r="H229" t="str">
            <v>POSTE METALICO H=12m BRAZO DOBLE (PINTADO)</v>
          </cell>
          <cell r="I229" t="str">
            <v>UN</v>
          </cell>
          <cell r="J229">
            <v>3496808</v>
          </cell>
        </row>
        <row r="230">
          <cell r="G230">
            <v>6326</v>
          </cell>
          <cell r="H230" t="str">
            <v>POSTE METALICO H=10m BRAZO DOBLE (PINTADO)</v>
          </cell>
          <cell r="I230" t="str">
            <v>UN</v>
          </cell>
          <cell r="J230">
            <v>2998862</v>
          </cell>
        </row>
        <row r="231">
          <cell r="G231">
            <v>6327</v>
          </cell>
          <cell r="H231" t="str">
            <v>POSTE PEATONAL M130 H=6m BRAZO SENCILLO</v>
          </cell>
          <cell r="I231" t="str">
            <v>UN</v>
          </cell>
          <cell r="J231">
            <v>1131588</v>
          </cell>
        </row>
        <row r="232">
          <cell r="G232">
            <v>6328</v>
          </cell>
          <cell r="H232" t="str">
            <v>POSTE PEATONAL M130 H=6m BRAZO DOBLE</v>
          </cell>
          <cell r="I232" t="str">
            <v>UN</v>
          </cell>
          <cell r="J232">
            <v>1235118</v>
          </cell>
        </row>
        <row r="233">
          <cell r="G233">
            <v>6329</v>
          </cell>
          <cell r="H233" t="str">
            <v>LUMINARIA DE SODIO 70W, 208/220V PARA AP</v>
          </cell>
          <cell r="I233" t="str">
            <v>UN</v>
          </cell>
          <cell r="J233">
            <v>202300</v>
          </cell>
        </row>
        <row r="234">
          <cell r="G234">
            <v>6330</v>
          </cell>
          <cell r="H234" t="str">
            <v>LUMINARIA DE SODIO 250W, 208/220V PARA AP</v>
          </cell>
          <cell r="I234" t="str">
            <v>UN</v>
          </cell>
          <cell r="J234">
            <v>333200</v>
          </cell>
        </row>
        <row r="235">
          <cell r="G235">
            <v>6331</v>
          </cell>
          <cell r="H235" t="str">
            <v>LUMINARIA DE SODIO 150W, 208/220V PARA AP</v>
          </cell>
          <cell r="I235" t="str">
            <v>UN</v>
          </cell>
          <cell r="J235">
            <v>297500</v>
          </cell>
        </row>
        <row r="236">
          <cell r="G236">
            <v>6332</v>
          </cell>
          <cell r="H236" t="str">
            <v>CANECA EN MALLA METALICA M120</v>
          </cell>
          <cell r="I236" t="str">
            <v>UN</v>
          </cell>
          <cell r="J236">
            <v>333200</v>
          </cell>
        </row>
        <row r="237">
          <cell r="G237">
            <v>6333</v>
          </cell>
          <cell r="H237" t="str">
            <v>BANCA EN CONCRETO CON ESPALDAR M30</v>
          </cell>
          <cell r="I237" t="str">
            <v>UN</v>
          </cell>
          <cell r="J237">
            <v>630700</v>
          </cell>
        </row>
        <row r="238">
          <cell r="G238">
            <v>6334</v>
          </cell>
          <cell r="H238" t="str">
            <v>BOLARDO EN CONCRETO M60</v>
          </cell>
          <cell r="I238" t="str">
            <v>UN</v>
          </cell>
          <cell r="J238">
            <v>135580</v>
          </cell>
        </row>
        <row r="239">
          <cell r="G239">
            <v>6335</v>
          </cell>
          <cell r="H239" t="str">
            <v>BOLARDO ALTO EN HIERRO M63</v>
          </cell>
          <cell r="I239" t="str">
            <v>UN</v>
          </cell>
          <cell r="J239">
            <v>136850</v>
          </cell>
        </row>
        <row r="240">
          <cell r="G240">
            <v>6337</v>
          </cell>
          <cell r="H240" t="str">
            <v>CICLO-PARQUEADERO M100</v>
          </cell>
          <cell r="I240" t="str">
            <v>UN</v>
          </cell>
          <cell r="J240">
            <v>487900</v>
          </cell>
        </row>
        <row r="241">
          <cell r="G241">
            <v>6356</v>
          </cell>
          <cell r="H241" t="str">
            <v>REGLA VIBRATORIA A GASOLINA. INCLUYE COMBUSTIBLE</v>
          </cell>
          <cell r="I241" t="str">
            <v>DIA</v>
          </cell>
          <cell r="J241">
            <v>53978</v>
          </cell>
        </row>
        <row r="242">
          <cell r="G242">
            <v>6370</v>
          </cell>
          <cell r="H242" t="str">
            <v>TEE HD EXTREMO LISO 6"x2" (150x50mm)</v>
          </cell>
          <cell r="I242" t="str">
            <v>UN</v>
          </cell>
          <cell r="J242">
            <v>396666</v>
          </cell>
        </row>
        <row r="243">
          <cell r="G243">
            <v>6371</v>
          </cell>
          <cell r="H243" t="str">
            <v>TEE HD EXTREMO LISO 6"x3" (150x75mm)</v>
          </cell>
          <cell r="I243" t="str">
            <v>UN</v>
          </cell>
          <cell r="J243">
            <v>429722</v>
          </cell>
        </row>
        <row r="244">
          <cell r="G244">
            <v>6372</v>
          </cell>
          <cell r="H244" t="str">
            <v>TEE HD EXTREMO LISO 6"x4" (150x100mm)</v>
          </cell>
          <cell r="I244" t="str">
            <v>UN</v>
          </cell>
          <cell r="J244">
            <v>456166</v>
          </cell>
        </row>
        <row r="245">
          <cell r="G245">
            <v>6373</v>
          </cell>
          <cell r="H245" t="str">
            <v>TEE HD EXTREMO LISO 6"x6" (150x150mm)</v>
          </cell>
          <cell r="I245" t="str">
            <v>UN</v>
          </cell>
          <cell r="J245">
            <v>528587</v>
          </cell>
        </row>
        <row r="246">
          <cell r="G246">
            <v>6375</v>
          </cell>
          <cell r="H246" t="str">
            <v>TEE HD EXTREMO LISO 8"x2" (200X50mm)</v>
          </cell>
          <cell r="I246" t="str">
            <v>UN</v>
          </cell>
          <cell r="J246">
            <v>647888</v>
          </cell>
        </row>
        <row r="247">
          <cell r="G247">
            <v>6376</v>
          </cell>
          <cell r="H247" t="str">
            <v>TEE HD EXTREMO LISO 8"x3" (200x75mm)</v>
          </cell>
          <cell r="I247" t="str">
            <v>UN</v>
          </cell>
          <cell r="J247">
            <v>720612</v>
          </cell>
        </row>
        <row r="248">
          <cell r="G248">
            <v>6377</v>
          </cell>
          <cell r="H248" t="str">
            <v>TEE HD EXTREMO LISO 8"x4" (200x100mm)</v>
          </cell>
          <cell r="I248" t="str">
            <v>UN</v>
          </cell>
          <cell r="J248">
            <v>846717</v>
          </cell>
        </row>
        <row r="249">
          <cell r="G249">
            <v>6378</v>
          </cell>
          <cell r="H249" t="str">
            <v>TEE HD EXTREMO LISO 8"x6" (200x150mm)</v>
          </cell>
          <cell r="I249" t="str">
            <v>UN</v>
          </cell>
          <cell r="J249">
            <v>885872</v>
          </cell>
        </row>
        <row r="250">
          <cell r="G250">
            <v>6379</v>
          </cell>
          <cell r="H250" t="str">
            <v>TEE HD EXTREMO LISO 8"x8" (200x200mm)</v>
          </cell>
          <cell r="I250" t="str">
            <v>UN</v>
          </cell>
          <cell r="J250">
            <v>925027</v>
          </cell>
        </row>
        <row r="251">
          <cell r="G251">
            <v>6380</v>
          </cell>
          <cell r="H251" t="str">
            <v>TEE HD EXTREMO LISO 10"x2" (250x50mm)</v>
          </cell>
          <cell r="I251" t="str">
            <v>UN</v>
          </cell>
          <cell r="J251">
            <v>1104056</v>
          </cell>
        </row>
        <row r="252">
          <cell r="G252">
            <v>6381</v>
          </cell>
          <cell r="H252" t="str">
            <v>TEE HD EXTREMO LISO 10"x3" (250x75mm)</v>
          </cell>
          <cell r="I252" t="str">
            <v>UN</v>
          </cell>
          <cell r="J252">
            <v>1348666</v>
          </cell>
        </row>
        <row r="253">
          <cell r="G253">
            <v>6382</v>
          </cell>
          <cell r="H253" t="str">
            <v>TEE HD EXTREMO LISO 10"x4" (250x100mm)</v>
          </cell>
          <cell r="I253" t="str">
            <v>UN</v>
          </cell>
          <cell r="J253">
            <v>1388334</v>
          </cell>
        </row>
        <row r="254">
          <cell r="G254">
            <v>6383</v>
          </cell>
          <cell r="H254" t="str">
            <v>TEE HD EXTREMO LISO 10"x6" (250x150mm)</v>
          </cell>
          <cell r="I254" t="str">
            <v>UN</v>
          </cell>
          <cell r="J254">
            <v>1557710</v>
          </cell>
        </row>
        <row r="255">
          <cell r="G255">
            <v>6384</v>
          </cell>
          <cell r="H255" t="str">
            <v>TEE HD EXTREMO LISO 10"x8" (250x200mm)</v>
          </cell>
          <cell r="I255" t="str">
            <v>UN</v>
          </cell>
          <cell r="J255">
            <v>1804040</v>
          </cell>
        </row>
        <row r="256">
          <cell r="G256">
            <v>6385</v>
          </cell>
          <cell r="H256" t="str">
            <v>TEE HD EXTREMO LISO 10"x10" (250x250mm)</v>
          </cell>
          <cell r="I256" t="str">
            <v>UN</v>
          </cell>
          <cell r="J256">
            <v>1944460</v>
          </cell>
        </row>
        <row r="257">
          <cell r="G257">
            <v>6387</v>
          </cell>
          <cell r="H257" t="str">
            <v>TEE HD EXTREMO LISO 12"x3" (300x75mm)</v>
          </cell>
          <cell r="I257" t="str">
            <v>UN</v>
          </cell>
          <cell r="J257">
            <v>1718888</v>
          </cell>
        </row>
        <row r="258">
          <cell r="G258">
            <v>6388</v>
          </cell>
          <cell r="H258" t="str">
            <v>TEE HD EXTREMO LISO 12"x4" (300x100mm)</v>
          </cell>
          <cell r="I258" t="str">
            <v>UN</v>
          </cell>
          <cell r="J258">
            <v>1745334</v>
          </cell>
        </row>
        <row r="259">
          <cell r="G259">
            <v>6389</v>
          </cell>
          <cell r="H259" t="str">
            <v>TEE HD EXTREMO LISO 12"x6" (300x150mm)</v>
          </cell>
          <cell r="I259" t="str">
            <v>UN</v>
          </cell>
          <cell r="J259">
            <v>1851112</v>
          </cell>
        </row>
        <row r="260">
          <cell r="G260">
            <v>6390</v>
          </cell>
          <cell r="H260" t="str">
            <v>TEE HD EXTREMO LISO 12"x8" (300x200mm)</v>
          </cell>
          <cell r="I260" t="str">
            <v>UN</v>
          </cell>
          <cell r="J260">
            <v>2227944</v>
          </cell>
        </row>
        <row r="261">
          <cell r="G261">
            <v>6391</v>
          </cell>
          <cell r="H261" t="str">
            <v>TEE HD EXTREMO LISO 12"X10" (300x250mm)</v>
          </cell>
          <cell r="I261" t="str">
            <v>UN</v>
          </cell>
          <cell r="J261">
            <v>3041112</v>
          </cell>
        </row>
        <row r="262">
          <cell r="G262">
            <v>6392</v>
          </cell>
          <cell r="H262" t="str">
            <v>TEE HD EXTREMO LISO 12"x12" (300x300mm)</v>
          </cell>
          <cell r="I262" t="str">
            <v>UN</v>
          </cell>
          <cell r="J262">
            <v>2644444</v>
          </cell>
        </row>
        <row r="263">
          <cell r="G263">
            <v>6393</v>
          </cell>
          <cell r="H263" t="str">
            <v>TEE HD EXTREMO LISO 24"x8" (600x200mm)</v>
          </cell>
          <cell r="I263" t="str">
            <v>UN</v>
          </cell>
          <cell r="J263">
            <v>7126190</v>
          </cell>
        </row>
        <row r="264">
          <cell r="G264">
            <v>6394</v>
          </cell>
          <cell r="H264" t="str">
            <v>TEE HD EXTREMO LISO 24"x10" (600x250mm)</v>
          </cell>
          <cell r="I264" t="str">
            <v>UN</v>
          </cell>
          <cell r="J264">
            <v>8116997</v>
          </cell>
        </row>
        <row r="265">
          <cell r="G265">
            <v>6395</v>
          </cell>
          <cell r="H265" t="str">
            <v>TEE HD EXTREMO LISO 24"x12" (600x300mm)</v>
          </cell>
          <cell r="I265" t="str">
            <v>UN</v>
          </cell>
          <cell r="J265">
            <v>8879157</v>
          </cell>
        </row>
        <row r="266">
          <cell r="G266">
            <v>6396</v>
          </cell>
          <cell r="H266" t="str">
            <v>TEE HD EXTREMO LISO 24"x14" (600x350mm)</v>
          </cell>
          <cell r="I266" t="str">
            <v>UN</v>
          </cell>
          <cell r="J266">
            <v>9450776</v>
          </cell>
        </row>
        <row r="267">
          <cell r="G267">
            <v>6397</v>
          </cell>
          <cell r="H267" t="str">
            <v>TEE HD EXTREMO LISO 24"x16" (600x400mm)</v>
          </cell>
          <cell r="I267" t="str">
            <v>UN</v>
          </cell>
          <cell r="J267">
            <v>9908072</v>
          </cell>
        </row>
        <row r="268">
          <cell r="G268">
            <v>6398</v>
          </cell>
          <cell r="H268" t="str">
            <v>TEE HD EXTREMO LISO 24"x18" (600x450mm)</v>
          </cell>
          <cell r="I268" t="str">
            <v>UN</v>
          </cell>
          <cell r="J268">
            <v>10708339</v>
          </cell>
        </row>
        <row r="269">
          <cell r="G269">
            <v>6399</v>
          </cell>
          <cell r="H269" t="str">
            <v>TEE HD EXTREMO LISO 24"x20" (600x500mm)</v>
          </cell>
          <cell r="I269" t="str">
            <v>UN</v>
          </cell>
          <cell r="J269">
            <v>11279959</v>
          </cell>
        </row>
        <row r="270">
          <cell r="G270">
            <v>6400</v>
          </cell>
          <cell r="H270" t="str">
            <v>TEE HD EXTREMO LISO 24"x24" (600x600mm)</v>
          </cell>
          <cell r="I270" t="str">
            <v>UN</v>
          </cell>
          <cell r="J270">
            <v>12880494</v>
          </cell>
        </row>
        <row r="271">
          <cell r="G271">
            <v>6401</v>
          </cell>
          <cell r="H271" t="str">
            <v>TEE HD EXTREMO LISO 4"x3" (100x75mm)</v>
          </cell>
          <cell r="I271" t="str">
            <v>UN</v>
          </cell>
          <cell r="J271">
            <v>224778</v>
          </cell>
        </row>
        <row r="272">
          <cell r="G272">
            <v>6402</v>
          </cell>
          <cell r="H272" t="str">
            <v>TEE HD EXTREMO LISO 4"x4" (100x100mm)</v>
          </cell>
          <cell r="I272" t="str">
            <v>UN</v>
          </cell>
          <cell r="J272">
            <v>264444</v>
          </cell>
        </row>
        <row r="273">
          <cell r="G273">
            <v>6404</v>
          </cell>
          <cell r="H273" t="str">
            <v>CODO HD EXTREMO LISO 90ºX2``</v>
          </cell>
          <cell r="I273" t="str">
            <v>UN</v>
          </cell>
          <cell r="J273">
            <v>107100</v>
          </cell>
        </row>
        <row r="274">
          <cell r="G274">
            <v>6405</v>
          </cell>
          <cell r="H274" t="str">
            <v>CODO HD EXTREMO LISO 90ºX3``</v>
          </cell>
          <cell r="I274" t="str">
            <v>UN</v>
          </cell>
          <cell r="J274">
            <v>128256</v>
          </cell>
        </row>
        <row r="275">
          <cell r="G275">
            <v>6406</v>
          </cell>
          <cell r="H275" t="str">
            <v>CODO HD EXTREMO LISO 90ºX4``</v>
          </cell>
          <cell r="I275" t="str">
            <v>UN</v>
          </cell>
          <cell r="J275">
            <v>198334</v>
          </cell>
        </row>
        <row r="276">
          <cell r="G276">
            <v>6407</v>
          </cell>
          <cell r="H276" t="str">
            <v>CODO HD EXTREMO LISO 90ºX6``</v>
          </cell>
          <cell r="I276" t="str">
            <v>UN</v>
          </cell>
          <cell r="J276">
            <v>425756</v>
          </cell>
        </row>
        <row r="277">
          <cell r="G277">
            <v>6408</v>
          </cell>
          <cell r="H277" t="str">
            <v>CODO HD EXTREMO LISO 90ºX8``</v>
          </cell>
          <cell r="I277" t="str">
            <v>UN</v>
          </cell>
          <cell r="J277">
            <v>789366</v>
          </cell>
        </row>
        <row r="278">
          <cell r="G278">
            <v>6409</v>
          </cell>
          <cell r="H278" t="str">
            <v>CODO HD EXTREMO LISO 90ºX10``</v>
          </cell>
          <cell r="I278" t="str">
            <v>UN</v>
          </cell>
          <cell r="J278">
            <v>1441222</v>
          </cell>
        </row>
        <row r="279">
          <cell r="G279">
            <v>6410</v>
          </cell>
          <cell r="H279" t="str">
            <v>CODO HD EXTREMO LISO 90ºX12``</v>
          </cell>
          <cell r="I279" t="str">
            <v>UN</v>
          </cell>
          <cell r="J279">
            <v>1747978</v>
          </cell>
        </row>
        <row r="280">
          <cell r="G280">
            <v>6411</v>
          </cell>
          <cell r="H280" t="str">
            <v>CODO HD EXTREMO LISO 90ºX14``</v>
          </cell>
          <cell r="I280" t="str">
            <v>UN</v>
          </cell>
          <cell r="J280">
            <v>4153769</v>
          </cell>
        </row>
        <row r="281">
          <cell r="G281">
            <v>6412</v>
          </cell>
          <cell r="H281" t="str">
            <v>CODO HD EXTREMO LISO 90ºX16``</v>
          </cell>
          <cell r="I281" t="str">
            <v>UN</v>
          </cell>
          <cell r="J281">
            <v>4059222</v>
          </cell>
        </row>
        <row r="282">
          <cell r="G282">
            <v>6413</v>
          </cell>
          <cell r="H282" t="str">
            <v>CODO HD EXTREMO LISO 90ºX18``</v>
          </cell>
          <cell r="I282" t="str">
            <v>UN</v>
          </cell>
          <cell r="J282">
            <v>6554571</v>
          </cell>
        </row>
        <row r="283">
          <cell r="G283">
            <v>6414</v>
          </cell>
          <cell r="H283" t="str">
            <v>CODO HD EXTREMO LISO 90ºX20"</v>
          </cell>
          <cell r="I283" t="str">
            <v>UN</v>
          </cell>
          <cell r="J283">
            <v>6994556</v>
          </cell>
        </row>
        <row r="284">
          <cell r="G284">
            <v>6416</v>
          </cell>
          <cell r="H284" t="str">
            <v>CODO HD EXTREMO LISO 45ºX2``</v>
          </cell>
          <cell r="I284" t="str">
            <v>UN</v>
          </cell>
          <cell r="J284">
            <v>124950</v>
          </cell>
        </row>
        <row r="285">
          <cell r="G285">
            <v>6417</v>
          </cell>
          <cell r="H285" t="str">
            <v>CODO HD EXTREMO LISO 45ºX3``</v>
          </cell>
          <cell r="I285" t="str">
            <v>UN</v>
          </cell>
          <cell r="J285">
            <v>125612</v>
          </cell>
        </row>
        <row r="286">
          <cell r="G286">
            <v>6418</v>
          </cell>
          <cell r="H286" t="str">
            <v>CODO HD EXTREMO LISO 45ºX4``</v>
          </cell>
          <cell r="I286" t="str">
            <v>UN</v>
          </cell>
          <cell r="J286">
            <v>161312</v>
          </cell>
        </row>
        <row r="287">
          <cell r="G287">
            <v>6419</v>
          </cell>
          <cell r="H287" t="str">
            <v>CODO HD EXTREMO LISO 45ºX6``</v>
          </cell>
          <cell r="I287" t="str">
            <v>UN</v>
          </cell>
          <cell r="J287">
            <v>359644</v>
          </cell>
        </row>
        <row r="288">
          <cell r="G288">
            <v>6420</v>
          </cell>
          <cell r="H288" t="str">
            <v>CODO HD EXTREMO LISO 45ºX8``</v>
          </cell>
          <cell r="I288" t="str">
            <v>UN</v>
          </cell>
          <cell r="J288">
            <v>745734</v>
          </cell>
        </row>
        <row r="289">
          <cell r="G289">
            <v>6421</v>
          </cell>
          <cell r="H289" t="str">
            <v>CODO HD EXTREMO LISO 45ºX10"</v>
          </cell>
          <cell r="I289" t="str">
            <v>UN</v>
          </cell>
          <cell r="J289">
            <v>1223056</v>
          </cell>
        </row>
        <row r="290">
          <cell r="G290">
            <v>6422</v>
          </cell>
          <cell r="H290" t="str">
            <v>CODO HD EXTREMO LISO 45ºX12``</v>
          </cell>
          <cell r="I290" t="str">
            <v>UN</v>
          </cell>
          <cell r="J290">
            <v>1675256</v>
          </cell>
        </row>
        <row r="291">
          <cell r="G291">
            <v>6423</v>
          </cell>
          <cell r="H291" t="str">
            <v>CODO HD EXTREMO LISO 45ºX14``</v>
          </cell>
          <cell r="I291" t="str">
            <v>UN</v>
          </cell>
          <cell r="J291">
            <v>1732378</v>
          </cell>
        </row>
        <row r="292">
          <cell r="G292">
            <v>6424</v>
          </cell>
          <cell r="H292" t="str">
            <v>CODO HD EXTREMO LISO 45ºX16``</v>
          </cell>
          <cell r="I292" t="str">
            <v>UN</v>
          </cell>
          <cell r="J292">
            <v>2584201</v>
          </cell>
        </row>
        <row r="293">
          <cell r="G293">
            <v>6425</v>
          </cell>
          <cell r="H293" t="str">
            <v>CODO HD EXTREMO LISO 45ºX18``</v>
          </cell>
          <cell r="I293" t="str">
            <v>UN</v>
          </cell>
          <cell r="J293">
            <v>3493459</v>
          </cell>
        </row>
        <row r="294">
          <cell r="G294">
            <v>6426</v>
          </cell>
          <cell r="H294" t="str">
            <v>CODO HD EXTREMO LISO 45ºX20``</v>
          </cell>
          <cell r="I294" t="str">
            <v>UN</v>
          </cell>
          <cell r="J294">
            <v>5055702</v>
          </cell>
        </row>
        <row r="295">
          <cell r="G295">
            <v>6430</v>
          </cell>
          <cell r="H295" t="str">
            <v>CODO HD EXTREMO LISO 22.5ºX4``</v>
          </cell>
          <cell r="I295" t="str">
            <v>UN</v>
          </cell>
          <cell r="J295">
            <v>161312</v>
          </cell>
        </row>
        <row r="296">
          <cell r="G296">
            <v>6431</v>
          </cell>
          <cell r="H296" t="str">
            <v>CODO HD EXTREMO LISO 22.5ºX6``</v>
          </cell>
          <cell r="I296" t="str">
            <v>UN</v>
          </cell>
          <cell r="J296">
            <v>293534</v>
          </cell>
        </row>
        <row r="297">
          <cell r="G297">
            <v>6434</v>
          </cell>
          <cell r="H297" t="str">
            <v>CODO HD EXTREMO LISO 22.5ºX12``</v>
          </cell>
          <cell r="I297" t="str">
            <v>UN</v>
          </cell>
          <cell r="J297">
            <v>1454444</v>
          </cell>
        </row>
        <row r="298">
          <cell r="G298">
            <v>6440</v>
          </cell>
          <cell r="H298" t="str">
            <v>CODO HD EXTREMO LISO 11.25ºX2``</v>
          </cell>
          <cell r="I298" t="str">
            <v>UN</v>
          </cell>
          <cell r="J298">
            <v>96390</v>
          </cell>
        </row>
        <row r="299">
          <cell r="G299">
            <v>6441</v>
          </cell>
          <cell r="H299" t="str">
            <v>CODO HD EXTREMO LISO 11.25ºX3``</v>
          </cell>
          <cell r="I299" t="str">
            <v>UN</v>
          </cell>
          <cell r="J299">
            <v>119000</v>
          </cell>
        </row>
        <row r="300">
          <cell r="G300">
            <v>6442</v>
          </cell>
          <cell r="H300" t="str">
            <v>CODO HD EXTREMO LISO 11.25ºX4``</v>
          </cell>
          <cell r="I300" t="str">
            <v>UN</v>
          </cell>
          <cell r="J300">
            <v>154700</v>
          </cell>
        </row>
        <row r="301">
          <cell r="G301">
            <v>6443</v>
          </cell>
          <cell r="H301" t="str">
            <v>CODO HD EXTREMO LISO 11.25ºX6``</v>
          </cell>
          <cell r="I301" t="str">
            <v>UN</v>
          </cell>
          <cell r="J301">
            <v>286922</v>
          </cell>
        </row>
        <row r="302">
          <cell r="G302">
            <v>6446</v>
          </cell>
          <cell r="H302" t="str">
            <v>CODO HD EXTREMO LISO 11.25ºX12``</v>
          </cell>
          <cell r="I302" t="str">
            <v>UN</v>
          </cell>
          <cell r="J302">
            <v>1252144</v>
          </cell>
        </row>
        <row r="303">
          <cell r="G303">
            <v>6454</v>
          </cell>
          <cell r="H303" t="str">
            <v>UNION REPARACION HD EXTREMO LISO D=6"</v>
          </cell>
          <cell r="I303" t="str">
            <v>UN</v>
          </cell>
          <cell r="J303">
            <v>255188</v>
          </cell>
        </row>
        <row r="304">
          <cell r="G304">
            <v>6455</v>
          </cell>
          <cell r="H304" t="str">
            <v>UNION REPARACION HD EXTREMO LISO D=8"</v>
          </cell>
          <cell r="I304" t="str">
            <v>UN</v>
          </cell>
          <cell r="J304">
            <v>374188</v>
          </cell>
        </row>
        <row r="305">
          <cell r="G305">
            <v>6456</v>
          </cell>
          <cell r="H305" t="str">
            <v>UNION REPARACION HD EXTREMO LISO D=10"</v>
          </cell>
          <cell r="I305" t="str">
            <v>UN</v>
          </cell>
          <cell r="J305">
            <v>632022</v>
          </cell>
        </row>
        <row r="306">
          <cell r="G306">
            <v>6457</v>
          </cell>
          <cell r="H306" t="str">
            <v>UNION REPARACION HD EXTREMO LISO D=12"</v>
          </cell>
          <cell r="I306" t="str">
            <v>UN</v>
          </cell>
          <cell r="J306">
            <v>864734</v>
          </cell>
        </row>
        <row r="307">
          <cell r="G307">
            <v>6458</v>
          </cell>
          <cell r="H307" t="str">
            <v>UNION REPARACION HD EXTREMO LISO D=14"</v>
          </cell>
          <cell r="I307" t="str">
            <v>UN</v>
          </cell>
          <cell r="J307">
            <v>921599</v>
          </cell>
        </row>
        <row r="308">
          <cell r="G308">
            <v>6459</v>
          </cell>
          <cell r="H308" t="str">
            <v>UNION REPARACION HD EXTREMO LISO D=16"</v>
          </cell>
          <cell r="I308" t="str">
            <v>UN</v>
          </cell>
          <cell r="J308">
            <v>1284759</v>
          </cell>
        </row>
        <row r="309">
          <cell r="G309">
            <v>6462</v>
          </cell>
          <cell r="H309" t="str">
            <v>TAPON HD EXTREMO LISO D=4"</v>
          </cell>
          <cell r="I309" t="str">
            <v>UN</v>
          </cell>
          <cell r="J309">
            <v>101812</v>
          </cell>
        </row>
        <row r="310">
          <cell r="G310">
            <v>6463</v>
          </cell>
          <cell r="H310" t="str">
            <v>TAPON HD EXTREMO LISO D=6"</v>
          </cell>
          <cell r="I310" t="str">
            <v>UN</v>
          </cell>
          <cell r="J310">
            <v>261800</v>
          </cell>
        </row>
        <row r="311">
          <cell r="G311">
            <v>6464</v>
          </cell>
          <cell r="H311" t="str">
            <v>TAPON HD EXTREMO LISO D=8"</v>
          </cell>
          <cell r="I311" t="str">
            <v>UN</v>
          </cell>
          <cell r="J311">
            <v>465422</v>
          </cell>
        </row>
        <row r="312">
          <cell r="G312">
            <v>6472</v>
          </cell>
          <cell r="H312" t="str">
            <v>TUBERIA CONDUIT PVC D=1"</v>
          </cell>
          <cell r="I312" t="str">
            <v>ML</v>
          </cell>
          <cell r="J312">
            <v>4523</v>
          </cell>
        </row>
        <row r="313">
          <cell r="G313">
            <v>6473</v>
          </cell>
          <cell r="H313" t="str">
            <v>TUBERIA CONDUIT PVC D=1 1/4"</v>
          </cell>
          <cell r="I313" t="str">
            <v>ML</v>
          </cell>
          <cell r="J313">
            <v>6987</v>
          </cell>
        </row>
        <row r="314">
          <cell r="G314">
            <v>6474</v>
          </cell>
          <cell r="H314" t="str">
            <v>TUBERIA CONDUIT PVC D=1 1/2"</v>
          </cell>
          <cell r="I314" t="str">
            <v>ML</v>
          </cell>
          <cell r="J314">
            <v>8908</v>
          </cell>
        </row>
        <row r="315">
          <cell r="G315">
            <v>6475</v>
          </cell>
          <cell r="H315" t="str">
            <v>TUBERIA CONDUIT PVC D=2"</v>
          </cell>
          <cell r="I315" t="str">
            <v>ML</v>
          </cell>
          <cell r="J315">
            <v>13701</v>
          </cell>
        </row>
        <row r="316">
          <cell r="G316">
            <v>6476</v>
          </cell>
          <cell r="H316" t="str">
            <v>VALVULA COMPUERTA ELASTICA VNA E. L. D=2"</v>
          </cell>
          <cell r="I316" t="str">
            <v>UN</v>
          </cell>
          <cell r="J316">
            <v>497420</v>
          </cell>
        </row>
        <row r="317">
          <cell r="G317">
            <v>6477</v>
          </cell>
          <cell r="H317" t="str">
            <v>VALVULA COMPUERTA ELASTICA VNA E. L. D=3"</v>
          </cell>
          <cell r="I317" t="str">
            <v>UN</v>
          </cell>
          <cell r="J317">
            <v>708050</v>
          </cell>
        </row>
        <row r="318">
          <cell r="G318">
            <v>6479</v>
          </cell>
          <cell r="H318" t="str">
            <v>VALVULA COMPUERTA ELASTICA VNA E. L. D=6"</v>
          </cell>
          <cell r="I318" t="str">
            <v>UN</v>
          </cell>
          <cell r="J318">
            <v>1812370</v>
          </cell>
        </row>
        <row r="319">
          <cell r="G319">
            <v>6480</v>
          </cell>
          <cell r="H319" t="str">
            <v>VALVULA COMPUERTA ELASTICA VNA E. L. D=8"</v>
          </cell>
          <cell r="I319" t="str">
            <v>UN</v>
          </cell>
          <cell r="J319">
            <v>2651320</v>
          </cell>
        </row>
        <row r="320">
          <cell r="G320">
            <v>6481</v>
          </cell>
          <cell r="H320" t="str">
            <v>HIDRANTE EXTREMO BRIDA D=3" TIPO MILAN</v>
          </cell>
          <cell r="I320" t="str">
            <v>UN</v>
          </cell>
          <cell r="J320">
            <v>2378640</v>
          </cell>
        </row>
        <row r="321">
          <cell r="G321">
            <v>6482</v>
          </cell>
          <cell r="H321" t="str">
            <v>HIDRANTE EXTREMO BRIDA D=4" TIPO TRAFICO</v>
          </cell>
          <cell r="I321" t="str">
            <v>UN</v>
          </cell>
          <cell r="J321">
            <v>3435813</v>
          </cell>
        </row>
        <row r="322">
          <cell r="G322">
            <v>6483</v>
          </cell>
          <cell r="H322" t="str">
            <v>HIDRANTE EXTREMO BRIDA D=6" TIPO TRAFICO</v>
          </cell>
          <cell r="I322" t="str">
            <v>UN</v>
          </cell>
          <cell r="J322">
            <v>6627110</v>
          </cell>
        </row>
        <row r="323">
          <cell r="G323">
            <v>6484</v>
          </cell>
          <cell r="H323" t="str">
            <v>HIDRANTE EXTREMO BRIDA D=4" TIPO POSTE</v>
          </cell>
          <cell r="I323" t="str">
            <v>UN</v>
          </cell>
          <cell r="J323">
            <v>2527560</v>
          </cell>
        </row>
        <row r="324">
          <cell r="G324">
            <v>6485</v>
          </cell>
          <cell r="H324" t="str">
            <v>HIDRANTE EXTREMO BRIDA D=6" TIPO POSTE</v>
          </cell>
          <cell r="I324" t="str">
            <v>UN</v>
          </cell>
          <cell r="J324">
            <v>2766750</v>
          </cell>
        </row>
        <row r="325">
          <cell r="G325">
            <v>6507</v>
          </cell>
          <cell r="H325" t="str">
            <v>TERMINADORA DE ASFALTO - ANCHO DE PAVIMENTACIÓN ESTÁNDAR DE 2 A 6m - VOLUMEN DE LA TOLVA DE 5 A 8 M3 - INCLUYE OPERARIO Y COMBUSTIBLE</v>
          </cell>
          <cell r="I325" t="str">
            <v>HR</v>
          </cell>
          <cell r="J325">
            <v>191781</v>
          </cell>
        </row>
        <row r="326">
          <cell r="G326">
            <v>6527</v>
          </cell>
          <cell r="H326" t="str">
            <v>UNION REPARACION PVC U.M. NORMA NTC 382 D=6"</v>
          </cell>
          <cell r="I326" t="str">
            <v>UN</v>
          </cell>
          <cell r="J326">
            <v>220990</v>
          </cell>
        </row>
        <row r="327">
          <cell r="G327">
            <v>6528</v>
          </cell>
          <cell r="H327" t="str">
            <v>UNION REPARACION PVC U.M. NORMA NTC 382 D=8"</v>
          </cell>
          <cell r="I327" t="str">
            <v>UN</v>
          </cell>
          <cell r="J327">
            <v>406334</v>
          </cell>
        </row>
        <row r="328">
          <cell r="G328">
            <v>6530</v>
          </cell>
          <cell r="H328" t="str">
            <v>UNION REPARACION PVC U.M. NORMA NTC 382 D=12"</v>
          </cell>
          <cell r="I328" t="str">
            <v>UN</v>
          </cell>
          <cell r="J328">
            <v>1270461</v>
          </cell>
        </row>
        <row r="329">
          <cell r="G329">
            <v>6534</v>
          </cell>
          <cell r="H329" t="str">
            <v>BANCA EN CONCRETO SIN ESPALDAR M31</v>
          </cell>
          <cell r="I329" t="str">
            <v>UN</v>
          </cell>
          <cell r="J329">
            <v>416500</v>
          </cell>
        </row>
        <row r="330">
          <cell r="G330">
            <v>6535</v>
          </cell>
          <cell r="H330" t="str">
            <v>BANCA MODULAR EN CONCRETO M40</v>
          </cell>
          <cell r="I330" t="str">
            <v>UN</v>
          </cell>
          <cell r="J330">
            <v>208250</v>
          </cell>
        </row>
        <row r="331">
          <cell r="G331">
            <v>6539</v>
          </cell>
          <cell r="H331" t="str">
            <v>ADAPTADOR TERMINAL CAMPANA PVC D=3"</v>
          </cell>
          <cell r="I331" t="str">
            <v>UN</v>
          </cell>
          <cell r="J331">
            <v>8197</v>
          </cell>
        </row>
        <row r="332">
          <cell r="G332">
            <v>6540</v>
          </cell>
          <cell r="H332" t="str">
            <v>ADAPTADOR TERMINAL CAMPANA PVC D=4"</v>
          </cell>
          <cell r="I332" t="str">
            <v>UN</v>
          </cell>
          <cell r="J332">
            <v>15913</v>
          </cell>
        </row>
        <row r="333">
          <cell r="G333">
            <v>6543</v>
          </cell>
          <cell r="H333" t="str">
            <v>MARCO Y TAPA CAJA PASO SENCILLA ANDEN ETB</v>
          </cell>
          <cell r="I333" t="str">
            <v>UN</v>
          </cell>
          <cell r="J333">
            <v>381540</v>
          </cell>
        </row>
        <row r="334">
          <cell r="G334">
            <v>6545</v>
          </cell>
          <cell r="H334" t="str">
            <v>MARCO Y TAPAS CAJA PASO DOBLE ANDEN ETB</v>
          </cell>
          <cell r="I334" t="str">
            <v>UN</v>
          </cell>
          <cell r="J334">
            <v>651064</v>
          </cell>
        </row>
        <row r="335">
          <cell r="G335">
            <v>6551</v>
          </cell>
          <cell r="H335" t="str">
            <v>SEÑAL DOBLE CARA PARA CICLORUTA PARAL 3m</v>
          </cell>
          <cell r="I335" t="str">
            <v>UN</v>
          </cell>
          <cell r="J335">
            <v>386750</v>
          </cell>
        </row>
        <row r="336">
          <cell r="G336">
            <v>6552</v>
          </cell>
          <cell r="H336" t="str">
            <v>SEÑAL DE TRANSITO GRUPO I (60x60cm) POSTE 3.5m</v>
          </cell>
          <cell r="I336" t="str">
            <v>UN</v>
          </cell>
          <cell r="J336">
            <v>257683</v>
          </cell>
        </row>
        <row r="337">
          <cell r="G337">
            <v>6553</v>
          </cell>
          <cell r="H337" t="str">
            <v>SEÑAL DE TRANSITO GRUPO I (75x75cm) POSTE 3.5m</v>
          </cell>
          <cell r="I337" t="str">
            <v>UN</v>
          </cell>
          <cell r="J337">
            <v>297500</v>
          </cell>
        </row>
        <row r="338">
          <cell r="G338">
            <v>6554</v>
          </cell>
          <cell r="H338" t="str">
            <v>SEÑAL DE TRANSITO GRUPO I (90x90cm) POSTE 3.5m</v>
          </cell>
          <cell r="I338" t="str">
            <v>UN</v>
          </cell>
          <cell r="J338">
            <v>362908</v>
          </cell>
        </row>
        <row r="339">
          <cell r="G339">
            <v>6555</v>
          </cell>
          <cell r="H339" t="str">
            <v>TACHON EN CONCRETO 0.4x0.15x0.08m</v>
          </cell>
          <cell r="I339" t="str">
            <v>UN</v>
          </cell>
          <cell r="J339">
            <v>53550</v>
          </cell>
        </row>
        <row r="340">
          <cell r="G340">
            <v>6556</v>
          </cell>
          <cell r="H340" t="str">
            <v>TACHA REFLECTIVA UNIDIRECCIONAL, NO INCLUYE ELEMENTOS DE ANCLAJE</v>
          </cell>
          <cell r="I340" t="str">
            <v>UN</v>
          </cell>
          <cell r="J340">
            <v>4522</v>
          </cell>
        </row>
        <row r="341">
          <cell r="G341">
            <v>6559</v>
          </cell>
          <cell r="H341" t="str">
            <v>ADAPTADOR MACHO PVC U.S. D=2``</v>
          </cell>
          <cell r="I341" t="str">
            <v>UN</v>
          </cell>
          <cell r="J341">
            <v>7203</v>
          </cell>
        </row>
        <row r="342">
          <cell r="G342">
            <v>6560</v>
          </cell>
          <cell r="H342" t="str">
            <v>ADAPTADOR MACHO PVC U.S. D=3``</v>
          </cell>
          <cell r="I342" t="str">
            <v>UN</v>
          </cell>
          <cell r="J342">
            <v>28314</v>
          </cell>
        </row>
        <row r="343">
          <cell r="G343">
            <v>6561</v>
          </cell>
          <cell r="H343" t="str">
            <v>ADAPTADOR MACHO PVC U.S. D=4``</v>
          </cell>
          <cell r="I343" t="str">
            <v>UN</v>
          </cell>
          <cell r="J343">
            <v>52084</v>
          </cell>
        </row>
        <row r="344">
          <cell r="G344">
            <v>6567</v>
          </cell>
          <cell r="H344" t="str">
            <v>CARROTANQUE IRRIGADOR DE AGUA - HORA</v>
          </cell>
          <cell r="I344" t="str">
            <v>HR</v>
          </cell>
          <cell r="J344">
            <v>39036</v>
          </cell>
        </row>
        <row r="345">
          <cell r="G345">
            <v>6578</v>
          </cell>
          <cell r="H345" t="str">
            <v>TRITURADO 3/4"</v>
          </cell>
          <cell r="I345" t="str">
            <v>M3</v>
          </cell>
          <cell r="J345">
            <v>74970</v>
          </cell>
        </row>
        <row r="346">
          <cell r="G346">
            <v>6624</v>
          </cell>
          <cell r="H346" t="str">
            <v>RAJÓN SUELTO &gt; = 12" (30 - 50 cm)</v>
          </cell>
          <cell r="I346" t="str">
            <v>M3</v>
          </cell>
          <cell r="J346">
            <v>60571</v>
          </cell>
        </row>
        <row r="347">
          <cell r="G347">
            <v>6625</v>
          </cell>
          <cell r="H347" t="str">
            <v>MEZCLADORA DE CONCRETO (1,5 BULTOS) - INCLUYE COMBUSTIBLE</v>
          </cell>
          <cell r="I347" t="str">
            <v>DIA</v>
          </cell>
          <cell r="J347">
            <v>52063</v>
          </cell>
        </row>
        <row r="348">
          <cell r="G348">
            <v>6628</v>
          </cell>
          <cell r="H348" t="str">
            <v>LUMINARIA DE SODIO 400W, 208/220V PARA AP</v>
          </cell>
          <cell r="I348" t="str">
            <v>UN</v>
          </cell>
          <cell r="J348">
            <v>416500</v>
          </cell>
        </row>
        <row r="349">
          <cell r="G349">
            <v>6629</v>
          </cell>
          <cell r="H349" t="str">
            <v>FOTOCELDA CON BASE</v>
          </cell>
          <cell r="I349" t="str">
            <v>UN</v>
          </cell>
          <cell r="J349">
            <v>41990</v>
          </cell>
        </row>
        <row r="350">
          <cell r="G350">
            <v>6630</v>
          </cell>
          <cell r="H350" t="str">
            <v>BOMBILLO SODIO 70 W, 208/220V</v>
          </cell>
          <cell r="I350" t="str">
            <v>UN</v>
          </cell>
          <cell r="J350">
            <v>19040</v>
          </cell>
        </row>
        <row r="351">
          <cell r="G351">
            <v>6631</v>
          </cell>
          <cell r="H351" t="str">
            <v>BOMBILLO SODIO 150 W, 208/220V</v>
          </cell>
          <cell r="I351" t="str">
            <v>UN</v>
          </cell>
          <cell r="J351">
            <v>27370</v>
          </cell>
        </row>
        <row r="352">
          <cell r="G352">
            <v>6632</v>
          </cell>
          <cell r="H352" t="str">
            <v>BOMBILLO SODIO 250 W, 208/220V</v>
          </cell>
          <cell r="I352" t="str">
            <v>UN</v>
          </cell>
          <cell r="J352">
            <v>32130</v>
          </cell>
        </row>
        <row r="353">
          <cell r="G353">
            <v>6633</v>
          </cell>
          <cell r="H353" t="str">
            <v>BOMBILLO SODIO 400 W, 208/220V</v>
          </cell>
          <cell r="I353" t="str">
            <v>UN</v>
          </cell>
          <cell r="J353">
            <v>47600</v>
          </cell>
        </row>
        <row r="354">
          <cell r="G354">
            <v>6636</v>
          </cell>
          <cell r="H354" t="str">
            <v>POSTE METALICO H=10m BRAZO SENCILLO (PINTADO)</v>
          </cell>
          <cell r="I354" t="str">
            <v>UN</v>
          </cell>
          <cell r="J354">
            <v>2946621</v>
          </cell>
        </row>
        <row r="355">
          <cell r="G355">
            <v>6645</v>
          </cell>
          <cell r="H355" t="str">
            <v>CODO G.RAD. PVC U.M. NORMA NTC 382 90° D=2 1/2" RDE 21</v>
          </cell>
          <cell r="I355" t="str">
            <v>UN</v>
          </cell>
          <cell r="J355">
            <v>75868</v>
          </cell>
        </row>
        <row r="356">
          <cell r="G356">
            <v>6646</v>
          </cell>
          <cell r="H356" t="str">
            <v>CODO G.RAD. PVC U.M. NORMA NTC 382 90° D=3" RDE 21</v>
          </cell>
          <cell r="I356" t="str">
            <v>UN</v>
          </cell>
          <cell r="J356">
            <v>110257</v>
          </cell>
        </row>
        <row r="357">
          <cell r="G357">
            <v>6647</v>
          </cell>
          <cell r="H357" t="str">
            <v>CODO G.RAD. PVC U.M. NORMA NTC 382 90° D=6" RDE 21</v>
          </cell>
          <cell r="I357" t="str">
            <v>UN</v>
          </cell>
          <cell r="J357">
            <v>298665</v>
          </cell>
        </row>
        <row r="358">
          <cell r="G358">
            <v>6648</v>
          </cell>
          <cell r="H358" t="str">
            <v>CODO G.RAD. PVC U.M. NORMA NTC 382 90° D=10" RDE 21</v>
          </cell>
          <cell r="I358" t="str">
            <v>UN</v>
          </cell>
          <cell r="J358">
            <v>2379564</v>
          </cell>
        </row>
        <row r="359">
          <cell r="G359">
            <v>6649</v>
          </cell>
          <cell r="H359" t="str">
            <v>CODO G.RAD. PVC U.M. NORMA NTC 382 45° D=2 1/2" RDE 21</v>
          </cell>
          <cell r="I359" t="str">
            <v>UN</v>
          </cell>
          <cell r="J359">
            <v>70509</v>
          </cell>
        </row>
        <row r="360">
          <cell r="G360">
            <v>6650</v>
          </cell>
          <cell r="H360" t="str">
            <v>CODO G.RAD. PVC U.M. NORMA NTC 382 45° D=2" RDE 21</v>
          </cell>
          <cell r="I360" t="str">
            <v>UN</v>
          </cell>
          <cell r="J360">
            <v>70265</v>
          </cell>
        </row>
        <row r="361">
          <cell r="G361">
            <v>6651</v>
          </cell>
          <cell r="H361" t="str">
            <v>CODO G.RAD. PVC U.M. NORMA NTC 382 45° D=3" RDE 21</v>
          </cell>
          <cell r="I361" t="str">
            <v>UN</v>
          </cell>
          <cell r="J361">
            <v>104639</v>
          </cell>
        </row>
        <row r="362">
          <cell r="G362">
            <v>6652</v>
          </cell>
          <cell r="H362" t="str">
            <v>CODO G.RAD. PVC U.M. NORMA NTC 382 45° D=4" RDE 21</v>
          </cell>
          <cell r="I362" t="str">
            <v>UN</v>
          </cell>
          <cell r="J362">
            <v>138096</v>
          </cell>
        </row>
        <row r="363">
          <cell r="G363">
            <v>6653</v>
          </cell>
          <cell r="H363" t="str">
            <v>CODO G.RAD. PVC U.M. NORMA NTC 382 45° D=6" RDE 21</v>
          </cell>
          <cell r="I363" t="str">
            <v>UN</v>
          </cell>
          <cell r="J363">
            <v>259237</v>
          </cell>
        </row>
        <row r="364">
          <cell r="G364">
            <v>6654</v>
          </cell>
          <cell r="H364" t="str">
            <v>CODO G.RAD. PVC U.M. NORMA NTC 382 45° D=8" RDE 21</v>
          </cell>
          <cell r="I364" t="str">
            <v>UN</v>
          </cell>
          <cell r="J364">
            <v>726883</v>
          </cell>
        </row>
        <row r="365">
          <cell r="G365">
            <v>6655</v>
          </cell>
          <cell r="H365" t="str">
            <v>CODO G.RAD. PVC U.M. NORMA NTC 382 45° D=10" RDE 21</v>
          </cell>
          <cell r="I365" t="str">
            <v>UN</v>
          </cell>
          <cell r="J365">
            <v>1556693</v>
          </cell>
        </row>
        <row r="366">
          <cell r="G366">
            <v>6656</v>
          </cell>
          <cell r="H366" t="str">
            <v>CODO G.RAD. PVC U.M. NORMA NTC 382 45° D=12" RDE 21</v>
          </cell>
          <cell r="I366" t="str">
            <v>UN</v>
          </cell>
          <cell r="J366">
            <v>2185141</v>
          </cell>
        </row>
        <row r="367">
          <cell r="G367">
            <v>6657</v>
          </cell>
          <cell r="H367" t="str">
            <v>CODO G.RAD. PVC U.M. NORMA NTC 382 22.5° D=2" RDE 21</v>
          </cell>
          <cell r="I367" t="str">
            <v>UN</v>
          </cell>
          <cell r="J367">
            <v>34021</v>
          </cell>
        </row>
        <row r="368">
          <cell r="G368">
            <v>6658</v>
          </cell>
          <cell r="H368" t="str">
            <v>CODO G.RAD. PVC U.M. NORMA NTC 382 22.5° D=2 1/2" RDE 21</v>
          </cell>
          <cell r="I368" t="str">
            <v>UN</v>
          </cell>
          <cell r="J368">
            <v>45984</v>
          </cell>
        </row>
        <row r="369">
          <cell r="G369">
            <v>6659</v>
          </cell>
          <cell r="H369" t="str">
            <v>CODO G.RAD. PVC U.M. NORMA NTC 382 22.5° D=3" RDE 21</v>
          </cell>
          <cell r="I369" t="str">
            <v>UN</v>
          </cell>
          <cell r="J369">
            <v>66234</v>
          </cell>
        </row>
        <row r="370">
          <cell r="G370">
            <v>6660</v>
          </cell>
          <cell r="H370" t="str">
            <v>CODO G.RAD. PVC U.M. NORMA NTC 382 22.5° D=4" RDE 21</v>
          </cell>
          <cell r="I370" t="str">
            <v>UN</v>
          </cell>
          <cell r="J370">
            <v>108806</v>
          </cell>
        </row>
        <row r="371">
          <cell r="G371">
            <v>6661</v>
          </cell>
          <cell r="H371" t="str">
            <v>CODO G.RAD. PVC U.M. NORMA NTC 382 22.5° D=6" RDE 21</v>
          </cell>
          <cell r="I371" t="str">
            <v>UN</v>
          </cell>
          <cell r="J371">
            <v>267348</v>
          </cell>
        </row>
        <row r="372">
          <cell r="G372">
            <v>6662</v>
          </cell>
          <cell r="H372" t="str">
            <v>CODO G.RAD. PVC U.M. NORMA NTC 382 22.5° D=8" RDE 21</v>
          </cell>
          <cell r="I372" t="str">
            <v>UN</v>
          </cell>
          <cell r="J372">
            <v>565670</v>
          </cell>
        </row>
        <row r="373">
          <cell r="G373">
            <v>6663</v>
          </cell>
          <cell r="H373" t="str">
            <v>CODO G.RAD. PVC U.M. NORMA NTC 382 22.5° D=10" RDE 21</v>
          </cell>
          <cell r="I373" t="str">
            <v>UN</v>
          </cell>
          <cell r="J373">
            <v>1267533</v>
          </cell>
        </row>
        <row r="374">
          <cell r="G374">
            <v>6664</v>
          </cell>
          <cell r="H374" t="str">
            <v>CODO G.RAD. PVC U.M. NORMA NTC 382 22.5° D=12" RDE 21</v>
          </cell>
          <cell r="I374" t="str">
            <v>UN</v>
          </cell>
          <cell r="J374">
            <v>1706896</v>
          </cell>
        </row>
        <row r="375">
          <cell r="G375">
            <v>6665</v>
          </cell>
          <cell r="H375" t="str">
            <v>CODO G.RAD. PVC U.M. NORMA NTC 382 11.25° D=2" RDE 21</v>
          </cell>
          <cell r="I375" t="str">
            <v>UN</v>
          </cell>
          <cell r="J375">
            <v>39333</v>
          </cell>
        </row>
        <row r="376">
          <cell r="G376">
            <v>6666</v>
          </cell>
          <cell r="H376" t="str">
            <v>CODO G.RAD. PVC U.M. NORMA NTC 382 TI11.25° D=2 1/2" RDE 21</v>
          </cell>
          <cell r="I376" t="str">
            <v>UN</v>
          </cell>
          <cell r="J376">
            <v>43479</v>
          </cell>
        </row>
        <row r="377">
          <cell r="G377">
            <v>6667</v>
          </cell>
          <cell r="H377" t="str">
            <v>CODO G.RAD. PVC U.M. NORMA NTC 382 11.25° D=3" RDE 21</v>
          </cell>
          <cell r="I377" t="str">
            <v>UN</v>
          </cell>
          <cell r="J377">
            <v>60370</v>
          </cell>
        </row>
        <row r="378">
          <cell r="G378">
            <v>6668</v>
          </cell>
          <cell r="H378" t="str">
            <v>CODO G.RAD. PVC U.M. NORMA NTC 382 11.25° D=4" RDE 21</v>
          </cell>
          <cell r="I378" t="str">
            <v>UN</v>
          </cell>
          <cell r="J378">
            <v>103375</v>
          </cell>
        </row>
        <row r="379">
          <cell r="G379">
            <v>6669</v>
          </cell>
          <cell r="H379" t="str">
            <v>CODO G.RAD. PVC U.M. NORMA NTC 382 11.25° D=6" RDE 21</v>
          </cell>
          <cell r="I379" t="str">
            <v>UN</v>
          </cell>
          <cell r="J379">
            <v>239053</v>
          </cell>
        </row>
        <row r="380">
          <cell r="G380">
            <v>6670</v>
          </cell>
          <cell r="H380" t="str">
            <v>CODO G.RAD. PVC U.M. NORMA NTC 382 11.25° D=8" RDE 21</v>
          </cell>
          <cell r="I380" t="str">
            <v>UN</v>
          </cell>
          <cell r="J380">
            <v>485734</v>
          </cell>
        </row>
        <row r="381">
          <cell r="G381">
            <v>6671</v>
          </cell>
          <cell r="H381" t="str">
            <v>CODO G.RAD. PVC U.M. NORMA NTC 382 11.25° D=10" RDE 21</v>
          </cell>
          <cell r="I381" t="str">
            <v>UN</v>
          </cell>
          <cell r="J381">
            <v>1036952</v>
          </cell>
        </row>
        <row r="382">
          <cell r="G382">
            <v>6672</v>
          </cell>
          <cell r="H382" t="str">
            <v>CODO G.RAD. PVC U.M. NORMA NTC 382 11.25° D=12" RDE 21</v>
          </cell>
          <cell r="I382" t="str">
            <v>UN</v>
          </cell>
          <cell r="J382">
            <v>1372571</v>
          </cell>
        </row>
        <row r="383">
          <cell r="G383">
            <v>6673</v>
          </cell>
          <cell r="H383" t="str">
            <v>CABINA TELEFONICA PEDESTAL M20</v>
          </cell>
          <cell r="I383" t="str">
            <v>UN</v>
          </cell>
          <cell r="J383">
            <v>3689000</v>
          </cell>
        </row>
        <row r="384">
          <cell r="G384">
            <v>6674</v>
          </cell>
          <cell r="H384" t="str">
            <v>PARADERO EN ACERO INOXIDABLE M10 (INSTALADO)</v>
          </cell>
          <cell r="I384" t="str">
            <v>UN</v>
          </cell>
          <cell r="J384">
            <v>8449000</v>
          </cell>
        </row>
        <row r="385">
          <cell r="G385">
            <v>6675</v>
          </cell>
          <cell r="H385" t="str">
            <v>CICLO-PARQUEADERO M101</v>
          </cell>
          <cell r="I385" t="str">
            <v>UN</v>
          </cell>
          <cell r="J385">
            <v>642600</v>
          </cell>
        </row>
        <row r="386">
          <cell r="G386">
            <v>6677</v>
          </cell>
          <cell r="H386" t="str">
            <v>BANCA EN MADERA M50</v>
          </cell>
          <cell r="I386" t="str">
            <v>UN</v>
          </cell>
          <cell r="J386">
            <v>511700</v>
          </cell>
        </row>
        <row r="387">
          <cell r="G387">
            <v>6679</v>
          </cell>
          <cell r="H387" t="str">
            <v>PROTECTOR DE ARBOL M90</v>
          </cell>
          <cell r="I387" t="str">
            <v>UN</v>
          </cell>
          <cell r="J387">
            <v>666400</v>
          </cell>
        </row>
        <row r="388">
          <cell r="G388">
            <v>6680</v>
          </cell>
          <cell r="H388" t="str">
            <v>PROTECTOR DE ARBOL DE DOS TUBOS M91</v>
          </cell>
          <cell r="I388" t="str">
            <v>UN</v>
          </cell>
          <cell r="J388">
            <v>190400</v>
          </cell>
        </row>
        <row r="389">
          <cell r="G389">
            <v>6681</v>
          </cell>
          <cell r="H389" t="str">
            <v>POSTE HISTORICO M131 H=5m</v>
          </cell>
          <cell r="I389" t="str">
            <v>UN</v>
          </cell>
          <cell r="J389">
            <v>3751713</v>
          </cell>
        </row>
        <row r="390">
          <cell r="G390">
            <v>6682</v>
          </cell>
          <cell r="H390" t="str">
            <v>BOLARDO BAJO EN HIERRO M62</v>
          </cell>
          <cell r="I390" t="str">
            <v>UN</v>
          </cell>
          <cell r="J390">
            <v>145180</v>
          </cell>
        </row>
        <row r="391">
          <cell r="G391">
            <v>6683</v>
          </cell>
          <cell r="H391" t="str">
            <v>BOLARDO BAJO EN CONCRETO M61</v>
          </cell>
          <cell r="I391" t="str">
            <v>UN</v>
          </cell>
          <cell r="J391">
            <v>110795</v>
          </cell>
        </row>
        <row r="392">
          <cell r="G392">
            <v>6684</v>
          </cell>
          <cell r="H392" t="str">
            <v>BLOQUE ESTRUCTURAL TIPO PIEDRA GRIS</v>
          </cell>
          <cell r="I392" t="str">
            <v>UN</v>
          </cell>
          <cell r="J392">
            <v>5316</v>
          </cell>
        </row>
        <row r="393">
          <cell r="G393">
            <v>6698</v>
          </cell>
          <cell r="H393" t="str">
            <v>GEOTEXTIL REPAV 400</v>
          </cell>
          <cell r="I393" t="str">
            <v>M2</v>
          </cell>
          <cell r="J393">
            <v>4403</v>
          </cell>
        </row>
        <row r="394">
          <cell r="G394">
            <v>6700</v>
          </cell>
          <cell r="H394" t="str">
            <v>GEOTEXTIL NT 3000 o 601 NT</v>
          </cell>
          <cell r="I394" t="str">
            <v>M2</v>
          </cell>
          <cell r="J394">
            <v>5831</v>
          </cell>
        </row>
        <row r="395">
          <cell r="G395">
            <v>6701</v>
          </cell>
          <cell r="H395" t="str">
            <v>GEOTEXTIL NT 4000 o 801 NT</v>
          </cell>
          <cell r="I395" t="str">
            <v>M2</v>
          </cell>
          <cell r="J395">
            <v>7735</v>
          </cell>
        </row>
        <row r="396">
          <cell r="G396">
            <v>6702</v>
          </cell>
          <cell r="H396" t="str">
            <v>GEOTEXTIL NT 5000 o 861 NT</v>
          </cell>
          <cell r="I396" t="str">
            <v>M2</v>
          </cell>
          <cell r="J396">
            <v>9330</v>
          </cell>
        </row>
        <row r="397">
          <cell r="G397">
            <v>6703</v>
          </cell>
          <cell r="H397" t="str">
            <v>GEOTEXTIL NT 6000 o 1201 NT</v>
          </cell>
          <cell r="I397" t="str">
            <v>M2</v>
          </cell>
          <cell r="J397">
            <v>9330</v>
          </cell>
        </row>
        <row r="398">
          <cell r="G398">
            <v>6704</v>
          </cell>
          <cell r="H398" t="str">
            <v>GEOTEXTIL NT 7000 o 1601 NT</v>
          </cell>
          <cell r="I398" t="str">
            <v>M2</v>
          </cell>
          <cell r="J398">
            <v>16779</v>
          </cell>
        </row>
        <row r="399">
          <cell r="G399">
            <v>6710</v>
          </cell>
          <cell r="H399" t="str">
            <v>GEOTEXTIL TEJIDO FORTEX BX-30</v>
          </cell>
          <cell r="I399" t="str">
            <v>M2</v>
          </cell>
          <cell r="J399">
            <v>5423</v>
          </cell>
        </row>
        <row r="400">
          <cell r="G400">
            <v>6715</v>
          </cell>
          <cell r="H400" t="str">
            <v>UNION PVC U.M. NORMA NTC 382 D=2 1/2"</v>
          </cell>
          <cell r="I400" t="str">
            <v>UN</v>
          </cell>
          <cell r="J400">
            <v>20988</v>
          </cell>
        </row>
        <row r="401">
          <cell r="G401">
            <v>6722</v>
          </cell>
          <cell r="H401" t="str">
            <v>SUBBASE GRANULAR B-400</v>
          </cell>
          <cell r="I401" t="str">
            <v>M3</v>
          </cell>
          <cell r="J401">
            <v>23800</v>
          </cell>
        </row>
        <row r="402">
          <cell r="G402">
            <v>6733</v>
          </cell>
          <cell r="H402" t="str">
            <v>ADOQUIN DE ARCILLA CUARTERON 26x6x6</v>
          </cell>
          <cell r="I402" t="str">
            <v>UN</v>
          </cell>
          <cell r="J402">
            <v>754</v>
          </cell>
        </row>
        <row r="403">
          <cell r="G403">
            <v>6739</v>
          </cell>
          <cell r="H403" t="str">
            <v>BOMBEO DE CONCRETO CON AUTOBOMBA (No incluye suministro ni instalación de concreto)</v>
          </cell>
          <cell r="I403" t="str">
            <v>M3</v>
          </cell>
          <cell r="J403">
            <v>44030</v>
          </cell>
        </row>
        <row r="404">
          <cell r="G404">
            <v>6780</v>
          </cell>
          <cell r="H404" t="str">
            <v>MOTOSIERRA - POTENCIA 2 A 3 KW</v>
          </cell>
          <cell r="I404" t="str">
            <v>DIA</v>
          </cell>
          <cell r="J404">
            <v>40047</v>
          </cell>
        </row>
        <row r="405">
          <cell r="G405">
            <v>6789</v>
          </cell>
          <cell r="H405" t="str">
            <v>ACERO FIGURADO No. 7 (Ø 7/8") F'y=60000 PSI</v>
          </cell>
          <cell r="I405" t="str">
            <v>KG</v>
          </cell>
          <cell r="J405">
            <v>4522</v>
          </cell>
        </row>
        <row r="406">
          <cell r="G406">
            <v>6792</v>
          </cell>
          <cell r="H406" t="str">
            <v>MARCO Y TAPA CIRCULAR CAMARA INSPECCIÓN ETB PL0025</v>
          </cell>
          <cell r="I406" t="str">
            <v>UN</v>
          </cell>
          <cell r="J406">
            <v>503115</v>
          </cell>
        </row>
        <row r="407">
          <cell r="G407">
            <v>6793</v>
          </cell>
          <cell r="H407" t="str">
            <v>MARCO Y TAPA CAJA INSPECCION SENCILLA CODENSA CS 275</v>
          </cell>
          <cell r="I407" t="str">
            <v>UN</v>
          </cell>
          <cell r="J407">
            <v>514983</v>
          </cell>
        </row>
        <row r="408">
          <cell r="G408">
            <v>6807</v>
          </cell>
          <cell r="H408" t="str">
            <v>FORMALETA MADERA SUMIDEROS</v>
          </cell>
          <cell r="I408" t="str">
            <v>M2</v>
          </cell>
          <cell r="J408">
            <v>41319</v>
          </cell>
        </row>
        <row r="409">
          <cell r="G409">
            <v>6824</v>
          </cell>
          <cell r="H409" t="str">
            <v>TRANSPORTE TUBERIA Y PREFABRICADOS</v>
          </cell>
          <cell r="I409" t="str">
            <v>KG</v>
          </cell>
          <cell r="J409">
            <v>32</v>
          </cell>
        </row>
        <row r="410">
          <cell r="G410">
            <v>6825</v>
          </cell>
          <cell r="H410" t="str">
            <v>BARRERA MONODIRECCIONAL NEW JERSEY (900x290x1000)</v>
          </cell>
          <cell r="I410" t="str">
            <v>UN</v>
          </cell>
          <cell r="J410">
            <v>258081</v>
          </cell>
        </row>
        <row r="411">
          <cell r="G411">
            <v>6826</v>
          </cell>
          <cell r="H411" t="str">
            <v>BARRERA BIDIRECCIONAL NEW JERSEY (800x600x1500)</v>
          </cell>
          <cell r="I411" t="str">
            <v>UN</v>
          </cell>
          <cell r="J411">
            <v>398620</v>
          </cell>
        </row>
        <row r="412">
          <cell r="G412">
            <v>6830</v>
          </cell>
          <cell r="H412" t="str">
            <v>GROUTING 10,5 MPa 1500 PSI (105 Kg/cm2)</v>
          </cell>
          <cell r="I412" t="str">
            <v>M3</v>
          </cell>
          <cell r="J412">
            <v>525980</v>
          </cell>
        </row>
        <row r="413">
          <cell r="G413">
            <v>6831</v>
          </cell>
          <cell r="H413" t="str">
            <v>GROUTING 2000 PSI 14 MPa (140 Kg/cm2)</v>
          </cell>
          <cell r="I413" t="str">
            <v>M3</v>
          </cell>
          <cell r="J413">
            <v>543830</v>
          </cell>
        </row>
        <row r="414">
          <cell r="G414">
            <v>6832</v>
          </cell>
          <cell r="H414" t="str">
            <v>GROUTING 17 MPa 2500 PSI (175 Kg/cm2)</v>
          </cell>
          <cell r="I414" t="str">
            <v>M3</v>
          </cell>
          <cell r="J414">
            <v>561680</v>
          </cell>
        </row>
        <row r="415">
          <cell r="G415">
            <v>6834</v>
          </cell>
          <cell r="H415" t="str">
            <v>TUBERIA PF D=1/2" RDE 9</v>
          </cell>
          <cell r="I415" t="str">
            <v>ML</v>
          </cell>
          <cell r="J415">
            <v>4732</v>
          </cell>
        </row>
        <row r="416">
          <cell r="G416">
            <v>6835</v>
          </cell>
          <cell r="H416" t="str">
            <v>UNION PVC PRESION U.S. D=1/2"</v>
          </cell>
          <cell r="I416" t="str">
            <v>UN</v>
          </cell>
          <cell r="J416">
            <v>501</v>
          </cell>
        </row>
        <row r="417">
          <cell r="G417">
            <v>6846</v>
          </cell>
          <cell r="H417" t="str">
            <v>ADOQUIN DE CONCRETO (200x100x80mm)</v>
          </cell>
          <cell r="I417" t="str">
            <v>UN</v>
          </cell>
          <cell r="J417">
            <v>1611</v>
          </cell>
        </row>
        <row r="418">
          <cell r="G418">
            <v>6847</v>
          </cell>
          <cell r="H418" t="str">
            <v>ADOQUIN DE CONCRETO (200x100x80mm) COLOR</v>
          </cell>
          <cell r="I418" t="str">
            <v>UN</v>
          </cell>
          <cell r="J418">
            <v>1672</v>
          </cell>
        </row>
        <row r="419">
          <cell r="G419">
            <v>6853</v>
          </cell>
          <cell r="H419" t="str">
            <v>ADOQUIN DE CONCRETO A25 (20x10x6cm)</v>
          </cell>
          <cell r="I419" t="str">
            <v>UN</v>
          </cell>
          <cell r="J419">
            <v>1247</v>
          </cell>
        </row>
        <row r="420">
          <cell r="G420">
            <v>6858</v>
          </cell>
          <cell r="H420" t="str">
            <v>CONCRETO MR50</v>
          </cell>
          <cell r="I420" t="str">
            <v>M3</v>
          </cell>
          <cell r="J420">
            <v>562870</v>
          </cell>
        </row>
        <row r="421">
          <cell r="G421">
            <v>6859</v>
          </cell>
          <cell r="H421" t="str">
            <v>CONCRETO MR45</v>
          </cell>
          <cell r="I421" t="str">
            <v>M3</v>
          </cell>
          <cell r="J421">
            <v>556920</v>
          </cell>
        </row>
        <row r="422">
          <cell r="G422">
            <v>6861</v>
          </cell>
          <cell r="H422" t="str">
            <v>LOSETA PREFABRICADA A50 - A55 - A56 (400x400x60mm)</v>
          </cell>
          <cell r="I422" t="str">
            <v>M2</v>
          </cell>
          <cell r="J422">
            <v>77763</v>
          </cell>
        </row>
        <row r="423">
          <cell r="G423">
            <v>6863</v>
          </cell>
          <cell r="H423" t="str">
            <v>CAÑUELA PREFABRICADA A120 (800x300x225mm)</v>
          </cell>
          <cell r="I423" t="str">
            <v>UN</v>
          </cell>
          <cell r="J423">
            <v>40787</v>
          </cell>
        </row>
        <row r="424">
          <cell r="G424">
            <v>6865</v>
          </cell>
          <cell r="H424" t="str">
            <v>CONCRETO TREMIE 3000 PSI (210 Kg/cm2)</v>
          </cell>
          <cell r="I424" t="str">
            <v>M3</v>
          </cell>
          <cell r="J424">
            <v>540071</v>
          </cell>
        </row>
        <row r="425">
          <cell r="G425">
            <v>6867</v>
          </cell>
          <cell r="H425" t="str">
            <v>PILOTEADORA - INCLUYE OPERARIO Y COMBUSTIBLE</v>
          </cell>
          <cell r="I425" t="str">
            <v>HR</v>
          </cell>
          <cell r="J425">
            <v>611093</v>
          </cell>
        </row>
        <row r="426">
          <cell r="G426">
            <v>6875</v>
          </cell>
          <cell r="H426" t="str">
            <v>CEMENTO ASFÁLTICO MODIFICADO CON POLÍMEROS TIPO I</v>
          </cell>
          <cell r="I426" t="str">
            <v>KG</v>
          </cell>
          <cell r="J426">
            <v>5691</v>
          </cell>
        </row>
        <row r="427">
          <cell r="G427">
            <v>6878</v>
          </cell>
          <cell r="H427" t="str">
            <v>TRANSPORTE DE BASES ASFALTICAS</v>
          </cell>
          <cell r="I427" t="str">
            <v>M3-KM</v>
          </cell>
          <cell r="J427">
            <v>1428</v>
          </cell>
        </row>
        <row r="428">
          <cell r="G428">
            <v>6884</v>
          </cell>
          <cell r="H428" t="str">
            <v>POSTE METALICO H=9m BRAZO SENCILLO (PINTADO)</v>
          </cell>
          <cell r="I428" t="str">
            <v>UN</v>
          </cell>
          <cell r="J428">
            <v>2756637</v>
          </cell>
        </row>
        <row r="429">
          <cell r="G429">
            <v>6889</v>
          </cell>
          <cell r="H429" t="str">
            <v>FONDO DE JUNTA EN ESPUMA DE POLIETILENO DE BAJA DENSIDAD D=10 mm</v>
          </cell>
          <cell r="I429" t="str">
            <v>ML</v>
          </cell>
          <cell r="J429">
            <v>915</v>
          </cell>
        </row>
        <row r="430">
          <cell r="G430">
            <v>6914</v>
          </cell>
          <cell r="H430" t="str">
            <v>CURADOR PARA CONCRETOS Y MORTEROS</v>
          </cell>
          <cell r="I430" t="str">
            <v>KG</v>
          </cell>
          <cell r="J430">
            <v>7053</v>
          </cell>
        </row>
        <row r="431">
          <cell r="G431">
            <v>6919</v>
          </cell>
          <cell r="H431" t="str">
            <v>ESMALTE URETANO GRIS (COMPONENTE A)</v>
          </cell>
          <cell r="I431" t="str">
            <v>GLN</v>
          </cell>
          <cell r="J431">
            <v>180000</v>
          </cell>
        </row>
        <row r="432">
          <cell r="G432">
            <v>6944</v>
          </cell>
          <cell r="H432" t="str">
            <v>MARCO Y TAPA CIRCULAR CAJA VEHICULAR CODENSA CS280</v>
          </cell>
          <cell r="I432" t="str">
            <v>UN</v>
          </cell>
          <cell r="J432">
            <v>475120</v>
          </cell>
        </row>
        <row r="433">
          <cell r="G433">
            <v>6958</v>
          </cell>
          <cell r="H433" t="str">
            <v>GEOTEXTIL TEJIDO FORTEX BX-60 o 5x5</v>
          </cell>
          <cell r="I433" t="str">
            <v>M2</v>
          </cell>
          <cell r="J433">
            <v>10472</v>
          </cell>
        </row>
        <row r="434">
          <cell r="G434">
            <v>6962</v>
          </cell>
          <cell r="H434" t="str">
            <v>EMULSION ASFALTICA CRL-1</v>
          </cell>
          <cell r="I434" t="str">
            <v>LT</v>
          </cell>
          <cell r="J434">
            <v>2633</v>
          </cell>
        </row>
        <row r="435">
          <cell r="G435">
            <v>6963</v>
          </cell>
          <cell r="H435" t="str">
            <v>EMULSION ASFALTICA CRR-1</v>
          </cell>
          <cell r="I435" t="str">
            <v>LT</v>
          </cell>
          <cell r="J435">
            <v>2792</v>
          </cell>
        </row>
        <row r="436">
          <cell r="G436">
            <v>6964</v>
          </cell>
          <cell r="H436" t="str">
            <v>EMULSION ASFALTICA CRR-2</v>
          </cell>
          <cell r="I436" t="str">
            <v>LT</v>
          </cell>
          <cell r="J436">
            <v>4743</v>
          </cell>
        </row>
        <row r="437">
          <cell r="G437">
            <v>7004</v>
          </cell>
          <cell r="H437" t="str">
            <v>BASE GRANULAR B-600</v>
          </cell>
          <cell r="I437" t="str">
            <v>M3</v>
          </cell>
          <cell r="J437">
            <v>46410</v>
          </cell>
        </row>
        <row r="438">
          <cell r="G438">
            <v>7005</v>
          </cell>
          <cell r="H438" t="str">
            <v>SUBBASE GRANULAR B-200</v>
          </cell>
          <cell r="I438" t="str">
            <v>M3</v>
          </cell>
          <cell r="J438">
            <v>19040</v>
          </cell>
        </row>
        <row r="439">
          <cell r="G439">
            <v>7009</v>
          </cell>
          <cell r="H439" t="str">
            <v>CORTADORA DE PAVIMENTOS (SIN DISCO) - PROFUNDIDAD DE CORTE MÁXIMO DE 16 A 20 cm - INCLUYE COMBUSTIBLE</v>
          </cell>
          <cell r="I439" t="str">
            <v>DIA</v>
          </cell>
          <cell r="J439">
            <v>62315</v>
          </cell>
        </row>
        <row r="440">
          <cell r="G440">
            <v>7012</v>
          </cell>
          <cell r="H440" t="str">
            <v>ADOQUIN DE ARCILLA 20x10x8</v>
          </cell>
          <cell r="I440" t="str">
            <v>UN</v>
          </cell>
          <cell r="J440">
            <v>997</v>
          </cell>
        </row>
        <row r="441">
          <cell r="G441">
            <v>7018</v>
          </cell>
          <cell r="H441" t="str">
            <v>SELLANTE ELASTOMERICO CON BASE EN POLIURETANO</v>
          </cell>
          <cell r="I441" t="str">
            <v>GLN</v>
          </cell>
          <cell r="J441">
            <v>256148</v>
          </cell>
        </row>
        <row r="442">
          <cell r="G442">
            <v>7019</v>
          </cell>
          <cell r="H442" t="str">
            <v>GASOLINA CORRIENTE</v>
          </cell>
          <cell r="I442" t="str">
            <v>GLN</v>
          </cell>
          <cell r="J442">
            <v>9152</v>
          </cell>
        </row>
        <row r="443">
          <cell r="G443">
            <v>7020</v>
          </cell>
          <cell r="H443" t="str">
            <v>UNION REPARACION HD EXTREMO LISO D=3"</v>
          </cell>
          <cell r="I443" t="str">
            <v>UN</v>
          </cell>
          <cell r="J443">
            <v>140420</v>
          </cell>
        </row>
        <row r="444">
          <cell r="G444">
            <v>7021</v>
          </cell>
          <cell r="H444" t="str">
            <v>UNION GIBAULT HD PARA AC CL 25 D=3"</v>
          </cell>
          <cell r="I444" t="str">
            <v>UN</v>
          </cell>
          <cell r="J444">
            <v>154700</v>
          </cell>
        </row>
        <row r="445">
          <cell r="G445">
            <v>7022</v>
          </cell>
          <cell r="H445" t="str">
            <v>UNION GIBAULT HD PARA AC CL 25 D=4"</v>
          </cell>
          <cell r="I445" t="str">
            <v>UN</v>
          </cell>
          <cell r="J445">
            <v>186434</v>
          </cell>
        </row>
        <row r="446">
          <cell r="G446">
            <v>7023</v>
          </cell>
          <cell r="H446" t="str">
            <v>UNION GIBAULT HD PARA AC CL 25 D=8"</v>
          </cell>
          <cell r="I446" t="str">
            <v>UN</v>
          </cell>
          <cell r="J446">
            <v>275306</v>
          </cell>
        </row>
        <row r="447">
          <cell r="G447">
            <v>7024</v>
          </cell>
          <cell r="H447" t="str">
            <v>UNION GIBAULT HD PARA AC CL 25 D=6"</v>
          </cell>
          <cell r="I447" t="str">
            <v>UN</v>
          </cell>
          <cell r="J447">
            <v>268412</v>
          </cell>
        </row>
        <row r="448">
          <cell r="G448">
            <v>7025</v>
          </cell>
          <cell r="H448" t="str">
            <v>UNION GIBAULT HD PARA AC CL 25 D=10"</v>
          </cell>
          <cell r="I448" t="str">
            <v>UN</v>
          </cell>
          <cell r="J448">
            <v>543333</v>
          </cell>
        </row>
        <row r="449">
          <cell r="G449">
            <v>7026</v>
          </cell>
          <cell r="H449" t="str">
            <v>UNION GIBAULT HD PARA AC CL 25 D=12"</v>
          </cell>
          <cell r="I449" t="str">
            <v>UN</v>
          </cell>
          <cell r="J449">
            <v>798889</v>
          </cell>
        </row>
        <row r="450">
          <cell r="G450">
            <v>7041</v>
          </cell>
          <cell r="H450" t="str">
            <v>TAPA Y ANILLO EN POLIPROPILENO RECICLADO PARA POZO</v>
          </cell>
          <cell r="I450" t="str">
            <v>UN</v>
          </cell>
          <cell r="J450">
            <v>1393335</v>
          </cell>
        </row>
        <row r="451">
          <cell r="G451">
            <v>7050</v>
          </cell>
          <cell r="H451" t="str">
            <v>TARIFA HORA - PERSONAL DE OBRA - OFICIAL (INCLUYE FACTOR DE PRESTACIONES)</v>
          </cell>
          <cell r="I451" t="str">
            <v>HR</v>
          </cell>
          <cell r="J451">
            <v>11464</v>
          </cell>
        </row>
        <row r="452">
          <cell r="G452">
            <v>7055</v>
          </cell>
          <cell r="H452" t="str">
            <v>CAL HIDRATADA</v>
          </cell>
          <cell r="I452" t="str">
            <v>KG</v>
          </cell>
          <cell r="J452">
            <v>547</v>
          </cell>
        </row>
        <row r="453">
          <cell r="G453">
            <v>7057</v>
          </cell>
          <cell r="H453" t="str">
            <v>TARIFA HORA - PERSONAL DE OBRA - AYUDANTE (INCLUYE FACTOR DE PRESTACIONES)</v>
          </cell>
          <cell r="I453" t="str">
            <v>HR</v>
          </cell>
          <cell r="J453">
            <v>7965</v>
          </cell>
        </row>
        <row r="454">
          <cell r="G454">
            <v>7071</v>
          </cell>
          <cell r="H454" t="str">
            <v>EMULSION ASFALTICA CRL-0</v>
          </cell>
          <cell r="I454" t="str">
            <v>LT</v>
          </cell>
          <cell r="J454">
            <v>4179</v>
          </cell>
        </row>
        <row r="455">
          <cell r="G455">
            <v>7080</v>
          </cell>
          <cell r="H455" t="str">
            <v>TUBERIA PVC SANITARIA U.S. D=4"</v>
          </cell>
          <cell r="I455" t="str">
            <v>ML</v>
          </cell>
          <cell r="J455">
            <v>31765</v>
          </cell>
        </row>
        <row r="456">
          <cell r="G456">
            <v>7081</v>
          </cell>
          <cell r="H456" t="str">
            <v>TUBERIA PVC SANITARIA U.S. D=6"</v>
          </cell>
          <cell r="I456" t="str">
            <v>ML</v>
          </cell>
          <cell r="J456">
            <v>66655</v>
          </cell>
        </row>
        <row r="457">
          <cell r="G457">
            <v>7082</v>
          </cell>
          <cell r="H457" t="str">
            <v>PLACA CUBIERTA POZO D=1.70m, e=0.25m - EAAB</v>
          </cell>
          <cell r="I457" t="str">
            <v>UN</v>
          </cell>
          <cell r="J457">
            <v>1287167</v>
          </cell>
        </row>
        <row r="458">
          <cell r="G458">
            <v>7084</v>
          </cell>
          <cell r="H458" t="str">
            <v>PLACA FONDO POZO D=1.70m, e=0.20m - EAAB</v>
          </cell>
          <cell r="I458" t="str">
            <v>UN</v>
          </cell>
          <cell r="J458">
            <v>1064311</v>
          </cell>
        </row>
        <row r="459">
          <cell r="G459">
            <v>7085</v>
          </cell>
          <cell r="H459" t="str">
            <v>SECCIÓN CILINDRO POZO D=1.20m, H=1.00m</v>
          </cell>
          <cell r="I459" t="str">
            <v>UN</v>
          </cell>
          <cell r="J459">
            <v>981745</v>
          </cell>
        </row>
        <row r="460">
          <cell r="G460">
            <v>7086</v>
          </cell>
          <cell r="H460" t="str">
            <v>SECCIÓN CILINDRO POZO D=1.20m, H=0.50m</v>
          </cell>
          <cell r="I460" t="str">
            <v>UN</v>
          </cell>
          <cell r="J460">
            <v>556697</v>
          </cell>
        </row>
        <row r="461">
          <cell r="G461">
            <v>7087</v>
          </cell>
          <cell r="H461" t="str">
            <v>SECCIÓN CILINDRO POZO D=1.20m, H=0.25m</v>
          </cell>
          <cell r="I461" t="str">
            <v>UN</v>
          </cell>
          <cell r="J461">
            <v>302484</v>
          </cell>
        </row>
        <row r="462">
          <cell r="G462">
            <v>7088</v>
          </cell>
          <cell r="H462" t="str">
            <v>ACERO FIGURADO No. 4 (Ø 1/2") F'y=60000 PSI</v>
          </cell>
          <cell r="I462" t="str">
            <v>KG</v>
          </cell>
          <cell r="J462">
            <v>4522</v>
          </cell>
        </row>
        <row r="463">
          <cell r="G463">
            <v>7089</v>
          </cell>
          <cell r="H463" t="str">
            <v>MARCO Y TAPA PARA SUMIDERO 0.52 X 0.90 EAAB NP-023</v>
          </cell>
          <cell r="I463" t="str">
            <v>UN</v>
          </cell>
          <cell r="J463">
            <v>596032</v>
          </cell>
        </row>
        <row r="464">
          <cell r="G464">
            <v>7091</v>
          </cell>
          <cell r="H464" t="str">
            <v>SUMIDERO LATERAL SL-100</v>
          </cell>
          <cell r="I464" t="str">
            <v>UN</v>
          </cell>
          <cell r="J464">
            <v>1575477</v>
          </cell>
        </row>
        <row r="465">
          <cell r="G465">
            <v>7092</v>
          </cell>
          <cell r="H465" t="str">
            <v>SUMIDERO LATERAL SL-150</v>
          </cell>
          <cell r="I465" t="str">
            <v>UN</v>
          </cell>
          <cell r="J465">
            <v>2114773</v>
          </cell>
        </row>
        <row r="466">
          <cell r="G466">
            <v>7093</v>
          </cell>
          <cell r="H466" t="str">
            <v>SUMIDERO LATERAL SL-200</v>
          </cell>
          <cell r="I466" t="str">
            <v>UN</v>
          </cell>
          <cell r="J466">
            <v>2448097</v>
          </cell>
        </row>
        <row r="467">
          <cell r="G467">
            <v>7094</v>
          </cell>
          <cell r="H467" t="str">
            <v>SUMIDERO LATERAL SL-250</v>
          </cell>
          <cell r="I467" t="str">
            <v>UN</v>
          </cell>
          <cell r="J467">
            <v>3389120</v>
          </cell>
        </row>
        <row r="468">
          <cell r="G468">
            <v>7096</v>
          </cell>
          <cell r="H468" t="str">
            <v>TAPA SUMIDERO LATERAL SL-100</v>
          </cell>
          <cell r="I468" t="str">
            <v>UN</v>
          </cell>
          <cell r="J468">
            <v>1599800</v>
          </cell>
        </row>
        <row r="469">
          <cell r="G469">
            <v>7097</v>
          </cell>
          <cell r="H469" t="str">
            <v>TAPA SUMIDERO LATERAL SL-150</v>
          </cell>
          <cell r="I469" t="str">
            <v>UN</v>
          </cell>
          <cell r="J469">
            <v>2471988</v>
          </cell>
        </row>
        <row r="470">
          <cell r="G470">
            <v>7098</v>
          </cell>
          <cell r="H470" t="str">
            <v>TAPA SUMIDERO LATERAL SL-200</v>
          </cell>
          <cell r="I470" t="str">
            <v>UN</v>
          </cell>
          <cell r="J470">
            <v>3140805</v>
          </cell>
        </row>
        <row r="471">
          <cell r="G471">
            <v>7099</v>
          </cell>
          <cell r="H471" t="str">
            <v>TAPA SUMIDERO LATERAL SL-250</v>
          </cell>
          <cell r="I471" t="str">
            <v>UN</v>
          </cell>
          <cell r="J471">
            <v>3249902</v>
          </cell>
        </row>
        <row r="472">
          <cell r="G472">
            <v>7101</v>
          </cell>
          <cell r="H472" t="str">
            <v>SOBRETAPA SUMIDERO LATERAL SL-150</v>
          </cell>
          <cell r="I472" t="str">
            <v>UN</v>
          </cell>
          <cell r="J472">
            <v>875714</v>
          </cell>
        </row>
        <row r="473">
          <cell r="G473">
            <v>7104</v>
          </cell>
          <cell r="H473" t="str">
            <v>REJILLA SUMIDERO LATERAL 83.50 X 45</v>
          </cell>
          <cell r="I473" t="str">
            <v>UN</v>
          </cell>
          <cell r="J473">
            <v>313172</v>
          </cell>
        </row>
        <row r="474">
          <cell r="G474">
            <v>7105</v>
          </cell>
          <cell r="H474" t="str">
            <v>TUBERIA PVC DRENAJE D=65MM (TUBO SIN FILTRO)</v>
          </cell>
          <cell r="I474" t="str">
            <v>ML</v>
          </cell>
          <cell r="J474">
            <v>12894</v>
          </cell>
        </row>
        <row r="475">
          <cell r="G475">
            <v>7106</v>
          </cell>
          <cell r="H475" t="str">
            <v>TUBERIA PVC DRENAJE D=100MM (TUBO SIN FILTRO)</v>
          </cell>
          <cell r="I475" t="str">
            <v>ML</v>
          </cell>
          <cell r="J475">
            <v>22050</v>
          </cell>
        </row>
        <row r="476">
          <cell r="G476">
            <v>7107</v>
          </cell>
          <cell r="H476" t="str">
            <v>TUBERIA PVC DRENAJE D=160MM (TUBO SIN FILTRO)</v>
          </cell>
          <cell r="I476" t="str">
            <v>ML</v>
          </cell>
          <cell r="J476">
            <v>47990</v>
          </cell>
        </row>
        <row r="477">
          <cell r="G477">
            <v>7109</v>
          </cell>
          <cell r="H477" t="str">
            <v>TUBERIA PVC DRENAJE D=65MM (EN ROLLO CON FILTRO)</v>
          </cell>
          <cell r="I477" t="str">
            <v>ML</v>
          </cell>
          <cell r="J477">
            <v>16699</v>
          </cell>
        </row>
        <row r="478">
          <cell r="G478">
            <v>7110</v>
          </cell>
          <cell r="H478" t="str">
            <v>TUBERIA PVC DRENAJE D=100 mm (EN ROLLO CON FILTRO)</v>
          </cell>
          <cell r="I478" t="str">
            <v>ML</v>
          </cell>
          <cell r="J478">
            <v>29032</v>
          </cell>
        </row>
        <row r="479">
          <cell r="G479">
            <v>7111</v>
          </cell>
          <cell r="H479" t="str">
            <v>TUBERIA PVC DRENAJE D=160MM (EN ROLLO CON FILTRO)</v>
          </cell>
          <cell r="I479" t="str">
            <v>ML</v>
          </cell>
          <cell r="J479">
            <v>66488</v>
          </cell>
        </row>
        <row r="480">
          <cell r="G480">
            <v>7114</v>
          </cell>
          <cell r="H480" t="str">
            <v>CONCRETO DE BAJA PERMEABILIDAD 4000 PSI 28 MPa (280 Kg/cm2)</v>
          </cell>
          <cell r="I480" t="str">
            <v>M3</v>
          </cell>
          <cell r="J480">
            <v>543830</v>
          </cell>
        </row>
        <row r="481">
          <cell r="G481">
            <v>7115</v>
          </cell>
          <cell r="H481" t="str">
            <v>ADITIVO IMPERMEABILIZANTE PARA CONCRETOS Y MORTEROS</v>
          </cell>
          <cell r="I481" t="str">
            <v>KG</v>
          </cell>
          <cell r="J481">
            <v>9127</v>
          </cell>
        </row>
        <row r="482">
          <cell r="G482">
            <v>7119</v>
          </cell>
          <cell r="H482" t="str">
            <v>TUBERIA PVC U.M. EXT/INT LISO NORMA NTC 5070 D=24"</v>
          </cell>
          <cell r="I482" t="str">
            <v>ML</v>
          </cell>
          <cell r="J482">
            <v>542118</v>
          </cell>
        </row>
        <row r="483">
          <cell r="G483">
            <v>7120</v>
          </cell>
          <cell r="H483" t="str">
            <v>TUBERIA PVC U.M. EXT/INT LISO NORMA NTC 5070 D=27"</v>
          </cell>
          <cell r="I483" t="str">
            <v>ML</v>
          </cell>
          <cell r="J483">
            <v>649119</v>
          </cell>
        </row>
        <row r="484">
          <cell r="G484">
            <v>7121</v>
          </cell>
          <cell r="H484" t="str">
            <v>TUBERIA PVC U.M. EXT/INT LISO NORMA NTC 5070 D=30"</v>
          </cell>
          <cell r="I484" t="str">
            <v>ML</v>
          </cell>
          <cell r="J484">
            <v>810038</v>
          </cell>
        </row>
        <row r="485">
          <cell r="G485">
            <v>7122</v>
          </cell>
          <cell r="H485" t="str">
            <v>TUBERIA PVC U.M. EXT/INT LISO NORMA NTC 5070 D=33"</v>
          </cell>
          <cell r="I485" t="str">
            <v>ML</v>
          </cell>
          <cell r="J485">
            <v>1077829</v>
          </cell>
        </row>
        <row r="486">
          <cell r="G486">
            <v>7123</v>
          </cell>
          <cell r="H486" t="str">
            <v>TUBERIA PVC U.M. EXT/INT LISO NORMA NTC 5070 D=36"</v>
          </cell>
          <cell r="I486" t="str">
            <v>ML</v>
          </cell>
          <cell r="J486">
            <v>1503529</v>
          </cell>
        </row>
        <row r="487">
          <cell r="G487">
            <v>7124</v>
          </cell>
          <cell r="H487" t="str">
            <v>TUBERIA PVC U.M. EXT/INT LISO NORMA NTC 5070 D=39"</v>
          </cell>
          <cell r="I487" t="str">
            <v>ML</v>
          </cell>
          <cell r="J487">
            <v>2011658</v>
          </cell>
        </row>
        <row r="488">
          <cell r="G488">
            <v>7125</v>
          </cell>
          <cell r="H488" t="str">
            <v>TUBERIA PVC U.M. EXT/INT LISO NORMA NTC 5070 D=42"</v>
          </cell>
          <cell r="I488" t="str">
            <v>ML</v>
          </cell>
          <cell r="J488">
            <v>2361667</v>
          </cell>
        </row>
        <row r="489">
          <cell r="G489">
            <v>7131</v>
          </cell>
          <cell r="H489" t="str">
            <v>GEOTEXTIL TEJIDO FORTEX BX-40</v>
          </cell>
          <cell r="I489" t="str">
            <v>M2</v>
          </cell>
          <cell r="J489">
            <v>5474</v>
          </cell>
        </row>
        <row r="490">
          <cell r="G490">
            <v>7133</v>
          </cell>
          <cell r="H490" t="str">
            <v>GEOTEXTIL TEJIDO FORTEX BX-90 o 6x6</v>
          </cell>
          <cell r="I490" t="str">
            <v>M2</v>
          </cell>
          <cell r="J490">
            <v>19397</v>
          </cell>
        </row>
        <row r="491">
          <cell r="G491">
            <v>7134</v>
          </cell>
          <cell r="H491" t="str">
            <v>GEOTEXTIL REPAV 450 o PETROMAT</v>
          </cell>
          <cell r="I491" t="str">
            <v>M2</v>
          </cell>
          <cell r="J491">
            <v>5236</v>
          </cell>
        </row>
        <row r="492">
          <cell r="G492">
            <v>7135</v>
          </cell>
          <cell r="H492" t="str">
            <v>ADOQUIN DE ARCILLA 20x10x6</v>
          </cell>
          <cell r="I492" t="str">
            <v>UN</v>
          </cell>
          <cell r="J492">
            <v>680</v>
          </cell>
        </row>
        <row r="493">
          <cell r="G493">
            <v>7138</v>
          </cell>
          <cell r="H493" t="str">
            <v>BORDE CONTENEDOR DE RAICES A70 (1070x120x135mm)</v>
          </cell>
          <cell r="I493" t="str">
            <v>UN</v>
          </cell>
          <cell r="J493">
            <v>24687</v>
          </cell>
        </row>
        <row r="494">
          <cell r="G494">
            <v>7141</v>
          </cell>
          <cell r="H494" t="str">
            <v>SARDINEL BAJO A85 - RAMPAS (800x200x350mm)</v>
          </cell>
          <cell r="I494" t="str">
            <v>UN</v>
          </cell>
          <cell r="J494">
            <v>42519</v>
          </cell>
        </row>
        <row r="495">
          <cell r="G495">
            <v>7142</v>
          </cell>
          <cell r="H495" t="str">
            <v>DUCTO PVC TIPO TDP D=6"</v>
          </cell>
          <cell r="I495" t="str">
            <v>ML</v>
          </cell>
          <cell r="J495">
            <v>52199</v>
          </cell>
        </row>
        <row r="496">
          <cell r="G496">
            <v>7145</v>
          </cell>
          <cell r="H496" t="str">
            <v>MARCO Y TAPA CAJA INSPECCION AP / BT CODENSA CS274</v>
          </cell>
          <cell r="I496" t="str">
            <v>UN</v>
          </cell>
          <cell r="J496">
            <v>298435</v>
          </cell>
        </row>
        <row r="497">
          <cell r="G497">
            <v>7146</v>
          </cell>
          <cell r="H497" t="str">
            <v>MANLIFT - PLATAFORMA ELEVADORA A COMBUSTIÓN DE BRAZO ARTICULADO - ALTURA MÁXIMA DE TRABAJO DE 16 A 18 M - INCLUYE OPERARIO Y COMBUSTIBLE</v>
          </cell>
          <cell r="I497" t="str">
            <v>HR</v>
          </cell>
          <cell r="J497">
            <v>80859</v>
          </cell>
        </row>
        <row r="498">
          <cell r="G498">
            <v>7147</v>
          </cell>
          <cell r="H498" t="str">
            <v>POSTE EN CONCRETO AP, H=8m, CR=750 KG</v>
          </cell>
          <cell r="I498" t="str">
            <v>UN</v>
          </cell>
          <cell r="J498">
            <v>500000</v>
          </cell>
        </row>
        <row r="499">
          <cell r="G499">
            <v>7151</v>
          </cell>
          <cell r="H499" t="str">
            <v>MARCO Y TAPA CAJA PASO SENCILLA EN CALZADA ETB</v>
          </cell>
          <cell r="I499" t="str">
            <v>UN</v>
          </cell>
          <cell r="J499">
            <v>383641</v>
          </cell>
        </row>
        <row r="500">
          <cell r="G500">
            <v>7152</v>
          </cell>
          <cell r="H500" t="str">
            <v>MARCO Y TAPAS CAJA PASO DOBLE EN CALZADA ETB</v>
          </cell>
          <cell r="I500" t="str">
            <v>UN</v>
          </cell>
          <cell r="J500">
            <v>636499</v>
          </cell>
        </row>
        <row r="501">
          <cell r="G501">
            <v>7153</v>
          </cell>
          <cell r="H501" t="str">
            <v>EMULSION MODIFICADA CON POLIMEROS CRR-1m</v>
          </cell>
          <cell r="I501" t="str">
            <v>LT</v>
          </cell>
          <cell r="J501">
            <v>3420</v>
          </cell>
        </row>
        <row r="502">
          <cell r="G502">
            <v>7154</v>
          </cell>
          <cell r="H502" t="str">
            <v>EMULSION MODIFICADA CON POLIMEROS CRR-2m</v>
          </cell>
          <cell r="I502" t="str">
            <v>LT</v>
          </cell>
          <cell r="J502">
            <v>3643</v>
          </cell>
        </row>
        <row r="503">
          <cell r="G503">
            <v>7157</v>
          </cell>
          <cell r="H503" t="str">
            <v>BASE GRANULAR CLASE C (BG_C)</v>
          </cell>
          <cell r="I503" t="str">
            <v>M3</v>
          </cell>
          <cell r="J503">
            <v>73780</v>
          </cell>
        </row>
        <row r="504">
          <cell r="G504">
            <v>7158</v>
          </cell>
          <cell r="H504" t="str">
            <v>BASE GRANULAR CLASE B (BG_B)</v>
          </cell>
          <cell r="I504" t="str">
            <v>M3</v>
          </cell>
          <cell r="J504">
            <v>85680</v>
          </cell>
        </row>
        <row r="505">
          <cell r="G505">
            <v>7159</v>
          </cell>
          <cell r="H505" t="str">
            <v>BASE GRANULAR CLASE A (BG_A)</v>
          </cell>
          <cell r="I505" t="str">
            <v>M3</v>
          </cell>
          <cell r="J505">
            <v>78540</v>
          </cell>
        </row>
        <row r="506">
          <cell r="G506">
            <v>7160</v>
          </cell>
          <cell r="H506" t="str">
            <v>SUBBASE GRANULAR CLASE C (SBG_C)</v>
          </cell>
          <cell r="I506" t="str">
            <v>M3</v>
          </cell>
          <cell r="J506">
            <v>64260</v>
          </cell>
        </row>
        <row r="507">
          <cell r="G507">
            <v>7161</v>
          </cell>
          <cell r="H507" t="str">
            <v>SUBBASE GRANULAR CLASE B (SBG_B)</v>
          </cell>
          <cell r="I507" t="str">
            <v>M3</v>
          </cell>
          <cell r="J507">
            <v>71400</v>
          </cell>
        </row>
        <row r="508">
          <cell r="G508">
            <v>7162</v>
          </cell>
          <cell r="H508" t="str">
            <v>SUBBASE GRANULAR CLASE A (SBG_A)</v>
          </cell>
          <cell r="I508" t="str">
            <v>M3</v>
          </cell>
          <cell r="J508">
            <v>66640</v>
          </cell>
        </row>
        <row r="509">
          <cell r="G509">
            <v>7166</v>
          </cell>
          <cell r="H509" t="str">
            <v>ESTABILIZADORA / RECICLADORA EN FRÍO - ANCHO DE CORTE/MEZCLA DE 2.4 A 2.7 M - PROFUNDIDAD DE CORTE/MEZCLA DE  476 A 518 MM - INCLUYE OPERARIO Y COMBUSTIBLE</v>
          </cell>
          <cell r="I509" t="str">
            <v>HR</v>
          </cell>
          <cell r="J509">
            <v>613415</v>
          </cell>
        </row>
        <row r="510">
          <cell r="G510">
            <v>7172</v>
          </cell>
          <cell r="H510" t="str">
            <v>MEZCLA ASFÁLTICA EN CALIENTE TIPO DENSO MD20 CON CEMENTO ASFÁLTICO 80-100</v>
          </cell>
          <cell r="I510" t="str">
            <v>M3</v>
          </cell>
          <cell r="J510">
            <v>778007</v>
          </cell>
        </row>
        <row r="511">
          <cell r="G511">
            <v>7174</v>
          </cell>
          <cell r="H511" t="str">
            <v>MEZCLA ASFÁLTICA DENSA EN CALIENTE MD12 CON CEMENTO ASFÁLTICO 80-100</v>
          </cell>
          <cell r="I511" t="str">
            <v>M3</v>
          </cell>
          <cell r="J511">
            <v>785964</v>
          </cell>
        </row>
        <row r="512">
          <cell r="G512">
            <v>7181</v>
          </cell>
          <cell r="H512" t="str">
            <v>MEZCLA ASFÁLTICA EN CALIENTE TIPO DENSO MD10 CON CEMENTO ASFÁLTICO 80-100</v>
          </cell>
          <cell r="I512" t="str">
            <v>M3</v>
          </cell>
          <cell r="J512">
            <v>864654</v>
          </cell>
        </row>
        <row r="513">
          <cell r="G513">
            <v>7199</v>
          </cell>
          <cell r="H513" t="str">
            <v>CONCRETO MR39 (245 Kg/cm2)</v>
          </cell>
          <cell r="I513" t="str">
            <v>M3</v>
          </cell>
          <cell r="J513">
            <v>525980</v>
          </cell>
        </row>
        <row r="514">
          <cell r="G514">
            <v>7200</v>
          </cell>
          <cell r="H514" t="str">
            <v>CONCRETO MR36 (210 Kg/cm2)</v>
          </cell>
          <cell r="I514" t="str">
            <v>M3</v>
          </cell>
          <cell r="J514">
            <v>523600</v>
          </cell>
        </row>
        <row r="515">
          <cell r="G515">
            <v>7202</v>
          </cell>
          <cell r="H515" t="str">
            <v>MALLA ELECTROSOLDADA S=250x250mm, Ø=4x4mm</v>
          </cell>
          <cell r="I515" t="str">
            <v>KG</v>
          </cell>
          <cell r="J515">
            <v>5474</v>
          </cell>
        </row>
        <row r="516">
          <cell r="G516">
            <v>7203</v>
          </cell>
          <cell r="H516" t="str">
            <v>MALLA ELECTROSOLDADA S=150x150mm, Ø=5x5mm</v>
          </cell>
          <cell r="I516" t="str">
            <v>KG</v>
          </cell>
          <cell r="J516">
            <v>5474</v>
          </cell>
        </row>
        <row r="517">
          <cell r="G517">
            <v>7204</v>
          </cell>
          <cell r="H517" t="str">
            <v>MALLA ELECTROSOLDADA S=150x150mm, Ø=6x6mm</v>
          </cell>
          <cell r="I517" t="str">
            <v>KG</v>
          </cell>
          <cell r="J517">
            <v>5474</v>
          </cell>
        </row>
        <row r="518">
          <cell r="G518">
            <v>7205</v>
          </cell>
          <cell r="H518" t="str">
            <v>MALLA ELECTROSOLDADA S=150x150mm, Ø=7x7mm</v>
          </cell>
          <cell r="I518" t="str">
            <v>KG</v>
          </cell>
          <cell r="J518">
            <v>5474</v>
          </cell>
        </row>
        <row r="519">
          <cell r="G519">
            <v>7206</v>
          </cell>
          <cell r="H519" t="str">
            <v>MALLA ELECTROSOLDADA S=150x150mm, Ø=8x8mm</v>
          </cell>
          <cell r="I519" t="str">
            <v>KG</v>
          </cell>
          <cell r="J519">
            <v>5474</v>
          </cell>
        </row>
        <row r="520">
          <cell r="G520">
            <v>7207</v>
          </cell>
          <cell r="H520" t="str">
            <v>MALLA ELECTROSOLDADA S=150x150mm, Ø=4x4mm</v>
          </cell>
          <cell r="I520" t="str">
            <v>KG</v>
          </cell>
          <cell r="J520">
            <v>5474</v>
          </cell>
        </row>
        <row r="521">
          <cell r="G521">
            <v>7208</v>
          </cell>
          <cell r="H521" t="str">
            <v>MALLA ELECTROSOLDADA S=200x200mm, Ø=4x4mm</v>
          </cell>
          <cell r="I521" t="str">
            <v>KG</v>
          </cell>
          <cell r="J521">
            <v>5474</v>
          </cell>
        </row>
        <row r="522">
          <cell r="G522">
            <v>7216</v>
          </cell>
          <cell r="H522" t="str">
            <v>PINTURA TERMOPLASTICA (Sum y Aplic. con Microesf.)</v>
          </cell>
          <cell r="I522" t="str">
            <v>M2</v>
          </cell>
          <cell r="J522">
            <v>121085</v>
          </cell>
        </row>
        <row r="523">
          <cell r="G523">
            <v>7219</v>
          </cell>
          <cell r="H523" t="str">
            <v>MARCO Y TAPAS CAJA INSPECCION DOBLE CODENSA CS276</v>
          </cell>
          <cell r="I523" t="str">
            <v>UN</v>
          </cell>
          <cell r="J523">
            <v>906528</v>
          </cell>
        </row>
        <row r="524">
          <cell r="G524">
            <v>7224</v>
          </cell>
          <cell r="H524" t="str">
            <v>AROBASE AROTAPA HF TIPO 1 EAAB NP-024</v>
          </cell>
          <cell r="I524" t="str">
            <v>UN</v>
          </cell>
          <cell r="J524">
            <v>353314</v>
          </cell>
        </row>
        <row r="525">
          <cell r="G525">
            <v>7227</v>
          </cell>
          <cell r="H525" t="str">
            <v>TOPELLANTAS (500x200x150mm)</v>
          </cell>
          <cell r="I525" t="str">
            <v>UN</v>
          </cell>
          <cell r="J525">
            <v>29941</v>
          </cell>
        </row>
        <row r="526">
          <cell r="G526">
            <v>7228</v>
          </cell>
          <cell r="H526" t="str">
            <v>MARCO REJILLA SUMIDERO LATERAL 100 X 65</v>
          </cell>
          <cell r="I526" t="str">
            <v>UN</v>
          </cell>
          <cell r="J526">
            <v>173074</v>
          </cell>
        </row>
        <row r="527">
          <cell r="G527">
            <v>7229</v>
          </cell>
          <cell r="H527" t="str">
            <v>TIERRA NEGRA</v>
          </cell>
          <cell r="I527" t="str">
            <v>M3</v>
          </cell>
          <cell r="J527">
            <v>50000</v>
          </cell>
        </row>
        <row r="528">
          <cell r="G528">
            <v>7231</v>
          </cell>
          <cell r="H528" t="str">
            <v>DERECHOS DE BOTADERO</v>
          </cell>
          <cell r="I528" t="str">
            <v>M3</v>
          </cell>
          <cell r="J528">
            <v>4467</v>
          </cell>
        </row>
        <row r="529">
          <cell r="G529">
            <v>7236</v>
          </cell>
          <cell r="H529" t="str">
            <v>LUBRICANTE U.M. (EMPAQUE 500 gr)</v>
          </cell>
          <cell r="I529" t="str">
            <v>UN</v>
          </cell>
          <cell r="J529">
            <v>28166</v>
          </cell>
        </row>
        <row r="530">
          <cell r="G530">
            <v>7244</v>
          </cell>
          <cell r="H530" t="str">
            <v>UNION PVC U.M. EXT CORRUGADO/INT LISO U.M. NORMA NTC 3722-1 D=110MM (4")</v>
          </cell>
          <cell r="I530" t="str">
            <v>UN</v>
          </cell>
          <cell r="J530">
            <v>15679</v>
          </cell>
        </row>
        <row r="531">
          <cell r="G531">
            <v>7245</v>
          </cell>
          <cell r="H531" t="str">
            <v>UNION PVC U.M. EXT CORRUGADO/INT LISO U.M. NORMA NTC 3722-1 D=160MM (6")</v>
          </cell>
          <cell r="I531" t="str">
            <v>UN</v>
          </cell>
          <cell r="J531">
            <v>37991</v>
          </cell>
        </row>
        <row r="532">
          <cell r="G532">
            <v>7246</v>
          </cell>
          <cell r="H532" t="str">
            <v>TARIFA JORNAL - PERSONAL DE OBRA- TÉCNICO ELÉCTRICO (INCLUYE FACTOR DE PRESTACIONES)</v>
          </cell>
          <cell r="I532" t="str">
            <v>JR</v>
          </cell>
          <cell r="J532">
            <v>105713</v>
          </cell>
        </row>
        <row r="533">
          <cell r="G533">
            <v>7247</v>
          </cell>
          <cell r="H533" t="str">
            <v>TARIFA HORA - PERSONAL DE OBRA- TÉCNICO ELÉCTRICO (INCLUYE FACTOR DE PRESTACIONES)</v>
          </cell>
          <cell r="I533" t="str">
            <v>HR</v>
          </cell>
          <cell r="J533">
            <v>13215</v>
          </cell>
        </row>
        <row r="534">
          <cell r="G534">
            <v>7248</v>
          </cell>
          <cell r="H534" t="str">
            <v>TARIFA JORNAL - PERSONAL DE OBRA -  TECNICO PLOMERO (INCLUYE FACTOR DE PRESTACIONES)</v>
          </cell>
          <cell r="I534" t="str">
            <v>JR</v>
          </cell>
          <cell r="J534">
            <v>105713</v>
          </cell>
        </row>
        <row r="535">
          <cell r="G535">
            <v>7249</v>
          </cell>
          <cell r="H535" t="str">
            <v>TARIFA HORA - PERSONAL DE OBRA -  TECNICO PLOMERO (INCLUYE FACTOR DE PRESTACIONES)</v>
          </cell>
          <cell r="I535" t="str">
            <v>HR</v>
          </cell>
          <cell r="J535">
            <v>13215</v>
          </cell>
        </row>
        <row r="536">
          <cell r="G536">
            <v>7252</v>
          </cell>
          <cell r="H536" t="str">
            <v>PLANCHON EN ORDINARIO 2.90 X 0.18 X 0.04</v>
          </cell>
          <cell r="I536" t="str">
            <v>UN</v>
          </cell>
          <cell r="J536">
            <v>27846</v>
          </cell>
        </row>
        <row r="537">
          <cell r="G537">
            <v>7253</v>
          </cell>
          <cell r="H537" t="str">
            <v>PLANCHON EN ORDINARIO 3.90 X 0.18 X 0.04</v>
          </cell>
          <cell r="I537" t="str">
            <v>UN</v>
          </cell>
          <cell r="J537">
            <v>53550</v>
          </cell>
        </row>
        <row r="538">
          <cell r="G538">
            <v>7254</v>
          </cell>
          <cell r="H538" t="str">
            <v>PLANCHON EN ORDINARIO 4.90 X 0.18 X 0.04</v>
          </cell>
          <cell r="I538" t="str">
            <v>UN</v>
          </cell>
          <cell r="J538">
            <v>83300</v>
          </cell>
        </row>
        <row r="539">
          <cell r="G539">
            <v>7255</v>
          </cell>
          <cell r="H539" t="str">
            <v>PLANCHON EN ORDINARIO 5.90 X 0.18 X 0.04</v>
          </cell>
          <cell r="I539" t="str">
            <v>UN</v>
          </cell>
          <cell r="J539">
            <v>107100</v>
          </cell>
        </row>
        <row r="540">
          <cell r="G540">
            <v>7256</v>
          </cell>
          <cell r="H540" t="str">
            <v>REPISA EN ORDINARIO 2.90 X 0.08 X 0.04</v>
          </cell>
          <cell r="I540" t="str">
            <v>UN</v>
          </cell>
          <cell r="J540">
            <v>11424</v>
          </cell>
        </row>
        <row r="541">
          <cell r="G541">
            <v>7257</v>
          </cell>
          <cell r="H541" t="str">
            <v>REPISA EN ORDINARIO 3.90 X 0.08 X 0.04</v>
          </cell>
          <cell r="I541" t="str">
            <v>UN</v>
          </cell>
          <cell r="J541">
            <v>26775</v>
          </cell>
        </row>
        <row r="542">
          <cell r="G542">
            <v>7258</v>
          </cell>
          <cell r="H542" t="str">
            <v>REPISA EN ORDINARIO 4.90 X 0.08 X 0.04</v>
          </cell>
          <cell r="I542" t="str">
            <v>UN</v>
          </cell>
          <cell r="J542">
            <v>41650</v>
          </cell>
        </row>
        <row r="543">
          <cell r="G543">
            <v>7259</v>
          </cell>
          <cell r="H543" t="str">
            <v>REPISA EN ORDINARIO 5.90 X 0.08 X 0.04</v>
          </cell>
          <cell r="I543" t="str">
            <v>UN</v>
          </cell>
          <cell r="J543">
            <v>53550</v>
          </cell>
        </row>
        <row r="544">
          <cell r="G544">
            <v>7260</v>
          </cell>
          <cell r="H544" t="str">
            <v>DURMIENTE EN ORDINARIO 2.90 X 0.04 X 0.04</v>
          </cell>
          <cell r="I544" t="str">
            <v>UN</v>
          </cell>
          <cell r="J544">
            <v>5712</v>
          </cell>
        </row>
        <row r="545">
          <cell r="G545">
            <v>7261</v>
          </cell>
          <cell r="H545" t="str">
            <v>DURMIENTE EN ORDINARIO 3.90 X 0.04 X 0.04</v>
          </cell>
          <cell r="I545" t="str">
            <v>UN</v>
          </cell>
          <cell r="J545">
            <v>13388</v>
          </cell>
        </row>
        <row r="546">
          <cell r="G546">
            <v>7262</v>
          </cell>
          <cell r="H546" t="str">
            <v>CERCO EN ORDINARIO 2.90 X 0.08 X 0.08</v>
          </cell>
          <cell r="I546" t="str">
            <v>UN</v>
          </cell>
          <cell r="J546">
            <v>25109</v>
          </cell>
        </row>
        <row r="547">
          <cell r="G547">
            <v>7263</v>
          </cell>
          <cell r="H547" t="str">
            <v>CERCO EN ORDINARIO 3.90 X 0.08 X 0.08</v>
          </cell>
          <cell r="I547" t="str">
            <v>UN</v>
          </cell>
          <cell r="J547">
            <v>53550</v>
          </cell>
        </row>
        <row r="548">
          <cell r="G548">
            <v>7264</v>
          </cell>
          <cell r="H548" t="str">
            <v>CERCO EN ORDINARIO 4.90 X 0.08 X 0.08</v>
          </cell>
          <cell r="I548" t="str">
            <v>UN</v>
          </cell>
          <cell r="J548">
            <v>83300</v>
          </cell>
        </row>
        <row r="549">
          <cell r="G549">
            <v>7265</v>
          </cell>
          <cell r="H549" t="str">
            <v>CERCO EN ORDINARIO 5.90 X 0.08 X 0.08</v>
          </cell>
          <cell r="I549" t="str">
            <v>UN</v>
          </cell>
          <cell r="J549">
            <v>107100</v>
          </cell>
        </row>
        <row r="550">
          <cell r="G550">
            <v>7266</v>
          </cell>
          <cell r="H550" t="str">
            <v>TABLA BURRA EN ORDINARIO 2.90 X 0.28 X 0.025</v>
          </cell>
          <cell r="I550" t="str">
            <v>UN</v>
          </cell>
          <cell r="J550">
            <v>22015</v>
          </cell>
        </row>
        <row r="551">
          <cell r="G551">
            <v>7267</v>
          </cell>
          <cell r="H551" t="str">
            <v>TABLA BURRA EN ORDINARIO 2.90 X 0.23 X 0.025</v>
          </cell>
          <cell r="I551" t="str">
            <v>UN</v>
          </cell>
          <cell r="J551">
            <v>18445</v>
          </cell>
        </row>
        <row r="552">
          <cell r="G552">
            <v>7268</v>
          </cell>
          <cell r="H552" t="str">
            <v>TABLA BURRA EN ORDINARIO 2.90 X 0.18 X 0.025</v>
          </cell>
          <cell r="I552" t="str">
            <v>UN</v>
          </cell>
          <cell r="J552">
            <v>14994</v>
          </cell>
        </row>
        <row r="553">
          <cell r="G553">
            <v>7269</v>
          </cell>
          <cell r="H553" t="str">
            <v>TABLA BURRA EN ORDINARIO 2.90 X 0.13 X 0.025</v>
          </cell>
          <cell r="I553" t="str">
            <v>UN</v>
          </cell>
          <cell r="J553">
            <v>11543</v>
          </cell>
        </row>
        <row r="554">
          <cell r="G554">
            <v>7270</v>
          </cell>
          <cell r="H554" t="str">
            <v>TABLA CHAPA EN ORDINARIO 2.90 X 0.28 X 0.02</v>
          </cell>
          <cell r="I554" t="str">
            <v>UN</v>
          </cell>
          <cell r="J554">
            <v>17850</v>
          </cell>
        </row>
        <row r="555">
          <cell r="G555">
            <v>7271</v>
          </cell>
          <cell r="H555" t="str">
            <v>TABLA CHAPA EN ORDINARIO 2.90 X 0.23 X 0.02</v>
          </cell>
          <cell r="I555" t="str">
            <v>UN</v>
          </cell>
          <cell r="J555">
            <v>14994</v>
          </cell>
        </row>
        <row r="556">
          <cell r="G556">
            <v>7272</v>
          </cell>
          <cell r="H556" t="str">
            <v>TABLA CHAPA EN ORDINARIO 2.90 X 0.18 X 0.02</v>
          </cell>
          <cell r="I556" t="str">
            <v>UN</v>
          </cell>
          <cell r="J556">
            <v>12257</v>
          </cell>
        </row>
        <row r="557">
          <cell r="G557">
            <v>7273</v>
          </cell>
          <cell r="H557" t="str">
            <v>TABLA CHAPA EN ORDINARIO 2.90 X 0.13 X 0.02</v>
          </cell>
          <cell r="I557" t="str">
            <v>UN</v>
          </cell>
          <cell r="J557">
            <v>9401</v>
          </cell>
        </row>
        <row r="558">
          <cell r="G558">
            <v>7274</v>
          </cell>
          <cell r="H558" t="str">
            <v>CAMILLA EN ORDINARIO 1.40 X 0.70</v>
          </cell>
          <cell r="I558" t="str">
            <v>UN</v>
          </cell>
          <cell r="J558">
            <v>35700</v>
          </cell>
        </row>
        <row r="559">
          <cell r="G559">
            <v>7275</v>
          </cell>
          <cell r="H559" t="str">
            <v>LISTON EN ORDINARIO 3.00 X 0.10 X 0.018</v>
          </cell>
          <cell r="I559" t="str">
            <v>UN</v>
          </cell>
          <cell r="J559">
            <v>10115</v>
          </cell>
        </row>
        <row r="560">
          <cell r="G560">
            <v>7276</v>
          </cell>
          <cell r="H560" t="str">
            <v>LIMATON 3.00 M</v>
          </cell>
          <cell r="I560" t="str">
            <v>UN</v>
          </cell>
          <cell r="J560">
            <v>17010</v>
          </cell>
        </row>
        <row r="561">
          <cell r="G561">
            <v>7277</v>
          </cell>
          <cell r="H561" t="str">
            <v>LIMATON 4.00 M</v>
          </cell>
          <cell r="I561" t="str">
            <v>UN</v>
          </cell>
          <cell r="J561">
            <v>22680</v>
          </cell>
        </row>
        <row r="562">
          <cell r="G562">
            <v>7278</v>
          </cell>
          <cell r="H562" t="str">
            <v>LIMATON 5.00 M</v>
          </cell>
          <cell r="I562" t="str">
            <v>UN</v>
          </cell>
          <cell r="J562">
            <v>28350</v>
          </cell>
        </row>
        <row r="563">
          <cell r="G563">
            <v>7279</v>
          </cell>
          <cell r="H563" t="str">
            <v>LIMATON 6.00 M</v>
          </cell>
          <cell r="I563" t="str">
            <v>UN</v>
          </cell>
          <cell r="J563">
            <v>31500</v>
          </cell>
        </row>
        <row r="564">
          <cell r="G564">
            <v>7280</v>
          </cell>
          <cell r="H564" t="str">
            <v>LIMATON 7.00 M</v>
          </cell>
          <cell r="I564" t="str">
            <v>UN</v>
          </cell>
          <cell r="J564">
            <v>58800</v>
          </cell>
        </row>
        <row r="565">
          <cell r="G565">
            <v>7281</v>
          </cell>
          <cell r="H565" t="str">
            <v>LIMATON 8.00 M</v>
          </cell>
          <cell r="I565" t="str">
            <v>UN</v>
          </cell>
          <cell r="J565">
            <v>67200</v>
          </cell>
        </row>
        <row r="566">
          <cell r="G566">
            <v>7282</v>
          </cell>
          <cell r="H566" t="str">
            <v>VARA DE CORREDOR 3.0 M</v>
          </cell>
          <cell r="I566" t="str">
            <v>UN</v>
          </cell>
          <cell r="J566">
            <v>8400</v>
          </cell>
        </row>
        <row r="567">
          <cell r="G567">
            <v>7283</v>
          </cell>
          <cell r="H567" t="str">
            <v>VARA DE CORREDOR 4.0 M</v>
          </cell>
          <cell r="I567" t="str">
            <v>UN</v>
          </cell>
          <cell r="J567">
            <v>12075</v>
          </cell>
        </row>
        <row r="568">
          <cell r="G568">
            <v>7284</v>
          </cell>
          <cell r="H568" t="str">
            <v>VARA DE CORREDOR 5.0 M</v>
          </cell>
          <cell r="I568" t="str">
            <v>UN</v>
          </cell>
          <cell r="J568">
            <v>15225</v>
          </cell>
        </row>
        <row r="569">
          <cell r="G569">
            <v>7285</v>
          </cell>
          <cell r="H569" t="str">
            <v>VARA DE CORREDOR 6.0 M</v>
          </cell>
          <cell r="I569" t="str">
            <v>UN</v>
          </cell>
          <cell r="J569">
            <v>12390</v>
          </cell>
        </row>
        <row r="570">
          <cell r="G570">
            <v>7287</v>
          </cell>
          <cell r="H570" t="str">
            <v>VARA DE CLAVO 3.00 M</v>
          </cell>
          <cell r="I570" t="str">
            <v>UN</v>
          </cell>
          <cell r="J570">
            <v>5775</v>
          </cell>
        </row>
        <row r="571">
          <cell r="G571">
            <v>7288</v>
          </cell>
          <cell r="H571" t="str">
            <v>VARA DE CLAVO 6.00 M</v>
          </cell>
          <cell r="I571" t="str">
            <v>UN</v>
          </cell>
          <cell r="J571">
            <v>10710</v>
          </cell>
        </row>
        <row r="572">
          <cell r="G572">
            <v>7289</v>
          </cell>
          <cell r="H572" t="str">
            <v>BLOQUE PARA CAMARA TELEFONICA EPM -TELECOM</v>
          </cell>
          <cell r="I572" t="str">
            <v>UN</v>
          </cell>
          <cell r="J572">
            <v>4907</v>
          </cell>
        </row>
        <row r="573">
          <cell r="G573">
            <v>7291</v>
          </cell>
          <cell r="H573" t="str">
            <v>MARCO Y TAPA CIRCULAR TELECOM CT-014 (F)</v>
          </cell>
          <cell r="I573" t="str">
            <v>UN</v>
          </cell>
          <cell r="J573">
            <v>372351</v>
          </cell>
        </row>
        <row r="574">
          <cell r="G574">
            <v>7293</v>
          </cell>
          <cell r="H574" t="str">
            <v>MARCO Y TAPA CAMARA F1 TELECOM CT-043 (F)</v>
          </cell>
          <cell r="I574" t="str">
            <v>UN</v>
          </cell>
          <cell r="J574">
            <v>546345</v>
          </cell>
        </row>
        <row r="575">
          <cell r="G575">
            <v>7295</v>
          </cell>
          <cell r="H575" t="str">
            <v>MARCO Y TAPAS CAMARA DOBLE F1 TELECOM CT-044 (F)</v>
          </cell>
          <cell r="I575" t="str">
            <v>UN</v>
          </cell>
          <cell r="J575">
            <v>554098</v>
          </cell>
        </row>
        <row r="576">
          <cell r="G576">
            <v>7298</v>
          </cell>
          <cell r="H576" t="str">
            <v>MARCO Y TAPA CAMARA F2 TELECOM CT-053 (F)</v>
          </cell>
          <cell r="I576" t="str">
            <v>UN</v>
          </cell>
          <cell r="J576">
            <v>280059</v>
          </cell>
        </row>
        <row r="577">
          <cell r="G577">
            <v>7300</v>
          </cell>
          <cell r="H577" t="str">
            <v>DUCTO TELEFONICO LIVIANO PVC TIPO EB D=6"</v>
          </cell>
          <cell r="I577" t="str">
            <v>ML</v>
          </cell>
          <cell r="J577">
            <v>51268</v>
          </cell>
        </row>
        <row r="578">
          <cell r="G578">
            <v>7302</v>
          </cell>
          <cell r="H578" t="str">
            <v>DUCTO PESADO PVC TIPO DB D=2"</v>
          </cell>
          <cell r="I578" t="str">
            <v>ML</v>
          </cell>
          <cell r="J578">
            <v>9100</v>
          </cell>
        </row>
        <row r="579">
          <cell r="G579">
            <v>7303</v>
          </cell>
          <cell r="H579" t="str">
            <v>DUCTO PESADO PVC TIPO DB D=3"</v>
          </cell>
          <cell r="I579" t="str">
            <v>ML</v>
          </cell>
          <cell r="J579">
            <v>20168</v>
          </cell>
        </row>
        <row r="580">
          <cell r="G580">
            <v>7304</v>
          </cell>
          <cell r="H580" t="str">
            <v>DUCTO PESADO PVC TIPO DB D=4"</v>
          </cell>
          <cell r="I580" t="str">
            <v>ML</v>
          </cell>
          <cell r="J580">
            <v>34029</v>
          </cell>
        </row>
        <row r="581">
          <cell r="G581">
            <v>7305</v>
          </cell>
          <cell r="H581" t="str">
            <v>DUCTO PESADO PVC TIPO DB D=6"</v>
          </cell>
          <cell r="I581" t="str">
            <v>ML</v>
          </cell>
          <cell r="J581">
            <v>70974</v>
          </cell>
        </row>
        <row r="582">
          <cell r="G582">
            <v>7306</v>
          </cell>
          <cell r="H582" t="str">
            <v>CINTA DE DEMARCACION Cal. 3 (ROLLO 500mx0.10m)</v>
          </cell>
          <cell r="I582" t="str">
            <v>UN</v>
          </cell>
          <cell r="J582">
            <v>28649</v>
          </cell>
        </row>
        <row r="583">
          <cell r="G583">
            <v>7307</v>
          </cell>
          <cell r="H583" t="str">
            <v>SOLDADURA SOLVENTE PARA PVC (1/4 GLN)</v>
          </cell>
          <cell r="I583" t="str">
            <v>UN</v>
          </cell>
          <cell r="J583">
            <v>82900</v>
          </cell>
        </row>
        <row r="584">
          <cell r="G584">
            <v>7308</v>
          </cell>
          <cell r="H584" t="str">
            <v>TARIFA MES - SMMLV</v>
          </cell>
          <cell r="I584" t="str">
            <v>MES</v>
          </cell>
          <cell r="J584">
            <v>1160000</v>
          </cell>
        </row>
        <row r="585">
          <cell r="G585">
            <v>7309</v>
          </cell>
          <cell r="H585" t="str">
            <v>ACERO FIGURADO Ø 1/4" A Ø 1" F'y=60000 PSI - Puesto en obra</v>
          </cell>
          <cell r="I585" t="str">
            <v>KG</v>
          </cell>
          <cell r="J585">
            <v>4570</v>
          </cell>
        </row>
        <row r="586">
          <cell r="G586">
            <v>7313</v>
          </cell>
          <cell r="H586" t="str">
            <v>VIBRADOR DE EJE FLEXIBLE ELÉCTRICO - POTENCIA DE 2 A 3 HP</v>
          </cell>
          <cell r="I586" t="str">
            <v>DIA</v>
          </cell>
          <cell r="J586">
            <v>26180</v>
          </cell>
        </row>
        <row r="587">
          <cell r="G587">
            <v>7317</v>
          </cell>
          <cell r="H587" t="str">
            <v>GEOTEXTIL NT 2500 o 501 NT</v>
          </cell>
          <cell r="I587" t="str">
            <v>M2</v>
          </cell>
          <cell r="J587">
            <v>4998</v>
          </cell>
        </row>
        <row r="588">
          <cell r="G588">
            <v>7325</v>
          </cell>
          <cell r="H588" t="str">
            <v>MANTO BIOLOGICO BIOTEX</v>
          </cell>
          <cell r="I588" t="str">
            <v>M2</v>
          </cell>
          <cell r="J588">
            <v>6831</v>
          </cell>
        </row>
        <row r="589">
          <cell r="G589">
            <v>7336</v>
          </cell>
          <cell r="H589" t="str">
            <v>LIMPIADOR (1/4 GLN)</v>
          </cell>
          <cell r="I589" t="str">
            <v>UN</v>
          </cell>
          <cell r="J589">
            <v>36388</v>
          </cell>
        </row>
        <row r="590">
          <cell r="G590">
            <v>7337</v>
          </cell>
          <cell r="H590" t="str">
            <v>IMPRIMANTE Y PUENTE DE ADHERENCIA</v>
          </cell>
          <cell r="I590" t="str">
            <v>KG</v>
          </cell>
          <cell r="J590">
            <v>117778</v>
          </cell>
        </row>
        <row r="591">
          <cell r="G591">
            <v>7338</v>
          </cell>
          <cell r="H591" t="str">
            <v>CINTA FLEXIBLE PARA SELLO DE JUNTAS A=15cm</v>
          </cell>
          <cell r="I591" t="str">
            <v>ML</v>
          </cell>
          <cell r="J591">
            <v>32950</v>
          </cell>
        </row>
        <row r="592">
          <cell r="G592">
            <v>7343</v>
          </cell>
          <cell r="H592" t="str">
            <v>BARANDA METALICA M80 (instalado y pintado)</v>
          </cell>
          <cell r="I592" t="str">
            <v>ML</v>
          </cell>
          <cell r="J592">
            <v>248710</v>
          </cell>
        </row>
        <row r="593">
          <cell r="G593">
            <v>7344</v>
          </cell>
          <cell r="H593" t="str">
            <v>BARANDA METALICA M81 (instalado y pintado)</v>
          </cell>
          <cell r="I593" t="str">
            <v>ML</v>
          </cell>
          <cell r="J593">
            <v>273700</v>
          </cell>
        </row>
        <row r="594">
          <cell r="G594">
            <v>7345</v>
          </cell>
          <cell r="H594" t="str">
            <v>CANECA EN ACERO INOXIDABLE TIPO BARCELONA</v>
          </cell>
          <cell r="I594" t="str">
            <v>UN</v>
          </cell>
          <cell r="J594">
            <v>547400</v>
          </cell>
        </row>
        <row r="595">
          <cell r="G595">
            <v>7346</v>
          </cell>
          <cell r="H595" t="str">
            <v>CABINA TELEFONICA DE PARED M21</v>
          </cell>
          <cell r="I595" t="str">
            <v>UN</v>
          </cell>
          <cell r="J595">
            <v>4105500</v>
          </cell>
        </row>
        <row r="596">
          <cell r="G596">
            <v>7351</v>
          </cell>
          <cell r="H596" t="str">
            <v>UNION DRESSER HD D=3"</v>
          </cell>
          <cell r="I596" t="str">
            <v>UN</v>
          </cell>
          <cell r="J596">
            <v>110670</v>
          </cell>
        </row>
        <row r="597">
          <cell r="G597">
            <v>7352</v>
          </cell>
          <cell r="H597" t="str">
            <v>UNION DRESSER HD D=4"</v>
          </cell>
          <cell r="I597" t="str">
            <v>UN</v>
          </cell>
          <cell r="J597">
            <v>136850</v>
          </cell>
        </row>
        <row r="598">
          <cell r="G598">
            <v>7353</v>
          </cell>
          <cell r="H598" t="str">
            <v>UNION DRESSER HD D=6"</v>
          </cell>
          <cell r="I598" t="str">
            <v>UN</v>
          </cell>
          <cell r="J598">
            <v>220244</v>
          </cell>
        </row>
        <row r="599">
          <cell r="G599">
            <v>7354</v>
          </cell>
          <cell r="H599" t="str">
            <v>UNION DRESSER HD D=8"</v>
          </cell>
          <cell r="I599" t="str">
            <v>UN</v>
          </cell>
          <cell r="J599">
            <v>357000</v>
          </cell>
        </row>
        <row r="600">
          <cell r="G600">
            <v>7355</v>
          </cell>
          <cell r="H600" t="str">
            <v>UNION DRESSER HD D=10"</v>
          </cell>
          <cell r="I600" t="str">
            <v>UN</v>
          </cell>
          <cell r="J600">
            <v>548590</v>
          </cell>
        </row>
        <row r="601">
          <cell r="G601">
            <v>7356</v>
          </cell>
          <cell r="H601" t="str">
            <v>UNION DRESSER HD D=12"</v>
          </cell>
          <cell r="I601" t="str">
            <v>UN</v>
          </cell>
          <cell r="J601">
            <v>810390</v>
          </cell>
        </row>
        <row r="602">
          <cell r="G602">
            <v>7359</v>
          </cell>
          <cell r="H602" t="str">
            <v>BARRERA RELLENABLE (1.45x0.45x0.55m) CON CINTA RET</v>
          </cell>
          <cell r="I602" t="str">
            <v>UN</v>
          </cell>
          <cell r="J602">
            <v>148167</v>
          </cell>
        </row>
        <row r="603">
          <cell r="G603">
            <v>7360</v>
          </cell>
          <cell r="H603" t="str">
            <v>BARRERA RELLENABLE (2.00x0.55x1.00m) CON CINTA RET</v>
          </cell>
          <cell r="I603" t="str">
            <v>UN</v>
          </cell>
          <cell r="J603">
            <v>374850</v>
          </cell>
        </row>
        <row r="604">
          <cell r="G604">
            <v>7361</v>
          </cell>
          <cell r="H604" t="str">
            <v>BLOQUE No. 4</v>
          </cell>
          <cell r="I604" t="str">
            <v>UN</v>
          </cell>
          <cell r="J604">
            <v>1000</v>
          </cell>
        </row>
        <row r="605">
          <cell r="G605">
            <v>7362</v>
          </cell>
          <cell r="H605" t="str">
            <v>BLOQUE No. 5</v>
          </cell>
          <cell r="I605" t="str">
            <v>UN</v>
          </cell>
          <cell r="J605">
            <v>1000</v>
          </cell>
        </row>
        <row r="606">
          <cell r="G606">
            <v>7363</v>
          </cell>
          <cell r="H606" t="str">
            <v>TAPA PARA POZO D=0.70m</v>
          </cell>
          <cell r="I606" t="str">
            <v>UN</v>
          </cell>
          <cell r="J606">
            <v>227896</v>
          </cell>
        </row>
        <row r="607">
          <cell r="G607">
            <v>7364</v>
          </cell>
          <cell r="H607" t="str">
            <v>REJILLA SUMIDERO TRANSVERSAL 50 X 50</v>
          </cell>
          <cell r="I607" t="str">
            <v>UN</v>
          </cell>
          <cell r="J607">
            <v>349039</v>
          </cell>
        </row>
        <row r="608">
          <cell r="G608">
            <v>7366</v>
          </cell>
          <cell r="H608" t="str">
            <v>UNION PVC U.M. EXT CORRUGADO/INT LISO U.M. NORMA NTC 3722-1 D=200MM (8")</v>
          </cell>
          <cell r="I608" t="str">
            <v>ML</v>
          </cell>
          <cell r="J608">
            <v>63771</v>
          </cell>
        </row>
        <row r="609">
          <cell r="G609">
            <v>7367</v>
          </cell>
          <cell r="H609" t="str">
            <v>UNION PVC U.M. EXT CORRUGADO/INT LISO U.M. NORMA NTC 3722-1 D=250MM (10")</v>
          </cell>
          <cell r="I609" t="str">
            <v>ML</v>
          </cell>
          <cell r="J609">
            <v>181138</v>
          </cell>
        </row>
        <row r="610">
          <cell r="G610">
            <v>7368</v>
          </cell>
          <cell r="H610" t="str">
            <v>UNION PVC U.M. EXT CORRUGADO/INT LISO U.M. NORMA NTC 3722-1 D=315MM (12")</v>
          </cell>
          <cell r="I610" t="str">
            <v>ML</v>
          </cell>
          <cell r="J610">
            <v>309932</v>
          </cell>
        </row>
        <row r="611">
          <cell r="G611">
            <v>7369</v>
          </cell>
          <cell r="H611" t="str">
            <v>UNION PVC U.M. EXT CORRUGADO/INT LISO U.M. NORMA NTC 3722-1T D=400MM (16")</v>
          </cell>
          <cell r="I611" t="str">
            <v>ML</v>
          </cell>
          <cell r="J611">
            <v>472541</v>
          </cell>
        </row>
        <row r="612">
          <cell r="G612">
            <v>7370</v>
          </cell>
          <cell r="H612" t="str">
            <v>UNION PVC U.M. EXT CORRUGADO/INT LISO U.M. NORMA NTC 3722-1 D=450MM (18")</v>
          </cell>
          <cell r="I612" t="str">
            <v>ML</v>
          </cell>
          <cell r="J612">
            <v>497053</v>
          </cell>
        </row>
        <row r="613">
          <cell r="G613">
            <v>7371</v>
          </cell>
          <cell r="H613" t="str">
            <v>UNION PVC U.M. EXT CORRUGADO/INT LISO U.M. NORMA NTC 3722-1 D=500MM (20")</v>
          </cell>
          <cell r="I613" t="str">
            <v>ML</v>
          </cell>
          <cell r="J613">
            <v>558432</v>
          </cell>
        </row>
        <row r="614">
          <cell r="G614">
            <v>7372</v>
          </cell>
          <cell r="H614" t="str">
            <v>CODO HD EXTREMO LISO 11.25ºX8``</v>
          </cell>
          <cell r="I614" t="str">
            <v>UN</v>
          </cell>
          <cell r="J614">
            <v>482612</v>
          </cell>
        </row>
        <row r="615">
          <cell r="G615">
            <v>7373</v>
          </cell>
          <cell r="H615" t="str">
            <v>CODO HD EXTREMO LISO 22.5ºX3``</v>
          </cell>
          <cell r="I615" t="str">
            <v>UN</v>
          </cell>
          <cell r="J615">
            <v>125612</v>
          </cell>
        </row>
        <row r="616">
          <cell r="G616">
            <v>7374</v>
          </cell>
          <cell r="H616" t="str">
            <v>VALVULA COMPUERTA ELASTICA VNA E. L. D=4"</v>
          </cell>
          <cell r="I616" t="str">
            <v>UN</v>
          </cell>
          <cell r="J616">
            <v>938910</v>
          </cell>
        </row>
        <row r="617">
          <cell r="G617">
            <v>7375</v>
          </cell>
          <cell r="H617" t="str">
            <v>VALVULA COMPUERTA ELASTICA VNA E. L. D=10"</v>
          </cell>
          <cell r="I617" t="str">
            <v>UN</v>
          </cell>
          <cell r="J617">
            <v>3886090</v>
          </cell>
        </row>
        <row r="618">
          <cell r="G618">
            <v>7376</v>
          </cell>
          <cell r="H618" t="str">
            <v>VALVULA COMPUERTA ELASTICA VNA E. L. D=12"</v>
          </cell>
          <cell r="I618" t="str">
            <v>UN</v>
          </cell>
          <cell r="J618">
            <v>4600661</v>
          </cell>
        </row>
        <row r="619">
          <cell r="G619">
            <v>7377</v>
          </cell>
          <cell r="H619" t="str">
            <v>CODO HD JUNTA HIDRAULICA PARA PVC 11.25ºX2"</v>
          </cell>
          <cell r="I619" t="str">
            <v>UN</v>
          </cell>
          <cell r="J619">
            <v>96390</v>
          </cell>
        </row>
        <row r="620">
          <cell r="G620">
            <v>7378</v>
          </cell>
          <cell r="H620" t="str">
            <v>CODO HD JUNTA HIDRAULICA PARA PVC 11.25ºX3"</v>
          </cell>
          <cell r="I620" t="str">
            <v>UN</v>
          </cell>
          <cell r="J620">
            <v>142800</v>
          </cell>
        </row>
        <row r="621">
          <cell r="G621">
            <v>7379</v>
          </cell>
          <cell r="H621" t="str">
            <v>CODO HD JUNTA HIDRAULICA PARA PVC 11.25ºX4"</v>
          </cell>
          <cell r="I621" t="str">
            <v>UN</v>
          </cell>
          <cell r="J621">
            <v>188020</v>
          </cell>
        </row>
        <row r="622">
          <cell r="G622">
            <v>7380</v>
          </cell>
          <cell r="H622" t="str">
            <v>CODO HD JUNTA HIDRAULICA PARA PVC 11.25ºX6"</v>
          </cell>
          <cell r="I622" t="str">
            <v>UN</v>
          </cell>
          <cell r="J622">
            <v>346290</v>
          </cell>
        </row>
        <row r="623">
          <cell r="G623">
            <v>7381</v>
          </cell>
          <cell r="H623" t="str">
            <v>CODO HD JUNTA HIDRAULICA PARA PVC 11.25ºX8"</v>
          </cell>
          <cell r="I623" t="str">
            <v>UN</v>
          </cell>
          <cell r="J623">
            <v>584290</v>
          </cell>
        </row>
        <row r="624">
          <cell r="G624">
            <v>7382</v>
          </cell>
          <cell r="H624" t="str">
            <v>REDUCCION PVC U.M. NORMA NTC 382 4"x2"</v>
          </cell>
          <cell r="I624" t="str">
            <v>UN</v>
          </cell>
          <cell r="J624">
            <v>116620</v>
          </cell>
        </row>
        <row r="625">
          <cell r="G625">
            <v>7384</v>
          </cell>
          <cell r="H625" t="str">
            <v>REDUCCION PVC U.M. NORMA NTC 382 4"x3"</v>
          </cell>
          <cell r="I625" t="str">
            <v>UN</v>
          </cell>
          <cell r="J625">
            <v>135660</v>
          </cell>
        </row>
        <row r="626">
          <cell r="G626">
            <v>7385</v>
          </cell>
          <cell r="H626" t="str">
            <v>REDUCCION PVC U.M. NORMA NTC 382 6"x4"</v>
          </cell>
          <cell r="I626" t="str">
            <v>UN</v>
          </cell>
          <cell r="J626">
            <v>326060</v>
          </cell>
        </row>
        <row r="627">
          <cell r="G627">
            <v>7386</v>
          </cell>
          <cell r="H627" t="str">
            <v>REDUCCION PVC U.M. NORMA NTC 382 8"x6"</v>
          </cell>
          <cell r="I627" t="str">
            <v>UN</v>
          </cell>
          <cell r="J627">
            <v>980836</v>
          </cell>
        </row>
        <row r="628">
          <cell r="G628">
            <v>7387</v>
          </cell>
          <cell r="H628" t="str">
            <v>TAPON PVC U.M. NORMA NTC 382 D=3"</v>
          </cell>
          <cell r="I628" t="str">
            <v>UN</v>
          </cell>
          <cell r="J628">
            <v>64794</v>
          </cell>
        </row>
        <row r="629">
          <cell r="G629">
            <v>7388</v>
          </cell>
          <cell r="H629" t="str">
            <v>TAPON PVC U.M. NORMA NTC 382 D=4"</v>
          </cell>
          <cell r="I629" t="str">
            <v>UN</v>
          </cell>
          <cell r="J629">
            <v>82380</v>
          </cell>
        </row>
        <row r="630">
          <cell r="G630">
            <v>7389</v>
          </cell>
          <cell r="H630" t="str">
            <v>TAPON PVC U.M. NORMA NTC 382 D=6"</v>
          </cell>
          <cell r="I630" t="str">
            <v>UN</v>
          </cell>
          <cell r="J630">
            <v>188477</v>
          </cell>
        </row>
        <row r="631">
          <cell r="G631">
            <v>7390</v>
          </cell>
          <cell r="H631" t="str">
            <v>TAPON PVC U.M. NORMA NTC 382 D=8"</v>
          </cell>
          <cell r="I631" t="str">
            <v>UN</v>
          </cell>
          <cell r="J631">
            <v>573855</v>
          </cell>
        </row>
        <row r="632">
          <cell r="G632">
            <v>7391</v>
          </cell>
          <cell r="H632" t="str">
            <v>REDUCCION CONCENTRICA HD E.L. 6"x2" (150x50mm)</v>
          </cell>
          <cell r="I632" t="str">
            <v>UN</v>
          </cell>
          <cell r="J632">
            <v>231388</v>
          </cell>
        </row>
        <row r="633">
          <cell r="G633">
            <v>7392</v>
          </cell>
          <cell r="H633" t="str">
            <v>REDUCCION CONCENTRICA HD E.L. 6"x3" (150x75mm)</v>
          </cell>
          <cell r="I633" t="str">
            <v>UN</v>
          </cell>
          <cell r="J633">
            <v>310722</v>
          </cell>
        </row>
        <row r="634">
          <cell r="G634">
            <v>7393</v>
          </cell>
          <cell r="H634" t="str">
            <v>REDUCCION CONCENTRICA HD E.L. 6"x4" (150x100mm)</v>
          </cell>
          <cell r="I634" t="str">
            <v>UN</v>
          </cell>
          <cell r="J634">
            <v>317334</v>
          </cell>
        </row>
        <row r="635">
          <cell r="G635">
            <v>7396</v>
          </cell>
          <cell r="H635" t="str">
            <v>REDUCCION CONCENTRICA HD E.L. 8"x4" (200x100mm)</v>
          </cell>
          <cell r="I635" t="str">
            <v>UN</v>
          </cell>
          <cell r="J635">
            <v>383444</v>
          </cell>
        </row>
        <row r="636">
          <cell r="G636">
            <v>7397</v>
          </cell>
          <cell r="H636" t="str">
            <v>REDUCCION CONCENTRICA HD E.L. 8"x6" (200x150mm)</v>
          </cell>
          <cell r="I636" t="str">
            <v>UN</v>
          </cell>
          <cell r="J636">
            <v>429722</v>
          </cell>
        </row>
        <row r="637">
          <cell r="G637">
            <v>7398</v>
          </cell>
          <cell r="H637" t="str">
            <v>REDUCCION CONCENTRICA HD E.L. 10"x3" (250x75mm)</v>
          </cell>
          <cell r="I637" t="str">
            <v>UN</v>
          </cell>
          <cell r="J637">
            <v>601612</v>
          </cell>
        </row>
        <row r="638">
          <cell r="G638">
            <v>7399</v>
          </cell>
          <cell r="H638" t="str">
            <v>REDUCCION CONCENTRICA HD E.L. 10"x4" (250x100mm)</v>
          </cell>
          <cell r="I638" t="str">
            <v>UN</v>
          </cell>
          <cell r="J638">
            <v>647888</v>
          </cell>
        </row>
        <row r="639">
          <cell r="G639">
            <v>7400</v>
          </cell>
          <cell r="H639" t="str">
            <v>REDUCCION CONCENTRICA HD E.L. 10"x6" (250x150mm)</v>
          </cell>
          <cell r="I639" t="str">
            <v>UN</v>
          </cell>
          <cell r="J639">
            <v>674334</v>
          </cell>
        </row>
        <row r="640">
          <cell r="G640">
            <v>7401</v>
          </cell>
          <cell r="H640" t="str">
            <v>REDUCCION CONCENTRICA HD E.L. 10"x8" (250x200mm)</v>
          </cell>
          <cell r="I640" t="str">
            <v>UN</v>
          </cell>
          <cell r="J640">
            <v>766888</v>
          </cell>
        </row>
        <row r="641">
          <cell r="G641">
            <v>7403</v>
          </cell>
          <cell r="H641" t="str">
            <v>REDUCCION CONCENTRICA HD E.L. 12"x4" (300x100mm)</v>
          </cell>
          <cell r="I641" t="str">
            <v>UN</v>
          </cell>
          <cell r="J641">
            <v>1031334</v>
          </cell>
        </row>
        <row r="642">
          <cell r="G642">
            <v>7404</v>
          </cell>
          <cell r="H642" t="str">
            <v>REDUCCION CONCENTRICA HD E.L. 12"x6" (300x150mm)</v>
          </cell>
          <cell r="I642" t="str">
            <v>UN</v>
          </cell>
          <cell r="J642">
            <v>1150334</v>
          </cell>
        </row>
        <row r="643">
          <cell r="G643">
            <v>7405</v>
          </cell>
          <cell r="H643" t="str">
            <v>REDUCCION CONCENTRICA HD E.L. 12"x8" (300x200mm)</v>
          </cell>
          <cell r="I643" t="str">
            <v>UN</v>
          </cell>
          <cell r="J643">
            <v>1150334</v>
          </cell>
        </row>
        <row r="644">
          <cell r="G644">
            <v>7406</v>
          </cell>
          <cell r="H644" t="str">
            <v>REDUCCION CONCENTRICA HD E.L. 12"x10"  (300x250mm)</v>
          </cell>
          <cell r="I644" t="str">
            <v>UN</v>
          </cell>
          <cell r="J644">
            <v>1553612</v>
          </cell>
        </row>
        <row r="645">
          <cell r="G645">
            <v>7407</v>
          </cell>
          <cell r="H645" t="str">
            <v>UNION REPARACION PVC U.M. NORMA NTC 382 D=2"</v>
          </cell>
          <cell r="I645" t="str">
            <v>UN</v>
          </cell>
          <cell r="J645">
            <v>38995</v>
          </cell>
        </row>
        <row r="646">
          <cell r="G646">
            <v>7409</v>
          </cell>
          <cell r="H646" t="str">
            <v>UNION REPARACION PVC U.M. NORMA NTC 382 D=3"</v>
          </cell>
          <cell r="I646" t="str">
            <v>UN</v>
          </cell>
          <cell r="J646">
            <v>62113</v>
          </cell>
        </row>
        <row r="647">
          <cell r="G647">
            <v>7410</v>
          </cell>
          <cell r="H647" t="str">
            <v>UNION REPARACION PVC U.M. NORMA NTC 382 D=4"</v>
          </cell>
          <cell r="I647" t="str">
            <v>UN</v>
          </cell>
          <cell r="J647">
            <v>95432</v>
          </cell>
        </row>
        <row r="648">
          <cell r="G648">
            <v>7411</v>
          </cell>
          <cell r="H648" t="str">
            <v>UNION REPARACION PVC U.M. NORMA NTC 382 D=10"</v>
          </cell>
          <cell r="I648" t="str">
            <v>UN</v>
          </cell>
          <cell r="J648">
            <v>694016</v>
          </cell>
        </row>
        <row r="649">
          <cell r="G649">
            <v>7412</v>
          </cell>
          <cell r="H649" t="str">
            <v>ACOPLE UNIVERSAL D=3" (85 a 103mm)</v>
          </cell>
          <cell r="I649" t="str">
            <v>UN</v>
          </cell>
          <cell r="J649">
            <v>155890</v>
          </cell>
        </row>
        <row r="650">
          <cell r="G650">
            <v>7413</v>
          </cell>
          <cell r="H650" t="str">
            <v>ACOPLE UNIVERSAL D=4" (110 a 128mm)</v>
          </cell>
          <cell r="I650" t="str">
            <v>UN</v>
          </cell>
          <cell r="J650">
            <v>172550</v>
          </cell>
        </row>
        <row r="651">
          <cell r="G651">
            <v>7414</v>
          </cell>
          <cell r="H651" t="str">
            <v>ACOPLE UNIVERSAL D=6" (167 a 189mm) R2</v>
          </cell>
          <cell r="I651" t="str">
            <v>UN</v>
          </cell>
          <cell r="J651">
            <v>327250</v>
          </cell>
        </row>
        <row r="652">
          <cell r="G652">
            <v>7415</v>
          </cell>
          <cell r="H652" t="str">
            <v>ACOPLE UNIVERSAL D=8" (234 a 252mm) R2</v>
          </cell>
          <cell r="I652" t="str">
            <v>UN</v>
          </cell>
          <cell r="J652">
            <v>506940</v>
          </cell>
        </row>
        <row r="653">
          <cell r="G653">
            <v>7416</v>
          </cell>
          <cell r="H653" t="str">
            <v>ACOPLE UNIVERSAL D=10" (292 a 310mm) R2</v>
          </cell>
          <cell r="I653" t="str">
            <v>UN</v>
          </cell>
          <cell r="J653">
            <v>860370</v>
          </cell>
        </row>
        <row r="654">
          <cell r="G654">
            <v>7417</v>
          </cell>
          <cell r="H654" t="str">
            <v>ACOPLE UNIVERSAL D=12" (350 a 368mm) R3</v>
          </cell>
          <cell r="I654" t="str">
            <v>UN</v>
          </cell>
          <cell r="J654">
            <v>899640</v>
          </cell>
        </row>
        <row r="655">
          <cell r="G655">
            <v>7418</v>
          </cell>
          <cell r="H655" t="str">
            <v>TARIFA MES - AUXILIO DE TRANSPORTE</v>
          </cell>
          <cell r="I655" t="str">
            <v>MES</v>
          </cell>
          <cell r="J655">
            <v>140606</v>
          </cell>
        </row>
        <row r="656">
          <cell r="G656">
            <v>7419</v>
          </cell>
          <cell r="H656" t="str">
            <v>CONCRETO GRAVA COMÚN 4500 PSI 31.5 MPa (315 Kg/cm2)</v>
          </cell>
          <cell r="I656" t="str">
            <v>M3</v>
          </cell>
          <cell r="J656">
            <v>534310</v>
          </cell>
        </row>
        <row r="657">
          <cell r="G657">
            <v>7420</v>
          </cell>
          <cell r="H657" t="str">
            <v>MORTERO 2500 PSI 17 MPa (175 Kg/cm2)</v>
          </cell>
          <cell r="I657" t="str">
            <v>M3</v>
          </cell>
          <cell r="J657">
            <v>543830</v>
          </cell>
        </row>
        <row r="658">
          <cell r="G658">
            <v>7421</v>
          </cell>
          <cell r="H658" t="str">
            <v>MORTERO 3000 PSI 21 MPa (210 Kg/cm2)</v>
          </cell>
          <cell r="I658" t="str">
            <v>M3</v>
          </cell>
          <cell r="J658">
            <v>561680</v>
          </cell>
        </row>
        <row r="659">
          <cell r="G659">
            <v>7422</v>
          </cell>
          <cell r="H659" t="str">
            <v>MORTERO 3500 PSI 24 MPa (245 Kg/cm2)</v>
          </cell>
          <cell r="I659" t="str">
            <v>M3</v>
          </cell>
          <cell r="J659">
            <v>579530</v>
          </cell>
        </row>
        <row r="660">
          <cell r="G660">
            <v>7423</v>
          </cell>
          <cell r="H660" t="str">
            <v>ARMADO CANASTAS PARA PILOTES</v>
          </cell>
          <cell r="I660" t="str">
            <v>KG</v>
          </cell>
          <cell r="J660">
            <v>690</v>
          </cell>
        </row>
        <row r="661">
          <cell r="G661">
            <v>7426</v>
          </cell>
          <cell r="H661" t="str">
            <v>GEODREN PLANAR H=1.0 o DRENAFLEX PLANAR H=1.0</v>
          </cell>
          <cell r="I661" t="str">
            <v>ML</v>
          </cell>
          <cell r="J661">
            <v>38080</v>
          </cell>
        </row>
        <row r="662">
          <cell r="G662">
            <v>7427</v>
          </cell>
          <cell r="H662" t="str">
            <v>GEODREN PLANAR H=2.0</v>
          </cell>
          <cell r="I662" t="str">
            <v>ML</v>
          </cell>
          <cell r="J662">
            <v>81015</v>
          </cell>
        </row>
        <row r="663">
          <cell r="G663">
            <v>7428</v>
          </cell>
          <cell r="H663" t="str">
            <v>GEODREN CON TUBERIA CIRCULAR 100mm H=0.5 o DRENAFLEX CON TUBERIA CIRCULAR 100mm H=0.5</v>
          </cell>
          <cell r="I663" t="str">
            <v>ML</v>
          </cell>
          <cell r="J663">
            <v>33320</v>
          </cell>
        </row>
        <row r="664">
          <cell r="G664">
            <v>7429</v>
          </cell>
          <cell r="H664" t="str">
            <v>GEODREN CON TUBERIA CIRCULAR 100mm H=1.0 o DRENAFLEX CON TUBERÍA 100mm H=1.0</v>
          </cell>
          <cell r="I664" t="str">
            <v>ML</v>
          </cell>
          <cell r="J664">
            <v>49980</v>
          </cell>
        </row>
        <row r="665">
          <cell r="G665">
            <v>7430</v>
          </cell>
          <cell r="H665" t="str">
            <v>GEODREN CON TUBERIA CIRCULAR 100mm H=2.0 o DRENAFLEX CON TUBERÍA CIRCULAR 100mm H=2.0</v>
          </cell>
          <cell r="I665" t="str">
            <v>ML</v>
          </cell>
          <cell r="J665">
            <v>92820</v>
          </cell>
        </row>
        <row r="666">
          <cell r="G666">
            <v>7434</v>
          </cell>
          <cell r="H666" t="str">
            <v>DISCO DIAMANTADO ASFALTO-CONCRETO 14"/350mm, cortes aprox. 1.600 a 1.800 mts. de profundidad máxima hasta 100mm.</v>
          </cell>
          <cell r="I666" t="str">
            <v>UN</v>
          </cell>
          <cell r="J666">
            <v>535000</v>
          </cell>
        </row>
        <row r="667">
          <cell r="G667">
            <v>7436</v>
          </cell>
          <cell r="H667" t="str">
            <v>MOTOBOMBA SUMERGIBLE Ø 2" O 3" - INCLUYE COMBUSTIBLE</v>
          </cell>
          <cell r="I667" t="str">
            <v>DIA</v>
          </cell>
          <cell r="J667">
            <v>70732</v>
          </cell>
        </row>
        <row r="668">
          <cell r="G668">
            <v>7437</v>
          </cell>
          <cell r="H668" t="str">
            <v>CORTADORA DE LADRILLO (SIN DISCO) - PROFUNDIDAD DE CORTE DE 10 A 17cm</v>
          </cell>
          <cell r="I668" t="str">
            <v>DIA</v>
          </cell>
          <cell r="J668">
            <v>23800</v>
          </cell>
        </row>
        <row r="669">
          <cell r="G669">
            <v>7438</v>
          </cell>
          <cell r="H669" t="str">
            <v>RODILLO VIBROCOMPACTADOR TÁNDEM PEQUEÑO - MASA DE 2,5 A 3 TONELADAS - AMPLITUD DE COMPACTACIÓN DE 0.5 MM  - INCLUYE OPERARIO Y COMBUSTIBLE</v>
          </cell>
          <cell r="I669" t="str">
            <v>DIA</v>
          </cell>
          <cell r="J669">
            <v>172718</v>
          </cell>
        </row>
        <row r="670">
          <cell r="G670">
            <v>7439</v>
          </cell>
          <cell r="H670" t="str">
            <v xml:space="preserve">MARTILLO DEMOLEDOR NEUMÁTICO - GOLPES POR MINUTO DE 1100 A 1680 - CONSUMO DE AIRE DE 57 A 85 CFM </v>
          </cell>
          <cell r="I670" t="str">
            <v>HR</v>
          </cell>
          <cell r="J670">
            <v>4983</v>
          </cell>
        </row>
        <row r="671">
          <cell r="G671">
            <v>7442</v>
          </cell>
          <cell r="H671" t="str">
            <v>FONDO DE JUNTA EN ESPUMA DE POLIETILENO DE BAJA DENSIDAD D= 16 mm</v>
          </cell>
          <cell r="I671" t="str">
            <v>ML</v>
          </cell>
          <cell r="J671">
            <v>1571</v>
          </cell>
        </row>
        <row r="672">
          <cell r="G672">
            <v>7443</v>
          </cell>
          <cell r="H672" t="str">
            <v>FONDO DE JUNTA EN ESPUMA DE POLIETILENO DE BAJA DENSIDAD D= 22 mm</v>
          </cell>
          <cell r="I672" t="str">
            <v>ML</v>
          </cell>
          <cell r="J672">
            <v>3123</v>
          </cell>
        </row>
        <row r="673">
          <cell r="G673">
            <v>7444</v>
          </cell>
          <cell r="H673" t="str">
            <v>TUBERIA PVC SANITARIA U.S. D=1 1/2"</v>
          </cell>
          <cell r="I673" t="str">
            <v>ML</v>
          </cell>
          <cell r="J673">
            <v>12197</v>
          </cell>
        </row>
        <row r="674">
          <cell r="G674">
            <v>7445</v>
          </cell>
          <cell r="H674" t="str">
            <v>ACOPLE UNIVERSAL D=6" (159 a 181mm) R1</v>
          </cell>
          <cell r="I674" t="str">
            <v>UN</v>
          </cell>
          <cell r="J674">
            <v>254660</v>
          </cell>
        </row>
        <row r="675">
          <cell r="G675">
            <v>7446</v>
          </cell>
          <cell r="H675" t="str">
            <v>ACOPLE UNIVERSAL D=8" (218 a 235mm) R1</v>
          </cell>
          <cell r="I675" t="str">
            <v>UN</v>
          </cell>
          <cell r="J675">
            <v>402220</v>
          </cell>
        </row>
        <row r="676">
          <cell r="G676">
            <v>7448</v>
          </cell>
          <cell r="H676" t="str">
            <v>ACOPLE UNIVERSAL D=12" (315 a 333mm) R1</v>
          </cell>
          <cell r="I676" t="str">
            <v>UN</v>
          </cell>
          <cell r="J676">
            <v>736610</v>
          </cell>
        </row>
        <row r="677">
          <cell r="G677">
            <v>7451</v>
          </cell>
          <cell r="H677" t="str">
            <v>ACERO FIGURADO No. 8 (Ø 1") F'y=60000 PSI</v>
          </cell>
          <cell r="I677" t="str">
            <v>KG</v>
          </cell>
          <cell r="J677">
            <v>4522</v>
          </cell>
        </row>
        <row r="678">
          <cell r="G678">
            <v>7452</v>
          </cell>
          <cell r="H678" t="str">
            <v>ACERO FIGURADO No. 10 (Ø 1 1/4") F'y=60000 PSI</v>
          </cell>
          <cell r="I678" t="str">
            <v>KG</v>
          </cell>
          <cell r="J678">
            <v>4582</v>
          </cell>
        </row>
        <row r="679">
          <cell r="G679">
            <v>7453</v>
          </cell>
          <cell r="H679" t="str">
            <v>UNION REPARACION HD EXTREMO LISO D=4"</v>
          </cell>
          <cell r="I679" t="str">
            <v>UN</v>
          </cell>
          <cell r="J679">
            <v>155890</v>
          </cell>
        </row>
        <row r="680">
          <cell r="G680">
            <v>7455</v>
          </cell>
          <cell r="H680" t="str">
            <v>CODO HD EXTREMO LISO 22.5ºX8"</v>
          </cell>
          <cell r="I680" t="str">
            <v>UN</v>
          </cell>
          <cell r="J680">
            <v>495834</v>
          </cell>
        </row>
        <row r="681">
          <cell r="G681">
            <v>7457</v>
          </cell>
          <cell r="H681" t="str">
            <v>TUBERIA CONDUIT METALICA IMC D= 1"</v>
          </cell>
          <cell r="I681" t="str">
            <v>ML</v>
          </cell>
          <cell r="J681">
            <v>28383</v>
          </cell>
        </row>
        <row r="682">
          <cell r="G682">
            <v>7458</v>
          </cell>
          <cell r="H682" t="str">
            <v>TUBERIA CONDUIT METALICA IMC D= 1 1/2"</v>
          </cell>
          <cell r="I682" t="str">
            <v>ML</v>
          </cell>
          <cell r="J682">
            <v>44783</v>
          </cell>
        </row>
        <row r="683">
          <cell r="G683">
            <v>7460</v>
          </cell>
          <cell r="H683" t="str">
            <v>TUBERIA CONDUIT METALICA EMT D= 1 1/2"</v>
          </cell>
          <cell r="I683" t="str">
            <v>ML</v>
          </cell>
          <cell r="J683">
            <v>39417</v>
          </cell>
        </row>
        <row r="684">
          <cell r="G684">
            <v>7461</v>
          </cell>
          <cell r="H684" t="str">
            <v>ARENA LAVADA DE PEÑA</v>
          </cell>
          <cell r="I684" t="str">
            <v>M3</v>
          </cell>
          <cell r="J684">
            <v>89049</v>
          </cell>
        </row>
        <row r="685">
          <cell r="G685">
            <v>7462</v>
          </cell>
          <cell r="H685" t="str">
            <v>TRANSPORTE DE PETREOS</v>
          </cell>
          <cell r="I685" t="str">
            <v>M3-KM</v>
          </cell>
          <cell r="J685">
            <v>1449</v>
          </cell>
        </row>
        <row r="686">
          <cell r="G686">
            <v>7463</v>
          </cell>
          <cell r="H686" t="str">
            <v>GEOTEXTIL NT 1600 o 351 NT</v>
          </cell>
          <cell r="I686" t="str">
            <v>M2</v>
          </cell>
          <cell r="J686">
            <v>3213</v>
          </cell>
        </row>
        <row r="687">
          <cell r="G687">
            <v>7464</v>
          </cell>
          <cell r="H687" t="str">
            <v>GEOTEXTIL NT 1800 o 401 NT</v>
          </cell>
          <cell r="I687" t="str">
            <v>M2</v>
          </cell>
          <cell r="J687">
            <v>4046</v>
          </cell>
        </row>
        <row r="688">
          <cell r="G688">
            <v>7465</v>
          </cell>
          <cell r="H688" t="str">
            <v>GEOTEXTIL NT 2000 o 451 NT</v>
          </cell>
          <cell r="I688" t="str">
            <v>M2</v>
          </cell>
          <cell r="J688">
            <v>4522</v>
          </cell>
        </row>
        <row r="689">
          <cell r="G689">
            <v>7466</v>
          </cell>
          <cell r="H689" t="str">
            <v>GEOTEXTIL T 1050</v>
          </cell>
          <cell r="I689" t="str">
            <v>M2</v>
          </cell>
          <cell r="J689">
            <v>5888</v>
          </cell>
        </row>
        <row r="690">
          <cell r="G690">
            <v>7467</v>
          </cell>
          <cell r="H690" t="str">
            <v>GEOTEXTIL T 1400 o 135 ST</v>
          </cell>
          <cell r="I690" t="str">
            <v>M2</v>
          </cell>
          <cell r="J690">
            <v>4578</v>
          </cell>
        </row>
        <row r="691">
          <cell r="G691">
            <v>7468</v>
          </cell>
          <cell r="H691" t="str">
            <v>GEOTEXTIL T 1700 o 200 ST</v>
          </cell>
          <cell r="I691" t="str">
            <v>M2</v>
          </cell>
          <cell r="J691">
            <v>3451</v>
          </cell>
        </row>
        <row r="692">
          <cell r="G692">
            <v>7471</v>
          </cell>
          <cell r="H692" t="str">
            <v>ENSAYO PARA DETERMINAR LA DENSIDAD DEL CEMENTO HIDRÁULICO. Norma técnica: NTC - 221  ASTM C188.</v>
          </cell>
          <cell r="I692" t="str">
            <v>UN</v>
          </cell>
          <cell r="J692">
            <v>71421</v>
          </cell>
        </row>
        <row r="693">
          <cell r="G693">
            <v>7472</v>
          </cell>
          <cell r="H693" t="str">
            <v>DETERMINACIÓN DEL TIEMPO DE FRAGUADO DEL CEMENTO HIDRÁULICO MEDIANTE AGUJA DE VICAT. Norma técnica: NTC - 118 ASTM C191.</v>
          </cell>
          <cell r="I693" t="str">
            <v>UN</v>
          </cell>
          <cell r="J693">
            <v>57120</v>
          </cell>
        </row>
        <row r="694">
          <cell r="G694">
            <v>7482</v>
          </cell>
          <cell r="H694" t="str">
            <v>EQUIVALENTE DE ARENA DE SUELOS Y AGREGADOS FINOS. Norma técnica: INV E 133-13 ASTM D2419 - 14.</v>
          </cell>
          <cell r="I694" t="str">
            <v>UN</v>
          </cell>
          <cell r="J694">
            <v>92000</v>
          </cell>
        </row>
        <row r="695">
          <cell r="G695">
            <v>7485</v>
          </cell>
          <cell r="H695" t="str">
            <v>RESISTENCIA A LA DEGRADACIÓN DE LOS AGREGADOS GRUESOS DE TAMAÑOS MAYORES DE 19 mm (¾") POR ABRASIÓN E IMPACTO EN LA MÁQUINA DE LOS ÁNGELES (CON TRITURACIÓN DE AGREGADOS). Norma técnica: INV E 219-13 NTC 93-2013.</v>
          </cell>
          <cell r="I695" t="str">
            <v>UN</v>
          </cell>
          <cell r="J695">
            <v>111265</v>
          </cell>
        </row>
        <row r="696">
          <cell r="G696">
            <v>7487</v>
          </cell>
          <cell r="H696" t="str">
            <v>VALOR DE AZUL DE METILENO EN AGREGADOS FINOS. Norma técnica: INV E 235-13</v>
          </cell>
          <cell r="I696" t="str">
            <v>UN</v>
          </cell>
          <cell r="J696">
            <v>155000</v>
          </cell>
        </row>
        <row r="697">
          <cell r="G697">
            <v>7488</v>
          </cell>
          <cell r="H697" t="str">
            <v>DETERMINACIÓN EN EL LABORATORIO DEL CONTENIDO DE AGUA (HUMEDAD) DE MUESTRAS DE SUELO, ROCA Y MEZCLAS DE SUELO - AGREGADO. Norma técnica: INV E 122-13 NTC-1495-13 ASTM D2216 - 10.</v>
          </cell>
          <cell r="I697" t="str">
            <v>UN</v>
          </cell>
          <cell r="J697">
            <v>10115</v>
          </cell>
        </row>
        <row r="698">
          <cell r="G698">
            <v>7489</v>
          </cell>
          <cell r="H698" t="str">
            <v>DETERMINACIÓN DE LA DENSIDAD (PESO UNITARIO) DE MUESTRAS DE SUELO. Norma técnica: ASTM D7263 - 09(2018).</v>
          </cell>
          <cell r="I698" t="str">
            <v>UN</v>
          </cell>
          <cell r="J698">
            <v>32000</v>
          </cell>
        </row>
        <row r="699">
          <cell r="G699">
            <v>7490</v>
          </cell>
          <cell r="H699" t="str">
            <v>DETERMINACIÓN DE LOS TAMAÑOS DE LAS PARTÍCULAS DE LOS SUELOS (GRANULOMETRÍA  POR TAMIZADO E HIDROMETRÍA). Norma técnica: INV E 123-13 ASTM D422 - 63(1998).</v>
          </cell>
          <cell r="I699" t="str">
            <v>UN</v>
          </cell>
          <cell r="J699">
            <v>148750</v>
          </cell>
        </row>
        <row r="700">
          <cell r="G700">
            <v>7493</v>
          </cell>
          <cell r="H700" t="str">
            <v>DETERMINACIÓN DE LA CANTIDAD DE MATERIAL QUE PASA EL TAMIZ DE 75 UM (N° 200) EN LOS AGREGADOS PÉTREOS MEDIANTE LAVADO. Norma técnica: INV E 214-13 NTC 78-1995</v>
          </cell>
          <cell r="I700" t="str">
            <v>UN</v>
          </cell>
          <cell r="J700">
            <v>42364</v>
          </cell>
        </row>
        <row r="701">
          <cell r="G701">
            <v>7494</v>
          </cell>
          <cell r="H701" t="str">
            <v>DETERMINACIÓN DE LA GRAVEDAD ESPECÍFICA DE LAS PARTÍCULAS SÓLIDAS DE LOS SUELOS Y DEL LLENANTE MINERAL, EMPLEANDO UN PICNÓMETRO CON AGUA. Norma técnica: INV E - 128 -13 ASTM D854 - 14</v>
          </cell>
          <cell r="I701" t="str">
            <v>UN</v>
          </cell>
          <cell r="J701">
            <v>51765</v>
          </cell>
        </row>
        <row r="702">
          <cell r="G702">
            <v>7496</v>
          </cell>
          <cell r="H702" t="str">
            <v>DETERMINACIÓN DE LOS FACTORES DE CONTRACCIÓN DE LOS SUELOS. Norma técnica: INV E 127-13 NTC-1503-01 ASTM D427 - 04.</v>
          </cell>
          <cell r="I702" t="str">
            <v>UN</v>
          </cell>
          <cell r="J702">
            <v>77945</v>
          </cell>
        </row>
        <row r="703">
          <cell r="G703">
            <v>7497</v>
          </cell>
          <cell r="H703" t="str">
            <v>DETERMINACIÓN DEL CONTENIDO ORGÁNICO DE UN SUELO MEDIANTE EL ENSAYO DE PÉRDIDA POR IGNICIÓN. Norma técnica: INV E 121-13 AASHTO T 267.</v>
          </cell>
          <cell r="I703" t="str">
            <v>UN</v>
          </cell>
          <cell r="J703">
            <v>62713</v>
          </cell>
        </row>
        <row r="704">
          <cell r="G704">
            <v>7501</v>
          </cell>
          <cell r="H704" t="str">
            <v>CONSOLIDACIÓN UNIDIMENSIONAL DE SUELOS - MÉTODO B (RÁPIDA). Norma técnica: INV E 151-13 NTC-1917-00 ASTM D2435 / D2435M - 11.</v>
          </cell>
          <cell r="I704" t="str">
            <v>UN</v>
          </cell>
          <cell r="J704">
            <v>268940</v>
          </cell>
        </row>
        <row r="705">
          <cell r="G705">
            <v>7502</v>
          </cell>
          <cell r="H705" t="str">
            <v>CONSOLIDACIÓN UNIDIMENSIONAL DE SUELOS - MÉTODO A (LENTA). Norma técnica: INV E 151-13 NTC-1917-00 ASTM D2435 / D2435M - 11.</v>
          </cell>
          <cell r="I705" t="str">
            <v>UN</v>
          </cell>
          <cell r="J705">
            <v>600000</v>
          </cell>
        </row>
        <row r="706">
          <cell r="G706">
            <v>7503</v>
          </cell>
          <cell r="H706" t="str">
            <v>CONSOLIDACIÓN UNIDIMENSIONAL DE SUELOS - (DOBLE CICLO DE CARGA Y DESCARGA). Norma técnica: INV E 151-13 NTC-1917-00 ASTM D2435 / D2435M - 11.</v>
          </cell>
          <cell r="I706" t="str">
            <v>UN</v>
          </cell>
          <cell r="J706">
            <v>596428</v>
          </cell>
        </row>
        <row r="707">
          <cell r="G707">
            <v>7511</v>
          </cell>
          <cell r="H707" t="str">
            <v>CBR DE SUELOS COMPACTADOS EN EL LABORATORIO (SUELOS GRANULARES). Norma técnica: INV E 148-13 NTC-2122-13 ASTM D1883 - 16.</v>
          </cell>
          <cell r="I707" t="str">
            <v>UN</v>
          </cell>
          <cell r="J707">
            <v>280840</v>
          </cell>
        </row>
        <row r="708">
          <cell r="G708">
            <v>7520</v>
          </cell>
          <cell r="H708" t="str">
            <v>RELACIONES HUMEDAD - PESO UNITARIO SECO EN LOS SUELOS (ENSAYO NORMAL DE COMPACTACIÓN). Norma técnica: INV E 141-13 ASTM D698 - 12e2.</v>
          </cell>
          <cell r="I708" t="str">
            <v>UN</v>
          </cell>
          <cell r="J708">
            <v>120190</v>
          </cell>
        </row>
        <row r="709">
          <cell r="G709">
            <v>7523</v>
          </cell>
          <cell r="H709" t="str">
            <v>OBTENCIÓN DE NÚCLEOS DE CONCRETO ENDURECIDO. NÚCLEOS DE 3". Norma técnica: INV E 418-13 NTC 3658.</v>
          </cell>
          <cell r="I709" t="str">
            <v>UN</v>
          </cell>
          <cell r="J709">
            <v>164792</v>
          </cell>
        </row>
        <row r="710">
          <cell r="G710">
            <v>7524</v>
          </cell>
          <cell r="H710" t="str">
            <v>OBTENCIÓN DE NÚCLEOS DE CONCRETO ENDURECIDO. NÚCLEOS DE 4". Norma técnica: INV E 418-13 NTC 3658.</v>
          </cell>
          <cell r="I710" t="str">
            <v>UN</v>
          </cell>
          <cell r="J710">
            <v>196350</v>
          </cell>
        </row>
        <row r="711">
          <cell r="G711">
            <v>7530</v>
          </cell>
          <cell r="H711" t="str">
            <v>EXTRACCIÓN DE TESTIGOS DE PAVIMENTOS ASFÁLTICOS MEDIANTE NÚCLEOS DE 4". Norma técnica: INV E-758-13 ASTM D 5361.</v>
          </cell>
          <cell r="I711" t="str">
            <v>UN</v>
          </cell>
          <cell r="J711">
            <v>92106</v>
          </cell>
        </row>
        <row r="712">
          <cell r="G712">
            <v>7542</v>
          </cell>
          <cell r="H712" t="str">
            <v>RESISTENCIA A LA COMPRESIÓN DE CILINDROS DE CONCRETO (MOLDEADOS O NÚCLEOS). Norma técnica: INV E - 410 -13 NTC - 673 ASTM C 39/C 39M.</v>
          </cell>
          <cell r="I712" t="str">
            <v>UN</v>
          </cell>
          <cell r="J712">
            <v>5236</v>
          </cell>
        </row>
        <row r="713">
          <cell r="G713">
            <v>7544</v>
          </cell>
          <cell r="H713" t="str">
            <v>TRACCIÓN INDIRECTA DE CILINDROS DE CONCRETO. Norma técnica: INV E - 411 -13 NTC - 722 ASTM C496/C496M.</v>
          </cell>
          <cell r="I713" t="str">
            <v>UN</v>
          </cell>
          <cell r="J713">
            <v>17374</v>
          </cell>
        </row>
        <row r="714">
          <cell r="G714">
            <v>7550</v>
          </cell>
          <cell r="H714" t="str">
            <v>ENSAYO DE ADHERENCIA EN BANDEJA. Norma técnica: INV E – 740 - 13.</v>
          </cell>
          <cell r="I714" t="str">
            <v>UN</v>
          </cell>
          <cell r="J714">
            <v>134600</v>
          </cell>
        </row>
        <row r="715">
          <cell r="G715">
            <v>7551</v>
          </cell>
          <cell r="H715" t="str">
            <v>ESTABILIDAD Y FLUJO DE MEZCLAS ASFÁLTICAS EN CALIENTE EMPLEANDO EL EQUIPO MARSHALL (Una probeta). Norma técnica: INV E – 748 - 13 ASTM D6926 ASTM D6927.</v>
          </cell>
          <cell r="I715" t="str">
            <v>UN</v>
          </cell>
          <cell r="J715">
            <v>47600</v>
          </cell>
        </row>
        <row r="716">
          <cell r="G716">
            <v>7554</v>
          </cell>
          <cell r="H716" t="str">
            <v>SEÑALIZACION TUBULAR COLOMBINA PLASTICA</v>
          </cell>
          <cell r="I716" t="str">
            <v>UN</v>
          </cell>
          <cell r="J716">
            <v>43962</v>
          </cell>
        </row>
        <row r="717">
          <cell r="G717">
            <v>7555</v>
          </cell>
          <cell r="H717" t="str">
            <v>CINTA DE SEÑALIZACION CAL 4 (ROLLO 500mx0.10m)</v>
          </cell>
          <cell r="I717" t="str">
            <v>UN</v>
          </cell>
          <cell r="J717">
            <v>37188</v>
          </cell>
        </row>
        <row r="718">
          <cell r="G718">
            <v>7556</v>
          </cell>
          <cell r="H718" t="str">
            <v>PLASTICO NEGRO CALIBRE 6</v>
          </cell>
          <cell r="I718" t="str">
            <v>M2</v>
          </cell>
          <cell r="J718">
            <v>1312</v>
          </cell>
        </row>
        <row r="719">
          <cell r="G719">
            <v>7557</v>
          </cell>
          <cell r="H719" t="str">
            <v>BOLSA DE LONA</v>
          </cell>
          <cell r="I719" t="str">
            <v>UN</v>
          </cell>
          <cell r="J719">
            <v>1018</v>
          </cell>
        </row>
        <row r="720">
          <cell r="G720">
            <v>7558</v>
          </cell>
          <cell r="H720" t="str">
            <v>BAÑO TIPO FLUSHING</v>
          </cell>
          <cell r="I720" t="str">
            <v>UN/MES</v>
          </cell>
          <cell r="J720">
            <v>465433</v>
          </cell>
        </row>
        <row r="721">
          <cell r="G721">
            <v>7559</v>
          </cell>
          <cell r="H721" t="str">
            <v>TELA VERDE DE CERRAMIENTO (2.10mx250)</v>
          </cell>
          <cell r="I721" t="str">
            <v>M2</v>
          </cell>
          <cell r="J721">
            <v>793</v>
          </cell>
        </row>
        <row r="722">
          <cell r="G722">
            <v>7560</v>
          </cell>
          <cell r="H722" t="str">
            <v>POLISOMBRA 65% (1x7m) R-800 NEGRA</v>
          </cell>
          <cell r="I722" t="str">
            <v>M2</v>
          </cell>
          <cell r="J722">
            <v>1687</v>
          </cell>
        </row>
        <row r="723">
          <cell r="G723">
            <v>7561</v>
          </cell>
          <cell r="H723" t="str">
            <v>POLISOMBRA 47% (4x100m)</v>
          </cell>
          <cell r="I723" t="str">
            <v>M2</v>
          </cell>
          <cell r="J723">
            <v>1112</v>
          </cell>
        </row>
        <row r="724">
          <cell r="G724">
            <v>7562</v>
          </cell>
          <cell r="H724" t="str">
            <v>POSTE ROLLIZO D= 12cm a 15cm</v>
          </cell>
          <cell r="I724" t="str">
            <v>ML</v>
          </cell>
          <cell r="J724">
            <v>8715</v>
          </cell>
        </row>
        <row r="725">
          <cell r="G725">
            <v>7567</v>
          </cell>
          <cell r="H725" t="str">
            <v>SEÑAL EN POLIETILENO ALVEOLAR PARE-SIGA 45cms. DECORADA CON REFLECTIVO, GRADO ALTA INTENSIDAD</v>
          </cell>
          <cell r="I725" t="str">
            <v>UN</v>
          </cell>
          <cell r="J725">
            <v>85680</v>
          </cell>
        </row>
        <row r="726">
          <cell r="G726">
            <v>7568</v>
          </cell>
          <cell r="H726" t="str">
            <v>EXTINTOR x 5LB</v>
          </cell>
          <cell r="I726" t="str">
            <v>UN</v>
          </cell>
          <cell r="J726">
            <v>27000</v>
          </cell>
        </row>
        <row r="727">
          <cell r="G727">
            <v>7569</v>
          </cell>
          <cell r="H727" t="str">
            <v>BOTIQUIN PRIMEROS AUXILIOS CON MEDICAMENTOS DE 22CM X 27CM</v>
          </cell>
          <cell r="I727" t="str">
            <v>UN</v>
          </cell>
          <cell r="J727">
            <v>51308</v>
          </cell>
        </row>
        <row r="728">
          <cell r="G728">
            <v>7570</v>
          </cell>
          <cell r="H728" t="str">
            <v>CAMILLA EN MADERA NUEVA 0.70 x 1.4MT</v>
          </cell>
          <cell r="I728" t="str">
            <v>DIA</v>
          </cell>
          <cell r="J728">
            <v>250</v>
          </cell>
        </row>
        <row r="729">
          <cell r="G729">
            <v>7571</v>
          </cell>
          <cell r="H729" t="str">
            <v>CONOS H= 0,9- 1,0mt</v>
          </cell>
          <cell r="I729" t="str">
            <v>UN</v>
          </cell>
          <cell r="J729">
            <v>89250</v>
          </cell>
        </row>
        <row r="730">
          <cell r="G730">
            <v>7575</v>
          </cell>
          <cell r="H730" t="str">
            <v>CAPA IMPERMEABLE CALIBRE 14 - 16</v>
          </cell>
          <cell r="I730" t="str">
            <v>UN</v>
          </cell>
          <cell r="J730">
            <v>31300</v>
          </cell>
        </row>
        <row r="731">
          <cell r="G731">
            <v>7576</v>
          </cell>
          <cell r="H731" t="str">
            <v>PROTECCION AUDITIVA DE INSERTAR (PAR)</v>
          </cell>
          <cell r="I731" t="str">
            <v>UN</v>
          </cell>
          <cell r="J731">
            <v>630</v>
          </cell>
        </row>
        <row r="732">
          <cell r="G732">
            <v>7577</v>
          </cell>
          <cell r="H732" t="str">
            <v>GAFAS DE SEGURIDAD</v>
          </cell>
          <cell r="I732" t="str">
            <v>UN</v>
          </cell>
          <cell r="J732">
            <v>4641</v>
          </cell>
        </row>
        <row r="733">
          <cell r="G733">
            <v>7578</v>
          </cell>
          <cell r="H733" t="str">
            <v>GUANTES DE VAQUETA</v>
          </cell>
          <cell r="I733" t="str">
            <v>UN</v>
          </cell>
          <cell r="J733">
            <v>5831</v>
          </cell>
        </row>
        <row r="734">
          <cell r="G734">
            <v>7579</v>
          </cell>
          <cell r="H734" t="str">
            <v>MASCARILLA DESECHABLE</v>
          </cell>
          <cell r="I734" t="str">
            <v>UN</v>
          </cell>
          <cell r="J734">
            <v>620</v>
          </cell>
        </row>
        <row r="735">
          <cell r="G735">
            <v>7580</v>
          </cell>
          <cell r="H735" t="str">
            <v>CASCO DE SEGURIDAD DIELECTRICO</v>
          </cell>
          <cell r="I735" t="str">
            <v>UN</v>
          </cell>
          <cell r="J735">
            <v>20111</v>
          </cell>
        </row>
        <row r="736">
          <cell r="G736">
            <v>7582</v>
          </cell>
          <cell r="H736" t="str">
            <v>PETO EN CARNAZA</v>
          </cell>
          <cell r="I736" t="str">
            <v>UN</v>
          </cell>
          <cell r="J736">
            <v>17850</v>
          </cell>
        </row>
        <row r="737">
          <cell r="G737">
            <v>7583</v>
          </cell>
          <cell r="H737" t="str">
            <v>PROTECTOR AUDITIVO TIPO COPA</v>
          </cell>
          <cell r="I737" t="str">
            <v>UN</v>
          </cell>
          <cell r="J737">
            <v>18921</v>
          </cell>
        </row>
        <row r="738">
          <cell r="G738">
            <v>7585</v>
          </cell>
          <cell r="H738" t="str">
            <v>SARDINEL ALTO RAMPA A86</v>
          </cell>
          <cell r="I738" t="str">
            <v>ML</v>
          </cell>
          <cell r="J738">
            <v>42519</v>
          </cell>
        </row>
        <row r="739">
          <cell r="G739">
            <v>7586</v>
          </cell>
          <cell r="H739" t="str">
            <v>ESTOPEROL 10 cm x 3 cm (NO INCLUYE ELEMENTOS DE ANCLAJE)</v>
          </cell>
          <cell r="I739" t="str">
            <v>UN</v>
          </cell>
          <cell r="J739">
            <v>2380</v>
          </cell>
        </row>
        <row r="740">
          <cell r="G740">
            <v>7587</v>
          </cell>
          <cell r="H740" t="str">
            <v>PEGANTE EPOXICO DE DOS COMPONENTES</v>
          </cell>
          <cell r="I740" t="str">
            <v>KG</v>
          </cell>
          <cell r="J740">
            <v>109868</v>
          </cell>
        </row>
        <row r="741">
          <cell r="G741">
            <v>7596</v>
          </cell>
          <cell r="H741" t="str">
            <v>VIBRADOR DE EJE FLEXIBLE A COMBUSTIÓN - POTENCIA DE 5 A 7 HP</v>
          </cell>
          <cell r="I741" t="str">
            <v>DIA</v>
          </cell>
          <cell r="J741">
            <v>29163</v>
          </cell>
        </row>
        <row r="742">
          <cell r="G742">
            <v>7598</v>
          </cell>
          <cell r="H742" t="str">
            <v>TRITURADO 1-1/2"</v>
          </cell>
          <cell r="I742" t="str">
            <v>M3</v>
          </cell>
          <cell r="J742">
            <v>74970</v>
          </cell>
        </row>
        <row r="743">
          <cell r="G743">
            <v>7603</v>
          </cell>
          <cell r="H743" t="str">
            <v>TUBERIA GRP 300mm (300mm-800mm PRESION) PN10 BAR SN 5000. No Incluye Transporte.</v>
          </cell>
          <cell r="I743" t="str">
            <v>ML</v>
          </cell>
          <cell r="J743">
            <v>446112</v>
          </cell>
        </row>
        <row r="744">
          <cell r="G744">
            <v>7604</v>
          </cell>
          <cell r="H744" t="str">
            <v>TUBERIA GRP 400mm (300mm-800mm PRESION) PN 10 BAR SN 5000. No Incluye Transporte.</v>
          </cell>
          <cell r="I744" t="str">
            <v>ML</v>
          </cell>
          <cell r="J744">
            <v>585902</v>
          </cell>
        </row>
        <row r="745">
          <cell r="G745">
            <v>7606</v>
          </cell>
          <cell r="H745" t="str">
            <v>TUBERIA GRP 500mm (300mm-800mm PRESION) PN 10 BAR SN 5000. No Incluye Transporte.</v>
          </cell>
          <cell r="I745" t="str">
            <v>ML</v>
          </cell>
          <cell r="J745">
            <v>769129</v>
          </cell>
        </row>
        <row r="746">
          <cell r="G746">
            <v>7607</v>
          </cell>
          <cell r="H746" t="str">
            <v>TUBERIA GRP 600mm (300mm-800mm PRESION) PN 10 BAR SN 5000. NO INCLUYE TRANSPORTE</v>
          </cell>
          <cell r="I746" t="str">
            <v>ML</v>
          </cell>
          <cell r="J746">
            <v>903352</v>
          </cell>
        </row>
        <row r="747">
          <cell r="G747">
            <v>7608</v>
          </cell>
          <cell r="H747" t="str">
            <v>TUBERIA GRP 700mm (300mm-800mm PRESION) PN 10 BAR SN 5000. NO INCLUYE TRANSPORTE</v>
          </cell>
          <cell r="I747" t="str">
            <v>ML</v>
          </cell>
          <cell r="J747">
            <v>1127487</v>
          </cell>
        </row>
        <row r="748">
          <cell r="G748">
            <v>7610</v>
          </cell>
          <cell r="H748" t="str">
            <v>GEOMALLA TENSAR BX 1100 \ FORTGRID BX 30</v>
          </cell>
          <cell r="I748" t="str">
            <v>M2</v>
          </cell>
          <cell r="J748">
            <v>8996</v>
          </cell>
        </row>
        <row r="749">
          <cell r="G749">
            <v>7611</v>
          </cell>
          <cell r="H749" t="str">
            <v>GEOMALLA TENSAR BX 1200 \ FORTGRID BX 50</v>
          </cell>
          <cell r="I749" t="str">
            <v>M2</v>
          </cell>
          <cell r="J749">
            <v>13828</v>
          </cell>
        </row>
        <row r="750">
          <cell r="G750">
            <v>7613</v>
          </cell>
          <cell r="H750" t="str">
            <v>TUBERIA GRP 800mm (300mm-800mm PRESION) PN 10 BAR SN 5000. No Incluye Transporte.</v>
          </cell>
          <cell r="I750" t="str">
            <v>ML</v>
          </cell>
          <cell r="J750">
            <v>1387591</v>
          </cell>
        </row>
        <row r="751">
          <cell r="G751">
            <v>7614</v>
          </cell>
          <cell r="H751" t="str">
            <v>TUBERIA GRP 900mm (600mm-2400mm FLUJO LIBRE) PN 10 BAR SN 5000. No Incluye Transporte.</v>
          </cell>
          <cell r="I751" t="str">
            <v>ML</v>
          </cell>
          <cell r="J751">
            <v>1687539</v>
          </cell>
        </row>
        <row r="752">
          <cell r="G752">
            <v>7615</v>
          </cell>
          <cell r="H752" t="str">
            <v>TUBERIA GRP 1000mm (600mm-2400mm FLUJO LIBRE) PN 1 BAR SN 5000. No Incluye Transporte.</v>
          </cell>
          <cell r="I752" t="str">
            <v>ML</v>
          </cell>
          <cell r="J752">
            <v>1906296</v>
          </cell>
        </row>
        <row r="753">
          <cell r="G753">
            <v>7616</v>
          </cell>
          <cell r="H753" t="str">
            <v>TUBERIA GRP 1100mm (600mm-2400mm FLUJO LIBRE) PN 1 BAR SN 5000. No Incluye Transporte.</v>
          </cell>
          <cell r="I753" t="str">
            <v>ML</v>
          </cell>
          <cell r="J753">
            <v>2237315</v>
          </cell>
        </row>
        <row r="754">
          <cell r="G754">
            <v>7617</v>
          </cell>
          <cell r="H754" t="str">
            <v>TUBERIA GRP 1200mm (600mm-2400mm FLUJO LIBRE) PN 1 BAR SN 5000. NO INCLUYE TRANSPORTE.</v>
          </cell>
          <cell r="I754" t="str">
            <v>ML</v>
          </cell>
          <cell r="J754">
            <v>2622132</v>
          </cell>
        </row>
        <row r="755">
          <cell r="G755">
            <v>7618</v>
          </cell>
          <cell r="H755" t="str">
            <v>TUBERIA GRP 1300 (600mm-2400mm FLUJO LIBRE) PN 1 BAR SN 5000. NO INCLUYE TRANSPORTE</v>
          </cell>
          <cell r="I755" t="str">
            <v>ML</v>
          </cell>
          <cell r="J755">
            <v>3015790</v>
          </cell>
        </row>
        <row r="756">
          <cell r="G756">
            <v>7619</v>
          </cell>
          <cell r="H756" t="str">
            <v>TUBERIA GRP 1400 (600mm-2400mm FLUJO LIBRE) PN 1 BAR SN 5000. NO INCLUYE TRANSPORTE</v>
          </cell>
          <cell r="I756" t="str">
            <v>ML</v>
          </cell>
          <cell r="J756">
            <v>3417054</v>
          </cell>
        </row>
        <row r="757">
          <cell r="G757">
            <v>7620</v>
          </cell>
          <cell r="H757" t="str">
            <v>TUBERIA GRP 1500 (600mm-2400mm FLUJO LIBRE) PN 1 BAR SN 5000. NO INCLUYE TRANSPORTE</v>
          </cell>
          <cell r="I757" t="str">
            <v>ML</v>
          </cell>
          <cell r="J757">
            <v>3890795</v>
          </cell>
        </row>
        <row r="758">
          <cell r="G758">
            <v>7621</v>
          </cell>
          <cell r="H758" t="str">
            <v>TUBERIA GRP 1600 (600mm-2400mm FLUJO LIBRE) PN 1 BAR SN 5000. NO INCLUYE TRANSPORTE</v>
          </cell>
          <cell r="I758" t="str">
            <v>ML</v>
          </cell>
          <cell r="J758">
            <v>4388982</v>
          </cell>
        </row>
        <row r="759">
          <cell r="G759">
            <v>7622</v>
          </cell>
          <cell r="H759" t="str">
            <v>TUBERIA GRP 1700 (600mm-2400mm FLUJO LIBRE) PN 1 BAR SN 5000. NO INCLUYE TRANSPORTE</v>
          </cell>
          <cell r="I759" t="str">
            <v>ML</v>
          </cell>
          <cell r="J759">
            <v>4911760</v>
          </cell>
        </row>
        <row r="760">
          <cell r="G760">
            <v>7626</v>
          </cell>
          <cell r="H760" t="str">
            <v>ACOPLE GRP 300mm (PN 10 Bar) No Incluye Transporte.</v>
          </cell>
          <cell r="I760" t="str">
            <v>UN</v>
          </cell>
          <cell r="J760">
            <v>693590</v>
          </cell>
        </row>
        <row r="761">
          <cell r="G761">
            <v>7627</v>
          </cell>
          <cell r="H761" t="str">
            <v>ACOPLE GRP 350mm (PN 10 Bar) No Incluye Transporte.</v>
          </cell>
          <cell r="I761" t="str">
            <v>UN</v>
          </cell>
          <cell r="J761">
            <v>737466</v>
          </cell>
        </row>
        <row r="762">
          <cell r="G762">
            <v>7628</v>
          </cell>
          <cell r="H762" t="str">
            <v>ACOPLE GRP 400mm (PN 10 Bar) - NO INCLUYE TRANSPORTE</v>
          </cell>
          <cell r="I762" t="str">
            <v>UN</v>
          </cell>
          <cell r="J762">
            <v>781342</v>
          </cell>
        </row>
        <row r="763">
          <cell r="G763">
            <v>7630</v>
          </cell>
          <cell r="H763" t="str">
            <v>ACOPLE GRP 500mm (PN 10 Bar) - NO INCLUYE TRANSPORTE</v>
          </cell>
          <cell r="I763" t="str">
            <v>UN</v>
          </cell>
          <cell r="J763">
            <v>849070</v>
          </cell>
        </row>
        <row r="764">
          <cell r="G764">
            <v>7631</v>
          </cell>
          <cell r="H764" t="str">
            <v>ACOPLE GRP 600mm (PN 10 Bar) - NO INCLUYE TRANSPORTE</v>
          </cell>
          <cell r="I764" t="str">
            <v>UN</v>
          </cell>
          <cell r="J764">
            <v>1164657</v>
          </cell>
        </row>
        <row r="765">
          <cell r="G765">
            <v>7632</v>
          </cell>
          <cell r="H765" t="str">
            <v>ACOPLE GRP 700mm (PN 10 Bar) - NO INCLUYE TRANSPORTE</v>
          </cell>
          <cell r="I765" t="str">
            <v>UN</v>
          </cell>
          <cell r="J765">
            <v>1284961</v>
          </cell>
        </row>
        <row r="766">
          <cell r="G766">
            <v>7633</v>
          </cell>
          <cell r="H766" t="str">
            <v>ACOPLE GRP 800mm (PN 10 Bar) - NO INCLUYE TRANSPORTE</v>
          </cell>
          <cell r="I766" t="str">
            <v>UN</v>
          </cell>
          <cell r="J766">
            <v>1437720</v>
          </cell>
        </row>
        <row r="767">
          <cell r="G767">
            <v>7634</v>
          </cell>
          <cell r="H767" t="str">
            <v>ACOPLE GRP 900mm (PN 10 Bar) - NO INCLUYE TRANSPORTE</v>
          </cell>
          <cell r="I767" t="str">
            <v>UN</v>
          </cell>
          <cell r="J767">
            <v>1594970</v>
          </cell>
        </row>
        <row r="768">
          <cell r="G768">
            <v>7635</v>
          </cell>
          <cell r="H768" t="str">
            <v>ACOPLE GRP 1000mm  (PN 1 BAR) - NO INCLUYE TRANSPORTE</v>
          </cell>
          <cell r="I768" t="str">
            <v>UN</v>
          </cell>
          <cell r="J768">
            <v>949851</v>
          </cell>
        </row>
        <row r="769">
          <cell r="G769">
            <v>7636</v>
          </cell>
          <cell r="H769" t="str">
            <v>ACOPLE GRP 1100mm  (PN 1 BAR) - NO INCLUYE TRANSPORTE</v>
          </cell>
          <cell r="I769" t="str">
            <v>UN</v>
          </cell>
          <cell r="J769">
            <v>1015727</v>
          </cell>
        </row>
        <row r="770">
          <cell r="G770">
            <v>7637</v>
          </cell>
          <cell r="H770" t="str">
            <v>ACOPLE GRP 1200mm  (PN 1 BAR) - NO INCLUYE TRANSPORTE</v>
          </cell>
          <cell r="I770" t="str">
            <v>UN</v>
          </cell>
          <cell r="J770">
            <v>1200393</v>
          </cell>
        </row>
        <row r="771">
          <cell r="G771">
            <v>7638</v>
          </cell>
          <cell r="H771" t="str">
            <v>ACOPLE GRP 1300mm  (PN 1 BAR) - NO INCLUYE TRANSPORTE</v>
          </cell>
          <cell r="I771" t="str">
            <v>UN</v>
          </cell>
          <cell r="J771">
            <v>1591932</v>
          </cell>
        </row>
        <row r="772">
          <cell r="G772">
            <v>7639</v>
          </cell>
          <cell r="H772" t="str">
            <v>ACOPLE GRP 1400mm  (PN 1 BAR)</v>
          </cell>
          <cell r="I772" t="str">
            <v>UN</v>
          </cell>
          <cell r="J772">
            <v>1697812</v>
          </cell>
        </row>
        <row r="773">
          <cell r="G773">
            <v>7640</v>
          </cell>
          <cell r="H773" t="str">
            <v>ACOPLE GRP 1500mm  (PN 1 BAR) - NO INCLUYE TRANSPORTE</v>
          </cell>
          <cell r="I773" t="str">
            <v>UN</v>
          </cell>
          <cell r="J773">
            <v>1828085</v>
          </cell>
        </row>
        <row r="774">
          <cell r="G774">
            <v>7641</v>
          </cell>
          <cell r="H774" t="str">
            <v>ACOPLE GRP 1600mm  (PN 1 BAR)</v>
          </cell>
          <cell r="I774" t="str">
            <v>UN</v>
          </cell>
          <cell r="J774">
            <v>2018415</v>
          </cell>
        </row>
        <row r="775">
          <cell r="G775">
            <v>7642</v>
          </cell>
          <cell r="H775" t="str">
            <v>ACOPLE GRP 1700mm  (PN 1 BAR)</v>
          </cell>
          <cell r="I775" t="str">
            <v>UN</v>
          </cell>
          <cell r="J775">
            <v>2128441</v>
          </cell>
        </row>
        <row r="776">
          <cell r="G776">
            <v>7643</v>
          </cell>
          <cell r="H776" t="str">
            <v>ACOPLE GRP 1800mm  (PN 1 BAR) - NO INCLUYE TRANSPORTE</v>
          </cell>
          <cell r="I776" t="str">
            <v>UN</v>
          </cell>
          <cell r="J776">
            <v>2367983</v>
          </cell>
        </row>
        <row r="777">
          <cell r="G777">
            <v>7644</v>
          </cell>
          <cell r="H777" t="str">
            <v>ACOPLE GRP 2000mm  (PN 1 BAR) - NO INCLUYE TRANSPORTE</v>
          </cell>
          <cell r="I777" t="str">
            <v>UN</v>
          </cell>
          <cell r="J777">
            <v>2596806</v>
          </cell>
        </row>
        <row r="778">
          <cell r="G778">
            <v>7645</v>
          </cell>
          <cell r="H778" t="str">
            <v>TUBERIA GRP 1800 (600mm-2400mm FLUJO LIBRE) PN 1 BAR SN 5000 - NO INCLUYE TRANSPORTE</v>
          </cell>
          <cell r="I778" t="str">
            <v>ML</v>
          </cell>
          <cell r="J778">
            <v>5484880</v>
          </cell>
        </row>
        <row r="779">
          <cell r="G779">
            <v>7646</v>
          </cell>
          <cell r="H779" t="str">
            <v>TUBERIA GRP 2000 (600mm-2400mm FLUJO LIBRE) PN 1 BAR SN 5000 - NO INCLUYE TRANSPORTE</v>
          </cell>
          <cell r="I779" t="str">
            <v>ML</v>
          </cell>
          <cell r="J779">
            <v>6679631</v>
          </cell>
        </row>
        <row r="780">
          <cell r="G780">
            <v>7647</v>
          </cell>
          <cell r="H780" t="str">
            <v>ACOPLE GRP 2400mm - PN 1 BAR - NO INCLUYE TRANSPORTE</v>
          </cell>
          <cell r="I780" t="str">
            <v>UN</v>
          </cell>
          <cell r="J780">
            <v>3109876</v>
          </cell>
        </row>
        <row r="781">
          <cell r="G781">
            <v>7648</v>
          </cell>
          <cell r="H781" t="str">
            <v>TUBERIA GRP 2400 (600mm-2400mm FLUJO LIBRE) - PN 1 BAR SN 5000 - NO INCLUYE TRANSPORTE</v>
          </cell>
          <cell r="I781" t="str">
            <v>ML</v>
          </cell>
          <cell r="J781">
            <v>9469343</v>
          </cell>
        </row>
        <row r="782">
          <cell r="G782">
            <v>7650</v>
          </cell>
          <cell r="H782" t="str">
            <v>RECUBRIMIENTO BARRERA EPOXICO</v>
          </cell>
          <cell r="I782" t="str">
            <v>GLN</v>
          </cell>
          <cell r="J782">
            <v>171785</v>
          </cell>
        </row>
        <row r="783">
          <cell r="G783">
            <v>7651</v>
          </cell>
          <cell r="H783" t="str">
            <v>CATALIZADOR BARRERA EPOXICA COMPONENTE B</v>
          </cell>
          <cell r="I783" t="str">
            <v>GLN</v>
          </cell>
          <cell r="J783">
            <v>110509</v>
          </cell>
        </row>
        <row r="784">
          <cell r="G784">
            <v>7652</v>
          </cell>
          <cell r="H784" t="str">
            <v>RECUBRIMIENTO EN ESMALTE URETANO GRIS</v>
          </cell>
          <cell r="I784" t="str">
            <v>GLN</v>
          </cell>
          <cell r="J784">
            <v>226271</v>
          </cell>
        </row>
        <row r="785">
          <cell r="G785">
            <v>7653</v>
          </cell>
          <cell r="H785" t="str">
            <v>CATALIZADOR ESMALTE  URETANO (COMPONENTE B)</v>
          </cell>
          <cell r="I785" t="str">
            <v>GLN</v>
          </cell>
          <cell r="J785">
            <v>360000</v>
          </cell>
        </row>
        <row r="786">
          <cell r="G786">
            <v>7654</v>
          </cell>
          <cell r="H786" t="str">
            <v>DISOLVENTE EPOXICO</v>
          </cell>
          <cell r="I786" t="str">
            <v>GLN</v>
          </cell>
          <cell r="J786">
            <v>48000</v>
          </cell>
        </row>
        <row r="787">
          <cell r="G787">
            <v>7655</v>
          </cell>
          <cell r="H787" t="str">
            <v>DISOLVENTE URETANO</v>
          </cell>
          <cell r="I787" t="str">
            <v>GLN</v>
          </cell>
          <cell r="J787">
            <v>44000</v>
          </cell>
        </row>
        <row r="788">
          <cell r="G788">
            <v>7656</v>
          </cell>
          <cell r="H788" t="str">
            <v>IMPRIMANTE EPOXICO RICO EN ZINC</v>
          </cell>
          <cell r="I788" t="str">
            <v>GLN</v>
          </cell>
          <cell r="J788">
            <v>145000</v>
          </cell>
        </row>
        <row r="789">
          <cell r="G789">
            <v>7657</v>
          </cell>
          <cell r="H789" t="str">
            <v>CATALIZADOR PARA IMPRIMANTE EPOXICO RICO EN ZINC</v>
          </cell>
          <cell r="I789" t="str">
            <v>GLN</v>
          </cell>
          <cell r="J789">
            <v>122505</v>
          </cell>
        </row>
        <row r="790">
          <cell r="G790">
            <v>7658</v>
          </cell>
          <cell r="H790" t="str">
            <v>MEZCLA ASFÁLTICA EN CALIENTE CON ASFALTO MODIFICADO CON GRANO DE CAUCHO RECICLADO (GCR)</v>
          </cell>
          <cell r="I790" t="str">
            <v>M3</v>
          </cell>
          <cell r="J790">
            <v>1109142</v>
          </cell>
        </row>
        <row r="791">
          <cell r="G791">
            <v>7664</v>
          </cell>
          <cell r="H791" t="str">
            <v>SEÑALETICA SITP 1-2 RUTAS H=3.75 CON O SIN CENEFA</v>
          </cell>
          <cell r="I791" t="str">
            <v>UN</v>
          </cell>
          <cell r="J791">
            <v>1026607</v>
          </cell>
        </row>
        <row r="792">
          <cell r="G792">
            <v>7680</v>
          </cell>
          <cell r="H792" t="str">
            <v>PINTURA EN ESMALTE DOMESTICO</v>
          </cell>
          <cell r="I792" t="str">
            <v>GLN</v>
          </cell>
          <cell r="J792">
            <v>55330</v>
          </cell>
        </row>
        <row r="793">
          <cell r="G793">
            <v>7686</v>
          </cell>
          <cell r="H793" t="str">
            <v>BASE GRANULAR BG_B CON RECICLADO DE CONCRETO HIDRAULICO</v>
          </cell>
          <cell r="I793" t="str">
            <v>M3</v>
          </cell>
          <cell r="J793">
            <v>75684</v>
          </cell>
        </row>
        <row r="794">
          <cell r="G794">
            <v>7687</v>
          </cell>
          <cell r="H794" t="str">
            <v>BASE GRANULAR BG_A CON RECICLADO DE CONCRETO HIDRAULICO</v>
          </cell>
          <cell r="I794" t="str">
            <v>M3</v>
          </cell>
          <cell r="J794">
            <v>82586</v>
          </cell>
        </row>
        <row r="795">
          <cell r="G795">
            <v>7688</v>
          </cell>
          <cell r="H795" t="str">
            <v>BASE GRANULAR BG_C CON RECICLADO DE CONCRETO HIDRAULICO</v>
          </cell>
          <cell r="I795" t="str">
            <v>M3</v>
          </cell>
          <cell r="J795">
            <v>73780</v>
          </cell>
        </row>
        <row r="796">
          <cell r="G796">
            <v>7689</v>
          </cell>
          <cell r="H796" t="str">
            <v>SUBBASE GRANULAR SBG_A CON RECICLADO DE CONCRETO HIDRAULICO</v>
          </cell>
          <cell r="I796" t="str">
            <v>M3</v>
          </cell>
          <cell r="J796">
            <v>71400</v>
          </cell>
        </row>
        <row r="797">
          <cell r="G797">
            <v>7690</v>
          </cell>
          <cell r="H797" t="str">
            <v>SUBBASE GRANULAR SBG_B CON RECICLADO DE CONCRETO HIDRAULICO</v>
          </cell>
          <cell r="I797" t="str">
            <v>M3</v>
          </cell>
          <cell r="J797">
            <v>71400</v>
          </cell>
        </row>
        <row r="798">
          <cell r="G798">
            <v>7691</v>
          </cell>
          <cell r="H798" t="str">
            <v>SUBBASE GRANULAR SBG_C CON RECICLADO DE CONCRETO HIDRAULICO</v>
          </cell>
          <cell r="I798" t="str">
            <v>M3</v>
          </cell>
          <cell r="J798">
            <v>65450</v>
          </cell>
        </row>
        <row r="799">
          <cell r="G799">
            <v>7692</v>
          </cell>
          <cell r="H799" t="str">
            <v>SUBBASE GRANULAR CON RECICLADO DE CONCRETO ASFALTICO</v>
          </cell>
          <cell r="I799" t="str">
            <v>M3</v>
          </cell>
          <cell r="J799">
            <v>85680</v>
          </cell>
        </row>
        <row r="800">
          <cell r="G800">
            <v>7695</v>
          </cell>
          <cell r="H800" t="str">
            <v>SIERRA ELÉCTRICA CALADORA - POTENCIA DE 500 A 563 W</v>
          </cell>
          <cell r="I800" t="str">
            <v>HR</v>
          </cell>
          <cell r="J800">
            <v>1413</v>
          </cell>
        </row>
        <row r="801">
          <cell r="G801">
            <v>7696</v>
          </cell>
          <cell r="H801" t="str">
            <v>DESTORNILLADOR DE IMPACTO</v>
          </cell>
          <cell r="I801" t="str">
            <v>HR</v>
          </cell>
          <cell r="J801">
            <v>1636</v>
          </cell>
        </row>
        <row r="802">
          <cell r="G802">
            <v>7697</v>
          </cell>
          <cell r="H802" t="str">
            <v>PLANTA ELECTRICA POTENCIA ELÉCTRICA GENERADA 4KW - INCLUYE COMBUSTIBLE</v>
          </cell>
          <cell r="I802" t="str">
            <v>HR</v>
          </cell>
          <cell r="J802">
            <v>6464</v>
          </cell>
        </row>
        <row r="803">
          <cell r="G803">
            <v>7698</v>
          </cell>
          <cell r="H803" t="str">
            <v>PULIDORA MANUAL ELECTRICA</v>
          </cell>
          <cell r="I803" t="str">
            <v>HR</v>
          </cell>
          <cell r="J803">
            <v>1636</v>
          </cell>
        </row>
        <row r="804">
          <cell r="G804">
            <v>7699</v>
          </cell>
          <cell r="H804" t="str">
            <v>DISCO DE CORTE METAL 7 X 1/8"</v>
          </cell>
          <cell r="I804" t="str">
            <v>UN</v>
          </cell>
          <cell r="J804">
            <v>4640</v>
          </cell>
        </row>
        <row r="805">
          <cell r="G805">
            <v>7700</v>
          </cell>
          <cell r="H805" t="str">
            <v>DISCO ABRASIVO DESBASTE METAL 7 X 1/4"</v>
          </cell>
          <cell r="I805" t="str">
            <v>UN</v>
          </cell>
          <cell r="J805">
            <v>7600</v>
          </cell>
        </row>
        <row r="806">
          <cell r="G806">
            <v>7701</v>
          </cell>
          <cell r="H806" t="str">
            <v>TALADRO ROTOPERCUTOR - POTENCIA DE 860 A 1030 WATTS</v>
          </cell>
          <cell r="I806" t="str">
            <v>HR</v>
          </cell>
          <cell r="J806">
            <v>3421</v>
          </cell>
        </row>
        <row r="807">
          <cell r="G807">
            <v>7702</v>
          </cell>
          <cell r="H807" t="str">
            <v>PISO EN ALUMINIO PARA PUENTES PEATONALES Y ESTACIONES TRANSMILENIO EN ALEACIÓN AA6070 - INCLUYE PERFILES DE ALUMINIO DE 30.5mm DE ALTURA Y 100mm DE ANCHO, SIN TROQUELAR.</v>
          </cell>
          <cell r="I807" t="str">
            <v>M2</v>
          </cell>
          <cell r="J807">
            <v>424255</v>
          </cell>
        </row>
        <row r="808">
          <cell r="G808">
            <v>7707</v>
          </cell>
          <cell r="H808" t="str">
            <v>GUADAÑADORA - POTENCIA DE 1.3 A 1.7 KW</v>
          </cell>
          <cell r="I808" t="str">
            <v>DIA</v>
          </cell>
          <cell r="J808">
            <v>31900</v>
          </cell>
        </row>
        <row r="809">
          <cell r="G809">
            <v>7710</v>
          </cell>
          <cell r="H809" t="str">
            <v>PLAQUETA TIPO REJILLA (PEATONAL) 0.40 x 0.40 e= 6cm</v>
          </cell>
          <cell r="I809" t="str">
            <v>UN</v>
          </cell>
          <cell r="J809">
            <v>34578</v>
          </cell>
        </row>
        <row r="810">
          <cell r="G810">
            <v>7713</v>
          </cell>
          <cell r="H810" t="str">
            <v>CODO PVC 45° D= 1 1/2"</v>
          </cell>
          <cell r="I810" t="str">
            <v>UN</v>
          </cell>
          <cell r="J810">
            <v>9555</v>
          </cell>
        </row>
        <row r="811">
          <cell r="G811">
            <v>7714</v>
          </cell>
          <cell r="H811" t="str">
            <v>LLAMA AMARILLA (suministro y plantación. incluye tierra negra )</v>
          </cell>
          <cell r="I811" t="str">
            <v>M2</v>
          </cell>
          <cell r="J811">
            <v>38000</v>
          </cell>
        </row>
        <row r="812">
          <cell r="G812">
            <v>7715</v>
          </cell>
          <cell r="H812" t="str">
            <v>COLA DE ZORRO (Suministro y plantación, incluye tierra negra , transporte y disposición final de escombros)</v>
          </cell>
          <cell r="I812" t="str">
            <v>M2</v>
          </cell>
          <cell r="J812">
            <v>48000</v>
          </cell>
        </row>
        <row r="813">
          <cell r="G813">
            <v>7717</v>
          </cell>
          <cell r="H813" t="str">
            <v>EUCALIPTO POMARROSO H=1.5mt (Incluye siembra caja, tierra, abono y tutor)</v>
          </cell>
          <cell r="I813" t="str">
            <v>UN</v>
          </cell>
          <cell r="J813">
            <v>138000</v>
          </cell>
        </row>
        <row r="814">
          <cell r="G814">
            <v>7718</v>
          </cell>
          <cell r="H814" t="str">
            <v>CHICALA H=1.5 (Incluye siembra, caja, tierra,  abono y tutor)</v>
          </cell>
          <cell r="I814" t="str">
            <v>UN</v>
          </cell>
          <cell r="J814">
            <v>97500</v>
          </cell>
        </row>
        <row r="815">
          <cell r="G815">
            <v>7720</v>
          </cell>
          <cell r="H815" t="str">
            <v>JAZMIN CHINO H= 1.5 mt (Incluye siembra, caja, tierra, abono y tutor</v>
          </cell>
          <cell r="I815" t="str">
            <v>UN</v>
          </cell>
          <cell r="J815">
            <v>122500</v>
          </cell>
        </row>
        <row r="816">
          <cell r="G816">
            <v>7722</v>
          </cell>
          <cell r="H816" t="str">
            <v>TUBERIA PVC PRESION E.L. D=1 1/2" RDE21 PSI 200</v>
          </cell>
          <cell r="I816" t="str">
            <v>ML</v>
          </cell>
          <cell r="J816">
            <v>13807</v>
          </cell>
        </row>
        <row r="817">
          <cell r="G817">
            <v>7723</v>
          </cell>
          <cell r="H817" t="str">
            <v>BLOQUEO Y TRANSPLANTE DE ARBOLES DE 1-5mt (Incluye transporte, recolección)</v>
          </cell>
          <cell r="I817" t="str">
            <v>UN</v>
          </cell>
          <cell r="J817">
            <v>1000000</v>
          </cell>
        </row>
        <row r="818">
          <cell r="G818">
            <v>7724</v>
          </cell>
          <cell r="H818" t="str">
            <v>BLOQUEO Y TRANSPLANTE DE ARBOLES DE 5 - 10mt (Incluye transporte, recolección)</v>
          </cell>
          <cell r="I818" t="str">
            <v>UN</v>
          </cell>
          <cell r="J818">
            <v>1500000</v>
          </cell>
        </row>
        <row r="819">
          <cell r="G819">
            <v>7725</v>
          </cell>
          <cell r="H819" t="str">
            <v>BLOQUEO Y TRANSPLANTE DE ARBOLES DE 10 - 15mt (Incluye transporte, recolección)</v>
          </cell>
          <cell r="I819" t="str">
            <v>UN</v>
          </cell>
          <cell r="J819">
            <v>2000000</v>
          </cell>
        </row>
        <row r="820">
          <cell r="G820">
            <v>7727</v>
          </cell>
          <cell r="H820" t="str">
            <v>TUBERIA ACERO AL CARBON SIN COSTURA SCH40 D=3"</v>
          </cell>
          <cell r="I820" t="str">
            <v>ML</v>
          </cell>
          <cell r="J820">
            <v>64647</v>
          </cell>
        </row>
        <row r="821">
          <cell r="G821">
            <v>7728</v>
          </cell>
          <cell r="H821" t="str">
            <v>TUBERIA ACERO AL CARBON SIN COSTURA SCH40 D=4"</v>
          </cell>
          <cell r="I821" t="str">
            <v>ML</v>
          </cell>
          <cell r="J821">
            <v>102108</v>
          </cell>
        </row>
        <row r="822">
          <cell r="G822">
            <v>7729</v>
          </cell>
          <cell r="H822" t="str">
            <v>TUBERIA ACERO AL CARBON SIN COSTURA SCH40 D=6"</v>
          </cell>
          <cell r="I822" t="str">
            <v>ML</v>
          </cell>
          <cell r="J822">
            <v>176663</v>
          </cell>
        </row>
        <row r="823">
          <cell r="G823">
            <v>7730</v>
          </cell>
          <cell r="H823" t="str">
            <v>TUBERIA ACERO AL CARBON SIN COSTURA SCH40 D=8"</v>
          </cell>
          <cell r="I823" t="str">
            <v>ML</v>
          </cell>
          <cell r="J823">
            <v>249783</v>
          </cell>
        </row>
        <row r="824">
          <cell r="G824">
            <v>7733</v>
          </cell>
          <cell r="H824" t="str">
            <v>TRANSPORTE TUBERIA ACERO AL CARBON</v>
          </cell>
          <cell r="I824" t="str">
            <v>KG</v>
          </cell>
          <cell r="J824">
            <v>32</v>
          </cell>
        </row>
        <row r="825">
          <cell r="G825">
            <v>7737</v>
          </cell>
          <cell r="H825" t="str">
            <v>ANALISIS GRANULOMETRICO  DE LOS AGREGADOS GRUESO Y FINO. Norma técnica: INV E 213-13 NTC 77-2007.</v>
          </cell>
          <cell r="I825" t="str">
            <v>UN</v>
          </cell>
          <cell r="J825">
            <v>85085</v>
          </cell>
        </row>
        <row r="826">
          <cell r="G826">
            <v>7738</v>
          </cell>
          <cell r="H826" t="str">
            <v>RESISTENCIA A LA DEGRADACIÓN DE LOS AGREGADOS DE TAMAÑOS MENORES DE 37.5 MM (1½") POR MEDIO DE LA MÁQUINA DE LOS ÁNGELES (SIN TRITURACIÓN DE LOS AGREGADOS). Norma técnica: INV E 218-13 NTC 98-2012.</v>
          </cell>
          <cell r="I826" t="str">
            <v>UN</v>
          </cell>
          <cell r="J826">
            <v>111265</v>
          </cell>
        </row>
        <row r="827">
          <cell r="G827">
            <v>7743</v>
          </cell>
          <cell r="H827" t="str">
            <v>PORCENTAJE DE PARTÍCULAS FRACTURADAS EN UN AGREGADO GRUESO. Norma técnica: INV E 227-13.</v>
          </cell>
          <cell r="I827" t="str">
            <v>UN</v>
          </cell>
          <cell r="J827">
            <v>54978</v>
          </cell>
        </row>
        <row r="828">
          <cell r="G828">
            <v>7744</v>
          </cell>
          <cell r="H828" t="str">
            <v>ÍNDICES DE APLANAMIENTO Y ALARGAMIENTO DE LOS AGREGADOS PARA CARRETERAS. Norma técnica: INV E 230-13.</v>
          </cell>
          <cell r="I828" t="str">
            <v>UN</v>
          </cell>
          <cell r="J828">
            <v>95200</v>
          </cell>
        </row>
        <row r="829">
          <cell r="G829">
            <v>7750</v>
          </cell>
          <cell r="H829" t="str">
            <v>DENSIDAD, DENSIDAD RELATIVA (GRAVEDAD ESPECÍFICA) Y ABSORCIÓN DEL AGREGADO FINO. Norma técnica: INV E 222-13 NTC-237-1995.</v>
          </cell>
          <cell r="I829" t="str">
            <v>UN</v>
          </cell>
          <cell r="J829">
            <v>75565</v>
          </cell>
        </row>
        <row r="830">
          <cell r="G830">
            <v>7752</v>
          </cell>
          <cell r="H830" t="str">
            <v>PENETRACION DE LOS MATERIALES BITUMINOSOS. Norma técnica: INV E - 706 - 13 NTC 5028 ASTM D5.</v>
          </cell>
          <cell r="I830" t="str">
            <v>UN</v>
          </cell>
          <cell r="J830">
            <v>107100</v>
          </cell>
        </row>
        <row r="831">
          <cell r="G831">
            <v>7754</v>
          </cell>
          <cell r="H831" t="str">
            <v>DUCTILIDAD DE LOS MATERIALES ASFÁLTICOS. Norma técnica: INV E-702-13 ASTM D113.</v>
          </cell>
          <cell r="I831" t="str">
            <v>UN</v>
          </cell>
          <cell r="J831">
            <v>108000</v>
          </cell>
        </row>
        <row r="832">
          <cell r="G832">
            <v>7755</v>
          </cell>
          <cell r="H832" t="str">
            <v>EVALUACIÓN DE LA SUSCEPTIBILIDAD AL AGUA DE LAS MEZCLAS DE CONCRETO ASFÁLTICO UTILIZANDO LA PRUEBA DE TRACCIÓN INDIRECTA (Séis probetas). Norma técnica: INV E - 725 - 13 AASHTO T 283 ASTM D4867/D4867M.</v>
          </cell>
          <cell r="I832" t="str">
            <v>UN</v>
          </cell>
          <cell r="J832">
            <v>804700</v>
          </cell>
        </row>
        <row r="833">
          <cell r="G833">
            <v>7758</v>
          </cell>
          <cell r="H833" t="str">
            <v>ENSAYO DE TENSIÓN INDIRECTA PARA DETERMINAR EL MÓDULO RESILIENTE DE MEZCLAS ASFÁLTICAS (3 TEMPERATURAS Y 3 FRECUENCIAS). Norma técnica: INV E - 749 - 13 UNE-EN 12697-26 Anexo F ASTM D7369.</v>
          </cell>
          <cell r="I833" t="str">
            <v>UN</v>
          </cell>
          <cell r="J833">
            <v>1300000</v>
          </cell>
        </row>
        <row r="834">
          <cell r="G834">
            <v>7762</v>
          </cell>
          <cell r="H834" t="str">
            <v>MÓDULO DE ELASTICIDAD ESTÁTICO Y RELACIÓN DE POISSON DEL CONCRETO EN COMPRESIÓN. Norma técnica: INV E - 749 - 13 UNE-EN 12697-26 Anexo F ASTM D7369.</v>
          </cell>
          <cell r="I834" t="str">
            <v>UN</v>
          </cell>
          <cell r="J834">
            <v>215895</v>
          </cell>
        </row>
        <row r="835">
          <cell r="G835">
            <v>7766</v>
          </cell>
          <cell r="H835" t="str">
            <v>PUNTO DE ABLANDAMIENTO DE MATERIALES BITUMINOSOS (APARATO DE ANILLO Y BOLA). Norma técnica: INV E – 712 - 13 ASTM D36/D36M.</v>
          </cell>
          <cell r="I835" t="str">
            <v>UN</v>
          </cell>
          <cell r="J835">
            <v>145180</v>
          </cell>
        </row>
        <row r="836">
          <cell r="G836">
            <v>7767</v>
          </cell>
          <cell r="H836" t="str">
            <v>ANDAMIO TUBULAR</v>
          </cell>
          <cell r="I836" t="str">
            <v>DIA</v>
          </cell>
          <cell r="J836">
            <v>916</v>
          </cell>
        </row>
        <row r="837">
          <cell r="G837">
            <v>7769</v>
          </cell>
          <cell r="H837" t="str">
            <v>PLANCHON PARA ANDAMIO</v>
          </cell>
          <cell r="I837" t="str">
            <v>DIA</v>
          </cell>
          <cell r="J837">
            <v>357</v>
          </cell>
        </row>
        <row r="838">
          <cell r="G838">
            <v>7770</v>
          </cell>
          <cell r="H838" t="str">
            <v>DISEÑO DE MEZCLAS ASFALTICAS METODO MARSHALL.</v>
          </cell>
          <cell r="I838" t="str">
            <v>UN</v>
          </cell>
          <cell r="J838">
            <v>1290400</v>
          </cell>
        </row>
        <row r="839">
          <cell r="G839">
            <v>7772</v>
          </cell>
          <cell r="H839" t="str">
            <v>DEMANDA BIOQUÍMICA DE OXIGENO (DBO5). Norma técnica: SM 5210 B.</v>
          </cell>
          <cell r="I839" t="str">
            <v>UN</v>
          </cell>
          <cell r="J839">
            <v>38080</v>
          </cell>
        </row>
        <row r="840">
          <cell r="G840">
            <v>7773</v>
          </cell>
          <cell r="H840" t="str">
            <v>DEMANDA QUÍMICA DE OXIGENO (DQO). Norma técnica: SM 5220 D.</v>
          </cell>
          <cell r="I840" t="str">
            <v>UN</v>
          </cell>
          <cell r="J840">
            <v>38080</v>
          </cell>
        </row>
        <row r="841">
          <cell r="G841">
            <v>7774</v>
          </cell>
          <cell r="H841" t="str">
            <v>OXÍGENO DISUELTO, MODIFICACIÓN DE AZIDA. Norma técnica: SM 4500 - OC.</v>
          </cell>
          <cell r="I841" t="str">
            <v>UN</v>
          </cell>
          <cell r="J841">
            <v>7140</v>
          </cell>
        </row>
        <row r="842">
          <cell r="G842">
            <v>7775</v>
          </cell>
          <cell r="H842" t="str">
            <v>NITROGENO TOTAL KSELDAHL. Norma técnica: SM 4500-NORG C.</v>
          </cell>
          <cell r="I842" t="str">
            <v>UN</v>
          </cell>
          <cell r="J842">
            <v>52320</v>
          </cell>
        </row>
        <row r="843">
          <cell r="G843">
            <v>7776</v>
          </cell>
          <cell r="H843" t="str">
            <v>FOSFORO TOTAL. Norma técnica: SM 4500 - P B, E.</v>
          </cell>
          <cell r="I843" t="str">
            <v>UN</v>
          </cell>
          <cell r="J843">
            <v>21777</v>
          </cell>
        </row>
        <row r="844">
          <cell r="G844">
            <v>7777</v>
          </cell>
          <cell r="H844" t="str">
            <v>COLIFORMES TOTALES FERMENTACIÓN TUBOS MÚLTIPLES. Norma técnica: SM 9221  B.</v>
          </cell>
          <cell r="I844" t="str">
            <v>UN</v>
          </cell>
          <cell r="J844">
            <v>39270</v>
          </cell>
        </row>
        <row r="845">
          <cell r="G845">
            <v>7778</v>
          </cell>
          <cell r="H845" t="str">
            <v>COLIFORMES FECALES  FERMENTACIÓN TUBOS MÚLTIPLES. Norma técnica: SM 9221 E.</v>
          </cell>
          <cell r="I845" t="str">
            <v>UN</v>
          </cell>
          <cell r="J845">
            <v>41650</v>
          </cell>
        </row>
        <row r="846">
          <cell r="G846">
            <v>7780</v>
          </cell>
          <cell r="H846" t="str">
            <v>POTASIO. Norma técnica: SM 3500 K - B.</v>
          </cell>
          <cell r="I846" t="str">
            <v>UN</v>
          </cell>
          <cell r="J846">
            <v>28560</v>
          </cell>
        </row>
        <row r="847">
          <cell r="G847">
            <v>7781</v>
          </cell>
          <cell r="H847" t="str">
            <v>ACIDEZ TOTAL. Norma técnica: SM 2310 B.</v>
          </cell>
          <cell r="I847" t="str">
            <v>UN</v>
          </cell>
          <cell r="J847">
            <v>10091</v>
          </cell>
        </row>
        <row r="848">
          <cell r="G848">
            <v>7782</v>
          </cell>
          <cell r="H848" t="str">
            <v>ALCALINIDAD TOTAL. Norma técnica: SM 2320 B.</v>
          </cell>
          <cell r="I848" t="str">
            <v>UN</v>
          </cell>
          <cell r="J848">
            <v>11662</v>
          </cell>
        </row>
        <row r="849">
          <cell r="G849">
            <v>7783</v>
          </cell>
          <cell r="H849" t="str">
            <v>TURBIEDAD, MÉTODO NEFELOMÉTRICO. Norma técnica: SM 2130 B.</v>
          </cell>
          <cell r="I849" t="str">
            <v>UN</v>
          </cell>
          <cell r="J849">
            <v>6466</v>
          </cell>
        </row>
        <row r="850">
          <cell r="G850">
            <v>7784</v>
          </cell>
          <cell r="H850" t="str">
            <v>GRASAS Y ACEITES. Norma técnica: SM 5520 B.</v>
          </cell>
          <cell r="I850" t="str">
            <v>UN</v>
          </cell>
          <cell r="J850">
            <v>42840</v>
          </cell>
        </row>
        <row r="851">
          <cell r="G851">
            <v>7785</v>
          </cell>
          <cell r="H851" t="str">
            <v>SOLIDOS SUSPENDIDOS TOTALES, SECADO A 103°C - 105°C. Norma técnica: SM 2540 D.</v>
          </cell>
          <cell r="I851" t="str">
            <v>UN</v>
          </cell>
          <cell r="J851">
            <v>20230</v>
          </cell>
        </row>
        <row r="852">
          <cell r="G852">
            <v>7786</v>
          </cell>
          <cell r="H852" t="str">
            <v>SOLIDOS DISUELTOS TOTALES. Norma técnica: SM 2540 C.</v>
          </cell>
          <cell r="I852" t="str">
            <v>UN</v>
          </cell>
          <cell r="J852">
            <v>20230</v>
          </cell>
        </row>
        <row r="853">
          <cell r="G853">
            <v>7787</v>
          </cell>
          <cell r="H853" t="str">
            <v>SOLIDOS TOTALES, SECADO A 103°C - 105°C. Norma técnica: SM 2540 B  ASTM C 1603 2010.</v>
          </cell>
          <cell r="I853" t="str">
            <v>UN</v>
          </cell>
          <cell r="J853">
            <v>20230</v>
          </cell>
        </row>
        <row r="854">
          <cell r="G854">
            <v>7788</v>
          </cell>
          <cell r="H854" t="str">
            <v>SOLIDOS SEDIMENTABLES. Norma técnica: SM 2540 F.</v>
          </cell>
          <cell r="I854" t="str">
            <v>UN</v>
          </cell>
          <cell r="J854">
            <v>8330</v>
          </cell>
        </row>
        <row r="855">
          <cell r="G855">
            <v>7798</v>
          </cell>
          <cell r="H855" t="str">
            <v>PH. Norma técnica: SM 4500 - H + B  ASTM D 1293 2012.</v>
          </cell>
          <cell r="I855" t="str">
            <v>UN</v>
          </cell>
          <cell r="J855">
            <v>3332</v>
          </cell>
        </row>
        <row r="856">
          <cell r="G856">
            <v>7800</v>
          </cell>
          <cell r="H856" t="str">
            <v>TEMPERATURA DEL AGUA. Norma técnica: SM 2550 B.</v>
          </cell>
          <cell r="I856" t="str">
            <v>UN</v>
          </cell>
          <cell r="J856">
            <v>2775</v>
          </cell>
        </row>
        <row r="857">
          <cell r="G857">
            <v>7801</v>
          </cell>
          <cell r="H857" t="str">
            <v>COLOR VERDADERO. Norma técnica: SM 2120 B.</v>
          </cell>
          <cell r="I857" t="str">
            <v>UN</v>
          </cell>
          <cell r="J857">
            <v>10390</v>
          </cell>
        </row>
        <row r="858">
          <cell r="G858">
            <v>7811</v>
          </cell>
          <cell r="H858" t="str">
            <v>CEPILLO INDUSTRIAL DE NYLON CON CABO DE 35CM A 42CM X 9CM X 17CM</v>
          </cell>
          <cell r="I858" t="str">
            <v>UN</v>
          </cell>
          <cell r="J858">
            <v>13978</v>
          </cell>
        </row>
        <row r="859">
          <cell r="G859">
            <v>7812</v>
          </cell>
          <cell r="H859" t="str">
            <v>CARRETILLA  RUEDA NEUMATICA PLATON METALICO CAPACIDAD CINCO PIES CUBICOS MANGO MADERA TIPO BUGGY</v>
          </cell>
          <cell r="I859" t="str">
            <v>UN</v>
          </cell>
          <cell r="J859">
            <v>201100</v>
          </cell>
        </row>
        <row r="860">
          <cell r="G860">
            <v>7813</v>
          </cell>
          <cell r="H860" t="str">
            <v>BARRA DE 18LB CON PUNTA Y PALA 150CM X 10CM</v>
          </cell>
          <cell r="I860" t="str">
            <v>UN</v>
          </cell>
          <cell r="J860">
            <v>64260</v>
          </cell>
        </row>
        <row r="861">
          <cell r="G861">
            <v>7814</v>
          </cell>
          <cell r="H861" t="str">
            <v>SERRUCHO DE 20" DIENTE ENDURECIDO</v>
          </cell>
          <cell r="I861" t="str">
            <v>UN</v>
          </cell>
          <cell r="J861">
            <v>37900</v>
          </cell>
        </row>
        <row r="862">
          <cell r="G862">
            <v>7818</v>
          </cell>
          <cell r="H862" t="str">
            <v>CAMILLA MADERA PRIMEROS AUXILIOS INMOVILIZADOR CABEZA</v>
          </cell>
          <cell r="I862" t="str">
            <v>UN</v>
          </cell>
          <cell r="J862">
            <v>205195</v>
          </cell>
        </row>
        <row r="863">
          <cell r="G863">
            <v>7819</v>
          </cell>
          <cell r="H863" t="str">
            <v>EXTINTOR POLVO QUIMICO SECO DE 20LB TIPO ABC METALICO CON GANCHO Y AVISO</v>
          </cell>
          <cell r="I863" t="str">
            <v>UN</v>
          </cell>
          <cell r="J863">
            <v>56287</v>
          </cell>
        </row>
        <row r="864">
          <cell r="G864">
            <v>7821</v>
          </cell>
          <cell r="H864" t="str">
            <v>BOTA LISA DIELECTRICA CON PUNTERA EN ACERO DE CAUCHO, CINTA AMARILLA, PUNTERA Y PLANTILLA EN ACERO</v>
          </cell>
          <cell r="I864" t="str">
            <v>PAR</v>
          </cell>
          <cell r="J864">
            <v>66521</v>
          </cell>
        </row>
        <row r="865">
          <cell r="G865">
            <v>7822</v>
          </cell>
          <cell r="H865" t="str">
            <v>BOTA CUERO LISA NEGRA SEGURIDAD PUNTERA DE ACERO</v>
          </cell>
          <cell r="I865" t="str">
            <v>PAR</v>
          </cell>
          <cell r="J865">
            <v>45101</v>
          </cell>
        </row>
        <row r="866">
          <cell r="G866">
            <v>7823</v>
          </cell>
          <cell r="H866" t="str">
            <v>BOTA DE CAUCHO, CINTA AMARILLA, PUNTERA Y PLANTILLA EN ACERO</v>
          </cell>
          <cell r="I866" t="str">
            <v>PAR</v>
          </cell>
          <cell r="J866">
            <v>105910</v>
          </cell>
        </row>
        <row r="867">
          <cell r="G867">
            <v>7824</v>
          </cell>
          <cell r="H867" t="str">
            <v>PROTECTOR AUDITIVO TIPO TAPON DESECHABLE SIN CORDON</v>
          </cell>
          <cell r="I867" t="str">
            <v>PAR</v>
          </cell>
          <cell r="J867">
            <v>476</v>
          </cell>
        </row>
        <row r="868">
          <cell r="G868">
            <v>7825</v>
          </cell>
          <cell r="H868" t="str">
            <v>MASCARILLA DESECHABLE CONTRA POLVOS Y PARTICULAS NO TOXICAS</v>
          </cell>
          <cell r="I868" t="str">
            <v>UN</v>
          </cell>
          <cell r="J868">
            <v>1785</v>
          </cell>
        </row>
        <row r="869">
          <cell r="G869">
            <v>7826</v>
          </cell>
          <cell r="H869" t="str">
            <v>MASCARILLA DESECHABLE CON VALVULA CONTRA POLVO Y PARTICULAS NO TOXICAS</v>
          </cell>
          <cell r="I869" t="str">
            <v>UN</v>
          </cell>
          <cell r="J869">
            <v>4641</v>
          </cell>
        </row>
        <row r="870">
          <cell r="G870">
            <v>7827</v>
          </cell>
          <cell r="H870" t="str">
            <v>PROTECTOR AUDITIVO TIPO TAPON INSERCION EN SILICONA CON CORDEL EN ESTUCHE</v>
          </cell>
          <cell r="I870" t="str">
            <v>PAR</v>
          </cell>
          <cell r="J870">
            <v>2023</v>
          </cell>
        </row>
        <row r="871">
          <cell r="G871">
            <v>7832</v>
          </cell>
          <cell r="H871" t="str">
            <v>BARBUQUEJO EN REATA CON MENTONERA CON TRES APOYOS PARA CASCO</v>
          </cell>
          <cell r="I871" t="str">
            <v>UN</v>
          </cell>
          <cell r="J871">
            <v>4165</v>
          </cell>
        </row>
        <row r="872">
          <cell r="G872">
            <v>7836</v>
          </cell>
          <cell r="H872" t="str">
            <v>ARNES MULTIPROPOSITO CON ESLINGA - 4 ANILLOS - PARA RESTRICCION Y DETENCION DE CAIDAS CON PUNTO FIJO</v>
          </cell>
          <cell r="I872" t="str">
            <v>UN</v>
          </cell>
          <cell r="J872">
            <v>140000</v>
          </cell>
        </row>
        <row r="873">
          <cell r="G873">
            <v>7837</v>
          </cell>
          <cell r="H873" t="str">
            <v>ESLINGA SEGURIDAD CINTA DE NYLON EN Y CON AMORTIGUADOR Y 2 MOSQUETONES GRANDES</v>
          </cell>
          <cell r="I873" t="str">
            <v>UN</v>
          </cell>
          <cell r="J873">
            <v>136850</v>
          </cell>
        </row>
        <row r="874">
          <cell r="G874">
            <v>7838</v>
          </cell>
          <cell r="H874" t="str">
            <v>IMPERMEABLE INDUSTRIAL PVC CON CAPUCHA EN NYLON</v>
          </cell>
          <cell r="I874" t="str">
            <v>UN</v>
          </cell>
          <cell r="J874">
            <v>33100</v>
          </cell>
        </row>
        <row r="875">
          <cell r="G875">
            <v>7839</v>
          </cell>
          <cell r="H875" t="str">
            <v>OVEROL IMPERMEABLE INDUSTRIAL AMARILLO 2 PIEZAS CON CAPUCHA</v>
          </cell>
          <cell r="I875" t="str">
            <v>UN</v>
          </cell>
          <cell r="J875">
            <v>49980</v>
          </cell>
        </row>
        <row r="876">
          <cell r="G876">
            <v>7844</v>
          </cell>
          <cell r="H876" t="str">
            <v>GUANTE NITRILO 13" RESISTENTE CONTRA QUIMICOS COMBUSTIBLES SOLVENTES GRASAS</v>
          </cell>
          <cell r="I876" t="str">
            <v>PAR</v>
          </cell>
          <cell r="J876">
            <v>7021</v>
          </cell>
        </row>
        <row r="877">
          <cell r="G877">
            <v>7846</v>
          </cell>
          <cell r="H877" t="str">
            <v>GUANTE CARNAZA REFORZADO EN CARNAZA LARGO</v>
          </cell>
          <cell r="I877" t="str">
            <v>PAR</v>
          </cell>
          <cell r="J877">
            <v>7735</v>
          </cell>
        </row>
        <row r="878">
          <cell r="G878">
            <v>7850</v>
          </cell>
          <cell r="H878" t="str">
            <v>CINTA PARA SEÑALIZACION DE 500MT X 4" PELIGRO CALIBRE 3.5</v>
          </cell>
          <cell r="I878" t="str">
            <v>ROLLO</v>
          </cell>
          <cell r="J878">
            <v>24285</v>
          </cell>
        </row>
        <row r="879">
          <cell r="G879">
            <v>7851</v>
          </cell>
          <cell r="H879" t="str">
            <v>RESPIRADOR PARA GASES DOBLE SIN CARTUCHO</v>
          </cell>
          <cell r="I879" t="str">
            <v>UN</v>
          </cell>
          <cell r="J879">
            <v>42840</v>
          </cell>
        </row>
        <row r="880">
          <cell r="G880">
            <v>7852</v>
          </cell>
          <cell r="H880" t="str">
            <v>TELA VERDE PARA CERRAMIENTO 2.10 METRO DE ANCHO DE 60GR</v>
          </cell>
          <cell r="I880" t="str">
            <v>ML</v>
          </cell>
          <cell r="J880">
            <v>2214</v>
          </cell>
        </row>
        <row r="881">
          <cell r="G881">
            <v>7870</v>
          </cell>
          <cell r="H881" t="str">
            <v>VÍDEO BEAM - ALQUILER POR DIA</v>
          </cell>
          <cell r="I881" t="str">
            <v>DIA</v>
          </cell>
          <cell r="J881">
            <v>107100</v>
          </cell>
        </row>
        <row r="882">
          <cell r="G882">
            <v>7874</v>
          </cell>
          <cell r="H882" t="str">
            <v>GRAVEDAD ESPECÍFICA BULK Y DENSIDAD DE MEZCLAS ASFÁLTICAS COMPACTADAS NO ABSORBENTES EMPLEANDO ESPECÍMENES SATURADOS Y SUPERFICIALMENTE SECOS. Norma técnica: INV E – 733 - 13 ASTM D2726.</v>
          </cell>
          <cell r="I882" t="str">
            <v>UN</v>
          </cell>
          <cell r="J882">
            <v>35581</v>
          </cell>
        </row>
        <row r="883">
          <cell r="G883">
            <v>7876</v>
          </cell>
          <cell r="H883" t="str">
            <v>EXTRACCIÓN CUANTITATIVA DEL ASFÁLTO EN MEZCLAS PARA PAVIMENTOS. Norma técnica: INV E – 732 - 13 ASTM D2172/D2172M.</v>
          </cell>
          <cell r="I883" t="str">
            <v>UN</v>
          </cell>
          <cell r="J883">
            <v>130900</v>
          </cell>
        </row>
        <row r="884">
          <cell r="G884">
            <v>7877</v>
          </cell>
          <cell r="H884" t="str">
            <v>RESISTENCIA A LA FLEXIÓN DEL CONCRETO USANDO UNA VIGA SIMPLEMENTE APOYADA Y CARGADA EN LOS TERCIOS DE LA LUZ LIBRE. Norma técnica: INV E - 414 -13 NTC - 2871 ASTM C78/C78M.</v>
          </cell>
          <cell r="I884" t="str">
            <v>UN</v>
          </cell>
          <cell r="J884">
            <v>36890</v>
          </cell>
        </row>
        <row r="885">
          <cell r="G885">
            <v>7884</v>
          </cell>
          <cell r="H885" t="str">
            <v>SARDINEL ESPECIAL A 110 - RAMPA B (600X400X500MM)</v>
          </cell>
          <cell r="I885" t="str">
            <v>UN</v>
          </cell>
          <cell r="J885">
            <v>77905</v>
          </cell>
        </row>
        <row r="886">
          <cell r="G886">
            <v>7891</v>
          </cell>
          <cell r="H886" t="str">
            <v>ESMALTE ALQUIDICO</v>
          </cell>
          <cell r="I886" t="str">
            <v>GLN</v>
          </cell>
          <cell r="J886">
            <v>68483</v>
          </cell>
        </row>
        <row r="887">
          <cell r="G887">
            <v>7892</v>
          </cell>
          <cell r="H887" t="str">
            <v>EQUIPO VACTOR - SONDEO - LIMPIEZA - RECOLECCIÓN DE LODOS NO PELIGROSOS (No incluye agua).</v>
          </cell>
          <cell r="I887" t="str">
            <v>HR</v>
          </cell>
          <cell r="J887">
            <v>273700</v>
          </cell>
        </row>
        <row r="888">
          <cell r="G888">
            <v>7896</v>
          </cell>
          <cell r="H888" t="str">
            <v>IMPRESIÓN HOJA CARTA, A 1X0 TINTAS EN PAPEL BOND DE 75 GR.</v>
          </cell>
          <cell r="I888" t="str">
            <v>UN</v>
          </cell>
          <cell r="J888">
            <v>95</v>
          </cell>
        </row>
        <row r="889">
          <cell r="G889">
            <v>7897</v>
          </cell>
          <cell r="H889" t="str">
            <v>AFICHE TAMAÑO MEDIO PLIEGO A 4X0 TINTAS EN PROPALCOTE DE 115 GR.</v>
          </cell>
          <cell r="I889" t="str">
            <v>UN</v>
          </cell>
          <cell r="J889">
            <v>1309</v>
          </cell>
        </row>
        <row r="890">
          <cell r="G890">
            <v>7898</v>
          </cell>
          <cell r="H890" t="str">
            <v>PLEGABLES DE SOSTENIBILIDAD EN TRES CUERPOS TAMAÑO CARTA A 4X4 TINTAS EN PROPALCOTE.</v>
          </cell>
          <cell r="I890" t="str">
            <v>UN</v>
          </cell>
          <cell r="J890">
            <v>500</v>
          </cell>
        </row>
        <row r="891">
          <cell r="G891">
            <v>7900</v>
          </cell>
          <cell r="H891" t="str">
            <v>VOLANTES TAMAÑO CARTA POLICROMÍA DE 114 GR.</v>
          </cell>
          <cell r="I891" t="str">
            <v>UN</v>
          </cell>
          <cell r="J891">
            <v>167</v>
          </cell>
        </row>
        <row r="892">
          <cell r="G892">
            <v>7901</v>
          </cell>
          <cell r="H892" t="str">
            <v>VOLANTES TAMAÑO 1/2 CARTA POLICROMÍA COTE DE 115 GR.</v>
          </cell>
          <cell r="I892" t="str">
            <v>UN</v>
          </cell>
          <cell r="J892">
            <v>83</v>
          </cell>
        </row>
        <row r="893">
          <cell r="G893">
            <v>7904</v>
          </cell>
          <cell r="H893" t="str">
            <v>EXÁMEN MÉDICO OCUPACIONAL DE INGRESO O RETIRO</v>
          </cell>
          <cell r="I893" t="str">
            <v>UN</v>
          </cell>
          <cell r="J893">
            <v>28000</v>
          </cell>
        </row>
        <row r="894">
          <cell r="G894">
            <v>7906</v>
          </cell>
          <cell r="H894" t="str">
            <v>EXAMEN DE AUDIOMETRÍA DE INGRESO O EGRESO</v>
          </cell>
          <cell r="I894" t="str">
            <v>UN</v>
          </cell>
          <cell r="J894">
            <v>15500</v>
          </cell>
        </row>
        <row r="895">
          <cell r="G895">
            <v>7908</v>
          </cell>
          <cell r="H895" t="str">
            <v>EXAMEN DE OPTOMETRÍA DE INGRESO O EGRESO</v>
          </cell>
          <cell r="I895" t="str">
            <v>UN</v>
          </cell>
          <cell r="J895">
            <v>20000</v>
          </cell>
        </row>
        <row r="896">
          <cell r="G896">
            <v>7910</v>
          </cell>
          <cell r="H896" t="str">
            <v>EXAMEN DE ESPIROMETRÍA DE INGRESO O EGRESO</v>
          </cell>
          <cell r="I896" t="str">
            <v>UN</v>
          </cell>
          <cell r="J896">
            <v>17500</v>
          </cell>
        </row>
        <row r="897">
          <cell r="G897">
            <v>7919</v>
          </cell>
          <cell r="H897" t="str">
            <v>COMPRESOR DE AIRE DE PISTÓN - CAUDAL DE AIRE DE 38 A 53 CFM</v>
          </cell>
          <cell r="I897" t="str">
            <v>DIA</v>
          </cell>
          <cell r="J897">
            <v>41650</v>
          </cell>
        </row>
        <row r="898">
          <cell r="G898">
            <v>7921</v>
          </cell>
          <cell r="H898" t="str">
            <v>CONCRETO MR41 DE RESISTENCIA ACELERADA (3 días)</v>
          </cell>
          <cell r="I898" t="str">
            <v>M3</v>
          </cell>
          <cell r="J898">
            <v>639030</v>
          </cell>
        </row>
        <row r="899">
          <cell r="G899">
            <v>7922</v>
          </cell>
          <cell r="H899" t="str">
            <v>HIDROLAVADORA MOTOR A COMBUSTIÓN - CAUDAL DE 8 A 13 LITROS POR MINUTO - PRESIÓN DE 2700 A 2960 PSI - INCLUYE COMBUSTIBLE</v>
          </cell>
          <cell r="I899" t="str">
            <v>HR</v>
          </cell>
          <cell r="J899">
            <v>5554</v>
          </cell>
        </row>
        <row r="900">
          <cell r="G900">
            <v>7923</v>
          </cell>
          <cell r="H900" t="str">
            <v>DETERGENTE/DESENGRASANTE INDUSTRIAL</v>
          </cell>
          <cell r="I900" t="str">
            <v>KG</v>
          </cell>
          <cell r="J900">
            <v>8111</v>
          </cell>
        </row>
        <row r="901">
          <cell r="G901">
            <v>7926</v>
          </cell>
          <cell r="H901" t="str">
            <v>TACHÓN PLÁSTICO  REFLECTIVO ALTA RESISTENCIA DE L:40cm x Ancho:15cm x Alto:8cm INCLUYE TORNILLOS DE ANCLAJE</v>
          </cell>
          <cell r="I901" t="str">
            <v>UN</v>
          </cell>
          <cell r="J901">
            <v>29750</v>
          </cell>
        </row>
        <row r="902">
          <cell r="G902">
            <v>7932</v>
          </cell>
          <cell r="H902" t="str">
            <v>TUBERÍA PVC PRESIÓN 1/2" RDE 9 500 PSI</v>
          </cell>
          <cell r="I902" t="str">
            <v>ML</v>
          </cell>
          <cell r="J902">
            <v>4732</v>
          </cell>
        </row>
        <row r="903">
          <cell r="G903">
            <v>7934</v>
          </cell>
          <cell r="H903" t="str">
            <v>KIT DE NIVELACIÓN PARA HIDRANTE  DE DIÁMETRO DE 6", LONGITUD 400mm , INCLUYE TODOS LOS ELEMENTOS NECESARIOS PARA SU INSTALACIÓN</v>
          </cell>
          <cell r="I903" t="str">
            <v>UN</v>
          </cell>
          <cell r="J903">
            <v>903210</v>
          </cell>
        </row>
        <row r="904">
          <cell r="G904">
            <v>7939</v>
          </cell>
          <cell r="H904" t="str">
            <v>REDUCCIÓN CONCENTRICA HD EL 4" x 3"</v>
          </cell>
          <cell r="I904" t="str">
            <v>UN</v>
          </cell>
          <cell r="J904">
            <v>138834</v>
          </cell>
        </row>
        <row r="905">
          <cell r="G905">
            <v>7941</v>
          </cell>
          <cell r="H905" t="str">
            <v>REDUCCIÓN HD 6" x 4" J.H.</v>
          </cell>
          <cell r="I905" t="str">
            <v>UN</v>
          </cell>
          <cell r="J905">
            <v>408170</v>
          </cell>
        </row>
        <row r="906">
          <cell r="G906">
            <v>7942</v>
          </cell>
          <cell r="H906" t="str">
            <v>REDUCCIÓN HD 4" x 2" J.H.</v>
          </cell>
          <cell r="I906" t="str">
            <v>UN</v>
          </cell>
          <cell r="J906">
            <v>146370</v>
          </cell>
        </row>
        <row r="907">
          <cell r="G907">
            <v>7945</v>
          </cell>
          <cell r="H907" t="str">
            <v>CINTA TEFLON - CINTA SELLANTE 1/2" x 0.20 DENSIDAD</v>
          </cell>
          <cell r="I907" t="str">
            <v>ML</v>
          </cell>
          <cell r="J907">
            <v>105</v>
          </cell>
        </row>
        <row r="908">
          <cell r="G908">
            <v>7946</v>
          </cell>
          <cell r="H908" t="str">
            <v>SOLDADURA DE ESTAÑO ROLLO DE 250 GR. 1/16"</v>
          </cell>
          <cell r="I908" t="str">
            <v>LB</v>
          </cell>
          <cell r="J908">
            <v>57500</v>
          </cell>
        </row>
        <row r="909">
          <cell r="G909">
            <v>7947</v>
          </cell>
          <cell r="H909" t="str">
            <v>CAJILLA PLASTICA Y TAPA EN POLIPROPILENO PARA MEDIDOR.</v>
          </cell>
          <cell r="I909" t="str">
            <v>UN</v>
          </cell>
          <cell r="J909">
            <v>237215</v>
          </cell>
        </row>
        <row r="910">
          <cell r="G910">
            <v>7948</v>
          </cell>
          <cell r="H910" t="str">
            <v>TUBERÍA DE ACERO GALVANIZADO 1". Espesor del tubo (1.5mm)</v>
          </cell>
          <cell r="I910" t="str">
            <v>ML</v>
          </cell>
          <cell r="J910">
            <v>23895</v>
          </cell>
        </row>
        <row r="911">
          <cell r="G911">
            <v>7949</v>
          </cell>
          <cell r="H911" t="str">
            <v>KIT SILLA YEE 200 x 160 PVC</v>
          </cell>
          <cell r="I911" t="str">
            <v>UN</v>
          </cell>
          <cell r="J911">
            <v>115025</v>
          </cell>
        </row>
        <row r="912">
          <cell r="G912">
            <v>7950</v>
          </cell>
          <cell r="H912" t="str">
            <v>KIT SILLA YEE 315 x 160 PVC</v>
          </cell>
          <cell r="I912" t="str">
            <v>UN</v>
          </cell>
          <cell r="J912">
            <v>206786</v>
          </cell>
        </row>
        <row r="913">
          <cell r="G913">
            <v>7953</v>
          </cell>
          <cell r="H913" t="str">
            <v>PASTO KIKUYO CORTADO A MÁQUINA (INCLUYE SUMINISTRO Y RIEGO DE TIERRA FERTIL DE 10 cm DE ESPESOR E INSTALACIÓN Y SIEMBRA DE PASTO Y SALADO Y NIVELACIÓN</v>
          </cell>
          <cell r="I913" t="str">
            <v>M2</v>
          </cell>
          <cell r="J913">
            <v>10500</v>
          </cell>
        </row>
        <row r="914">
          <cell r="G914">
            <v>7955</v>
          </cell>
          <cell r="H914" t="str">
            <v>NOGAL H= 1.5 mt. INCLUYE SIEMBRA, CAJA, TIERRA, ABONO Y TUTOR</v>
          </cell>
          <cell r="I914" t="str">
            <v>UN</v>
          </cell>
          <cell r="J914">
            <v>128900</v>
          </cell>
        </row>
        <row r="915">
          <cell r="G915">
            <v>7956</v>
          </cell>
          <cell r="H915" t="str">
            <v>ROBLE H= 1.5 mt. INCLUYE SIEMBRA, CAJA, TIERRA, ABONO Y TUTOR</v>
          </cell>
          <cell r="I915" t="str">
            <v>UN</v>
          </cell>
          <cell r="J915">
            <v>135500</v>
          </cell>
        </row>
        <row r="916">
          <cell r="G916">
            <v>7957</v>
          </cell>
          <cell r="H916" t="str">
            <v>CAUCHO SABANERO H= 1.5 mt. INCLUYE SIEMBRA, CAJA, TIERRA, ABONO Y TUTOR</v>
          </cell>
          <cell r="I916" t="str">
            <v>UN</v>
          </cell>
          <cell r="J916">
            <v>128000</v>
          </cell>
        </row>
        <row r="917">
          <cell r="G917">
            <v>7958</v>
          </cell>
          <cell r="H917" t="str">
            <v>MAGNÓLIO H= 1.5 mt. INCLUYE SIEMBRA, CAJA, TIERRA, ABONO Y TUTOR</v>
          </cell>
          <cell r="I917" t="str">
            <v>UN</v>
          </cell>
          <cell r="J917">
            <v>425000</v>
          </cell>
        </row>
        <row r="918">
          <cell r="G918">
            <v>7959</v>
          </cell>
          <cell r="H918" t="str">
            <v>YARUMO H= 1.5 mt. INCLUYE SIEMBRA, CAJA, TIERRA, ABONO Y TUTOR</v>
          </cell>
          <cell r="I918" t="str">
            <v>UN</v>
          </cell>
          <cell r="J918">
            <v>130500</v>
          </cell>
        </row>
        <row r="919">
          <cell r="G919">
            <v>7961</v>
          </cell>
          <cell r="H919" t="str">
            <v xml:space="preserve">TUBO EN CONCRETO ALTA RESISTENCIA D= 10". </v>
          </cell>
          <cell r="I919" t="str">
            <v>ML</v>
          </cell>
          <cell r="J919">
            <v>283161</v>
          </cell>
        </row>
        <row r="920">
          <cell r="G920">
            <v>7962</v>
          </cell>
          <cell r="H920" t="str">
            <v>TUBO EN CONCRETO ALTA RESISTENCIA D= 12".</v>
          </cell>
          <cell r="I920" t="str">
            <v>ML</v>
          </cell>
          <cell r="J920">
            <v>343567</v>
          </cell>
        </row>
        <row r="921">
          <cell r="G921">
            <v>7963</v>
          </cell>
          <cell r="H921" t="str">
            <v>TUBO EN CONCRETO ALTA RESISTENCIA D= 14" EXTRA REFORZADO</v>
          </cell>
          <cell r="I921" t="str">
            <v>ML</v>
          </cell>
          <cell r="J921">
            <v>420347</v>
          </cell>
        </row>
        <row r="922">
          <cell r="G922">
            <v>7965</v>
          </cell>
          <cell r="H922" t="str">
            <v>REDUCCIÓN HD 4" x 3" J.H.</v>
          </cell>
          <cell r="I922" t="str">
            <v>UN</v>
          </cell>
          <cell r="J922">
            <v>170170</v>
          </cell>
        </row>
        <row r="923">
          <cell r="G923">
            <v>7966</v>
          </cell>
          <cell r="H923" t="str">
            <v>REDUCCIÓN HD 8" x 6" J.H.</v>
          </cell>
          <cell r="I923" t="str">
            <v>UN</v>
          </cell>
          <cell r="J923">
            <v>548590</v>
          </cell>
        </row>
        <row r="924">
          <cell r="G924">
            <v>7967</v>
          </cell>
          <cell r="H924" t="str">
            <v>KIT DE NIVELACIÓN PARA HIDRANTE TRÁFICO DE DIÁMETRO DE 4", LONGITUD 400mm , INCLUYE TODOS LOS ELEMENTOS NECESARIOS PARA SU INSTALACIÓN</v>
          </cell>
          <cell r="I924" t="str">
            <v>UN</v>
          </cell>
          <cell r="J924">
            <v>779450</v>
          </cell>
        </row>
        <row r="925">
          <cell r="G925">
            <v>7968</v>
          </cell>
          <cell r="H925" t="str">
            <v>JUEGO DE MOLDES PARA ESTAMPADO CONCRETO</v>
          </cell>
          <cell r="I925" t="str">
            <v>UN</v>
          </cell>
          <cell r="J925">
            <v>285600</v>
          </cell>
        </row>
        <row r="926">
          <cell r="G926">
            <v>7969</v>
          </cell>
          <cell r="H926" t="str">
            <v>COLOR ENDURECEDOR DE CUARZO (4 Kg/m2)</v>
          </cell>
          <cell r="I926" t="str">
            <v>M2</v>
          </cell>
          <cell r="J926">
            <v>6496</v>
          </cell>
        </row>
        <row r="927">
          <cell r="G927">
            <v>7970</v>
          </cell>
          <cell r="H927" t="str">
            <v>DESMOLDANTE EN POLVO COLOR (0.2 Kg/m2)</v>
          </cell>
          <cell r="I927" t="str">
            <v>M2</v>
          </cell>
          <cell r="J927">
            <v>4312</v>
          </cell>
        </row>
        <row r="928">
          <cell r="G928">
            <v>7971</v>
          </cell>
          <cell r="H928" t="str">
            <v>SELLADOR ACRÍLICO TRANSPARENTE SEMILUSTRE (0.25 L/m2)</v>
          </cell>
          <cell r="I928" t="str">
            <v>M2</v>
          </cell>
          <cell r="J928">
            <v>5477</v>
          </cell>
        </row>
        <row r="929">
          <cell r="G929">
            <v>7973</v>
          </cell>
          <cell r="H929" t="str">
            <v>ADHESIVO TIPO LATEX PARA MORTERO</v>
          </cell>
          <cell r="I929" t="str">
            <v>KG</v>
          </cell>
          <cell r="J929">
            <v>33490</v>
          </cell>
        </row>
        <row r="930">
          <cell r="G930">
            <v>7974</v>
          </cell>
          <cell r="H930" t="str">
            <v>SELLANTE PARA PISO</v>
          </cell>
          <cell r="I930" t="str">
            <v>GLN</v>
          </cell>
          <cell r="J930">
            <v>106900</v>
          </cell>
        </row>
        <row r="931">
          <cell r="G931">
            <v>7976</v>
          </cell>
          <cell r="H931" t="str">
            <v>SUBBASE GRANULAR PEA (SBG_PEA)</v>
          </cell>
          <cell r="I931" t="str">
            <v>M3</v>
          </cell>
          <cell r="J931">
            <v>47481</v>
          </cell>
        </row>
        <row r="932">
          <cell r="G932">
            <v>7977</v>
          </cell>
          <cell r="H932" t="str">
            <v>MATERIAL SELECCIONADO</v>
          </cell>
          <cell r="I932" t="str">
            <v>M3</v>
          </cell>
          <cell r="J932">
            <v>26153</v>
          </cell>
        </row>
        <row r="933">
          <cell r="G933">
            <v>7979</v>
          </cell>
          <cell r="H933" t="str">
            <v>CINTA MÉTRICA DE 30 MT</v>
          </cell>
          <cell r="I933" t="str">
            <v>UN</v>
          </cell>
          <cell r="J933">
            <v>39790</v>
          </cell>
        </row>
        <row r="934">
          <cell r="G934">
            <v>7981</v>
          </cell>
          <cell r="H934" t="str">
            <v>JUNTA DE DILATACIÓN ELASTOMÉRICA 250 TAMAÑO 64 x  70 mm</v>
          </cell>
          <cell r="I934" t="str">
            <v>ML</v>
          </cell>
          <cell r="J934">
            <v>69020</v>
          </cell>
        </row>
        <row r="935">
          <cell r="G935">
            <v>7983</v>
          </cell>
          <cell r="H935" t="str">
            <v>ALQUILER DE VEHICULO: CAMPERO, PICK-UP, CAMIONETA, CAMION O SIMILAR DE 1300cc A 2000cc DE CILINDRADA, MODELO 2014 A 2011. 75% DE LA TARIFA ESTABLECIDA. INCLUYE TODOS LOS COSTOS DE OPERACIÓN Y MANTENIMIENTO EXCEPTO EL SALARIO DEL CONDUCTOR.</v>
          </cell>
          <cell r="I935" t="str">
            <v>DIA</v>
          </cell>
          <cell r="J935">
            <v>181500</v>
          </cell>
        </row>
        <row r="936">
          <cell r="G936">
            <v>7984</v>
          </cell>
          <cell r="H936" t="str">
            <v>CARROTANQUE IRRIGADOR DE ASFALTO - VOLUMEN DEL TANQUE DE 4500 A 6000 LITROS</v>
          </cell>
          <cell r="I936" t="str">
            <v>HR</v>
          </cell>
          <cell r="J936">
            <v>112747</v>
          </cell>
        </row>
        <row r="937">
          <cell r="G937">
            <v>7989</v>
          </cell>
          <cell r="H937" t="str">
            <v>ALQUILER DE VEHICULO: CAMPERO, PICK-UP, CAMIONETA, CAMION O SIMILAR CON CAPACIDAD DE CARGA DE 3 TON O MAS, MODELO 2014 A 2011. 75% DE LA TARIFA ESTABLECIDA. INCLUYE TODOS LOS COSTOS DE OPERACIÓN Y MANTENIMIENTO EXCEPTO EL SALARIO DEL CONDUCTOR.</v>
          </cell>
          <cell r="I937" t="str">
            <v>MES</v>
          </cell>
          <cell r="J937">
            <v>10590750</v>
          </cell>
        </row>
        <row r="938">
          <cell r="G938">
            <v>7992</v>
          </cell>
          <cell r="H938" t="str">
            <v>AVISO PUNTO CREA 1.50m x 0.90m EN LÁMINA GALVANIZADA CAL. 24. INCLUYE SUMINISTRO E INSTALACIÓN</v>
          </cell>
          <cell r="I938" t="str">
            <v>UN</v>
          </cell>
          <cell r="J938">
            <v>500000</v>
          </cell>
        </row>
        <row r="939">
          <cell r="G939">
            <v>7993</v>
          </cell>
          <cell r="H939" t="str">
            <v>CARPA VESTIER 2.0m x 2.0m TECHO Y ESTRUCTURA CON LATERALES EN LONA</v>
          </cell>
          <cell r="I939" t="str">
            <v>UN</v>
          </cell>
          <cell r="J939">
            <v>1249500</v>
          </cell>
        </row>
        <row r="940">
          <cell r="G940">
            <v>7994</v>
          </cell>
          <cell r="H940" t="str">
            <v>MALLA DE GALLINERO 1 1/4" (ROLLO 0.90m x 10.0m)</v>
          </cell>
          <cell r="I940" t="str">
            <v>M2</v>
          </cell>
          <cell r="J940">
            <v>2470</v>
          </cell>
        </row>
        <row r="941">
          <cell r="G941">
            <v>7999</v>
          </cell>
          <cell r="H941" t="str">
            <v>ADITIVO POTENCIALIZADOR DE CEMENTO (AUMENTO DE RESISTENCIA Y FLEXIBILIDAD DE SUELO)</v>
          </cell>
          <cell r="I941" t="str">
            <v>KG</v>
          </cell>
          <cell r="J941">
            <v>180880</v>
          </cell>
        </row>
        <row r="942">
          <cell r="G942">
            <v>8000</v>
          </cell>
          <cell r="H942" t="str">
            <v>INSPECCIÓN DE REDES DE ALCANTARILLADO CON SISTEMA CCTV PARA DIÁMETROS ENTRE 6" Y 36". INCL MANO DE OBRA IDÓNEA, INFORME ESCRITO DE DIAGNÓSTICO Y DVD CON VIDEO. INCL IVA</v>
          </cell>
          <cell r="I942" t="str">
            <v>ML</v>
          </cell>
          <cell r="J942">
            <v>10710</v>
          </cell>
        </row>
        <row r="943">
          <cell r="G943">
            <v>8001</v>
          </cell>
          <cell r="H943" t="str">
            <v>INSPECCIÓN DE REDES DE ALCANTARILLADO CON SISTEMA CCTV  PARA DIÁMETROS MAYORES A 36". INCL MANO DE OBRA IDÓNEA, INFORME ESCRITO DE DIAGNÓSTICO Y DVD CON VIDEO. INCL IVA</v>
          </cell>
          <cell r="I943" t="str">
            <v>ML</v>
          </cell>
          <cell r="J943">
            <v>10710</v>
          </cell>
        </row>
        <row r="944">
          <cell r="G944">
            <v>8002</v>
          </cell>
          <cell r="H944" t="str">
            <v>LAVADO Y SONDEO DE REDES DE ALCANTARILLADO ENTRE 6" Y 18" DE DIÁMETRO Y CON GRADO DE COLMATACIÓN MENOR DEL 30%. INCL MANO DE OBRA IDÓNEA, SEÑALIZACIÓN BÁSICA, SUMIN DE COMBUSTIBLE Y AGUA. INCL. IVA</v>
          </cell>
          <cell r="I944" t="str">
            <v>ML</v>
          </cell>
          <cell r="J944">
            <v>14875</v>
          </cell>
        </row>
        <row r="945">
          <cell r="G945">
            <v>8003</v>
          </cell>
          <cell r="H945" t="str">
            <v>LAVADO Y SONDEO DE REDES DE ALCANTARILLADO ENTRE 16" Y 36" DE DIÁMETRO Y CON GRADO DE COLMATACIÓN MENOR DEL 30%. INCLUYE MANO DE OBRA IDÓNEA, SEÑALIZACIÓN BÁSICA, SUMIN DE COMBUSTIBLE Y AGUA. INCL IVA</v>
          </cell>
          <cell r="I945" t="str">
            <v>ML</v>
          </cell>
          <cell r="J945">
            <v>16065</v>
          </cell>
        </row>
        <row r="946">
          <cell r="G946">
            <v>8011</v>
          </cell>
          <cell r="H946" t="str">
            <v>COMPRESIÓN TRIAXIAL EN CONDICIÓN CD CONSOLIDADO - DRENADO SOBRE SUELOS (3 PUNTOS). Norma técnica: ASTM D7181 - 11</v>
          </cell>
          <cell r="I946" t="str">
            <v>UN</v>
          </cell>
          <cell r="J946">
            <v>2036600</v>
          </cell>
        </row>
        <row r="947">
          <cell r="G947">
            <v>8012</v>
          </cell>
          <cell r="H947" t="str">
            <v>CBR SOBRE MUESTRA INALTERADA (SUELOS COHESIVOS). Norma técnica: INV E 148-13 NTC-2122-13 ASTM D1883 - 16.</v>
          </cell>
          <cell r="I947" t="str">
            <v>UN</v>
          </cell>
          <cell r="J947">
            <v>142800</v>
          </cell>
        </row>
        <row r="948">
          <cell r="G948">
            <v>8015</v>
          </cell>
          <cell r="H948" t="str">
            <v>COMPRESIÓN INCONFINADA EN MUESTRAS DE SUELO. Norma técnica: INV E 152-13 NTC-1527-00 ASTM D2166 / D2166M - 16.</v>
          </cell>
          <cell r="I948" t="str">
            <v>UN</v>
          </cell>
          <cell r="J948">
            <v>69000</v>
          </cell>
        </row>
        <row r="949">
          <cell r="G949">
            <v>8019</v>
          </cell>
          <cell r="H949" t="str">
            <v>RELACIONES HUMEDAD - PESO UNITARIO SECO EN LOS SUELOS (ENSAYO MODIFICADO DE COMPACTACIÓN). Norma técnica: INV E 142-13 ASTM D1557 - 12e1.</v>
          </cell>
          <cell r="I949" t="str">
            <v>UN</v>
          </cell>
          <cell r="J949">
            <v>142800</v>
          </cell>
        </row>
        <row r="950">
          <cell r="G950">
            <v>8025</v>
          </cell>
          <cell r="H950" t="str">
            <v>DETECCIÓN DEL REFUERZO UTILIZANDO FERROSCAN (POR DÍA)</v>
          </cell>
          <cell r="I950" t="str">
            <v>DIA</v>
          </cell>
          <cell r="J950">
            <v>874000</v>
          </cell>
        </row>
        <row r="951">
          <cell r="G951">
            <v>8026</v>
          </cell>
          <cell r="H951" t="str">
            <v>DETERMINACIÓN DE LA PROFUNDIDAD DE CARBONATACIÓN EN CONCRETO ENDURECIDO Y PUESTO EN SERVICIO</v>
          </cell>
          <cell r="I951" t="str">
            <v>UN</v>
          </cell>
          <cell r="J951">
            <v>53550</v>
          </cell>
        </row>
        <row r="952">
          <cell r="G952">
            <v>8028</v>
          </cell>
          <cell r="H952" t="str">
            <v>DETERMINACIÓN DEL NÚMERO DE REBOTE (ÍNDICE ESCLEROMÉTRICO) EN EL CONCRETO ENDURECIDO, ZONA POR ELEMENTO. Norma técnica: INV E 413 -13  NTC 3692  ASTM C805/C805M.</v>
          </cell>
          <cell r="I952" t="str">
            <v>UN</v>
          </cell>
          <cell r="J952">
            <v>91392</v>
          </cell>
        </row>
        <row r="953">
          <cell r="G953">
            <v>8033</v>
          </cell>
          <cell r="H953" t="str">
            <v>SEMÁFORO VEHICULAR DE POLICARBONATO (3x200), LENTES DE POLICARBONATO DE 8", TRES LUCES, SISTEMA DE ILUMINACIÓN A LEDS. SUMINISTRO E INSTALACIÓN</v>
          </cell>
          <cell r="I953" t="str">
            <v>UN</v>
          </cell>
          <cell r="J953">
            <v>4376187</v>
          </cell>
        </row>
        <row r="954">
          <cell r="G954">
            <v>8034</v>
          </cell>
          <cell r="H954" t="str">
            <v>SEMÁFORO PEATONAL DE POLICARBONATO (2x200), LENTES DE POLICARBONATO DE 8", DOS LUCES, SISTEMA DE ILUMINACIÓN A LEDS. SUMINISTRO E INSTALACIÓN</v>
          </cell>
          <cell r="I954" t="str">
            <v>UN</v>
          </cell>
          <cell r="J954">
            <v>3093046</v>
          </cell>
        </row>
        <row r="955">
          <cell r="G955">
            <v>8035</v>
          </cell>
          <cell r="H955" t="str">
            <v>POSTE TIPO MÁSTIL T1 (3.60m) EN TUBO SCH 40 GALVANIZADO Y PINTADO - SUMINISTRO E INSTALACIÓN</v>
          </cell>
          <cell r="I955" t="str">
            <v>UN</v>
          </cell>
          <cell r="J955">
            <v>2556001</v>
          </cell>
        </row>
        <row r="956">
          <cell r="G956">
            <v>8036</v>
          </cell>
          <cell r="H956" t="str">
            <v>POSTE TIPO MÉNSULA T2 (5.50m) EN TUBO SCH 40 GALVANIZADO Y PINTADO. SUMINISTRO E INSTALACION</v>
          </cell>
          <cell r="I956" t="str">
            <v>UN</v>
          </cell>
          <cell r="J956">
            <v>4830924</v>
          </cell>
        </row>
        <row r="957">
          <cell r="G957">
            <v>8037</v>
          </cell>
          <cell r="H957" t="str">
            <v>CABLE ELÉCTRICO 4x16 AWG PARA CONTROL DE SEMÁFOROS VEHICULARES TIPO ST CU 600V 75°C</v>
          </cell>
          <cell r="I957" t="str">
            <v>ML</v>
          </cell>
          <cell r="J957">
            <v>19873</v>
          </cell>
        </row>
        <row r="958">
          <cell r="G958">
            <v>8038</v>
          </cell>
          <cell r="H958" t="str">
            <v>CABLE ELÉCTRICO 3x16 AWG PARA CONTROL DE SEMÁFOROS PEATONALES TIPO ST CU 600V 75°C</v>
          </cell>
          <cell r="I958" t="str">
            <v>ML</v>
          </cell>
          <cell r="J958">
            <v>17136</v>
          </cell>
        </row>
        <row r="959">
          <cell r="G959">
            <v>8039</v>
          </cell>
          <cell r="H959" t="str">
            <v>CABLE ELÉCTRICO 2x8 AWG PARA ACOMETIDA TIPO ST CU 600V 75°C</v>
          </cell>
          <cell r="I959" t="str">
            <v>ML</v>
          </cell>
          <cell r="J959">
            <v>12485</v>
          </cell>
        </row>
        <row r="960">
          <cell r="G960">
            <v>8041</v>
          </cell>
          <cell r="H960" t="str">
            <v>ACERO LISO  D= 1 1/4"</v>
          </cell>
          <cell r="I960" t="str">
            <v>KG</v>
          </cell>
          <cell r="J960">
            <v>5831</v>
          </cell>
        </row>
        <row r="961">
          <cell r="G961">
            <v>8043</v>
          </cell>
          <cell r="H961" t="str">
            <v>NEOPRENO REFORZADO (doble refuerzo)</v>
          </cell>
          <cell r="I961" t="str">
            <v>dm3</v>
          </cell>
          <cell r="J961">
            <v>58251</v>
          </cell>
        </row>
        <row r="962">
          <cell r="G962">
            <v>8044</v>
          </cell>
          <cell r="H962" t="str">
            <v>ANDAMIO TUBULAR DE 1.50m (6 SECCIONES)</v>
          </cell>
          <cell r="I962" t="str">
            <v>DIA</v>
          </cell>
          <cell r="J962">
            <v>3570</v>
          </cell>
        </row>
        <row r="963">
          <cell r="G963">
            <v>8046</v>
          </cell>
          <cell r="H963" t="str">
            <v>ADAPTADOR BRIDA 12" (334mm A 352mm) R2</v>
          </cell>
          <cell r="I963" t="str">
            <v>UN</v>
          </cell>
          <cell r="J963">
            <v>780473</v>
          </cell>
        </row>
        <row r="964">
          <cell r="G964">
            <v>8047</v>
          </cell>
          <cell r="H964" t="str">
            <v>ACOPLE UNIVERSAL R1-R2 D= 8"</v>
          </cell>
          <cell r="I964" t="str">
            <v>UN</v>
          </cell>
          <cell r="J964">
            <v>506940</v>
          </cell>
        </row>
        <row r="965">
          <cell r="G965">
            <v>8048</v>
          </cell>
          <cell r="H965" t="str">
            <v>ACOPLE UNIVERSAL R1-R2 D= 12"</v>
          </cell>
          <cell r="I965" t="str">
            <v>UN</v>
          </cell>
          <cell r="J965">
            <v>974610</v>
          </cell>
        </row>
        <row r="966">
          <cell r="G966">
            <v>8049</v>
          </cell>
          <cell r="H966" t="str">
            <v>TAPA VALVULA DE SEGURIDAD CIERRE PERMANENTE No.3</v>
          </cell>
          <cell r="I966" t="str">
            <v>UN</v>
          </cell>
          <cell r="J966">
            <v>233886</v>
          </cell>
        </row>
        <row r="967">
          <cell r="G967">
            <v>8050</v>
          </cell>
          <cell r="H967" t="str">
            <v>PARAL METÁLICO LARGO - LONGITUD DE 2.00 A 3.50 M</v>
          </cell>
          <cell r="I967" t="str">
            <v>DIA</v>
          </cell>
          <cell r="J967">
            <v>196</v>
          </cell>
        </row>
        <row r="968">
          <cell r="G968">
            <v>8051</v>
          </cell>
          <cell r="H968" t="str">
            <v>TUBERÍA ESTRUCTURAL METÁLICO CUADRADO DE 6mt (50mm x 50mm) ESPESOR 2mm</v>
          </cell>
          <cell r="I968" t="str">
            <v>UN</v>
          </cell>
          <cell r="J968">
            <v>147230</v>
          </cell>
        </row>
        <row r="969">
          <cell r="G969">
            <v>8052</v>
          </cell>
          <cell r="H969" t="str">
            <v>REGISTRO DE INCORPORACIÓN HG 1/2" CON ACOPLE</v>
          </cell>
          <cell r="I969" t="str">
            <v>UN</v>
          </cell>
          <cell r="J969">
            <v>31544</v>
          </cell>
        </row>
        <row r="970">
          <cell r="G970">
            <v>8053</v>
          </cell>
          <cell r="H970" t="str">
            <v>REGISTRO DE BOLA TIPO PESADO 1/2"</v>
          </cell>
          <cell r="I970" t="str">
            <v>UN</v>
          </cell>
          <cell r="J970">
            <v>18606</v>
          </cell>
        </row>
        <row r="971">
          <cell r="G971">
            <v>8054</v>
          </cell>
          <cell r="H971" t="str">
            <v>ADAPTADOR MACHO PVC 1/2"</v>
          </cell>
          <cell r="I971" t="str">
            <v>UN</v>
          </cell>
          <cell r="J971">
            <v>540</v>
          </cell>
        </row>
        <row r="972">
          <cell r="G972">
            <v>8055</v>
          </cell>
          <cell r="H972" t="str">
            <v>COLLAR DE DERIVACIÓN 3" x 1/2"</v>
          </cell>
          <cell r="I972" t="str">
            <v>UN</v>
          </cell>
          <cell r="J972">
            <v>59500</v>
          </cell>
        </row>
        <row r="973">
          <cell r="G973">
            <v>8056</v>
          </cell>
          <cell r="H973" t="str">
            <v>TUBERIA A.N. 2" ESPESOR= 1.9mm</v>
          </cell>
          <cell r="I973" t="str">
            <v>ML</v>
          </cell>
          <cell r="J973">
            <v>15122</v>
          </cell>
        </row>
        <row r="974">
          <cell r="G974">
            <v>8057</v>
          </cell>
          <cell r="H974" t="str">
            <v>TUBERÍA DE ACERO GALVANIZADO 1/2". Espesor del tubo (15mm)</v>
          </cell>
          <cell r="I974" t="str">
            <v>ML</v>
          </cell>
          <cell r="J974">
            <v>11852</v>
          </cell>
        </row>
        <row r="975">
          <cell r="G975">
            <v>8060</v>
          </cell>
          <cell r="H975" t="str">
            <v>TRANSPORTE DE MAQUINARIA DE 6 A 9 TONELADAS. INCLUYE ESCOLTA. VIAJE IDA Y VUELTA</v>
          </cell>
          <cell r="I975" t="str">
            <v>VIAJE</v>
          </cell>
          <cell r="J975">
            <v>888145</v>
          </cell>
        </row>
        <row r="976">
          <cell r="G976">
            <v>8061</v>
          </cell>
          <cell r="H976" t="str">
            <v>EFECTO DEL AGUA SOBRE LA RESISTENCIA A LA COMPRESIÓN DE LAS MEZCLAS ASFÁLTICAS COMPACTADAS (ENSAYO DE INMERSIÓN- COMPRESIÓN), incluye elaboración. Norma técnica: INV E – 738 - 13 ASTM D1075.</v>
          </cell>
          <cell r="I976" t="str">
            <v>UN</v>
          </cell>
          <cell r="J976">
            <v>1218000</v>
          </cell>
        </row>
        <row r="977">
          <cell r="G977">
            <v>8062</v>
          </cell>
          <cell r="H977" t="str">
            <v>MÓDULO RESILIENTE DE SUELOS Y AGREGADOS. Norma técnica: INV E 156-13 AASHTO T 307</v>
          </cell>
          <cell r="I977" t="str">
            <v>UN</v>
          </cell>
          <cell r="J977">
            <v>1208683</v>
          </cell>
        </row>
        <row r="978">
          <cell r="G978">
            <v>8070</v>
          </cell>
          <cell r="H978" t="str">
            <v>SISTEMA DE ANCLAJE PARA POSTES METÁLICOS 3/4" x 1500 (4 PERNOS)</v>
          </cell>
          <cell r="I978" t="str">
            <v>UN</v>
          </cell>
          <cell r="J978">
            <v>148390</v>
          </cell>
        </row>
        <row r="979">
          <cell r="G979">
            <v>8077</v>
          </cell>
          <cell r="H979" t="str">
            <v>EQUIPO DE OXICORTE - PRESIÓN DE OXÍGENO 125 PSI - PRESIÓN GAS COMBUSTIBLE 15 PSI</v>
          </cell>
          <cell r="I979" t="str">
            <v>DIA</v>
          </cell>
          <cell r="J979">
            <v>85628</v>
          </cell>
        </row>
        <row r="980">
          <cell r="G980">
            <v>8078</v>
          </cell>
          <cell r="H980" t="str">
            <v>YEE PVC SANITARIA D=4"</v>
          </cell>
          <cell r="I980" t="str">
            <v>UN</v>
          </cell>
          <cell r="J980">
            <v>33052</v>
          </cell>
        </row>
        <row r="981">
          <cell r="G981">
            <v>8079</v>
          </cell>
          <cell r="H981" t="str">
            <v>TEE HD 4"X2" EXTREMO LISO</v>
          </cell>
          <cell r="I981" t="str">
            <v>UN</v>
          </cell>
          <cell r="J981">
            <v>198334</v>
          </cell>
        </row>
        <row r="982">
          <cell r="G982">
            <v>8080</v>
          </cell>
          <cell r="H982" t="str">
            <v>TUBERIA ACERO CARBON ASTM A=53 SCH 40 DE D=12"</v>
          </cell>
          <cell r="I982" t="str">
            <v>ML</v>
          </cell>
          <cell r="J982">
            <v>461063</v>
          </cell>
        </row>
        <row r="983">
          <cell r="G983">
            <v>8085</v>
          </cell>
          <cell r="H983" t="str">
            <v>PLANTACION DE FUCCIA H=1.3mt (Incluye tierra, abono, tutor) SUMINISTRO</v>
          </cell>
          <cell r="I983" t="str">
            <v>UN</v>
          </cell>
          <cell r="J983">
            <v>128000</v>
          </cell>
        </row>
        <row r="984">
          <cell r="G984">
            <v>8086</v>
          </cell>
          <cell r="H984" t="str">
            <v>PLANTACION DE DURAZNILLO H=1.5mt (Incluye tierra, abono, tutor) SUMINISTRO</v>
          </cell>
          <cell r="I984" t="str">
            <v>UN</v>
          </cell>
          <cell r="J984">
            <v>148000</v>
          </cell>
        </row>
        <row r="985">
          <cell r="G985">
            <v>8089</v>
          </cell>
          <cell r="H985" t="str">
            <v>PLANTACION DE GUAYACÁN H=1.5mt (Incluye tierra, abono, tutor) SUMINISTRO</v>
          </cell>
          <cell r="I985" t="str">
            <v>UN</v>
          </cell>
          <cell r="J985">
            <v>139000</v>
          </cell>
        </row>
        <row r="986">
          <cell r="G986">
            <v>8090</v>
          </cell>
          <cell r="H986" t="str">
            <v>PLANTACION DE ARRAYÁN H=1.3mt (Incluye tierra, abono, tutor) SUMINISTRO</v>
          </cell>
          <cell r="I986" t="str">
            <v>UN</v>
          </cell>
          <cell r="J986">
            <v>82000</v>
          </cell>
        </row>
        <row r="987">
          <cell r="G987">
            <v>8091</v>
          </cell>
          <cell r="H987" t="str">
            <v>PLANTACION DE CARBONERO H=1.5mt (Incluye tierra, abono, tutor) SUMINISTRO</v>
          </cell>
          <cell r="I987" t="str">
            <v>UN</v>
          </cell>
          <cell r="J987">
            <v>132000</v>
          </cell>
        </row>
        <row r="988">
          <cell r="G988">
            <v>8094</v>
          </cell>
          <cell r="H988" t="str">
            <v>PLANTACION DE FALSO PIMIENTO  H=1.3mt (Incluye tierra, abono, tutor) SUMINISTRO</v>
          </cell>
          <cell r="I988" t="str">
            <v>UN</v>
          </cell>
          <cell r="J988">
            <v>128500</v>
          </cell>
        </row>
        <row r="989">
          <cell r="G989">
            <v>8097</v>
          </cell>
          <cell r="H989" t="str">
            <v>PLANTACION DE CUBRESUELOS BALSAMINA (incluye 20 unidades por M2) SUMINISTRO</v>
          </cell>
          <cell r="I989" t="str">
            <v>M2</v>
          </cell>
          <cell r="J989">
            <v>48000</v>
          </cell>
        </row>
        <row r="990">
          <cell r="G990">
            <v>8099</v>
          </cell>
          <cell r="H990" t="str">
            <v>ADOQUIN EN CONCRETO COLOR OCRE A25 - Adoquin en concreto de 10x20x6cm-Color Ocre</v>
          </cell>
          <cell r="I990" t="str">
            <v>M2</v>
          </cell>
          <cell r="J990">
            <v>69769</v>
          </cell>
        </row>
        <row r="991">
          <cell r="G991">
            <v>8100</v>
          </cell>
          <cell r="H991" t="str">
            <v>ADOQUIN ECOLÓGICO EN CONCRETO DE 40 X 40 X 8cm - GRAMOQUIN</v>
          </cell>
          <cell r="I991" t="str">
            <v>M2</v>
          </cell>
          <cell r="J991">
            <v>47928</v>
          </cell>
        </row>
        <row r="992">
          <cell r="G992">
            <v>8101</v>
          </cell>
          <cell r="H992" t="str">
            <v>ACELERANTE DE FRAGUADO Y RESISTENCIA PARA CONCRETOS</v>
          </cell>
          <cell r="I992" t="str">
            <v>KG</v>
          </cell>
          <cell r="J992">
            <v>11704</v>
          </cell>
        </row>
        <row r="993">
          <cell r="G993">
            <v>8102</v>
          </cell>
          <cell r="H993" t="str">
            <v>TARIFA OPERADOR EQUIPO (INCLUYE FACTOR DE PRESTACIONES)</v>
          </cell>
          <cell r="I993" t="str">
            <v>MES</v>
          </cell>
          <cell r="J993">
            <v>2650098</v>
          </cell>
        </row>
        <row r="994">
          <cell r="G994">
            <v>8103</v>
          </cell>
          <cell r="H994" t="str">
            <v>GRÚA TELESCÓPICA  MOVIL - CARGA MÁXIMA DE 35 A 39 TONELADAS - INCLUYE TRANSPORTE DE IDA Y VUELTA, COMBUSTIBLE Y OPERARIO</v>
          </cell>
          <cell r="I994" t="str">
            <v>DIA</v>
          </cell>
          <cell r="J994">
            <v>2388973</v>
          </cell>
        </row>
        <row r="995">
          <cell r="G995">
            <v>8113</v>
          </cell>
          <cell r="H995" t="str">
            <v>RESISTENCIA A LA COMPRESIÓN UNIAXIAL DE MUESTRAS DE ROCAS INTACTAS. Norma técnica: ASTM D7012 - 14 (Método C).</v>
          </cell>
          <cell r="I995" t="str">
            <v>UN</v>
          </cell>
          <cell r="J995">
            <v>101150</v>
          </cell>
        </row>
        <row r="996">
          <cell r="G996">
            <v>8116</v>
          </cell>
          <cell r="H996" t="str">
            <v>RESISTENCIA A LA FATIGA DE MEZCLAS ASFÁLTICAS EN CALIENTE MEDIANTE EL ENSAYO DE FLEXIÓN EN DOS PUNTOS SOBRE PROBETAS TRAPEZOIDALES. Norma técnica: INV E – 808 - 13  UNE-EN 12697-24  Anexo A NF P 98-261-1.</v>
          </cell>
          <cell r="I996" t="str">
            <v>UN</v>
          </cell>
          <cell r="J996">
            <v>2300000</v>
          </cell>
        </row>
        <row r="997">
          <cell r="G997">
            <v>8139</v>
          </cell>
          <cell r="H997" t="str">
            <v>PANEL ARQUITECTONICO PREFABRICADO EN CONCRETO - SUMINISTRO E INSTALACION</v>
          </cell>
          <cell r="I997" t="str">
            <v>M2</v>
          </cell>
          <cell r="J997">
            <v>237308</v>
          </cell>
        </row>
        <row r="998">
          <cell r="G998">
            <v>8141</v>
          </cell>
          <cell r="H998" t="str">
            <v>PINTURA BASE AGUA PARA USO EXTERIOR</v>
          </cell>
          <cell r="I998" t="str">
            <v>GLN</v>
          </cell>
          <cell r="J998">
            <v>55000</v>
          </cell>
        </row>
        <row r="999">
          <cell r="G999">
            <v>8142</v>
          </cell>
          <cell r="H999" t="str">
            <v>BALDOSA DE GRANITO 33 x 33 CM</v>
          </cell>
          <cell r="I999" t="str">
            <v>M2</v>
          </cell>
          <cell r="J999">
            <v>67496</v>
          </cell>
        </row>
        <row r="1000">
          <cell r="G1000">
            <v>8143</v>
          </cell>
          <cell r="H1000" t="str">
            <v>ADHESIVO PREMEZCLADO INTERIOR</v>
          </cell>
          <cell r="I1000" t="str">
            <v>KG</v>
          </cell>
          <cell r="J1000">
            <v>1540</v>
          </cell>
        </row>
        <row r="1001">
          <cell r="G1001">
            <v>8144</v>
          </cell>
          <cell r="H1001" t="str">
            <v>BOQUILLA CON LATEX</v>
          </cell>
          <cell r="I1001" t="str">
            <v>KG</v>
          </cell>
          <cell r="J1001">
            <v>4880</v>
          </cell>
        </row>
        <row r="1002">
          <cell r="G1002">
            <v>8145</v>
          </cell>
          <cell r="H1002" t="str">
            <v>ZOCALO EN GRANITO h=7.2CM</v>
          </cell>
          <cell r="I1002" t="str">
            <v>ML</v>
          </cell>
          <cell r="J1002">
            <v>18654</v>
          </cell>
        </row>
        <row r="1003">
          <cell r="G1003">
            <v>8146</v>
          </cell>
          <cell r="H1003" t="str">
            <v>PORCELANATO BEIGE 60 x 60 CM2</v>
          </cell>
          <cell r="I1003" t="str">
            <v>M2</v>
          </cell>
          <cell r="J1003">
            <v>66900</v>
          </cell>
        </row>
        <row r="1004">
          <cell r="G1004">
            <v>8149</v>
          </cell>
          <cell r="H1004" t="str">
            <v>PINTURA PARA ALUMINIO 260°C</v>
          </cell>
          <cell r="I1004" t="str">
            <v>GLN</v>
          </cell>
          <cell r="J1004">
            <v>146520</v>
          </cell>
        </row>
        <row r="1005">
          <cell r="G1005">
            <v>8150</v>
          </cell>
          <cell r="H1005" t="str">
            <v>DISPENSADOR DE JABÓN METÁLICO DE 1 LT</v>
          </cell>
          <cell r="I1005" t="str">
            <v>UN</v>
          </cell>
          <cell r="J1005">
            <v>99900</v>
          </cell>
        </row>
        <row r="1006">
          <cell r="G1006">
            <v>8151</v>
          </cell>
          <cell r="H1006" t="str">
            <v>JABONERA</v>
          </cell>
          <cell r="I1006" t="str">
            <v>UN</v>
          </cell>
          <cell r="J1006">
            <v>22900</v>
          </cell>
        </row>
        <row r="1007">
          <cell r="G1007">
            <v>8152</v>
          </cell>
          <cell r="H1007" t="str">
            <v>PORTAROLLO</v>
          </cell>
          <cell r="I1007" t="str">
            <v>UN</v>
          </cell>
          <cell r="J1007">
            <v>17000</v>
          </cell>
        </row>
        <row r="1008">
          <cell r="G1008">
            <v>8153</v>
          </cell>
          <cell r="H1008" t="str">
            <v>TOALLERO EN ACERO INOXIDABLE</v>
          </cell>
          <cell r="I1008" t="str">
            <v>UN</v>
          </cell>
          <cell r="J1008">
            <v>88257</v>
          </cell>
        </row>
        <row r="1009">
          <cell r="G1009">
            <v>8154</v>
          </cell>
          <cell r="H1009" t="str">
            <v>LAVAPLATOS EN ACERO INOXIDABLE DE SOBREPONER CON ALETA Cr DE 1.0x0.50 MTS</v>
          </cell>
          <cell r="I1009" t="str">
            <v>UN</v>
          </cell>
          <cell r="J1009">
            <v>132761</v>
          </cell>
        </row>
        <row r="1010">
          <cell r="G1010">
            <v>8155</v>
          </cell>
          <cell r="H1010" t="str">
            <v>SILICONA TRANSPARENTE 300ML</v>
          </cell>
          <cell r="I1010" t="str">
            <v>UN</v>
          </cell>
          <cell r="J1010">
            <v>8628</v>
          </cell>
        </row>
        <row r="1011">
          <cell r="G1011">
            <v>8156</v>
          </cell>
          <cell r="H1011" t="str">
            <v>TUBERIA PVC SANITARIA D=2"</v>
          </cell>
          <cell r="I1011" t="str">
            <v>ML</v>
          </cell>
          <cell r="J1011">
            <v>15121</v>
          </cell>
        </row>
        <row r="1012">
          <cell r="G1012">
            <v>8157</v>
          </cell>
          <cell r="H1012" t="str">
            <v>TAPON DE PRUEBA PVC SANITARIA D=2"</v>
          </cell>
          <cell r="I1012" t="str">
            <v>UN</v>
          </cell>
          <cell r="J1012">
            <v>1492</v>
          </cell>
        </row>
        <row r="1013">
          <cell r="G1013">
            <v>8158</v>
          </cell>
          <cell r="H1013" t="str">
            <v>TAPON DE PRUEBA PVC SANITARIA D=4"</v>
          </cell>
          <cell r="I1013" t="str">
            <v>UN</v>
          </cell>
          <cell r="J1013">
            <v>3760</v>
          </cell>
        </row>
        <row r="1014">
          <cell r="G1014">
            <v>8159</v>
          </cell>
          <cell r="H1014" t="str">
            <v>CODO 45° 1/8 CxE PVC SANITARIA D=4"</v>
          </cell>
          <cell r="I1014" t="str">
            <v>UN</v>
          </cell>
          <cell r="J1014">
            <v>18265</v>
          </cell>
        </row>
        <row r="1015">
          <cell r="G1015">
            <v>8160</v>
          </cell>
          <cell r="H1015" t="str">
            <v>CODO 45° 1/8 CxE PVC SANITARIA D= 2"</v>
          </cell>
          <cell r="I1015" t="str">
            <v>UN</v>
          </cell>
          <cell r="J1015">
            <v>4825</v>
          </cell>
        </row>
        <row r="1016">
          <cell r="G1016">
            <v>8161</v>
          </cell>
          <cell r="H1016" t="str">
            <v>CODO 90° 1/4 CXE PVC SANITARIA D= 4"</v>
          </cell>
          <cell r="I1016" t="str">
            <v>UN</v>
          </cell>
          <cell r="J1016">
            <v>20016</v>
          </cell>
        </row>
        <row r="1017">
          <cell r="G1017">
            <v>8162</v>
          </cell>
          <cell r="H1017" t="str">
            <v>YEE PVC SANITARIA D= 2"</v>
          </cell>
          <cell r="I1017" t="str">
            <v>UN</v>
          </cell>
          <cell r="J1017">
            <v>9247</v>
          </cell>
        </row>
        <row r="1018">
          <cell r="G1018">
            <v>8164</v>
          </cell>
          <cell r="H1018" t="str">
            <v>YEE DOBLE PVC SANITARIA D= 4"</v>
          </cell>
          <cell r="I1018" t="str">
            <v>UN</v>
          </cell>
          <cell r="J1018">
            <v>58255</v>
          </cell>
        </row>
        <row r="1019">
          <cell r="G1019">
            <v>8165</v>
          </cell>
          <cell r="H1019" t="str">
            <v>YEE REDUCIDA PVC SANITARIA 4" x 2"</v>
          </cell>
          <cell r="I1019" t="str">
            <v>UN</v>
          </cell>
          <cell r="J1019">
            <v>28371</v>
          </cell>
        </row>
        <row r="1020">
          <cell r="G1020">
            <v>8166</v>
          </cell>
          <cell r="H1020" t="str">
            <v>CODO 45°  1/8 CXC SANITARIA D= 4"</v>
          </cell>
          <cell r="I1020" t="str">
            <v>UN</v>
          </cell>
          <cell r="J1020">
            <v>18265</v>
          </cell>
        </row>
        <row r="1021">
          <cell r="G1021">
            <v>8167</v>
          </cell>
          <cell r="H1021" t="str">
            <v>UNION SANITARIA  D= 4"</v>
          </cell>
          <cell r="I1021" t="str">
            <v>UN</v>
          </cell>
          <cell r="J1021">
            <v>9459</v>
          </cell>
        </row>
        <row r="1022">
          <cell r="G1022">
            <v>8169</v>
          </cell>
          <cell r="H1022" t="str">
            <v>CODO 45°  1/8 CXC SANITARIA D= 2"</v>
          </cell>
          <cell r="I1022" t="str">
            <v>UN</v>
          </cell>
          <cell r="J1022">
            <v>4825</v>
          </cell>
        </row>
        <row r="1023">
          <cell r="G1023">
            <v>8170</v>
          </cell>
          <cell r="H1023" t="str">
            <v>SIFON 180° D= 2"</v>
          </cell>
          <cell r="I1023" t="str">
            <v>UN</v>
          </cell>
          <cell r="J1023">
            <v>6671</v>
          </cell>
        </row>
        <row r="1024">
          <cell r="G1024">
            <v>8171</v>
          </cell>
          <cell r="H1024" t="str">
            <v>UNION SANITARIA D= 2"</v>
          </cell>
          <cell r="I1024" t="str">
            <v>UN</v>
          </cell>
          <cell r="J1024">
            <v>3251</v>
          </cell>
        </row>
        <row r="1025">
          <cell r="G1025">
            <v>8172</v>
          </cell>
          <cell r="H1025" t="str">
            <v>TUBERIA PVC E.L. D= 1 1/4" 200 PSI RDE 21</v>
          </cell>
          <cell r="I1025" t="str">
            <v>ML</v>
          </cell>
          <cell r="J1025">
            <v>10574</v>
          </cell>
        </row>
        <row r="1026">
          <cell r="G1026">
            <v>8173</v>
          </cell>
          <cell r="H1026" t="str">
            <v>TUBERIA PVC E.L.  D= 1" RDE 13.5 - 315 PSI</v>
          </cell>
          <cell r="I1026" t="str">
            <v>ML</v>
          </cell>
          <cell r="J1026">
            <v>8500</v>
          </cell>
        </row>
        <row r="1027">
          <cell r="G1027">
            <v>8174</v>
          </cell>
          <cell r="H1027" t="str">
            <v>TEE PVC E.L. D= 1 1/2"</v>
          </cell>
          <cell r="I1027" t="str">
            <v>UN</v>
          </cell>
          <cell r="J1027">
            <v>11570</v>
          </cell>
        </row>
        <row r="1028">
          <cell r="G1028">
            <v>8175</v>
          </cell>
          <cell r="H1028" t="str">
            <v>TEE PVC E.L.  D= 1 1/4"</v>
          </cell>
          <cell r="I1028" t="str">
            <v>UN</v>
          </cell>
          <cell r="J1028">
            <v>8814</v>
          </cell>
        </row>
        <row r="1029">
          <cell r="G1029">
            <v>8177</v>
          </cell>
          <cell r="H1029" t="str">
            <v>CODO 90° PVC E.L.  D= 1 1/4"</v>
          </cell>
          <cell r="I1029" t="str">
            <v>UN</v>
          </cell>
          <cell r="J1029">
            <v>4712</v>
          </cell>
        </row>
        <row r="1030">
          <cell r="G1030">
            <v>8178</v>
          </cell>
          <cell r="H1030" t="str">
            <v>CODO 90° PVC E.L.  D= 1"</v>
          </cell>
          <cell r="I1030" t="str">
            <v>UN</v>
          </cell>
          <cell r="J1030">
            <v>2454</v>
          </cell>
        </row>
        <row r="1031">
          <cell r="G1031">
            <v>8179</v>
          </cell>
          <cell r="H1031" t="str">
            <v>CODO 90° E.L.  D= 1 1/2"</v>
          </cell>
          <cell r="I1031" t="str">
            <v>UN</v>
          </cell>
          <cell r="J1031">
            <v>8799</v>
          </cell>
        </row>
        <row r="1032">
          <cell r="G1032">
            <v>8180</v>
          </cell>
          <cell r="H1032" t="str">
            <v>REDUCCION PVC E.L.  D= 1 1/2 x 1 1/4" (BUJE SOLDADO)</v>
          </cell>
          <cell r="I1032" t="str">
            <v>UN</v>
          </cell>
          <cell r="J1032">
            <v>4480</v>
          </cell>
        </row>
        <row r="1033">
          <cell r="G1033">
            <v>8181</v>
          </cell>
          <cell r="H1033" t="str">
            <v>REDUCCION PVC E.L. D=1 1/4" x 1" (BUJE SOLDADO)</v>
          </cell>
          <cell r="I1033" t="str">
            <v>UN</v>
          </cell>
          <cell r="J1033">
            <v>2902</v>
          </cell>
        </row>
        <row r="1034">
          <cell r="G1034">
            <v>8182</v>
          </cell>
          <cell r="H1034" t="str">
            <v>REDUCCION PVC E.L.  D= 1" x 3/4</v>
          </cell>
          <cell r="I1034" t="str">
            <v>UN</v>
          </cell>
          <cell r="J1034">
            <v>1511</v>
          </cell>
        </row>
        <row r="1035">
          <cell r="G1035">
            <v>8183</v>
          </cell>
          <cell r="H1035" t="str">
            <v>REDUCCION PVC E.L. D= 3/4" x 1/2" (BUJE SOLDADO)</v>
          </cell>
          <cell r="I1035" t="str">
            <v>UN</v>
          </cell>
          <cell r="J1035">
            <v>759</v>
          </cell>
        </row>
        <row r="1036">
          <cell r="G1036">
            <v>8185</v>
          </cell>
          <cell r="H1036" t="str">
            <v>REGISTRO BOLA 1" TIPO PESADO</v>
          </cell>
          <cell r="I1036" t="str">
            <v>UN</v>
          </cell>
          <cell r="J1036">
            <v>23637</v>
          </cell>
        </row>
        <row r="1037">
          <cell r="G1037">
            <v>8186</v>
          </cell>
          <cell r="H1037" t="str">
            <v>REGISTRO BOLA 1 1/4" TIPO PESADO</v>
          </cell>
          <cell r="I1037" t="str">
            <v>UN</v>
          </cell>
          <cell r="J1037">
            <v>33529</v>
          </cell>
        </row>
        <row r="1038">
          <cell r="G1038">
            <v>8187</v>
          </cell>
          <cell r="H1038" t="str">
            <v>CODO 45° PVC E.L. D=1"</v>
          </cell>
          <cell r="I1038" t="str">
            <v>UN</v>
          </cell>
          <cell r="J1038">
            <v>3940</v>
          </cell>
        </row>
        <row r="1039">
          <cell r="G1039">
            <v>8188</v>
          </cell>
          <cell r="H1039" t="str">
            <v>TEE PVC E.L. D=1" SHEDULE 40</v>
          </cell>
          <cell r="I1039" t="str">
            <v>UN</v>
          </cell>
          <cell r="J1039">
            <v>3413</v>
          </cell>
        </row>
        <row r="1040">
          <cell r="G1040">
            <v>8189</v>
          </cell>
          <cell r="H1040" t="str">
            <v>TAPON COPA PVC D=1" (TAPON SOLDADO)</v>
          </cell>
          <cell r="I1040" t="str">
            <v>UN</v>
          </cell>
          <cell r="J1040">
            <v>1501</v>
          </cell>
        </row>
        <row r="1041">
          <cell r="G1041">
            <v>8190</v>
          </cell>
          <cell r="H1041" t="str">
            <v>CODO 45° PVC E.L. D=1/2"</v>
          </cell>
          <cell r="I1041" t="str">
            <v>UN</v>
          </cell>
          <cell r="J1041">
            <v>1295</v>
          </cell>
        </row>
        <row r="1042">
          <cell r="G1042">
            <v>8191</v>
          </cell>
          <cell r="H1042" t="str">
            <v>TUBERIA PVC E.L. D=1/2" RDE 13.5 315PSI</v>
          </cell>
          <cell r="I1042" t="str">
            <v>ML</v>
          </cell>
          <cell r="J1042">
            <v>3376</v>
          </cell>
        </row>
        <row r="1043">
          <cell r="G1043">
            <v>8192</v>
          </cell>
          <cell r="H1043" t="str">
            <v>TEE PVC E.L. D=1/2 SHEDULE 40</v>
          </cell>
          <cell r="I1043" t="str">
            <v>UN</v>
          </cell>
          <cell r="J1043">
            <v>1040</v>
          </cell>
        </row>
        <row r="1044">
          <cell r="G1044">
            <v>8193</v>
          </cell>
          <cell r="H1044" t="str">
            <v>TAPON COPA PVC D=1/2"</v>
          </cell>
          <cell r="I1044" t="str">
            <v>UN</v>
          </cell>
          <cell r="J1044">
            <v>447</v>
          </cell>
        </row>
        <row r="1045">
          <cell r="G1045">
            <v>8195</v>
          </cell>
          <cell r="H1045" t="str">
            <v>CABLE No.2 AWG 600V 90°</v>
          </cell>
          <cell r="I1045" t="str">
            <v>ML</v>
          </cell>
          <cell r="J1045">
            <v>21182</v>
          </cell>
        </row>
        <row r="1046">
          <cell r="G1046">
            <v>8199</v>
          </cell>
          <cell r="H1046" t="str">
            <v>CABLE 4 AWG 600V 90° C THHN/THWN</v>
          </cell>
          <cell r="I1046" t="str">
            <v>ML</v>
          </cell>
          <cell r="J1046">
            <v>13602</v>
          </cell>
        </row>
        <row r="1047">
          <cell r="G1047">
            <v>8202</v>
          </cell>
          <cell r="H1047" t="str">
            <v>VARILLA COPPERWELD DE 5/8" (2.4 MT)</v>
          </cell>
          <cell r="I1047" t="str">
            <v>UN</v>
          </cell>
          <cell r="J1047">
            <v>193375</v>
          </cell>
        </row>
        <row r="1048">
          <cell r="G1048">
            <v>8203</v>
          </cell>
          <cell r="H1048" t="str">
            <v>INTERRUPTOR MONOFASICO 40A</v>
          </cell>
          <cell r="I1048" t="str">
            <v>UN</v>
          </cell>
          <cell r="J1048">
            <v>14511</v>
          </cell>
        </row>
        <row r="1049">
          <cell r="G1049">
            <v>8204</v>
          </cell>
          <cell r="H1049" t="str">
            <v>INTERRUPTOR TRIFILAR 50A</v>
          </cell>
          <cell r="I1049" t="str">
            <v>UN</v>
          </cell>
          <cell r="J1049">
            <v>22000</v>
          </cell>
        </row>
        <row r="1050">
          <cell r="G1050">
            <v>8205</v>
          </cell>
          <cell r="H1050" t="str">
            <v>SOLDADURA EXOTERMICA</v>
          </cell>
          <cell r="I1050" t="str">
            <v>GR</v>
          </cell>
          <cell r="J1050">
            <v>134</v>
          </cell>
        </row>
        <row r="1051">
          <cell r="G1051">
            <v>8206</v>
          </cell>
          <cell r="H1051" t="str">
            <v>CABLE No.1/0 AWG THHN-600V COBRE</v>
          </cell>
          <cell r="I1051" t="str">
            <v>ML</v>
          </cell>
          <cell r="J1051">
            <v>22987</v>
          </cell>
        </row>
        <row r="1052">
          <cell r="G1052">
            <v>8207</v>
          </cell>
          <cell r="H1052" t="str">
            <v>CONDUCTOR No.2 A 600V EN COBRE</v>
          </cell>
          <cell r="I1052" t="str">
            <v>ML</v>
          </cell>
          <cell r="J1052">
            <v>22610</v>
          </cell>
        </row>
        <row r="1053">
          <cell r="G1053">
            <v>8208</v>
          </cell>
          <cell r="H1053" t="str">
            <v>TUBERIA CONDUIT METALICA EMT D= 2"</v>
          </cell>
          <cell r="I1053" t="str">
            <v>ML</v>
          </cell>
          <cell r="J1053">
            <v>50073</v>
          </cell>
        </row>
        <row r="1054">
          <cell r="G1054">
            <v>8209</v>
          </cell>
          <cell r="H1054" t="str">
            <v>GRAPA PARA TUBERIA EMT D=2"</v>
          </cell>
          <cell r="I1054" t="str">
            <v>UN</v>
          </cell>
          <cell r="J1054">
            <v>1012</v>
          </cell>
        </row>
        <row r="1055">
          <cell r="G1055">
            <v>8210</v>
          </cell>
          <cell r="H1055" t="str">
            <v>CABLE No.6 AWG THHN- 600V COBRE</v>
          </cell>
          <cell r="I1055" t="str">
            <v>ML</v>
          </cell>
          <cell r="J1055">
            <v>8325</v>
          </cell>
        </row>
        <row r="1056">
          <cell r="G1056">
            <v>8211</v>
          </cell>
          <cell r="H1056" t="str">
            <v>CABLE No.8 AWG THHN-600V COBRE</v>
          </cell>
          <cell r="I1056" t="str">
            <v>ML</v>
          </cell>
          <cell r="J1056">
            <v>5406</v>
          </cell>
        </row>
        <row r="1057">
          <cell r="G1057">
            <v>8212</v>
          </cell>
          <cell r="H1057" t="str">
            <v>TUBERIA CONDUIT METALICA EMT D= 1"</v>
          </cell>
          <cell r="I1057" t="str">
            <v>ML</v>
          </cell>
          <cell r="J1057">
            <v>17732</v>
          </cell>
        </row>
        <row r="1058">
          <cell r="G1058">
            <v>8213</v>
          </cell>
          <cell r="H1058" t="str">
            <v>GRAPA PARA TUBERIA EMT D=1"</v>
          </cell>
          <cell r="I1058" t="str">
            <v>UN</v>
          </cell>
          <cell r="J1058">
            <v>383</v>
          </cell>
        </row>
        <row r="1059">
          <cell r="G1059">
            <v>8216</v>
          </cell>
          <cell r="H1059" t="str">
            <v>TOMA DE INCRUSTAR DOBLE CON POLO A TIERRA AISLADO 15A REGULADA</v>
          </cell>
          <cell r="I1059" t="str">
            <v>UN</v>
          </cell>
          <cell r="J1059">
            <v>5772</v>
          </cell>
        </row>
        <row r="1060">
          <cell r="G1060">
            <v>8217</v>
          </cell>
          <cell r="H1060" t="str">
            <v>CAJA PLASTICA ELECTRICA 4" X 4" CONDUIT 1/2"</v>
          </cell>
          <cell r="I1060" t="str">
            <v>UN</v>
          </cell>
          <cell r="J1060">
            <v>685</v>
          </cell>
        </row>
        <row r="1061">
          <cell r="G1061">
            <v>8218</v>
          </cell>
          <cell r="H1061" t="str">
            <v>CABLE No.14 AWG 600V 90° C THHN/THWN</v>
          </cell>
          <cell r="I1061" t="str">
            <v>ML</v>
          </cell>
          <cell r="J1061">
            <v>1664</v>
          </cell>
        </row>
        <row r="1062">
          <cell r="G1062">
            <v>8219</v>
          </cell>
          <cell r="H1062" t="str">
            <v>TOMA TRIFILAR DE INCRUSTAR 50A/250V</v>
          </cell>
          <cell r="I1062" t="str">
            <v>UN</v>
          </cell>
          <cell r="J1062">
            <v>21693</v>
          </cell>
        </row>
        <row r="1063">
          <cell r="G1063">
            <v>8221</v>
          </cell>
          <cell r="H1063" t="str">
            <v>CABLE 12 AWG 600V 90° C THHN/THWN</v>
          </cell>
          <cell r="I1063" t="str">
            <v>ML</v>
          </cell>
          <cell r="J1063">
            <v>2481</v>
          </cell>
        </row>
        <row r="1064">
          <cell r="G1064">
            <v>8222</v>
          </cell>
          <cell r="H1064" t="str">
            <v>BREAKER ENCHUFABLE TRIPOLAR 3x20 A</v>
          </cell>
          <cell r="I1064" t="str">
            <v>UN</v>
          </cell>
          <cell r="J1064">
            <v>42007</v>
          </cell>
        </row>
        <row r="1065">
          <cell r="G1065">
            <v>8223</v>
          </cell>
          <cell r="H1065" t="str">
            <v>BALA - BALA 1 LUZ e27 13cm ESPECULAR BLANCO</v>
          </cell>
          <cell r="I1065" t="str">
            <v>UN</v>
          </cell>
          <cell r="J1065">
            <v>15706</v>
          </cell>
        </row>
        <row r="1066">
          <cell r="G1066">
            <v>8224</v>
          </cell>
          <cell r="H1066" t="str">
            <v>BOMBILLOS AHORRADORES 20W, 120V</v>
          </cell>
          <cell r="I1066" t="str">
            <v>UN</v>
          </cell>
          <cell r="J1066">
            <v>11269</v>
          </cell>
        </row>
        <row r="1067">
          <cell r="G1067">
            <v>8225</v>
          </cell>
          <cell r="H1067" t="str">
            <v>INTERRUPTOR DOBLE</v>
          </cell>
          <cell r="I1067" t="str">
            <v>UN</v>
          </cell>
          <cell r="J1067">
            <v>5117</v>
          </cell>
        </row>
        <row r="1068">
          <cell r="G1068">
            <v>8227</v>
          </cell>
          <cell r="H1068" t="str">
            <v>CAJA DE INTERRUPTOR 2 x 4</v>
          </cell>
          <cell r="I1068" t="str">
            <v>UN</v>
          </cell>
          <cell r="J1068">
            <v>833</v>
          </cell>
        </row>
        <row r="1069">
          <cell r="G1069">
            <v>8228</v>
          </cell>
          <cell r="H1069" t="str">
            <v>TUBERÍA GALVANIZADA D=2". Espesor del tubo (1.5mm)</v>
          </cell>
          <cell r="I1069" t="str">
            <v>ML</v>
          </cell>
          <cell r="J1069">
            <v>51942</v>
          </cell>
        </row>
        <row r="1070">
          <cell r="G1070">
            <v>8229</v>
          </cell>
          <cell r="H1070" t="str">
            <v>GRAPA PARA TUBERIA EMT D=3/4"</v>
          </cell>
          <cell r="I1070" t="str">
            <v>UN</v>
          </cell>
          <cell r="J1070">
            <v>299</v>
          </cell>
        </row>
        <row r="1071">
          <cell r="G1071">
            <v>8230</v>
          </cell>
          <cell r="H1071" t="str">
            <v>TUBERÍA DE ACERO GALVANIZADA D=3/4". Espesor del tubo (15mm)</v>
          </cell>
          <cell r="I1071" t="str">
            <v>ML</v>
          </cell>
          <cell r="J1071">
            <v>15327</v>
          </cell>
        </row>
        <row r="1072">
          <cell r="G1072">
            <v>8231</v>
          </cell>
          <cell r="H1072" t="str">
            <v>GRAPA PARA TUBERIA EMT D=3"</v>
          </cell>
          <cell r="I1072" t="str">
            <v>UN</v>
          </cell>
          <cell r="J1072">
            <v>2500</v>
          </cell>
        </row>
        <row r="1073">
          <cell r="G1073">
            <v>8232</v>
          </cell>
          <cell r="H1073" t="str">
            <v>TUBERIA CONDUIT METALICA EMT D= 3/4"</v>
          </cell>
          <cell r="I1073" t="str">
            <v>ML</v>
          </cell>
          <cell r="J1073">
            <v>11967</v>
          </cell>
        </row>
        <row r="1074">
          <cell r="G1074">
            <v>8233</v>
          </cell>
          <cell r="H1074" t="str">
            <v>BREAKER ENCHUFABLE 1 x 20 A</v>
          </cell>
          <cell r="I1074" t="str">
            <v>UN</v>
          </cell>
          <cell r="J1074">
            <v>10537</v>
          </cell>
        </row>
        <row r="1075">
          <cell r="G1075">
            <v>8235</v>
          </cell>
          <cell r="H1075" t="str">
            <v>TUBO FLUORESCENTE 54 W</v>
          </cell>
          <cell r="I1075" t="str">
            <v>UN</v>
          </cell>
          <cell r="J1075">
            <v>7078</v>
          </cell>
        </row>
        <row r="1076">
          <cell r="G1076">
            <v>8244</v>
          </cell>
          <cell r="H1076" t="str">
            <v>SANITARIO LINEA INSTITUCIONAL COLOR BLANCO (VALVULA ANTIVANDALICA TIPO PUSH METALICO, CROMADO)</v>
          </cell>
          <cell r="I1076" t="str">
            <v>UN</v>
          </cell>
          <cell r="J1076">
            <v>412900</v>
          </cell>
        </row>
        <row r="1077">
          <cell r="G1077">
            <v>8245</v>
          </cell>
          <cell r="H1077" t="str">
            <v>SANITARIO LINEA INSTITUCIONAL PARA DISCAPACITADOS COLOR BLANCO (VALVULA ANTIVANDALICA TIPO PUSH METALICO, CROMADO)</v>
          </cell>
          <cell r="I1077" t="str">
            <v>UN</v>
          </cell>
          <cell r="J1077">
            <v>1050947</v>
          </cell>
        </row>
        <row r="1078">
          <cell r="G1078">
            <v>8246</v>
          </cell>
          <cell r="H1078" t="str">
            <v>ORINAL MEDIANO DE COLGAR TIPO INSTITUCIONAL COLOR BLANCO (VALVULA ANTIVANDALICA TIPO PUSH METALICO, CROMADO)</v>
          </cell>
          <cell r="I1078" t="str">
            <v>UN</v>
          </cell>
          <cell r="J1078">
            <v>345299</v>
          </cell>
        </row>
        <row r="1079">
          <cell r="G1079">
            <v>8247</v>
          </cell>
          <cell r="H1079" t="str">
            <v>PAPELERA DE 200/400 mm EN LAMINA DE ACERO INOXIDABLE SATINADO CON CERROJO</v>
          </cell>
          <cell r="I1079" t="str">
            <v>UN</v>
          </cell>
          <cell r="J1079">
            <v>78540</v>
          </cell>
        </row>
        <row r="1080">
          <cell r="G1080">
            <v>8248</v>
          </cell>
          <cell r="H1080" t="str">
            <v>GRIFERIA  PARA LAVAMANOS INSTITUCIONAL DE MESON TIPO PUSH METALICO CROMADO</v>
          </cell>
          <cell r="I1080" t="str">
            <v>UN</v>
          </cell>
          <cell r="J1080">
            <v>154700</v>
          </cell>
        </row>
        <row r="1081">
          <cell r="G1081">
            <v>8249</v>
          </cell>
          <cell r="H1081" t="str">
            <v>SECADOR ELECTRICO DE MANOS, CARCAZA OVALADA METALICA ACERO INOXIDABLE 304 SATINADO CAL. 1.2mm. 1650 W</v>
          </cell>
          <cell r="I1081" t="str">
            <v>UN</v>
          </cell>
          <cell r="J1081">
            <v>359072</v>
          </cell>
        </row>
        <row r="1082">
          <cell r="G1082">
            <v>8250</v>
          </cell>
          <cell r="H1082" t="str">
            <v>VALVULA ANTIVANDALICA PARA ORINAL CON ACCESORIOS PARA CONECTAR</v>
          </cell>
          <cell r="I1082" t="str">
            <v>UN</v>
          </cell>
          <cell r="J1082">
            <v>308465</v>
          </cell>
        </row>
        <row r="1083">
          <cell r="G1083">
            <v>8253</v>
          </cell>
          <cell r="H1083" t="str">
            <v>PINTURA EPOXICA</v>
          </cell>
          <cell r="I1083" t="str">
            <v>GLN</v>
          </cell>
          <cell r="J1083">
            <v>134390</v>
          </cell>
        </row>
        <row r="1084">
          <cell r="G1084">
            <v>8254</v>
          </cell>
          <cell r="H1084" t="str">
            <v>SOLDADURA E-7018 x 1/8"</v>
          </cell>
          <cell r="I1084" t="str">
            <v>KG</v>
          </cell>
          <cell r="J1084">
            <v>15060</v>
          </cell>
        </row>
        <row r="1085">
          <cell r="G1085">
            <v>8256</v>
          </cell>
          <cell r="H1085" t="str">
            <v>TARIFA JORNAL - PERSONAL DE OBRA - SOLDADOR (INCLUYE FACTOR DE PRESTACIONES)</v>
          </cell>
          <cell r="I1085" t="str">
            <v>JR</v>
          </cell>
          <cell r="J1085">
            <v>92000</v>
          </cell>
        </row>
        <row r="1086">
          <cell r="G1086">
            <v>8258</v>
          </cell>
          <cell r="H1086" t="str">
            <v>EQUIPO DE SOLDADURA - CAPACIDAD 225 AMP</v>
          </cell>
          <cell r="I1086" t="str">
            <v>DIA</v>
          </cell>
          <cell r="J1086">
            <v>38900</v>
          </cell>
        </row>
        <row r="1087">
          <cell r="G1087">
            <v>8259</v>
          </cell>
          <cell r="H1087" t="str">
            <v>TUBO CERRAMIENTO NEGRO 2" 1.9mm</v>
          </cell>
          <cell r="I1087" t="str">
            <v>ML</v>
          </cell>
          <cell r="J1087">
            <v>20349</v>
          </cell>
        </row>
        <row r="1088">
          <cell r="G1088">
            <v>8260</v>
          </cell>
          <cell r="H1088" t="str">
            <v>TUBO CERRAMIENTO  NEGRO 1/2" 1.9 mm</v>
          </cell>
          <cell r="I1088" t="str">
            <v>ML</v>
          </cell>
          <cell r="J1088">
            <v>18781</v>
          </cell>
        </row>
        <row r="1089">
          <cell r="G1089">
            <v>8262</v>
          </cell>
          <cell r="H1089" t="str">
            <v>ANTICORROSIVO CROMATO DE ZINC</v>
          </cell>
          <cell r="I1089" t="str">
            <v>GLN</v>
          </cell>
          <cell r="J1089">
            <v>85000</v>
          </cell>
        </row>
        <row r="1090">
          <cell r="G1090">
            <v>8270</v>
          </cell>
          <cell r="H1090" t="str">
            <v>DEMARCACIÓN LINEA DE CEDA EL PASO DISCONTINUA DE 0.8mt ESPACIADO 0.4mt, E=2.3mm EN PINTURA TERMOPLÁSTICA, INCLUYE SUMINISTRO Y APLICACIÓN CON EQUIPO, INCLUYE MICROESFERAS</v>
          </cell>
          <cell r="I1090" t="str">
            <v>ML</v>
          </cell>
          <cell r="J1090">
            <v>7140</v>
          </cell>
        </row>
        <row r="1091">
          <cell r="G1091">
            <v>8271</v>
          </cell>
          <cell r="H1091" t="str">
            <v>DEMARCACION LINEA CARRIL A=0.12mt L=3.0 SEPARCION =5.0mt E=2.3mm, EN PINTURA TERMOPLATICA. INCLUYE SUMINISTRO Y APLICACION CON EQUIPO. INCLUYE MICROESFERAS</v>
          </cell>
          <cell r="I1091" t="str">
            <v>M2</v>
          </cell>
          <cell r="J1091">
            <v>9596</v>
          </cell>
        </row>
        <row r="1092">
          <cell r="G1092">
            <v>8276</v>
          </cell>
          <cell r="H1092" t="str">
            <v>FRANJA EN ADHESIVO VINILICO ESMERILADO EFECTO STAND BLASTED FROSTED CRYSTAL,  (SUMINISTRO E INSTALACIÓN) GARANTIA DE 5 AÑOS AL EXTERIOR. SEGUN MANUAL DE IMAGEN DE TRANSMILENIO S.A.</v>
          </cell>
          <cell r="I1092" t="str">
            <v>UN</v>
          </cell>
          <cell r="J1092">
            <v>71400</v>
          </cell>
        </row>
        <row r="1093">
          <cell r="G1093">
            <v>8277</v>
          </cell>
          <cell r="H1093" t="str">
            <v>FRANJA EN VINILO CON ADHESIVO EN VINILO ALTO 6cm,  (SUMINISTRO E INSTALACIÓN) GARANTIA DE 5 AÑOS AL EXTERIOR SEGUN COLOR. SEGUN MANUAL DE IMAGEN DE TRANSMILENIO S.A.</v>
          </cell>
          <cell r="I1093" t="str">
            <v>UN</v>
          </cell>
          <cell r="J1093">
            <v>22967</v>
          </cell>
        </row>
        <row r="1094">
          <cell r="G1094">
            <v>8278</v>
          </cell>
          <cell r="H1094" t="str">
            <v>FRANJA EN VINILO CON ADHESIVO EN VINILO ALTO 3cm,  (SUMINISTRO E INSTALACIÓN) GARANTIA DE 5 AÑOS AL EXTERIOR SEGUN COLOR. SEGUN MANUAL DE IMAGEN DE TRANSMILENIO S.A.</v>
          </cell>
          <cell r="I1094" t="str">
            <v>UN</v>
          </cell>
          <cell r="J1094">
            <v>14280</v>
          </cell>
        </row>
        <row r="1095">
          <cell r="G1095">
            <v>8292</v>
          </cell>
          <cell r="H1095" t="str">
            <v>TARIFA JORNAL - PROFESIONAL CATEGORÍA 8 (INCLUYE FACTOR DE PRESTACIONES)</v>
          </cell>
          <cell r="I1095" t="str">
            <v>JR</v>
          </cell>
          <cell r="J1095">
            <v>219266</v>
          </cell>
        </row>
        <row r="1096">
          <cell r="G1096">
            <v>8293</v>
          </cell>
          <cell r="H1096" t="str">
            <v>SUMINISTRO CONSTRUCCION E INSTALACION DE JARDIN VERTICAL. INCLUYE ESTRUCTURA Y/O PANEL DE SOPORTE INDEPENDIENTE ELEMENTOS PARA SOPORTE Y SUJECION DE JARDIN, SACOS Y/O CANGUROS PARA SIEMBRA DE JARDIN V</v>
          </cell>
          <cell r="I1096" t="str">
            <v>M2</v>
          </cell>
          <cell r="J1096">
            <v>65000</v>
          </cell>
        </row>
        <row r="1097">
          <cell r="G1097">
            <v>8294</v>
          </cell>
          <cell r="H1097" t="str">
            <v>COLLAR DERIVACION 4" x 1/2"</v>
          </cell>
          <cell r="I1097" t="str">
            <v>UN</v>
          </cell>
          <cell r="J1097">
            <v>27168</v>
          </cell>
        </row>
        <row r="1098">
          <cell r="G1098">
            <v>8295</v>
          </cell>
          <cell r="H1098" t="str">
            <v>COLLAR DERIVACION 6" x 1/2"</v>
          </cell>
          <cell r="I1098" t="str">
            <v>UN</v>
          </cell>
          <cell r="J1098">
            <v>34535</v>
          </cell>
        </row>
        <row r="1099">
          <cell r="G1099">
            <v>8297</v>
          </cell>
          <cell r="H1099" t="str">
            <v>ALQUILER DE VEHICULO: CAMPERO, PICK-UP, CAMIONETA, CAMION O SIMILAR DE 1300cc A 2000cc DE CILINDRADA, MODELO 2022 A 2019. 100% DE LA TARIFA ESTABLECIDA. INCLUYE TODOS LOS COSTOS DE OPERACIÓN Y MANTENIMIENTO EXCEPTO EL SALARIO DEL CONDUCTOR.</v>
          </cell>
          <cell r="I1099" t="str">
            <v>DIA</v>
          </cell>
          <cell r="J1099">
            <v>242000</v>
          </cell>
        </row>
        <row r="1100">
          <cell r="G1100">
            <v>8298</v>
          </cell>
          <cell r="H1100" t="str">
            <v>MINICARGADOR - POTENCIA 53 A 63 KW - INCLUYE OPERARIO Y COMBUSTIBLE</v>
          </cell>
          <cell r="I1100" t="str">
            <v>HR</v>
          </cell>
          <cell r="J1100">
            <v>99291</v>
          </cell>
        </row>
        <row r="1101">
          <cell r="G1101">
            <v>8299</v>
          </cell>
          <cell r="H1101" t="str">
            <v>TARIFA JORNAL - PERSONAL DE OBRA - AYUDANTE HORARIO NOCTURNO (INCLUYE FACTOR DE PRESTACIONES)</v>
          </cell>
          <cell r="I1101" t="str">
            <v>JR</v>
          </cell>
          <cell r="J1101">
            <v>85999</v>
          </cell>
        </row>
        <row r="1102">
          <cell r="G1102">
            <v>8300</v>
          </cell>
          <cell r="H1102" t="str">
            <v>TARIFA JORNAL - PERSONAL DE OBRA - OFICIAL HORARIO NOCTURNO (INCLUYE FACTOR DE PRESTACIONES)</v>
          </cell>
          <cell r="I1102" t="str">
            <v>JR</v>
          </cell>
          <cell r="J1102">
            <v>123999</v>
          </cell>
        </row>
        <row r="1103">
          <cell r="G1103">
            <v>8302</v>
          </cell>
          <cell r="H1103" t="str">
            <v>BOYA PLASTICA DE 20 x 20 x 9 cm DE ALTURA (NO INCLUYE ELEMENTOS DE ANCLAJE)</v>
          </cell>
          <cell r="I1103" t="str">
            <v>UN</v>
          </cell>
          <cell r="J1103">
            <v>23949</v>
          </cell>
        </row>
        <row r="1104">
          <cell r="G1104">
            <v>8303</v>
          </cell>
          <cell r="H1104" t="str">
            <v>HITO DE 75cm DE ALTURA Y 8cm DE DIAMETRO CON REFLECTIVOS DE COLOR AMARILLO. NO INCLUYE ELEMENTOS DE ANCLAJE</v>
          </cell>
          <cell r="I1104" t="str">
            <v>UN</v>
          </cell>
          <cell r="J1104">
            <v>48582</v>
          </cell>
        </row>
        <row r="1105">
          <cell r="G1105">
            <v>8304</v>
          </cell>
          <cell r="H1105" t="str">
            <v>EQUIPO DE OXICORTE - PRESIÓN DE OXÍGENO 125 PSI - PRESIÓN GAS COMBUSTIBLE 15 PSI, MES</v>
          </cell>
          <cell r="I1105" t="str">
            <v>MES</v>
          </cell>
          <cell r="J1105">
            <v>1883821</v>
          </cell>
        </row>
        <row r="1106">
          <cell r="G1106">
            <v>8306</v>
          </cell>
          <cell r="H1106" t="str">
            <v>EPOXICO PARA ANCLAJE DE ALTA RESISTENCIA (Unidad 600cc-900g)</v>
          </cell>
          <cell r="I1106" t="str">
            <v>UN</v>
          </cell>
          <cell r="J1106">
            <v>110900</v>
          </cell>
        </row>
        <row r="1107">
          <cell r="G1107">
            <v>8307</v>
          </cell>
          <cell r="H1107" t="str">
            <v>CONCRETO FLUIDO SIN RETRACCIÓN</v>
          </cell>
          <cell r="I1107" t="str">
            <v>KG</v>
          </cell>
          <cell r="J1107">
            <v>2768</v>
          </cell>
        </row>
        <row r="1108">
          <cell r="G1108">
            <v>8308</v>
          </cell>
          <cell r="H1108" t="str">
            <v>MICROFIBRA DE POLIPROPILENO PARA CONCRETO Y MORTERO</v>
          </cell>
          <cell r="I1108" t="str">
            <v>KG</v>
          </cell>
          <cell r="J1108">
            <v>61086</v>
          </cell>
        </row>
        <row r="1109">
          <cell r="G1109">
            <v>8309</v>
          </cell>
          <cell r="H1109" t="str">
            <v>GROUTING DE ALTA RESISTENCIA</v>
          </cell>
          <cell r="I1109" t="str">
            <v>KG</v>
          </cell>
          <cell r="J1109">
            <v>6566</v>
          </cell>
        </row>
        <row r="1110">
          <cell r="G1110">
            <v>8313</v>
          </cell>
          <cell r="H1110" t="str">
            <v>MORTERO DE REPARACIÓN ESTRUCTURAL</v>
          </cell>
          <cell r="I1110" t="str">
            <v>KG</v>
          </cell>
          <cell r="J1110">
            <v>4504</v>
          </cell>
        </row>
        <row r="1111">
          <cell r="G1111">
            <v>8314</v>
          </cell>
          <cell r="H1111" t="str">
            <v>RECUBRIMIENTO INHIBIDOR DE CORROSIÓN EPOXI-CEMENTO PARA PROTEGER ACERO DE REFUERZO. TRICOMPONENTE.</v>
          </cell>
          <cell r="I1111" t="str">
            <v>KG</v>
          </cell>
          <cell r="J1111">
            <v>23821</v>
          </cell>
        </row>
        <row r="1112">
          <cell r="G1112">
            <v>8315</v>
          </cell>
          <cell r="H1112" t="str">
            <v>SELLADOR ELÁSTICO  DE POLIURETANO. CARTUCHO 300 ml</v>
          </cell>
          <cell r="I1112" t="str">
            <v>UN</v>
          </cell>
          <cell r="J1112">
            <v>48899</v>
          </cell>
        </row>
        <row r="1113">
          <cell r="G1113">
            <v>8319</v>
          </cell>
          <cell r="H1113" t="str">
            <v>PINTURA EN FRÍO PARA DEMARCACIÓN DE VÍAS. A= 12 cm. INCLUYE EQUIPO AUTOPROPULSADO Y MANO DE OBRA.</v>
          </cell>
          <cell r="I1113" t="str">
            <v>ML</v>
          </cell>
          <cell r="J1113">
            <v>2323</v>
          </cell>
        </row>
        <row r="1114">
          <cell r="G1114">
            <v>8320</v>
          </cell>
          <cell r="H1114" t="str">
            <v>TARIFA MES - PERSONAL DE OBRA - OPERADOR EQUIPO DE SEÑALIZACIÓN (INCLUYE FACTOR DE PRESTACIONES)</v>
          </cell>
          <cell r="I1114" t="str">
            <v>MES</v>
          </cell>
          <cell r="J1114">
            <v>2687223</v>
          </cell>
        </row>
        <row r="1115">
          <cell r="G1115">
            <v>8321</v>
          </cell>
          <cell r="H1115" t="str">
            <v>TARIFA JORNAL - PERSONAL DE OBRA - OPERADOR EQUIPO DE SEÑALIZACIÓN (INCLUYE FACTOR DE PRESTACIONES)</v>
          </cell>
          <cell r="I1115" t="str">
            <v>JR</v>
          </cell>
          <cell r="J1115">
            <v>89574</v>
          </cell>
        </row>
        <row r="1116">
          <cell r="G1116">
            <v>8322</v>
          </cell>
          <cell r="H1116" t="str">
            <v>PINTURA EN FRÍO PARA DEMARCACIÓN DE VÍAS. INCLUYE EQUIPO MANUAL Y MANO DE OBRA.</v>
          </cell>
          <cell r="I1116" t="str">
            <v>ML</v>
          </cell>
          <cell r="J1116">
            <v>2154</v>
          </cell>
        </row>
        <row r="1117">
          <cell r="G1117">
            <v>8324</v>
          </cell>
          <cell r="H1117" t="str">
            <v>ALQUILER DE VEHICULO: CAMPERO, PICK-UP, CAMIONETA, CAMION O SIMILAR CON CAPACIDAD DE CARGA DE 3 TON O MAS, MODELO 2014 A 2011. 75% DE LA TARIFA ESTABLECIDA. INCLUYE TODOS LOS COSTOS DE OPERACIÓN Y MANTENIMIENTO EXCEPTO EL SALARIO DEL CONDUCTOR</v>
          </cell>
          <cell r="I1117" t="str">
            <v>DIA</v>
          </cell>
          <cell r="J1117">
            <v>353025</v>
          </cell>
        </row>
        <row r="1118">
          <cell r="G1118">
            <v>8328</v>
          </cell>
          <cell r="H1118" t="str">
            <v>FUNGIBLES</v>
          </cell>
          <cell r="I1118" t="str">
            <v>GLB</v>
          </cell>
          <cell r="J1118">
            <v>1000</v>
          </cell>
        </row>
        <row r="1119">
          <cell r="G1119">
            <v>8329</v>
          </cell>
          <cell r="H1119" t="str">
            <v>APLICACIÓN DE BICOMPONENTE (SPRAY O EXTRUSIÓN) INCLUYE EQUIPO Y MANO DE OBRA</v>
          </cell>
          <cell r="I1119" t="str">
            <v>ML</v>
          </cell>
          <cell r="J1119">
            <v>5712</v>
          </cell>
        </row>
        <row r="1120">
          <cell r="G1120">
            <v>8330</v>
          </cell>
          <cell r="H1120" t="str">
            <v>PLASTICO EN FRIO (INCLUYE CATALIZADOR) - PINTURA PARA TRAFICO</v>
          </cell>
          <cell r="I1120" t="str">
            <v>GLN</v>
          </cell>
          <cell r="J1120">
            <v>160575</v>
          </cell>
        </row>
        <row r="1121">
          <cell r="G1121">
            <v>8331</v>
          </cell>
          <cell r="H1121" t="str">
            <v>APLICACIÓN DE BICOMPONENTE (SPRAY O EXTRUSIÓN) INCLUYE EQUIPO Y MANO DE OBRA Y MICROESFERAS</v>
          </cell>
          <cell r="I1121" t="str">
            <v>M2</v>
          </cell>
          <cell r="J1121">
            <v>47124</v>
          </cell>
        </row>
        <row r="1122">
          <cell r="G1122">
            <v>8334</v>
          </cell>
          <cell r="H1122" t="str">
            <v>BORRADO SEÑALIZACIÓN VIAL TIPO FRESADO CON MÁQUINA BERTELLI O SIMILAR (ML)</v>
          </cell>
          <cell r="I1122" t="str">
            <v>ML</v>
          </cell>
          <cell r="J1122">
            <v>8330</v>
          </cell>
        </row>
        <row r="1123">
          <cell r="G1123">
            <v>8340</v>
          </cell>
          <cell r="H1123" t="str">
            <v>TORNILLO. INCLUYE TUERCA Y ARANDELA</v>
          </cell>
          <cell r="I1123" t="str">
            <v>KG</v>
          </cell>
          <cell r="J1123">
            <v>10367</v>
          </cell>
        </row>
        <row r="1124">
          <cell r="G1124">
            <v>8357</v>
          </cell>
          <cell r="H1124" t="str">
            <v>TACHA REFLECTIVA BIDIRECCIONAL (NO INCLUYE ELEMENTOS DE ANCLAJE)</v>
          </cell>
          <cell r="I1124" t="str">
            <v>UN</v>
          </cell>
          <cell r="J1124">
            <v>4522</v>
          </cell>
        </row>
        <row r="1125">
          <cell r="G1125">
            <v>8358</v>
          </cell>
          <cell r="H1125" t="str">
            <v>RESALTO EN CAUCHO DE L=1m, ANCHO 30cm, ALTO 4.5cm (INCLUYE PERNOS)</v>
          </cell>
          <cell r="I1125" t="str">
            <v>UN</v>
          </cell>
          <cell r="J1125">
            <v>166600</v>
          </cell>
        </row>
        <row r="1126">
          <cell r="G1126">
            <v>8359</v>
          </cell>
          <cell r="H1126" t="str">
            <v>TUBERIA CONDUIT PVC D= 1/2"</v>
          </cell>
          <cell r="I1126" t="str">
            <v>ML</v>
          </cell>
          <cell r="J1126">
            <v>2491</v>
          </cell>
        </row>
        <row r="1127">
          <cell r="G1127">
            <v>8362</v>
          </cell>
          <cell r="H1127" t="str">
            <v>TUBERIA CONCRETO REF. CL.V D=36´ (90 CM)</v>
          </cell>
          <cell r="I1127" t="str">
            <v>ML</v>
          </cell>
          <cell r="J1127">
            <v>1586908</v>
          </cell>
        </row>
        <row r="1128">
          <cell r="G1128">
            <v>8364</v>
          </cell>
          <cell r="H1128" t="str">
            <v>CLORUROS. Norma técnica: SM 4500 - CL - B.</v>
          </cell>
          <cell r="I1128" t="str">
            <v>PUNTO</v>
          </cell>
          <cell r="J1128">
            <v>13875</v>
          </cell>
        </row>
        <row r="1129">
          <cell r="G1129">
            <v>8365</v>
          </cell>
          <cell r="H1129" t="str">
            <v>SULFATOS. Norma técnica: SM 4500 - SO4-2  - E  ASTM C 114 2015.</v>
          </cell>
          <cell r="I1129" t="str">
            <v>PUNTO</v>
          </cell>
          <cell r="J1129">
            <v>14280</v>
          </cell>
        </row>
        <row r="1130">
          <cell r="G1130">
            <v>8366</v>
          </cell>
          <cell r="H1130" t="str">
            <v>NITRATOS. Norma técnica: SM 4500 - NO3-B.</v>
          </cell>
          <cell r="I1130" t="str">
            <v>PUNTO</v>
          </cell>
          <cell r="J1130">
            <v>19635</v>
          </cell>
        </row>
        <row r="1131">
          <cell r="G1131">
            <v>8367</v>
          </cell>
          <cell r="H1131" t="str">
            <v>HIERRO TOTAL. Norma técnica: SM 3500 Fe - B.</v>
          </cell>
          <cell r="I1131" t="str">
            <v>PUNTO</v>
          </cell>
          <cell r="J1131">
            <v>27370</v>
          </cell>
        </row>
        <row r="1132">
          <cell r="G1132">
            <v>8369</v>
          </cell>
          <cell r="H1132" t="str">
            <v>MAGNESIO. Norma técnica: SM 3500 Mg - B.</v>
          </cell>
          <cell r="I1132" t="str">
            <v>PUNTO</v>
          </cell>
          <cell r="J1132">
            <v>33915</v>
          </cell>
        </row>
        <row r="1133">
          <cell r="G1133">
            <v>8370</v>
          </cell>
          <cell r="H1133" t="str">
            <v>SODIO. Norma técnica: SM 3500 Na - B.</v>
          </cell>
          <cell r="I1133" t="str">
            <v>PUNTO</v>
          </cell>
          <cell r="J1133">
            <v>33915</v>
          </cell>
        </row>
        <row r="1134">
          <cell r="G1134">
            <v>8404</v>
          </cell>
          <cell r="H1134" t="str">
            <v>PINTURA BASE AGUA DOMESTICA</v>
          </cell>
          <cell r="I1134" t="str">
            <v>GLN</v>
          </cell>
          <cell r="J1134">
            <v>68923</v>
          </cell>
        </row>
        <row r="1135">
          <cell r="G1135">
            <v>8430</v>
          </cell>
          <cell r="H1135" t="str">
            <v>CAMARA GRP 2500 * 2500 * 1200 (INCLUYE TUBERIA , CHIMENEA 2.5m Y ACCESORIOS. - NO INCLUYE TRANSPORTE</v>
          </cell>
          <cell r="I1135" t="str">
            <v>UN</v>
          </cell>
          <cell r="J1135">
            <v>44954279</v>
          </cell>
        </row>
        <row r="1136">
          <cell r="G1136">
            <v>8431</v>
          </cell>
          <cell r="H1136" t="str">
            <v>CAMARA GRP 2600 * 2600 * 1200 (INCLUYE TUBERIA , CHIMENEA 2.5m Y ACCESORIOS. - NO INCLUYE TRANSPORTE</v>
          </cell>
          <cell r="I1136" t="str">
            <v>UN</v>
          </cell>
          <cell r="J1136">
            <v>46752450</v>
          </cell>
        </row>
        <row r="1137">
          <cell r="G1137">
            <v>8432</v>
          </cell>
          <cell r="H1137" t="str">
            <v>TUBERIA GRP DN 350 PN1 SN2500 - NO INCLUYE TRANSPORTE</v>
          </cell>
          <cell r="I1137" t="str">
            <v>ML</v>
          </cell>
          <cell r="J1137">
            <v>480317</v>
          </cell>
        </row>
        <row r="1138">
          <cell r="G1138">
            <v>8434</v>
          </cell>
          <cell r="H1138" t="str">
            <v>TUBERIA GRP DN 450 PN1 SN2500 - NO INCLUYE TRANSPORTE</v>
          </cell>
          <cell r="I1138" t="str">
            <v>ML</v>
          </cell>
          <cell r="J1138">
            <v>629796</v>
          </cell>
        </row>
        <row r="1139">
          <cell r="G1139">
            <v>8435</v>
          </cell>
          <cell r="H1139" t="str">
            <v>ACOPLE GRP DN 450 PN1 - NO INCLUYE TRANSPORTE</v>
          </cell>
          <cell r="I1139" t="str">
            <v>UN</v>
          </cell>
          <cell r="J1139">
            <v>521579</v>
          </cell>
        </row>
        <row r="1140">
          <cell r="G1140">
            <v>8436</v>
          </cell>
          <cell r="H1140" t="str">
            <v>TUBERIA GRP DN 550 PN1 SN2500 - NO INCLUYE TRANSPORTE</v>
          </cell>
          <cell r="I1140" t="str">
            <v>ML</v>
          </cell>
          <cell r="J1140">
            <v>841823</v>
          </cell>
        </row>
        <row r="1141">
          <cell r="G1141">
            <v>8437</v>
          </cell>
          <cell r="H1141" t="str">
            <v>ACOPLE GRP DN 550 PN1 - NO INCLUYE TRANSPORTE</v>
          </cell>
          <cell r="I1141" t="str">
            <v>UN</v>
          </cell>
          <cell r="J1141">
            <v>608643</v>
          </cell>
        </row>
        <row r="1142">
          <cell r="G1142">
            <v>8438</v>
          </cell>
          <cell r="H1142" t="str">
            <v>TUBERIA GRP DN 650 PN1 SN2500 - NO INCLUYE TRANSPORTE</v>
          </cell>
          <cell r="I1142" t="str">
            <v>ML</v>
          </cell>
          <cell r="J1142">
            <v>885932</v>
          </cell>
        </row>
        <row r="1143">
          <cell r="G1143">
            <v>8440</v>
          </cell>
          <cell r="H1143" t="str">
            <v>TUBERIA GRP DN 750 PN1 SN2500 - NO INCLUYE TRANSPORTE</v>
          </cell>
          <cell r="I1143" t="str">
            <v>ML</v>
          </cell>
          <cell r="J1143">
            <v>1091069</v>
          </cell>
        </row>
        <row r="1144">
          <cell r="G1144">
            <v>8441</v>
          </cell>
          <cell r="H1144" t="str">
            <v>ACOPLE GRP DN 750 PN1 - NO INCLUYE TRANSPORTE</v>
          </cell>
          <cell r="I1144" t="str">
            <v>UN</v>
          </cell>
          <cell r="J1144">
            <v>1172401</v>
          </cell>
        </row>
        <row r="1145">
          <cell r="G1145">
            <v>8442</v>
          </cell>
          <cell r="H1145" t="str">
            <v>TUBERIA GRP DN 850 PN1 SN2500 - NO INCLUYE TRANSPORTE</v>
          </cell>
          <cell r="I1145" t="str">
            <v>ML</v>
          </cell>
          <cell r="J1145">
            <v>1322246</v>
          </cell>
        </row>
        <row r="1146">
          <cell r="G1146">
            <v>8443</v>
          </cell>
          <cell r="H1146" t="str">
            <v>ACOPLE GRP DN 850 PN1 - NO INCLUYE TRANSPORTE</v>
          </cell>
          <cell r="I1146" t="str">
            <v>UN</v>
          </cell>
          <cell r="J1146">
            <v>1299109</v>
          </cell>
        </row>
        <row r="1147">
          <cell r="G1147">
            <v>8444</v>
          </cell>
          <cell r="H1147" t="str">
            <v>TUBERIA GRP DN 2500 PN1 SN2500 - NO INCLUYE TRANSPORTE</v>
          </cell>
          <cell r="I1147" t="str">
            <v>ML</v>
          </cell>
          <cell r="J1147">
            <v>8544379</v>
          </cell>
        </row>
        <row r="1148">
          <cell r="G1148">
            <v>8445</v>
          </cell>
          <cell r="H1148" t="str">
            <v>ACOPLE GRP DN 2500 PN1 - NO INCLUYE TRANSPORTE</v>
          </cell>
          <cell r="I1148" t="str">
            <v>UN</v>
          </cell>
          <cell r="J1148">
            <v>4157058</v>
          </cell>
        </row>
        <row r="1149">
          <cell r="G1149">
            <v>8447</v>
          </cell>
          <cell r="H1149" t="str">
            <v>TUBERIA GRP DN 2600 PN1 SN2500 - NO INCLUYE TRANSPORTE</v>
          </cell>
          <cell r="I1149" t="str">
            <v>ML</v>
          </cell>
          <cell r="J1149">
            <v>9180551</v>
          </cell>
        </row>
        <row r="1150">
          <cell r="G1150">
            <v>8448</v>
          </cell>
          <cell r="H1150" t="str">
            <v>ACOPLE GRP DN 2600 PN1 - NO INCLUYE TRANSPORTE</v>
          </cell>
          <cell r="I1150" t="str">
            <v>UN</v>
          </cell>
          <cell r="J1150">
            <v>5158111</v>
          </cell>
        </row>
        <row r="1151">
          <cell r="G1151">
            <v>8449</v>
          </cell>
          <cell r="H1151" t="str">
            <v>CAMARA GRP 900 * 900 * 1200 (INCLUYE TUBERIA , CHIMENEA 1.0m Y ACCESORIOS. - NO INCLUYE TRANSPORTE</v>
          </cell>
          <cell r="I1151" t="str">
            <v>UN</v>
          </cell>
          <cell r="J1151">
            <v>18465326</v>
          </cell>
        </row>
        <row r="1152">
          <cell r="G1152">
            <v>8450</v>
          </cell>
          <cell r="H1152" t="str">
            <v>CAMARA GRP 900 * 900 * 1200 (INCLUYE TUBERIA , CHIMENEA 2.5m Y ACCESORIOS. - NO INCLUYE TRANSPORTE</v>
          </cell>
          <cell r="I1152" t="str">
            <v>UN</v>
          </cell>
          <cell r="J1152">
            <v>20311859</v>
          </cell>
        </row>
        <row r="1153">
          <cell r="G1153">
            <v>8451</v>
          </cell>
          <cell r="H1153" t="str">
            <v>CAMARA GRP 1000 * 1000 * 1200 (INCLUYE TUBERIA , CHIMENEA 2.5m Y ACCESORIOS. - NO INCLUYE TRANSPORTE</v>
          </cell>
          <cell r="I1153" t="str">
            <v>UN</v>
          </cell>
          <cell r="J1153">
            <v>20184535</v>
          </cell>
        </row>
        <row r="1154">
          <cell r="G1154">
            <v>8452</v>
          </cell>
          <cell r="H1154" t="str">
            <v>CAMARA GRP 1100 * 1100 * 1200 (INCLUYE TUBERIA , CHIMENEA 2.5m Y ACCESORIOS. - NO INCLUYE TRANSPORTE</v>
          </cell>
          <cell r="I1154" t="str">
            <v>UN</v>
          </cell>
          <cell r="J1154">
            <v>22918463</v>
          </cell>
        </row>
        <row r="1155">
          <cell r="G1155">
            <v>8453</v>
          </cell>
          <cell r="H1155" t="str">
            <v>CAMARA GRP 1300 * 1300 * 1200 (INCLUYE TUBERIA , CHIMENEA 5m Y ACCESORIOS. - NO INCLUYE TRANSPORTE</v>
          </cell>
          <cell r="I1155" t="str">
            <v>UN</v>
          </cell>
          <cell r="J1155">
            <v>15026911</v>
          </cell>
        </row>
        <row r="1156">
          <cell r="G1156">
            <v>8454</v>
          </cell>
          <cell r="H1156" t="str">
            <v>CAMARA GRP 1500 * 1500 * 1200 (INCLUYE TUBERIA , CHIMENEA 2.5m Y ACCESORIOS. - NO INCLUYE TRANSPORTE</v>
          </cell>
          <cell r="I1156" t="str">
            <v>UN</v>
          </cell>
          <cell r="J1156">
            <v>16028705</v>
          </cell>
        </row>
        <row r="1157">
          <cell r="G1157">
            <v>8455</v>
          </cell>
          <cell r="H1157" t="str">
            <v>CAMARA GRP 1600 * 1600 * 1200 (INCLUYE TUBERIA , CHIMENEA 2.5m Y ACCESORIOS. - NO INCLUYE TRANSPORTE</v>
          </cell>
          <cell r="I1157" t="str">
            <v>UN</v>
          </cell>
          <cell r="J1157">
            <v>21250961</v>
          </cell>
        </row>
        <row r="1158">
          <cell r="G1158">
            <v>8456</v>
          </cell>
          <cell r="H1158" t="str">
            <v>CAMARA GRP 1800 * 1800 * 1200 (INCLUYE TUBERIA , CHIMENEA 2.5m Y ACCESORIOS. - NO INCLUYE TRANSPORTE</v>
          </cell>
          <cell r="I1158" t="str">
            <v>UN</v>
          </cell>
          <cell r="J1158">
            <v>22743957</v>
          </cell>
        </row>
        <row r="1159">
          <cell r="G1159">
            <v>8457</v>
          </cell>
          <cell r="H1159" t="str">
            <v>CAMARA GRP 1800 * 1800 * 1200 (INCLUYE TUBERIA , CHIMENEA 5m Y ACCESORIOS. - NO INCLUYE TRANSPORTE</v>
          </cell>
          <cell r="I1159" t="str">
            <v>UN</v>
          </cell>
          <cell r="J1159">
            <v>26318100</v>
          </cell>
        </row>
        <row r="1160">
          <cell r="G1160">
            <v>8460</v>
          </cell>
          <cell r="H1160" t="str">
            <v>CONECTORES DE COBRE 25mm 5/8"</v>
          </cell>
          <cell r="I1160" t="str">
            <v>UN</v>
          </cell>
          <cell r="J1160">
            <v>5415</v>
          </cell>
        </row>
        <row r="1161">
          <cell r="G1161">
            <v>8461</v>
          </cell>
          <cell r="H1161" t="str">
            <v>ALAMBRE DE COBRE No. 4 AWG</v>
          </cell>
          <cell r="I1161" t="str">
            <v>ML</v>
          </cell>
          <cell r="J1161">
            <v>14637</v>
          </cell>
        </row>
        <row r="1162">
          <cell r="G1162">
            <v>8462</v>
          </cell>
          <cell r="H1162" t="str">
            <v>MASCARILLA DE GIRO PARA SEMAFORO DE 200 mm</v>
          </cell>
          <cell r="I1162" t="str">
            <v>UN</v>
          </cell>
          <cell r="J1162">
            <v>362522</v>
          </cell>
        </row>
        <row r="1163">
          <cell r="G1163">
            <v>8463</v>
          </cell>
          <cell r="H1163" t="str">
            <v>MODULO ROJO PARA SEMAFOROS DE 200mm (TIPO LED, SEMAFORO TIPO MENSULA) SUMINISTRO E INSTALACION.</v>
          </cell>
          <cell r="I1163" t="str">
            <v>UN</v>
          </cell>
          <cell r="J1163">
            <v>746238</v>
          </cell>
        </row>
        <row r="1164">
          <cell r="G1164">
            <v>8473</v>
          </cell>
          <cell r="H1164" t="str">
            <v>MALLA ZARANDA DE 6" x 6" PARA CLASIFICACION MATERIAL</v>
          </cell>
          <cell r="I1164" t="str">
            <v>M2</v>
          </cell>
          <cell r="J1164">
            <v>1330</v>
          </cell>
        </row>
        <row r="1165">
          <cell r="G1165">
            <v>8474</v>
          </cell>
          <cell r="H1165" t="str">
            <v>ÁNGULO METÁLICO</v>
          </cell>
          <cell r="I1165" t="str">
            <v>KG</v>
          </cell>
          <cell r="J1165">
            <v>6545</v>
          </cell>
        </row>
        <row r="1166">
          <cell r="G1166">
            <v>8475</v>
          </cell>
          <cell r="H1166" t="str">
            <v>PLATINA METALICA</v>
          </cell>
          <cell r="I1166" t="str">
            <v>KG</v>
          </cell>
          <cell r="J1166">
            <v>5950</v>
          </cell>
        </row>
        <row r="1167">
          <cell r="G1167">
            <v>8476</v>
          </cell>
          <cell r="H1167" t="str">
            <v>MALLA ESLABONADA CALIBRE 10.5 - HUECO DE 2" x 2"</v>
          </cell>
          <cell r="I1167" t="str">
            <v>M2</v>
          </cell>
          <cell r="J1167">
            <v>22551</v>
          </cell>
        </row>
        <row r="1168">
          <cell r="G1168">
            <v>8478</v>
          </cell>
          <cell r="H1168" t="str">
            <v>TEJA DE ZINC 800 x 2438</v>
          </cell>
          <cell r="I1168" t="str">
            <v>UN</v>
          </cell>
          <cell r="J1168">
            <v>23900</v>
          </cell>
        </row>
        <row r="1169">
          <cell r="G1169">
            <v>8479</v>
          </cell>
          <cell r="H1169" t="str">
            <v>AMARRAS - Abrazadera Plastico De 8 Pulg. (200mm) Con Argolla</v>
          </cell>
          <cell r="I1169" t="str">
            <v>UN</v>
          </cell>
          <cell r="J1169">
            <v>112</v>
          </cell>
        </row>
        <row r="1170">
          <cell r="G1170">
            <v>8480</v>
          </cell>
          <cell r="H1170" t="str">
            <v>LIJA</v>
          </cell>
          <cell r="I1170" t="str">
            <v>UN</v>
          </cell>
          <cell r="J1170">
            <v>1090</v>
          </cell>
        </row>
        <row r="1171">
          <cell r="G1171">
            <v>8481</v>
          </cell>
          <cell r="H1171" t="str">
            <v>PINTURA BASE ACEITE</v>
          </cell>
          <cell r="I1171" t="str">
            <v>GLN</v>
          </cell>
          <cell r="J1171">
            <v>80000</v>
          </cell>
        </row>
        <row r="1172">
          <cell r="G1172">
            <v>8482</v>
          </cell>
          <cell r="H1172" t="str">
            <v>PINTURA EN VINILO TIPO 1</v>
          </cell>
          <cell r="I1172" t="str">
            <v>GLN</v>
          </cell>
          <cell r="J1172">
            <v>55000</v>
          </cell>
        </row>
        <row r="1173">
          <cell r="G1173">
            <v>8483</v>
          </cell>
          <cell r="H1173" t="str">
            <v>TANQUE DE AGUA 500 Lts</v>
          </cell>
          <cell r="I1173" t="str">
            <v>UN</v>
          </cell>
          <cell r="J1173">
            <v>169900</v>
          </cell>
        </row>
        <row r="1174">
          <cell r="G1174">
            <v>8486</v>
          </cell>
          <cell r="H1174" t="str">
            <v>TRONZADORA - POTENCIA DE 2120 A 2560 W</v>
          </cell>
          <cell r="I1174" t="str">
            <v>DIA</v>
          </cell>
          <cell r="J1174">
            <v>20468</v>
          </cell>
        </row>
        <row r="1175">
          <cell r="G1175">
            <v>8500</v>
          </cell>
          <cell r="H1175" t="str">
            <v>TUBERIA CONDUIT METALICA EMT D= 4"</v>
          </cell>
          <cell r="I1175" t="str">
            <v>ML</v>
          </cell>
          <cell r="J1175">
            <v>121094</v>
          </cell>
        </row>
        <row r="1176">
          <cell r="G1176">
            <v>8501</v>
          </cell>
          <cell r="H1176" t="str">
            <v>COMPRESIÓN TRIAXIAL EN CONDICIÓN CU, CONSOLIDADO - NO DRENADO SOBRE SUELOS (3 PUNTOS). Norma técnica: INV E 153-13 ASTM D4767 - 11.</v>
          </cell>
          <cell r="I1176" t="str">
            <v>UN</v>
          </cell>
          <cell r="J1176">
            <v>1198449</v>
          </cell>
        </row>
        <row r="1177">
          <cell r="G1177">
            <v>8502</v>
          </cell>
          <cell r="H1177" t="str">
            <v>CANASTILLA PASAJUNTAS</v>
          </cell>
          <cell r="I1177" t="str">
            <v>KG</v>
          </cell>
          <cell r="J1177">
            <v>6723</v>
          </cell>
        </row>
        <row r="1178">
          <cell r="G1178">
            <v>8506</v>
          </cell>
          <cell r="H1178" t="str">
            <v>PINTURA ACRÍLICA BASE SOLVENTE AMARILLO / BLANCO PARA DEMARCACION - PINTUTRAFICO</v>
          </cell>
          <cell r="I1178" t="str">
            <v>GLN</v>
          </cell>
          <cell r="J1178">
            <v>112000</v>
          </cell>
        </row>
        <row r="1179">
          <cell r="G1179">
            <v>8508</v>
          </cell>
          <cell r="H1179" t="str">
            <v>PINTURA ACRÍLICA BASE SOLVENTE AZUL / ROJO PARA DEMARCACION - PINTURA PARA TRAFICO</v>
          </cell>
          <cell r="I1179" t="str">
            <v>GLN</v>
          </cell>
          <cell r="J1179">
            <v>112000</v>
          </cell>
        </row>
        <row r="1180">
          <cell r="G1180">
            <v>8509</v>
          </cell>
          <cell r="H1180" t="str">
            <v>IMPRIMANTE NEGRO MATE - ACRILICO BASE SOLVENTE - PINTURA PARA TRAFICO</v>
          </cell>
          <cell r="I1180" t="str">
            <v>GLN</v>
          </cell>
          <cell r="J1180">
            <v>112000</v>
          </cell>
        </row>
        <row r="1181">
          <cell r="G1181">
            <v>8511</v>
          </cell>
          <cell r="H1181" t="str">
            <v>PINTURA ACRÍLICA BASE SOLVENTE AMARILLO / BLANCO PARA DEMARCACION - TERTRAFICO</v>
          </cell>
          <cell r="I1181" t="str">
            <v>GLN</v>
          </cell>
          <cell r="J1181">
            <v>112000</v>
          </cell>
        </row>
        <row r="1182">
          <cell r="G1182">
            <v>8515</v>
          </cell>
          <cell r="H1182" t="str">
            <v>AGENTE DESENCOFRANTE</v>
          </cell>
          <cell r="I1182" t="str">
            <v>KG</v>
          </cell>
          <cell r="J1182">
            <v>10537</v>
          </cell>
        </row>
        <row r="1183">
          <cell r="G1183">
            <v>8516</v>
          </cell>
          <cell r="H1183" t="str">
            <v>FORMALETA PARA CONCRETOS - MADERA (ESTRUCTURAS ENTERRADAS - UN (1) USO)</v>
          </cell>
          <cell r="I1183" t="str">
            <v>M2</v>
          </cell>
          <cell r="J1183">
            <v>34722</v>
          </cell>
        </row>
        <row r="1184">
          <cell r="G1184">
            <v>8520</v>
          </cell>
          <cell r="H1184" t="str">
            <v>FORMALETA METÁLICA (CONCRETO HIDRÁULICO)</v>
          </cell>
          <cell r="I1184" t="str">
            <v>M2/DIA</v>
          </cell>
          <cell r="J1184">
            <v>1059</v>
          </cell>
        </row>
        <row r="1185">
          <cell r="G1185">
            <v>8522</v>
          </cell>
          <cell r="H1185" t="str">
            <v>ICOPOR D-12 20 MM (LAMINA) DE 1.0m x 1.0m</v>
          </cell>
          <cell r="I1185" t="str">
            <v>M2</v>
          </cell>
          <cell r="J1185">
            <v>4289</v>
          </cell>
        </row>
        <row r="1186">
          <cell r="G1186">
            <v>8524</v>
          </cell>
          <cell r="H1186" t="str">
            <v>SELLADO DE JUNTAS (300 CC). Masilla elástica sellante de un componente, con base en poliuretano, con proceso de curado en presencia de humedad del ambiente. Norma ASTM C-920.</v>
          </cell>
          <cell r="I1186" t="str">
            <v>UN</v>
          </cell>
          <cell r="J1186">
            <v>36111</v>
          </cell>
        </row>
        <row r="1187">
          <cell r="G1187">
            <v>8525</v>
          </cell>
          <cell r="H1187" t="str">
            <v>GEOMEMBRANA HDPE 30MIL (0.75MM) PARA SEPARACION SUBRASANTE/CAPAS GRANULARES (INCLUYE SUMINISTRO E INSTALACIÓN)</v>
          </cell>
          <cell r="I1187" t="str">
            <v>M2</v>
          </cell>
          <cell r="J1187">
            <v>13090</v>
          </cell>
        </row>
        <row r="1188">
          <cell r="G1188">
            <v>8529</v>
          </cell>
          <cell r="H1188" t="str">
            <v>ANTICORROSIVO PHCL</v>
          </cell>
          <cell r="I1188" t="str">
            <v>GLN</v>
          </cell>
          <cell r="J1188">
            <v>60000</v>
          </cell>
        </row>
        <row r="1189">
          <cell r="G1189">
            <v>8530</v>
          </cell>
          <cell r="H1189" t="str">
            <v>FUNDENTE (PARA SOLDADURA) 60 gr.</v>
          </cell>
          <cell r="I1189" t="str">
            <v>UN</v>
          </cell>
          <cell r="J1189">
            <v>6800</v>
          </cell>
        </row>
        <row r="1190">
          <cell r="G1190">
            <v>8531</v>
          </cell>
          <cell r="H1190" t="str">
            <v>DISOLVENTE THINER</v>
          </cell>
          <cell r="I1190" t="str">
            <v>GLN</v>
          </cell>
          <cell r="J1190">
            <v>19000</v>
          </cell>
        </row>
        <row r="1191">
          <cell r="G1191">
            <v>8539</v>
          </cell>
          <cell r="H1191" t="str">
            <v>BLOQUE PERFORADO 15X20X40</v>
          </cell>
          <cell r="I1191" t="str">
            <v>UN</v>
          </cell>
          <cell r="J1191">
            <v>3700</v>
          </cell>
        </row>
        <row r="1192">
          <cell r="G1192">
            <v>8555</v>
          </cell>
          <cell r="H1192" t="str">
            <v>LIJA DE AGUA 150 SUPER</v>
          </cell>
          <cell r="I1192" t="str">
            <v>UN</v>
          </cell>
          <cell r="J1192">
            <v>1008</v>
          </cell>
        </row>
        <row r="1193">
          <cell r="G1193">
            <v>8560</v>
          </cell>
          <cell r="H1193" t="str">
            <v xml:space="preserve">CURVA IMC D=1" </v>
          </cell>
          <cell r="I1193" t="str">
            <v>UN</v>
          </cell>
          <cell r="J1193">
            <v>10114</v>
          </cell>
        </row>
        <row r="1194">
          <cell r="G1194">
            <v>8565</v>
          </cell>
          <cell r="H1194" t="str">
            <v>ALAMBRON 40  1/4 PULG LISO</v>
          </cell>
          <cell r="I1194" t="str">
            <v>KG</v>
          </cell>
          <cell r="J1194">
            <v>6069</v>
          </cell>
        </row>
        <row r="1195">
          <cell r="G1195">
            <v>8566</v>
          </cell>
          <cell r="H1195" t="str">
            <v>VARILLA DILATACIÓN ALUMINIO</v>
          </cell>
          <cell r="I1195" t="str">
            <v>ML</v>
          </cell>
          <cell r="J1195">
            <v>1590</v>
          </cell>
        </row>
        <row r="1196">
          <cell r="G1196">
            <v>8567</v>
          </cell>
          <cell r="H1196" t="str">
            <v>BALDOSA EN GRANO PULIDO TIPO 1 Y TIPO 2 (30X30)</v>
          </cell>
          <cell r="I1196" t="str">
            <v>M2</v>
          </cell>
          <cell r="J1196">
            <v>53115</v>
          </cell>
        </row>
        <row r="1197">
          <cell r="G1197">
            <v>8570</v>
          </cell>
          <cell r="H1197" t="str">
            <v>GRANITO (MEZCLA)</v>
          </cell>
          <cell r="I1197" t="str">
            <v>BULTO</v>
          </cell>
          <cell r="J1197">
            <v>22868</v>
          </cell>
        </row>
        <row r="1198">
          <cell r="G1198">
            <v>8576</v>
          </cell>
          <cell r="H1198" t="str">
            <v>PEGANTE PARA PISOS DE CAUCHO SINTÉTICO</v>
          </cell>
          <cell r="I1198" t="str">
            <v>GLN</v>
          </cell>
          <cell r="J1198">
            <v>81900</v>
          </cell>
        </row>
        <row r="1199">
          <cell r="G1199">
            <v>8577</v>
          </cell>
          <cell r="H1199" t="str">
            <v>TUBERIA PVC SANITARIA 3"</v>
          </cell>
          <cell r="I1199" t="str">
            <v>ML</v>
          </cell>
          <cell r="J1199">
            <v>22586</v>
          </cell>
        </row>
        <row r="1200">
          <cell r="G1200">
            <v>8578</v>
          </cell>
          <cell r="H1200" t="str">
            <v>CODO 90°-1/4 CxC PVC SANITARIA D= 2"</v>
          </cell>
          <cell r="I1200" t="str">
            <v>UN</v>
          </cell>
          <cell r="J1200">
            <v>4031</v>
          </cell>
        </row>
        <row r="1201">
          <cell r="G1201">
            <v>8579</v>
          </cell>
          <cell r="H1201" t="str">
            <v>CODO 90°-1/4 CxC PVC SANITARIA D=4"</v>
          </cell>
          <cell r="I1201" t="str">
            <v>UN</v>
          </cell>
          <cell r="J1201">
            <v>16235</v>
          </cell>
        </row>
        <row r="1202">
          <cell r="G1202">
            <v>8584</v>
          </cell>
          <cell r="H1202" t="str">
            <v>TUBERIA PVC SANITARIA 8"</v>
          </cell>
          <cell r="I1202" t="str">
            <v>ML</v>
          </cell>
          <cell r="J1202">
            <v>119913</v>
          </cell>
        </row>
        <row r="1203">
          <cell r="G1203">
            <v>8586</v>
          </cell>
          <cell r="H1203" t="str">
            <v>TUBERÍA VENTILACIÓN PVC 3"</v>
          </cell>
          <cell r="I1203" t="str">
            <v>ML</v>
          </cell>
          <cell r="J1203">
            <v>13221</v>
          </cell>
        </row>
        <row r="1204">
          <cell r="G1204">
            <v>8588</v>
          </cell>
          <cell r="H1204" t="str">
            <v>TUBERIA PVC PRESIÓN 1" RDE 21</v>
          </cell>
          <cell r="I1204" t="str">
            <v>ML</v>
          </cell>
          <cell r="J1204">
            <v>5871</v>
          </cell>
        </row>
        <row r="1205">
          <cell r="G1205">
            <v>8634</v>
          </cell>
          <cell r="H1205" t="str">
            <v>LAVAMANOS INSTITUCIONAL</v>
          </cell>
          <cell r="I1205" t="str">
            <v>UN</v>
          </cell>
          <cell r="J1205">
            <v>172172</v>
          </cell>
        </row>
        <row r="1206">
          <cell r="G1206">
            <v>8635</v>
          </cell>
          <cell r="H1206" t="str">
            <v>ACOPLE 1/2 PARA AGUA POTABLE</v>
          </cell>
          <cell r="I1206" t="str">
            <v>UN</v>
          </cell>
          <cell r="J1206">
            <v>2637</v>
          </cell>
        </row>
        <row r="1207">
          <cell r="G1207">
            <v>8636</v>
          </cell>
          <cell r="H1207" t="str">
            <v>CEMENTO BLANCO</v>
          </cell>
          <cell r="I1207" t="str">
            <v>KG</v>
          </cell>
          <cell r="J1207">
            <v>1108</v>
          </cell>
        </row>
        <row r="1208">
          <cell r="G1208">
            <v>8644</v>
          </cell>
          <cell r="H1208" t="str">
            <v>LAVAMANOS SOBREPONER</v>
          </cell>
          <cell r="I1208" t="str">
            <v>UN</v>
          </cell>
          <cell r="J1208">
            <v>138637</v>
          </cell>
        </row>
        <row r="1209">
          <cell r="G1209">
            <v>8645</v>
          </cell>
          <cell r="H1209" t="str">
            <v>LAVAMANOS DE COLGAR PARA PERSONAS CON MOVILIDAD REDUCIDA</v>
          </cell>
          <cell r="I1209" t="str">
            <v>UN</v>
          </cell>
          <cell r="J1209">
            <v>422900</v>
          </cell>
        </row>
        <row r="1210">
          <cell r="G1210">
            <v>8654</v>
          </cell>
          <cell r="H1210" t="str">
            <v>ACERO FIGURADO No.2  (1/4") F`y = 60000 PSI</v>
          </cell>
          <cell r="I1210" t="str">
            <v>KG</v>
          </cell>
          <cell r="J1210">
            <v>4582</v>
          </cell>
        </row>
        <row r="1211">
          <cell r="G1211">
            <v>8666</v>
          </cell>
          <cell r="H1211" t="str">
            <v>CABLE CU ENCAUCHETADO 3X16 AWG</v>
          </cell>
          <cell r="I1211" t="str">
            <v>ML</v>
          </cell>
          <cell r="J1211">
            <v>3987</v>
          </cell>
        </row>
        <row r="1212">
          <cell r="G1212">
            <v>8672</v>
          </cell>
          <cell r="H1212" t="str">
            <v>CAJA GALVANIZADA 4X4 CUMPLE NORMA RETIE</v>
          </cell>
          <cell r="I1212" t="str">
            <v>UN</v>
          </cell>
          <cell r="J1212">
            <v>3569</v>
          </cell>
        </row>
        <row r="1213">
          <cell r="G1213">
            <v>8674</v>
          </cell>
          <cell r="H1213" t="str">
            <v>TOMACORRIENTE CON CONEXIÓN A TIERRA, MONOFÁSICO DOBLE, 15 A</v>
          </cell>
          <cell r="I1213" t="str">
            <v>UN</v>
          </cell>
          <cell r="J1213">
            <v>4522</v>
          </cell>
        </row>
        <row r="1214">
          <cell r="G1214">
            <v>8675</v>
          </cell>
          <cell r="H1214" t="str">
            <v>TOMACORRIENTE CON PROTECCIÓN DE FALLA A TIERRA (GFCI)</v>
          </cell>
          <cell r="I1214" t="str">
            <v>UN</v>
          </cell>
          <cell r="J1214">
            <v>28451</v>
          </cell>
        </row>
        <row r="1215">
          <cell r="G1215">
            <v>8676</v>
          </cell>
          <cell r="H1215" t="str">
            <v>TOMACORRIENTE CON CONEXIÓN A TIERRA, BIFÁSICOS, DOS POLOS, 3 HILOS, 20 A</v>
          </cell>
          <cell r="I1215" t="str">
            <v>UN</v>
          </cell>
          <cell r="J1215">
            <v>11000</v>
          </cell>
        </row>
        <row r="1216">
          <cell r="G1216">
            <v>8679</v>
          </cell>
          <cell r="H1216" t="str">
            <v>TUBO CONDUIT METALICA EMT D=1" (3M)</v>
          </cell>
          <cell r="I1216" t="str">
            <v>UN</v>
          </cell>
          <cell r="J1216">
            <v>53194</v>
          </cell>
        </row>
        <row r="1217">
          <cell r="G1217">
            <v>8688</v>
          </cell>
          <cell r="H1217" t="str">
            <v>OTROS MATERIALES Y ACCESORIOS</v>
          </cell>
          <cell r="I1217" t="str">
            <v>GLB</v>
          </cell>
          <cell r="J1217">
            <v>1000</v>
          </cell>
        </row>
        <row r="1218">
          <cell r="G1218">
            <v>8689</v>
          </cell>
          <cell r="H1218" t="str">
            <v>TARIFA JORNAL - PERSONAL DE OBRA - TECNICO SOLDADOR (INCLUYE FACTOR DE PRESTACIONES)</v>
          </cell>
          <cell r="I1218" t="str">
            <v>JR</v>
          </cell>
          <cell r="J1218">
            <v>106000</v>
          </cell>
        </row>
        <row r="1219">
          <cell r="G1219">
            <v>8690</v>
          </cell>
          <cell r="H1219" t="str">
            <v>TARIFA JORNAL - PERSONAL DE OBRA - TÉCNICO (SOLDADOR 1 A) (INCLUYE FACTOR DE PRESTACIONES)</v>
          </cell>
          <cell r="I1219" t="str">
            <v>JR</v>
          </cell>
          <cell r="J1219">
            <v>106000</v>
          </cell>
        </row>
        <row r="1220">
          <cell r="G1220">
            <v>8694</v>
          </cell>
          <cell r="H1220" t="str">
            <v>CABLE DE COBRE AISLADO No.10</v>
          </cell>
          <cell r="I1220" t="str">
            <v>ML</v>
          </cell>
          <cell r="J1220">
            <v>3819</v>
          </cell>
        </row>
        <row r="1221">
          <cell r="G1221">
            <v>8695</v>
          </cell>
          <cell r="H1221" t="str">
            <v>CABLE DE COBRE AISLADO No.8</v>
          </cell>
          <cell r="I1221" t="str">
            <v>ML</v>
          </cell>
          <cell r="J1221">
            <v>6059</v>
          </cell>
        </row>
        <row r="1222">
          <cell r="G1222">
            <v>8696</v>
          </cell>
          <cell r="H1222" t="str">
            <v>CABLE DE COBRE AISLADO No.6</v>
          </cell>
          <cell r="I1222" t="str">
            <v>ML</v>
          </cell>
          <cell r="J1222">
            <v>9297</v>
          </cell>
        </row>
        <row r="1223">
          <cell r="G1223">
            <v>8698</v>
          </cell>
          <cell r="H1223" t="str">
            <v>CABLE DE COBRE AISLADO No.4</v>
          </cell>
          <cell r="I1223" t="str">
            <v>ML</v>
          </cell>
          <cell r="J1223">
            <v>14637</v>
          </cell>
        </row>
        <row r="1224">
          <cell r="G1224">
            <v>8699</v>
          </cell>
          <cell r="H1224" t="str">
            <v>CABLE DE COBRE AISLADO No.2</v>
          </cell>
          <cell r="I1224" t="str">
            <v>ML</v>
          </cell>
          <cell r="J1224">
            <v>22491</v>
          </cell>
        </row>
        <row r="1225">
          <cell r="G1225">
            <v>8700</v>
          </cell>
          <cell r="H1225" t="str">
            <v>CABLE No. 2/0 AWG THHN-600V COBRE</v>
          </cell>
          <cell r="I1225" t="str">
            <v>ML</v>
          </cell>
          <cell r="J1225">
            <v>43804</v>
          </cell>
        </row>
        <row r="1226">
          <cell r="G1226">
            <v>8706</v>
          </cell>
          <cell r="H1226" t="str">
            <v>CURVA CONDUIT GALVANIZADA IMC 3/4"</v>
          </cell>
          <cell r="I1226" t="str">
            <v>UN</v>
          </cell>
          <cell r="J1226">
            <v>6084</v>
          </cell>
        </row>
        <row r="1227">
          <cell r="G1227">
            <v>8708</v>
          </cell>
          <cell r="H1227" t="str">
            <v>CURVA CONDUIT GALVANIZADA IMC 2"</v>
          </cell>
          <cell r="I1227" t="str">
            <v>UN</v>
          </cell>
          <cell r="J1227">
            <v>33046</v>
          </cell>
        </row>
        <row r="1228">
          <cell r="G1228">
            <v>8710</v>
          </cell>
          <cell r="H1228" t="str">
            <v>CURVA  EMT D= 3"</v>
          </cell>
          <cell r="I1228" t="str">
            <v>UN</v>
          </cell>
          <cell r="J1228">
            <v>61727</v>
          </cell>
        </row>
        <row r="1229">
          <cell r="G1229">
            <v>8712</v>
          </cell>
          <cell r="H1229" t="str">
            <v>UNIÓN EMT D= 3"</v>
          </cell>
          <cell r="I1229" t="str">
            <v>UN</v>
          </cell>
          <cell r="J1229">
            <v>24731</v>
          </cell>
        </row>
        <row r="1230">
          <cell r="G1230">
            <v>8721</v>
          </cell>
          <cell r="H1230" t="str">
            <v>CABLE COBRE 4/0 AWG 600V 90° C THHN/THWN</v>
          </cell>
          <cell r="I1230" t="str">
            <v>ML</v>
          </cell>
          <cell r="J1230">
            <v>62356</v>
          </cell>
        </row>
        <row r="1231">
          <cell r="G1231">
            <v>8722</v>
          </cell>
          <cell r="H1231" t="str">
            <v>CABLE DE COBRE AISLADO 8 AWG 600V 90° C THHN/THWN</v>
          </cell>
          <cell r="I1231" t="str">
            <v>ML</v>
          </cell>
          <cell r="J1231">
            <v>5737</v>
          </cell>
        </row>
        <row r="1232">
          <cell r="G1232">
            <v>8729</v>
          </cell>
          <cell r="H1232" t="str">
            <v>CURVA  EMT D= 1 1/4"</v>
          </cell>
          <cell r="I1232" t="str">
            <v>UN</v>
          </cell>
          <cell r="J1232">
            <v>5904</v>
          </cell>
        </row>
        <row r="1233">
          <cell r="G1233">
            <v>8731</v>
          </cell>
          <cell r="H1233" t="str">
            <v>UNIÓN EMT D= 1 1/4"</v>
          </cell>
          <cell r="I1233" t="str">
            <v>UN</v>
          </cell>
          <cell r="J1233">
            <v>3744</v>
          </cell>
        </row>
        <row r="1234">
          <cell r="G1234">
            <v>8732</v>
          </cell>
          <cell r="H1234" t="str">
            <v>CURVA  EMT D= 2"</v>
          </cell>
          <cell r="I1234" t="str">
            <v>UN</v>
          </cell>
          <cell r="J1234">
            <v>13900</v>
          </cell>
        </row>
        <row r="1235">
          <cell r="G1235">
            <v>8734</v>
          </cell>
          <cell r="H1235" t="str">
            <v>UNIÓN EMT D= 2"</v>
          </cell>
          <cell r="I1235" t="str">
            <v>UN</v>
          </cell>
          <cell r="J1235">
            <v>6300</v>
          </cell>
        </row>
        <row r="1236">
          <cell r="G1236">
            <v>8737</v>
          </cell>
          <cell r="H1236" t="str">
            <v>CABLE NO.1/0 AWG 15 KV 133% XLPE</v>
          </cell>
          <cell r="I1236" t="str">
            <v>ML</v>
          </cell>
          <cell r="J1236">
            <v>63200</v>
          </cell>
        </row>
        <row r="1237">
          <cell r="G1237">
            <v>8738</v>
          </cell>
          <cell r="H1237" t="str">
            <v>CABLE COBRE DESNUDO No. 2 AWG</v>
          </cell>
          <cell r="I1237" t="str">
            <v>ML</v>
          </cell>
          <cell r="J1237">
            <v>19159</v>
          </cell>
        </row>
        <row r="1238">
          <cell r="G1238">
            <v>8742</v>
          </cell>
          <cell r="H1238" t="str">
            <v>DUCTO ELÉCTRICO TELEFÓNICO TDP PVC 4"</v>
          </cell>
          <cell r="I1238" t="str">
            <v>ML</v>
          </cell>
          <cell r="J1238">
            <v>23150</v>
          </cell>
        </row>
        <row r="1239">
          <cell r="G1239">
            <v>8743</v>
          </cell>
          <cell r="H1239" t="str">
            <v>CURVA PVC 4"</v>
          </cell>
          <cell r="I1239" t="str">
            <v>UN</v>
          </cell>
          <cell r="J1239">
            <v>35280</v>
          </cell>
        </row>
        <row r="1240">
          <cell r="G1240">
            <v>8746</v>
          </cell>
          <cell r="H1240" t="str">
            <v>CABLE NO.2/0 AWG 15 KV 133% XLPE</v>
          </cell>
          <cell r="I1240" t="str">
            <v>ML</v>
          </cell>
          <cell r="J1240">
            <v>45698</v>
          </cell>
        </row>
        <row r="1241">
          <cell r="G1241">
            <v>8749</v>
          </cell>
          <cell r="H1241" t="str">
            <v>CABLE DE COBRE AISLADO THWN/THHN NO. 500 MCM</v>
          </cell>
          <cell r="I1241" t="str">
            <v>ML</v>
          </cell>
          <cell r="J1241">
            <v>172010</v>
          </cell>
        </row>
        <row r="1242">
          <cell r="G1242">
            <v>8750</v>
          </cell>
          <cell r="H1242" t="str">
            <v>TUBO PVC 4" DB TIPO PESADO</v>
          </cell>
          <cell r="I1242" t="str">
            <v>ML</v>
          </cell>
          <cell r="J1242">
            <v>34029</v>
          </cell>
        </row>
        <row r="1243">
          <cell r="G1243">
            <v>8752</v>
          </cell>
          <cell r="H1243" t="str">
            <v>TUBO PVC DB 6"</v>
          </cell>
          <cell r="I1243" t="str">
            <v>ML</v>
          </cell>
          <cell r="J1243">
            <v>70974</v>
          </cell>
        </row>
        <row r="1244">
          <cell r="G1244">
            <v>8760</v>
          </cell>
          <cell r="H1244" t="str">
            <v>CABLE ALUMINIO AISLADO NO.1/0</v>
          </cell>
          <cell r="I1244" t="str">
            <v>ML</v>
          </cell>
          <cell r="J1244">
            <v>8330</v>
          </cell>
        </row>
        <row r="1245">
          <cell r="G1245">
            <v>8768</v>
          </cell>
          <cell r="H1245" t="str">
            <v>CABLE COBRE DESNUDO NO.2/0 AWG</v>
          </cell>
          <cell r="I1245" t="str">
            <v>ML</v>
          </cell>
          <cell r="J1245">
            <v>42095</v>
          </cell>
        </row>
        <row r="1246">
          <cell r="G1246">
            <v>8770</v>
          </cell>
          <cell r="H1246" t="str">
            <v>SOLDADURA CABLE-VARILLA 1/0 - SOLDADOR 1/0 AWG 600V 105°C 170 A</v>
          </cell>
          <cell r="I1246" t="str">
            <v>UN</v>
          </cell>
          <cell r="J1246">
            <v>61476</v>
          </cell>
        </row>
        <row r="1247">
          <cell r="G1247">
            <v>8771</v>
          </cell>
          <cell r="H1247" t="str">
            <v>TERMINAL 1 HUECO AWG 2/0</v>
          </cell>
          <cell r="I1247" t="str">
            <v>UN</v>
          </cell>
          <cell r="J1247">
            <v>3516</v>
          </cell>
        </row>
        <row r="1248">
          <cell r="G1248">
            <v>8774</v>
          </cell>
          <cell r="H1248" t="str">
            <v>ADAPTADOR TERMINAL PVC 3/4"</v>
          </cell>
          <cell r="I1248" t="str">
            <v>UN</v>
          </cell>
          <cell r="J1248">
            <v>234</v>
          </cell>
        </row>
        <row r="1249">
          <cell r="G1249">
            <v>8777</v>
          </cell>
          <cell r="H1249" t="str">
            <v>CABLE UTP CATEGORIA 6A</v>
          </cell>
          <cell r="I1249" t="str">
            <v>ML</v>
          </cell>
          <cell r="J1249">
            <v>2956</v>
          </cell>
        </row>
        <row r="1250">
          <cell r="G1250">
            <v>8779</v>
          </cell>
          <cell r="H1250" t="str">
            <v>CAJA GALVANIZADA 2400</v>
          </cell>
          <cell r="I1250" t="str">
            <v>UN</v>
          </cell>
          <cell r="J1250">
            <v>2950</v>
          </cell>
        </row>
        <row r="1251">
          <cell r="G1251">
            <v>8789</v>
          </cell>
          <cell r="H1251" t="str">
            <v>INTERVINIL PRO DRYWALL</v>
          </cell>
          <cell r="I1251" t="str">
            <v>GLN</v>
          </cell>
          <cell r="J1251">
            <v>15660</v>
          </cell>
        </row>
        <row r="1252">
          <cell r="G1252">
            <v>8790</v>
          </cell>
          <cell r="H1252" t="str">
            <v>VIDRIO TEMPLADO DE 10MM</v>
          </cell>
          <cell r="I1252" t="str">
            <v>M2</v>
          </cell>
          <cell r="J1252">
            <v>187695</v>
          </cell>
        </row>
        <row r="1253">
          <cell r="G1253">
            <v>8794</v>
          </cell>
          <cell r="H1253" t="str">
            <v>VIDRIO TEMPLADO DE 6MM</v>
          </cell>
          <cell r="I1253" t="str">
            <v>M2</v>
          </cell>
          <cell r="J1253">
            <v>89250</v>
          </cell>
        </row>
        <row r="1254">
          <cell r="G1254">
            <v>8844</v>
          </cell>
          <cell r="H1254" t="str">
            <v>ELECTROSOLDADOR - DE 350 A 515 AMPERIOS EN UN CICLO DE TRABAJO DEL 60%</v>
          </cell>
          <cell r="I1254" t="str">
            <v>HR</v>
          </cell>
          <cell r="J1254">
            <v>4862</v>
          </cell>
        </row>
        <row r="1255">
          <cell r="G1255">
            <v>8845</v>
          </cell>
          <cell r="H1255" t="str">
            <v>TARIFA JORNAL - PERSONAL DE OBRA - TÉCNICO (INCLUYE FACTOR DE PRESTACIONES)</v>
          </cell>
          <cell r="I1255" t="str">
            <v>JR</v>
          </cell>
          <cell r="J1255">
            <v>106000</v>
          </cell>
        </row>
        <row r="1256">
          <cell r="G1256">
            <v>8846</v>
          </cell>
          <cell r="H1256" t="str">
            <v>BLOQUE CANALIZADOR AMARILLO - SEPARADOR TIPO TRANSMILENIO. NO INCLUYE ELEMENTOS DE ANCLAJE</v>
          </cell>
          <cell r="I1256" t="str">
            <v>UN</v>
          </cell>
          <cell r="J1256">
            <v>124950</v>
          </cell>
        </row>
        <row r="1257">
          <cell r="G1257">
            <v>8854</v>
          </cell>
          <cell r="H1257" t="str">
            <v>SEMAFORO (3x200) LENTES DE POLICARBONATO DE 8" BICICLETA LUCES. SISTEMA ILUMINACION A LEDS COMPATIBILIDAD C800/900 PARA FIJACION A MASTIL. INCL ELEMENTOS DE FIJACION</v>
          </cell>
          <cell r="I1257" t="str">
            <v>UN</v>
          </cell>
          <cell r="J1257">
            <v>3993436</v>
          </cell>
        </row>
        <row r="1258">
          <cell r="G1258">
            <v>8855</v>
          </cell>
          <cell r="H1258" t="str">
            <v>ADAPTADOR TERMINAL EMT 1"</v>
          </cell>
          <cell r="I1258" t="str">
            <v>UN</v>
          </cell>
          <cell r="J1258">
            <v>2012</v>
          </cell>
        </row>
        <row r="1259">
          <cell r="G1259">
            <v>8856</v>
          </cell>
          <cell r="H1259" t="str">
            <v>ADAPTADOR TERMINAL EMT 3/4"</v>
          </cell>
          <cell r="I1259" t="str">
            <v>UN</v>
          </cell>
          <cell r="J1259">
            <v>1438</v>
          </cell>
        </row>
        <row r="1260">
          <cell r="G1260">
            <v>8858</v>
          </cell>
          <cell r="H1260" t="str">
            <v>CABLE COAXIAL RG-6</v>
          </cell>
          <cell r="I1260" t="str">
            <v>ML</v>
          </cell>
          <cell r="J1260">
            <v>833</v>
          </cell>
        </row>
        <row r="1261">
          <cell r="G1261">
            <v>8859</v>
          </cell>
          <cell r="H1261" t="str">
            <v>CABLE CU THHN No. 4 DESNUDO</v>
          </cell>
          <cell r="I1261" t="str">
            <v>ML</v>
          </cell>
          <cell r="J1261">
            <v>10591</v>
          </cell>
        </row>
        <row r="1262">
          <cell r="G1262">
            <v>8860</v>
          </cell>
          <cell r="H1262" t="str">
            <v>CABLE FLEXIBLE OXIGENO 2x14</v>
          </cell>
          <cell r="I1262" t="str">
            <v>ML</v>
          </cell>
          <cell r="J1262">
            <v>2626</v>
          </cell>
        </row>
        <row r="1263">
          <cell r="G1263">
            <v>8861</v>
          </cell>
          <cell r="H1263" t="str">
            <v>CABLE UPT VOZ Y DATOS CAT 6</v>
          </cell>
          <cell r="I1263" t="str">
            <v>ML</v>
          </cell>
          <cell r="J1263">
            <v>2712</v>
          </cell>
        </row>
        <row r="1264">
          <cell r="G1264">
            <v>8862</v>
          </cell>
          <cell r="H1264" t="str">
            <v>CABLE UPT CAT 6 PARA EXTERIORES</v>
          </cell>
          <cell r="I1264" t="str">
            <v>ML</v>
          </cell>
          <cell r="J1264">
            <v>3332</v>
          </cell>
        </row>
        <row r="1265">
          <cell r="G1265">
            <v>8865</v>
          </cell>
          <cell r="H1265" t="str">
            <v>CAJA METALICA PARA CUATRO (4) MEDIDORES</v>
          </cell>
          <cell r="I1265" t="str">
            <v>UN</v>
          </cell>
          <cell r="J1265">
            <v>492115</v>
          </cell>
        </row>
        <row r="1266">
          <cell r="G1266">
            <v>8866</v>
          </cell>
          <cell r="H1266" t="str">
            <v>CAJA RADWEL CONDULETA 2 x 4"</v>
          </cell>
          <cell r="I1266" t="str">
            <v>UN</v>
          </cell>
          <cell r="J1266">
            <v>12193</v>
          </cell>
        </row>
        <row r="1267">
          <cell r="G1267">
            <v>8867</v>
          </cell>
          <cell r="H1267" t="str">
            <v>CAPACETE IMC DE 3"</v>
          </cell>
          <cell r="I1267" t="str">
            <v>UN</v>
          </cell>
          <cell r="J1267">
            <v>39443</v>
          </cell>
        </row>
        <row r="1268">
          <cell r="G1268">
            <v>8868</v>
          </cell>
          <cell r="H1268" t="str">
            <v>CONDUCTORES COBRE No. 1/0 AWG/THHN 600V</v>
          </cell>
          <cell r="I1268" t="str">
            <v>ML</v>
          </cell>
          <cell r="J1268">
            <v>36671</v>
          </cell>
        </row>
        <row r="1269">
          <cell r="G1269">
            <v>8869</v>
          </cell>
          <cell r="H1269" t="str">
            <v>CONDUCTOR COBRE No. 2 AWT/THHN 600V</v>
          </cell>
          <cell r="I1269" t="str">
            <v>ML</v>
          </cell>
          <cell r="J1269">
            <v>22491</v>
          </cell>
        </row>
        <row r="1270">
          <cell r="G1270">
            <v>8870</v>
          </cell>
          <cell r="H1270" t="str">
            <v>CURVA CONDUIT EMT 1"</v>
          </cell>
          <cell r="I1270" t="str">
            <v>UN</v>
          </cell>
          <cell r="J1270">
            <v>2737</v>
          </cell>
        </row>
        <row r="1271">
          <cell r="G1271">
            <v>8871</v>
          </cell>
          <cell r="H1271" t="str">
            <v>CURVA CONDUIT EMT 3/4"</v>
          </cell>
          <cell r="I1271" t="str">
            <v>UN</v>
          </cell>
          <cell r="J1271">
            <v>1549</v>
          </cell>
        </row>
        <row r="1272">
          <cell r="G1272">
            <v>8872</v>
          </cell>
          <cell r="H1272" t="str">
            <v>CURVA GRAN RADIO DUCTO PVC  EB DE 3"</v>
          </cell>
          <cell r="I1272" t="str">
            <v>UN</v>
          </cell>
          <cell r="J1272">
            <v>15388</v>
          </cell>
        </row>
        <row r="1273">
          <cell r="G1273">
            <v>8873</v>
          </cell>
          <cell r="H1273" t="str">
            <v>FAVIGEL</v>
          </cell>
          <cell r="I1273" t="str">
            <v>KG</v>
          </cell>
          <cell r="J1273">
            <v>5699</v>
          </cell>
        </row>
        <row r="1274">
          <cell r="G1274">
            <v>8874</v>
          </cell>
          <cell r="H1274" t="str">
            <v>MEDIDOR DE ENERGIA MONOFASICO</v>
          </cell>
          <cell r="I1274" t="str">
            <v>UN</v>
          </cell>
          <cell r="J1274">
            <v>55596</v>
          </cell>
        </row>
        <row r="1275">
          <cell r="G1275">
            <v>8875</v>
          </cell>
          <cell r="H1275" t="str">
            <v>MEDIDOR DE ENERGIA TRIFASICO 20-80 AMP</v>
          </cell>
          <cell r="I1275" t="str">
            <v>UN</v>
          </cell>
          <cell r="J1275">
            <v>195885</v>
          </cell>
        </row>
        <row r="1276">
          <cell r="G1276">
            <v>8876</v>
          </cell>
          <cell r="H1276" t="str">
            <v>SOLDADURA EXOTERMICA 115 Gr</v>
          </cell>
          <cell r="I1276" t="str">
            <v>UN</v>
          </cell>
          <cell r="J1276">
            <v>15500</v>
          </cell>
        </row>
        <row r="1277">
          <cell r="G1277">
            <v>8877</v>
          </cell>
          <cell r="H1277" t="str">
            <v>TOMA DOBLE VOZ Y DATOS CAT 6</v>
          </cell>
          <cell r="I1277" t="str">
            <v>UN</v>
          </cell>
          <cell r="J1277">
            <v>30359</v>
          </cell>
        </row>
        <row r="1278">
          <cell r="G1278">
            <v>8880</v>
          </cell>
          <cell r="H1278" t="str">
            <v>TUBERIA CONDUIT METALICA IMC D= 4"</v>
          </cell>
          <cell r="I1278" t="str">
            <v>ML</v>
          </cell>
          <cell r="J1278">
            <v>159583</v>
          </cell>
        </row>
        <row r="1279">
          <cell r="G1279">
            <v>8883</v>
          </cell>
          <cell r="H1279" t="str">
            <v>UNION CONDUIT EMT DE 1"</v>
          </cell>
          <cell r="I1279" t="str">
            <v>UN</v>
          </cell>
          <cell r="J1279">
            <v>1902</v>
          </cell>
        </row>
        <row r="1280">
          <cell r="G1280">
            <v>8884</v>
          </cell>
          <cell r="H1280" t="str">
            <v>UNION CONDUIT EMT DE 3/4"</v>
          </cell>
          <cell r="I1280" t="str">
            <v>UN</v>
          </cell>
          <cell r="J1280">
            <v>1150</v>
          </cell>
        </row>
        <row r="1281">
          <cell r="G1281">
            <v>8885</v>
          </cell>
          <cell r="H1281" t="str">
            <v>SOLDADURA EXOTERMICA CAP No. 90 gr</v>
          </cell>
          <cell r="I1281" t="str">
            <v>UN</v>
          </cell>
          <cell r="J1281">
            <v>12650</v>
          </cell>
        </row>
        <row r="1282">
          <cell r="G1282">
            <v>8892</v>
          </cell>
          <cell r="H1282" t="str">
            <v>ESTACIÓN 10 - BANCA ABDOMINALES BAJO - ADULTOS MAYORES. DISEÑO IDRD. SUMINISTRO E INSTALACION</v>
          </cell>
          <cell r="I1282" t="str">
            <v>UN</v>
          </cell>
          <cell r="J1282">
            <v>2082500</v>
          </cell>
        </row>
        <row r="1283">
          <cell r="G1283">
            <v>8893</v>
          </cell>
          <cell r="H1283" t="str">
            <v>JUEGO BALANCIN - IDRD - NIÑOS (1-5 AÑOS) SUMINISTRO E INSTALACION</v>
          </cell>
          <cell r="I1283" t="str">
            <v>UN</v>
          </cell>
          <cell r="J1283">
            <v>1666000</v>
          </cell>
        </row>
        <row r="1284">
          <cell r="G1284">
            <v>8894</v>
          </cell>
          <cell r="H1284" t="str">
            <v>DOTACION BARRA ADULTOS/MAYORES - DISEÑO IDRD (SUMINISTRO E INSTALACION</v>
          </cell>
          <cell r="I1284" t="str">
            <v>UN</v>
          </cell>
          <cell r="J1284">
            <v>1904000</v>
          </cell>
        </row>
        <row r="1285">
          <cell r="G1285">
            <v>8895</v>
          </cell>
          <cell r="H1285" t="str">
            <v>DOTACION CAMINADOR ADULTOS/MAYORES - DISEÑO IDRD - SUMINISTRO E INSTALACION</v>
          </cell>
          <cell r="I1285" t="str">
            <v>UN</v>
          </cell>
          <cell r="J1285">
            <v>2380000</v>
          </cell>
        </row>
        <row r="1286">
          <cell r="G1286">
            <v>8897</v>
          </cell>
          <cell r="H1286" t="str">
            <v>DOTACION GIRO DE CADERA PARA ADULTOS - SEGUN ESPECIFICACION IDRD - SUMINISTRO E INSTALACION</v>
          </cell>
          <cell r="I1286" t="str">
            <v>UN</v>
          </cell>
          <cell r="J1286">
            <v>2380000</v>
          </cell>
        </row>
        <row r="1287">
          <cell r="G1287">
            <v>8907</v>
          </cell>
          <cell r="H1287" t="str">
            <v>GEODREN CON TUBERIA CIRCULAR 160mm H= 1.0m</v>
          </cell>
          <cell r="I1287" t="str">
            <v>ML</v>
          </cell>
          <cell r="J1287">
            <v>93879</v>
          </cell>
        </row>
        <row r="1288">
          <cell r="G1288">
            <v>8908</v>
          </cell>
          <cell r="H1288" t="str">
            <v>GEODREN CON TUBERIA CIRCULAR 200mm  H= 1.0m</v>
          </cell>
          <cell r="I1288" t="str">
            <v>ML</v>
          </cell>
          <cell r="J1288">
            <v>132520</v>
          </cell>
        </row>
        <row r="1289">
          <cell r="G1289">
            <v>8911</v>
          </cell>
          <cell r="H1289" t="str">
            <v>TARIFA JORNAL - PERSONAL DE OBRA - OPERADOR EQUIPO DE SEÑALIZACIÓN HORARIO NOCTURNO (INCLUYE FACTOR DE PRESTACIONES)</v>
          </cell>
          <cell r="I1289" t="str">
            <v>JR</v>
          </cell>
          <cell r="J1289">
            <v>120925</v>
          </cell>
        </row>
        <row r="1290">
          <cell r="G1290">
            <v>8913</v>
          </cell>
          <cell r="H1290" t="str">
            <v>BOLSACRETO REF. 1101 ANCHO= 1.20m  LONGITUD= 2.40m  CAPACIDAD 1.0m3</v>
          </cell>
          <cell r="I1290" t="str">
            <v>UN</v>
          </cell>
          <cell r="J1290">
            <v>29319</v>
          </cell>
        </row>
        <row r="1291">
          <cell r="G1291">
            <v>8928</v>
          </cell>
          <cell r="H1291" t="str">
            <v>TUBERIA PVC U.M. NORMA NTC 382 D= 14" RD 21</v>
          </cell>
          <cell r="I1291" t="str">
            <v>ML</v>
          </cell>
          <cell r="J1291">
            <v>510495</v>
          </cell>
        </row>
        <row r="1292">
          <cell r="G1292">
            <v>8929</v>
          </cell>
          <cell r="H1292" t="str">
            <v>UNION GIBAULT HD PARA AC CL.25  D= 14" (350mm)</v>
          </cell>
          <cell r="I1292" t="str">
            <v>UN</v>
          </cell>
          <cell r="J1292">
            <v>1153860</v>
          </cell>
        </row>
        <row r="1293">
          <cell r="G1293">
            <v>8930</v>
          </cell>
          <cell r="H1293" t="str">
            <v>UNION DE CONSTRUCCION Y REPARACION PARA PVC  D= 14"</v>
          </cell>
          <cell r="I1293" t="str">
            <v>UN</v>
          </cell>
          <cell r="J1293">
            <v>1889219</v>
          </cell>
        </row>
        <row r="1294">
          <cell r="G1294">
            <v>8931</v>
          </cell>
          <cell r="H1294" t="str">
            <v>UNION DE TRANSICION PVC-AC  CL.25  D= 14"</v>
          </cell>
          <cell r="I1294" t="str">
            <v>UN</v>
          </cell>
          <cell r="J1294">
            <v>1810273</v>
          </cell>
        </row>
        <row r="1295">
          <cell r="G1295">
            <v>8932</v>
          </cell>
          <cell r="H1295" t="str">
            <v>REDUCCION CONCENTRICA HD E.L.  4" x 2"  (100x50mm)</v>
          </cell>
          <cell r="I1295" t="str">
            <v>UN</v>
          </cell>
          <cell r="J1295">
            <v>146370</v>
          </cell>
        </row>
        <row r="1296">
          <cell r="G1296">
            <v>8933</v>
          </cell>
          <cell r="H1296" t="str">
            <v>REDUCCION CONCENTRICA HD E.L.  14" x 12"  (350x300mm)</v>
          </cell>
          <cell r="I1296" t="str">
            <v>UN</v>
          </cell>
          <cell r="J1296">
            <v>2148612</v>
          </cell>
        </row>
        <row r="1297">
          <cell r="G1297">
            <v>8938</v>
          </cell>
          <cell r="H1297" t="str">
            <v>CAJA GALVANIZADA 5800 CL. 20</v>
          </cell>
          <cell r="I1297" t="str">
            <v>UN</v>
          </cell>
          <cell r="J1297">
            <v>1866</v>
          </cell>
        </row>
        <row r="1298">
          <cell r="G1298">
            <v>8939</v>
          </cell>
          <cell r="H1298" t="str">
            <v>CABLE POLARIZADO 2 x 14"</v>
          </cell>
          <cell r="I1298" t="str">
            <v>ML</v>
          </cell>
          <cell r="J1298">
            <v>2261</v>
          </cell>
        </row>
        <row r="1299">
          <cell r="G1299">
            <v>8941</v>
          </cell>
          <cell r="H1299" t="str">
            <v>TABLERO BIFASICO DE 18 CIRCUITOS CON PUERTA</v>
          </cell>
          <cell r="I1299" t="str">
            <v>UN</v>
          </cell>
          <cell r="J1299">
            <v>157076</v>
          </cell>
        </row>
        <row r="1300">
          <cell r="G1300">
            <v>8942</v>
          </cell>
          <cell r="H1300" t="str">
            <v>CABLE C XLPE 4/0 AWG 15 KV ALUMINIO IL 100% CINTA</v>
          </cell>
          <cell r="I1300" t="str">
            <v>ML</v>
          </cell>
          <cell r="J1300">
            <v>52370</v>
          </cell>
        </row>
        <row r="1301">
          <cell r="G1301">
            <v>8968</v>
          </cell>
          <cell r="H1301" t="str">
            <v>TRANSPORTE DE POSTES AP/LA</v>
          </cell>
          <cell r="I1301" t="str">
            <v>GLB</v>
          </cell>
          <cell r="J1301">
            <v>1000</v>
          </cell>
        </row>
        <row r="1302">
          <cell r="G1302">
            <v>8969</v>
          </cell>
          <cell r="H1302" t="str">
            <v>MOVILIZACIÓN, MONTAJE Y DESMONTAJE PILOTEADORA</v>
          </cell>
          <cell r="I1302" t="str">
            <v>GLB</v>
          </cell>
          <cell r="J1302">
            <v>1000</v>
          </cell>
        </row>
        <row r="1303">
          <cell r="G1303">
            <v>8970</v>
          </cell>
          <cell r="H1303" t="str">
            <v>TRANSPORTE TUBERIA GRP</v>
          </cell>
          <cell r="I1303" t="str">
            <v>GLB</v>
          </cell>
          <cell r="J1303">
            <v>1000</v>
          </cell>
        </row>
        <row r="1304">
          <cell r="G1304">
            <v>8971</v>
          </cell>
          <cell r="H1304" t="str">
            <v>TRANSPORTE ACOPLE GRP</v>
          </cell>
          <cell r="I1304" t="str">
            <v>GLB</v>
          </cell>
          <cell r="J1304">
            <v>1000</v>
          </cell>
        </row>
        <row r="1305">
          <cell r="G1305">
            <v>8972</v>
          </cell>
          <cell r="H1305" t="str">
            <v>CONCRETO TREMIE 4000 PSI  28 MPa (280 Kg/cm2)</v>
          </cell>
          <cell r="I1305" t="str">
            <v>M3</v>
          </cell>
          <cell r="J1305">
            <v>560880</v>
          </cell>
        </row>
        <row r="1306">
          <cell r="G1306">
            <v>8973</v>
          </cell>
          <cell r="H1306" t="str">
            <v>SOLDADURA 7018 x 3/32</v>
          </cell>
          <cell r="I1306" t="str">
            <v>KG</v>
          </cell>
          <cell r="J1306">
            <v>16738</v>
          </cell>
        </row>
        <row r="1307">
          <cell r="G1307">
            <v>8975</v>
          </cell>
          <cell r="H1307" t="str">
            <v>TUBERÍA ESTRUCTURAL METÁLICO RECTANGULAR DE 6mt (50mm x 25mm) ESPESOR 2mm (TUBERIA DE 2" x 1" CAL. 18)</v>
          </cell>
          <cell r="I1307" t="str">
            <v>ML</v>
          </cell>
          <cell r="J1307">
            <v>9282</v>
          </cell>
        </row>
        <row r="1308">
          <cell r="G1308">
            <v>8978</v>
          </cell>
          <cell r="H1308" t="str">
            <v>GALVANIZADO EN CALIENTE</v>
          </cell>
          <cell r="I1308" t="str">
            <v>KG</v>
          </cell>
          <cell r="J1308">
            <v>2440</v>
          </cell>
        </row>
        <row r="1309">
          <cell r="G1309">
            <v>8979</v>
          </cell>
          <cell r="H1309" t="str">
            <v>OXIGENO</v>
          </cell>
          <cell r="I1309" t="str">
            <v>M3</v>
          </cell>
          <cell r="J1309">
            <v>14837</v>
          </cell>
        </row>
        <row r="1310">
          <cell r="G1310">
            <v>8981</v>
          </cell>
          <cell r="H1310" t="str">
            <v>LAMINA HR A-36</v>
          </cell>
          <cell r="I1310" t="str">
            <v>KG</v>
          </cell>
          <cell r="J1310">
            <v>5920</v>
          </cell>
        </row>
        <row r="1311">
          <cell r="G1311">
            <v>8983</v>
          </cell>
          <cell r="H1311" t="str">
            <v>PERFIL IPE - ASTM A572 GR. 50</v>
          </cell>
          <cell r="I1311" t="str">
            <v>KG</v>
          </cell>
          <cell r="J1311">
            <v>7854</v>
          </cell>
        </row>
        <row r="1312">
          <cell r="G1312">
            <v>8984</v>
          </cell>
          <cell r="H1312" t="str">
            <v>PERFILES C</v>
          </cell>
          <cell r="I1312" t="str">
            <v>KG</v>
          </cell>
          <cell r="J1312">
            <v>7021</v>
          </cell>
        </row>
        <row r="1313">
          <cell r="G1313">
            <v>8985</v>
          </cell>
          <cell r="H1313" t="str">
            <v>BREAKER ENCHUFABLE 1x50A</v>
          </cell>
          <cell r="I1313" t="str">
            <v>UN</v>
          </cell>
          <cell r="J1313">
            <v>13516</v>
          </cell>
        </row>
        <row r="1314">
          <cell r="G1314">
            <v>8986</v>
          </cell>
          <cell r="H1314" t="str">
            <v>BREAKER ENCHUFABLE 1x15A</v>
          </cell>
          <cell r="I1314" t="str">
            <v>UN</v>
          </cell>
          <cell r="J1314">
            <v>11280</v>
          </cell>
        </row>
        <row r="1315">
          <cell r="G1315">
            <v>8987</v>
          </cell>
          <cell r="H1315" t="str">
            <v>BREAKER ENCHUFABLE 2X15A</v>
          </cell>
          <cell r="I1315" t="str">
            <v>UN</v>
          </cell>
          <cell r="J1315">
            <v>24990</v>
          </cell>
        </row>
        <row r="1316">
          <cell r="G1316">
            <v>8988</v>
          </cell>
          <cell r="H1316" t="str">
            <v>BREAKER ENCHUFABLE 1X30A</v>
          </cell>
          <cell r="I1316" t="str">
            <v>UN</v>
          </cell>
          <cell r="J1316">
            <v>11032</v>
          </cell>
        </row>
        <row r="1317">
          <cell r="G1317">
            <v>8990</v>
          </cell>
          <cell r="H1317" t="str">
            <v>BREAKER ENCHUFABLE 3X60A</v>
          </cell>
          <cell r="I1317" t="str">
            <v>UN</v>
          </cell>
          <cell r="J1317">
            <v>83866</v>
          </cell>
        </row>
        <row r="1318">
          <cell r="G1318">
            <v>8993</v>
          </cell>
          <cell r="H1318" t="str">
            <v>CAJA PARA 4 MEDIDORES TRIFASICA 81cm x 75cm x 18cm</v>
          </cell>
          <cell r="I1318" t="str">
            <v>UN</v>
          </cell>
          <cell r="J1318">
            <v>492115</v>
          </cell>
        </row>
        <row r="1319">
          <cell r="G1319">
            <v>8994</v>
          </cell>
          <cell r="H1319" t="str">
            <v>CLAVIJA 10A</v>
          </cell>
          <cell r="I1319" t="str">
            <v>UN</v>
          </cell>
          <cell r="J1319">
            <v>1711</v>
          </cell>
        </row>
        <row r="1320">
          <cell r="G1320">
            <v>8995</v>
          </cell>
          <cell r="H1320" t="str">
            <v>CURVA EMT 1 1/2"</v>
          </cell>
          <cell r="I1320" t="str">
            <v>UN</v>
          </cell>
          <cell r="J1320">
            <v>6545</v>
          </cell>
        </row>
        <row r="1321">
          <cell r="G1321">
            <v>8996</v>
          </cell>
          <cell r="H1321" t="str">
            <v>TABLERO TRIFASICO 18 CIRCUITOS CON ESPACIO PARA TOTALIZADOR</v>
          </cell>
          <cell r="I1321" t="str">
            <v>UN</v>
          </cell>
          <cell r="J1321">
            <v>251090</v>
          </cell>
        </row>
        <row r="1322">
          <cell r="G1322">
            <v>8997</v>
          </cell>
          <cell r="H1322" t="str">
            <v>TABLERO MONOFASICO CON ESPACIO PARA 6 CIRCUITOS</v>
          </cell>
          <cell r="I1322" t="str">
            <v>UN</v>
          </cell>
          <cell r="J1322">
            <v>40460</v>
          </cell>
        </row>
        <row r="1323">
          <cell r="G1323">
            <v>9000</v>
          </cell>
          <cell r="H1323" t="str">
            <v>TOTALIZADOR INDUSTRIAL DE 30A</v>
          </cell>
          <cell r="I1323" t="str">
            <v>UN</v>
          </cell>
          <cell r="J1323">
            <v>119000</v>
          </cell>
        </row>
        <row r="1324">
          <cell r="G1324">
            <v>9001</v>
          </cell>
          <cell r="H1324" t="str">
            <v>TOTALIZADOR INDUSTRIAL DE 3x80A</v>
          </cell>
          <cell r="I1324" t="str">
            <v>UN</v>
          </cell>
          <cell r="J1324">
            <v>119000</v>
          </cell>
        </row>
        <row r="1325">
          <cell r="G1325">
            <v>9003</v>
          </cell>
          <cell r="H1325" t="str">
            <v>UNION EMT 1 1/2"</v>
          </cell>
          <cell r="I1325" t="str">
            <v>UN</v>
          </cell>
          <cell r="J1325">
            <v>4648</v>
          </cell>
        </row>
        <row r="1326">
          <cell r="G1326">
            <v>9004</v>
          </cell>
          <cell r="H1326" t="str">
            <v>TUBO EN CONCRETO ALTA RESISTENCIA D= 8"</v>
          </cell>
          <cell r="I1326" t="str">
            <v>ML</v>
          </cell>
          <cell r="J1326">
            <v>218860</v>
          </cell>
        </row>
        <row r="1327">
          <cell r="G1327">
            <v>9005</v>
          </cell>
          <cell r="H1327" t="str">
            <v>TUBERIA CONCRETO DE ALTA RESISTENCIA D= 16"</v>
          </cell>
          <cell r="I1327" t="str">
            <v>ML</v>
          </cell>
          <cell r="J1327">
            <v>468593</v>
          </cell>
        </row>
        <row r="1328">
          <cell r="G1328">
            <v>9006</v>
          </cell>
          <cell r="H1328" t="str">
            <v>TUBO EN CONCRETO ALTA RESISTENCIA D= 18"</v>
          </cell>
          <cell r="I1328" t="str">
            <v>ML</v>
          </cell>
          <cell r="J1328">
            <v>581771</v>
          </cell>
        </row>
        <row r="1329">
          <cell r="G1329">
            <v>9007</v>
          </cell>
          <cell r="H1329" t="str">
            <v>TUBO EN CONCRETO ALTA RESISTENCIA D= 20"</v>
          </cell>
          <cell r="I1329" t="str">
            <v>ML</v>
          </cell>
          <cell r="J1329">
            <v>685926</v>
          </cell>
        </row>
        <row r="1330">
          <cell r="G1330">
            <v>9016</v>
          </cell>
          <cell r="H1330" t="str">
            <v>EVALUACION PARA TRATAMIENTO Y/O MANEJO SILVICULTURAL. CANTIDAD &lt;25 ARBOLES. (SEGUN RESOLUCION SDA No. 5589 DEL 30/09/2011)</v>
          </cell>
          <cell r="I1330" t="str">
            <v>UN</v>
          </cell>
          <cell r="J1330">
            <v>106720</v>
          </cell>
        </row>
        <row r="1331">
          <cell r="G1331">
            <v>9017</v>
          </cell>
          <cell r="H1331" t="str">
            <v>SEGUIMIENTO PARA TRATAMIENTO Y/O MANEJO SILVICULTURAL. CANTIDAD &lt;25 ARBOLES. (SEGUN RESOLUCION SDA No. 5589 DEL 30/09/2011)</v>
          </cell>
          <cell r="I1331" t="str">
            <v>UN</v>
          </cell>
          <cell r="J1331">
            <v>225040</v>
          </cell>
        </row>
        <row r="1332">
          <cell r="G1332">
            <v>9018</v>
          </cell>
          <cell r="H1332" t="str">
            <v>EVALUACION PARA TRATAMIENTO Y/O MANEJO SILVICULTURAL. CANTIDAD 25 - 49 ARBOLES. (SEGUN RESOLUCION SDA No. 5589 DEL 30/09/2011)</v>
          </cell>
          <cell r="I1332" t="str">
            <v>UN</v>
          </cell>
          <cell r="J1332">
            <v>146160</v>
          </cell>
        </row>
        <row r="1333">
          <cell r="G1333">
            <v>9019</v>
          </cell>
          <cell r="H1333" t="str">
            <v>SEGUIMIENTO PARA TRATAMIENTO Y/O MANEJO SILVICULTURAL. CANTIDAD 25 - 49 ARBOLES. (SEGUN RESOLUCION SDA No. 5589 DEL 30/09/2011)</v>
          </cell>
          <cell r="I1333" t="str">
            <v>UN</v>
          </cell>
          <cell r="J1333">
            <v>302760</v>
          </cell>
        </row>
        <row r="1334">
          <cell r="G1334">
            <v>9020</v>
          </cell>
          <cell r="H1334" t="str">
            <v>EVALUACION PARA TRATAMIENTO Y/O MANEJO SILVICULTURAL. CANTIDAD 50 - 99 ARBOLES. (SEGUN RESOLUCION SDA No. 5589 DEL 30/09/2011)</v>
          </cell>
          <cell r="I1334" t="str">
            <v>UN</v>
          </cell>
          <cell r="J1334">
            <v>185600</v>
          </cell>
        </row>
        <row r="1335">
          <cell r="G1335">
            <v>9021</v>
          </cell>
          <cell r="H1335" t="str">
            <v>SEGUIMIENTO PARA TRATAMIENTO Y/O MANEJO SILVICULTURAL. CANTIDAD 50 - 99 ARBOLES. (SEGUN RESOLUCION SDA No. 5589 DEL 30/09/2011)</v>
          </cell>
          <cell r="I1335" t="str">
            <v>UN</v>
          </cell>
          <cell r="J1335">
            <v>381640</v>
          </cell>
        </row>
        <row r="1336">
          <cell r="G1336">
            <v>9022</v>
          </cell>
          <cell r="H1336" t="str">
            <v>EVALUACION PARA TRATAMIENTO Y/O MANEJO SILVICULTURAL. CANTIDAD 100 - 199. (SEGUN RESOLUCION SDA No. 5589 DEL 30/09/2011)</v>
          </cell>
          <cell r="I1336" t="str">
            <v>UN</v>
          </cell>
          <cell r="J1336">
            <v>225040</v>
          </cell>
        </row>
        <row r="1337">
          <cell r="G1337">
            <v>9023</v>
          </cell>
          <cell r="H1337" t="str">
            <v>SEGUIMIENTO PARA TRATAMIENTO Y/O MANEJO SILVICULTURAL. CANTIDAD 100 - 199. (SEGUN RESOLUCION SDA No. 5589 DEL 30/09/2011)</v>
          </cell>
          <cell r="I1337" t="str">
            <v>UN</v>
          </cell>
          <cell r="J1337">
            <v>460520</v>
          </cell>
        </row>
        <row r="1338">
          <cell r="G1338">
            <v>9024</v>
          </cell>
          <cell r="H1338" t="str">
            <v>EVALUACION PARA TRATAMIENTO Y/O MANEJO SILVICULTURAL. CANTIDAD 200 - 299. (SEGUN RESOLUCION SDA No. 5589 DEL 30/09/2011)</v>
          </cell>
          <cell r="I1338" t="str">
            <v>UN</v>
          </cell>
          <cell r="J1338">
            <v>302760</v>
          </cell>
        </row>
        <row r="1339">
          <cell r="G1339">
            <v>9025</v>
          </cell>
          <cell r="H1339" t="str">
            <v>SEGUIMIENTO PARA TRATAMIENTO Y/O MANEJO SILVICULTURAL. CANTIDAD 200 - 299. (SEGUN RESOLUCION SDA No. 5589 DEL 30/09/2011)</v>
          </cell>
          <cell r="I1339" t="str">
            <v>UN</v>
          </cell>
          <cell r="J1339">
            <v>617120</v>
          </cell>
        </row>
        <row r="1340">
          <cell r="G1340">
            <v>9026</v>
          </cell>
          <cell r="H1340" t="str">
            <v>EVALUACION PARA TRATAMIENTO Y/O MANEJO SILVICULTURAL. CANTIDAD 300 - 399. (SEGUN RESOLUCION SDA No. 5589 DEL 30/09/2011)</v>
          </cell>
          <cell r="I1340" t="str">
            <v>UN</v>
          </cell>
          <cell r="J1340">
            <v>448920</v>
          </cell>
        </row>
        <row r="1341">
          <cell r="G1341">
            <v>9027</v>
          </cell>
          <cell r="H1341" t="str">
            <v>SEGUIMIENTO PARA TRATAMIENTO Y/O MANEJO SILVICULTURAL. CANTIDAD 300 - 399. (SEGUN RESOLUCION SDA No. 5589 DEL 30/09/2011)</v>
          </cell>
          <cell r="I1341" t="str">
            <v>UN</v>
          </cell>
          <cell r="J1341">
            <v>773720</v>
          </cell>
        </row>
        <row r="1342">
          <cell r="G1342">
            <v>9028</v>
          </cell>
          <cell r="H1342" t="str">
            <v>EVALUACION PARA TRATAMIENTO Y/O MANEJO SILVICULTURAL. CANTIDAD 400 - 499. (SEGUN RESOLUCION SDA No. 5589 DEL 30/09/2011)</v>
          </cell>
          <cell r="I1342" t="str">
            <v>UN</v>
          </cell>
          <cell r="J1342">
            <v>595080</v>
          </cell>
        </row>
        <row r="1343">
          <cell r="G1343">
            <v>9029</v>
          </cell>
          <cell r="H1343" t="str">
            <v>SEGUIMIENTO PARA TRATAMIENTO Y/O MANEJO SILVICULTURAL. CANTIDAD 400 - 499. (SEGUN RESOLUCION SDA No. 5589 DEL 30/09/2011)</v>
          </cell>
          <cell r="I1343" t="str">
            <v>UN</v>
          </cell>
          <cell r="J1343">
            <v>1166960</v>
          </cell>
        </row>
        <row r="1344">
          <cell r="G1344">
            <v>9030</v>
          </cell>
          <cell r="H1344" t="str">
            <v>EVALUACION PARA TRATAMIENTO Y/O MANEJO SILVICULTURAL. CANTIDAD 500 - 999 ARBOLES. (SEGUN RESOLUCION SDA No. 5589 DEL 30/09/2011)</v>
          </cell>
          <cell r="I1344" t="str">
            <v>UN</v>
          </cell>
          <cell r="J1344">
            <v>988320</v>
          </cell>
        </row>
        <row r="1345">
          <cell r="G1345">
            <v>9031</v>
          </cell>
          <cell r="H1345" t="str">
            <v>SEGUIMIENTO PARA TRATAMIENTO Y/O MANEJO SILVICULTURAL. CANTIDAD 500 - 999 ARBOLES. (SEGUN RESOLUCION SDA No. 5589 DEL 30/09/2011)</v>
          </cell>
          <cell r="I1345" t="str">
            <v>UN</v>
          </cell>
          <cell r="J1345">
            <v>2244600</v>
          </cell>
        </row>
        <row r="1346">
          <cell r="G1346">
            <v>9032</v>
          </cell>
          <cell r="H1346" t="str">
            <v>EVALUACION PARA TRATAMIENTO Y/O MANEJO SILVICULTURAL. CANTIDAD &gt;1000 ARBOLES. (SEGUN RESOLUCION SDA No. 5589 DEL 30/09/2011)</v>
          </cell>
          <cell r="I1346" t="str">
            <v>UN</v>
          </cell>
          <cell r="J1346">
            <v>1223800</v>
          </cell>
        </row>
        <row r="1347">
          <cell r="G1347">
            <v>9033</v>
          </cell>
          <cell r="H1347" t="str">
            <v>SEGUIMIENTO PARA TRATAMIENTO Y/O MANEJO SILVICULTURAL. CANTIDAD &gt;1000 ARBOLES. (SEGUN RESOLUCION SDA No. 5589 DEL 30/09/2011)</v>
          </cell>
          <cell r="I1347" t="str">
            <v>UN</v>
          </cell>
          <cell r="J1347">
            <v>2636680</v>
          </cell>
        </row>
        <row r="1348">
          <cell r="G1348">
            <v>9034</v>
          </cell>
          <cell r="H1348" t="str">
            <v>DELINEADORES TIPO A 0.77 x 0.15 x 0.10 (Incluye tornillos)</v>
          </cell>
          <cell r="I1348" t="str">
            <v>UN</v>
          </cell>
          <cell r="J1348">
            <v>134530</v>
          </cell>
        </row>
        <row r="1349">
          <cell r="G1349">
            <v>9035</v>
          </cell>
          <cell r="H1349" t="str">
            <v>DELINEADORES TIPO B 0.78 x 0.20 x 0.15 (Incluye tornillos)</v>
          </cell>
          <cell r="I1349" t="str">
            <v>UN</v>
          </cell>
          <cell r="J1349">
            <v>217175</v>
          </cell>
        </row>
        <row r="1350">
          <cell r="G1350">
            <v>9036</v>
          </cell>
          <cell r="H1350" t="str">
            <v>DELINEADORES TIPO C 0.405 x 0.15 x 0.085 (Incluye tornillos)</v>
          </cell>
          <cell r="I1350" t="str">
            <v>UN</v>
          </cell>
          <cell r="J1350">
            <v>53907</v>
          </cell>
        </row>
        <row r="1351">
          <cell r="G1351">
            <v>9037</v>
          </cell>
          <cell r="H1351" t="str">
            <v>CURVA 90° PVC 2"</v>
          </cell>
          <cell r="I1351" t="str">
            <v>UN</v>
          </cell>
          <cell r="J1351">
            <v>20706</v>
          </cell>
        </row>
        <row r="1352">
          <cell r="G1352">
            <v>9038</v>
          </cell>
          <cell r="H1352" t="str">
            <v>POSTE TIPO MASTIL T1 X (5.00 mt) EN TUBO SCH 40  GALVANIZADO Y PINTADO</v>
          </cell>
          <cell r="I1352" t="str">
            <v>UN</v>
          </cell>
          <cell r="J1352">
            <v>3036285</v>
          </cell>
        </row>
        <row r="1353">
          <cell r="G1353">
            <v>9043</v>
          </cell>
          <cell r="H1353" t="str">
            <v>GEOMALLA FORTGRID ASPHALT 75  3.8m\ FORTGRID ASPHALT 300 GEF: 3,2</v>
          </cell>
          <cell r="I1353" t="str">
            <v>M2</v>
          </cell>
          <cell r="J1353">
            <v>18159</v>
          </cell>
        </row>
        <row r="1354">
          <cell r="G1354">
            <v>9044</v>
          </cell>
          <cell r="H1354" t="str">
            <v>GEOMALLA FORTGRID ASPHALT 100  3.8m\ FORTGRID ASPHALT 700 GEF: 7,0</v>
          </cell>
          <cell r="I1354" t="str">
            <v>M2</v>
          </cell>
          <cell r="J1354">
            <v>22491</v>
          </cell>
        </row>
        <row r="1355">
          <cell r="G1355">
            <v>9048</v>
          </cell>
          <cell r="H1355" t="str">
            <v>CARTELERA CON MARCO EN ALUMINIO ANODIZADO, PAÑO COLOR GRIS CON CENEFA SUPERIOR, PUERTAS CORREDIZAS. Incl. transporte</v>
          </cell>
          <cell r="I1355" t="str">
            <v>UN</v>
          </cell>
          <cell r="J1355">
            <v>478574</v>
          </cell>
        </row>
        <row r="1356">
          <cell r="G1356">
            <v>9050</v>
          </cell>
          <cell r="H1356" t="str">
            <v>CAMARA DIGITAL COMPACTA MINIMO 16.2 MEGAPIXELES, MEMORIA DE 8 GB, VIDEO HD CON PAUSA Y ZOOM (UN)</v>
          </cell>
          <cell r="I1356" t="str">
            <v>UN</v>
          </cell>
          <cell r="J1356">
            <v>479800</v>
          </cell>
        </row>
        <row r="1357">
          <cell r="G1357">
            <v>9054</v>
          </cell>
          <cell r="H1357" t="str">
            <v>CUBIERTA SANDWICH DECK  333C, SENCILLA, EN ALUZINC Cal 24. SUM E INST. PANEL SIN TRASLAPOS LONGITUDINALES. PINTURA PLASTISOL/DURANAR 1 CARA (e=24micrones) CLIPS METALICOS OCULTOS. AISLANTE FIBRA VIDRIO 38mm</v>
          </cell>
          <cell r="I1357" t="str">
            <v>M2</v>
          </cell>
          <cell r="J1357">
            <v>319570</v>
          </cell>
        </row>
        <row r="1358">
          <cell r="G1358">
            <v>9056</v>
          </cell>
          <cell r="H1358" t="str">
            <v>CIELORASO BAFFLE EN ALUZINC LISO COLOR ALUMINIO MEDIO. INCL FIJACION CON SISTEMA DE TRABA DE PRESION A UN RIEL PORTAPANEL SECCION 25mm CON DISTANCIA CADA 100mm Y ALTUA DE 100mm</v>
          </cell>
          <cell r="I1358" t="str">
            <v>M2</v>
          </cell>
          <cell r="J1358">
            <v>646281</v>
          </cell>
        </row>
        <row r="1359">
          <cell r="G1359">
            <v>9057</v>
          </cell>
          <cell r="H1359" t="str">
            <v>CIELO 84R EN ALUZINC LISO COLOR ALUMINIO MEDIO. INCL FIJACION A LA ESTRUCTURA DEL PORTAPANEL POR MEDIO DE AMARRES CADA METRO, ANCHO DEL PANEL DE 84mm</v>
          </cell>
          <cell r="I1359" t="str">
            <v>M2</v>
          </cell>
          <cell r="J1359">
            <v>301070</v>
          </cell>
        </row>
        <row r="1360">
          <cell r="G1360">
            <v>9061</v>
          </cell>
          <cell r="H1360" t="str">
            <v>CAMISA METALICA PERDIDA e= 3/8"</v>
          </cell>
          <cell r="I1360" t="str">
            <v>M2</v>
          </cell>
          <cell r="J1360">
            <v>460104</v>
          </cell>
        </row>
        <row r="1361">
          <cell r="G1361">
            <v>9062</v>
          </cell>
          <cell r="H1361" t="str">
            <v>SEÑAL VERTICAL UNA CARA PARA CICLORUTA PARAL 3m, ÁNGULO DE 2x1/4x3m LAMINA CAL. 16 PINTADA POR UNA CARA 0.60m x 0.60m o 0.75m x 0.75m</v>
          </cell>
          <cell r="I1361" t="str">
            <v>UN</v>
          </cell>
          <cell r="J1361">
            <v>214200</v>
          </cell>
        </row>
        <row r="1362">
          <cell r="G1362">
            <v>9083</v>
          </cell>
          <cell r="H1362" t="str">
            <v>EQUIPO DE TOPOGRAFÍA. INCLUYE TRÁNSITO, NIVEL Y ELEMENTOS COMPLEMENTARIOS - DÍA</v>
          </cell>
          <cell r="I1362" t="str">
            <v>DIA</v>
          </cell>
          <cell r="J1362">
            <v>141000</v>
          </cell>
        </row>
        <row r="1363">
          <cell r="G1363">
            <v>9084</v>
          </cell>
          <cell r="H1363" t="str">
            <v>TARIFA MES - PERSONAL TÉCNICO-TECNÓLOGO EN ÁREAS DE INGENIERÍA (NO INCLUYE FACTOR DE PRESTACIONES)</v>
          </cell>
          <cell r="I1363" t="str">
            <v>MES</v>
          </cell>
          <cell r="J1363">
            <v>2966000</v>
          </cell>
        </row>
        <row r="1364">
          <cell r="G1364">
            <v>9085</v>
          </cell>
          <cell r="H1364" t="str">
            <v>TARIFA MES - PERSONAL TÉCNICO - AUXILIAR DE INGENIERÍA (NO INCLUYE FACTOR DE PRESTACIONES)</v>
          </cell>
          <cell r="I1364" t="str">
            <v>MES</v>
          </cell>
          <cell r="J1364">
            <v>2607000</v>
          </cell>
        </row>
        <row r="1365">
          <cell r="G1365">
            <v>9086</v>
          </cell>
          <cell r="H1365" t="str">
            <v>TARIFA MES - PERSONAL TÉCNICO - DIBUJANTE 1 (NO INCLUYE FACTOR DE PRESTACIONES)</v>
          </cell>
          <cell r="I1365" t="str">
            <v>MES</v>
          </cell>
          <cell r="J1365">
            <v>2734000</v>
          </cell>
        </row>
        <row r="1366">
          <cell r="G1366">
            <v>9087</v>
          </cell>
          <cell r="H1366" t="str">
            <v>TARIFA MES - PERSONAL TÉCNICO - DIBUJANTE 2 (NO INCLUYE FACTOR DE PRESTACIONES)</v>
          </cell>
          <cell r="I1366" t="str">
            <v>MES</v>
          </cell>
          <cell r="J1366">
            <v>2209000</v>
          </cell>
        </row>
        <row r="1367">
          <cell r="G1367">
            <v>9088</v>
          </cell>
          <cell r="H1367" t="str">
            <v>TARIFA MES - PERSONAL TÉCNICO - TOPÓGRAFO INSPECTOR (NO INCLUYE FACTOR DE PRESTACIONES)</v>
          </cell>
          <cell r="I1367" t="str">
            <v>MES</v>
          </cell>
          <cell r="J1367">
            <v>3092000</v>
          </cell>
        </row>
        <row r="1368">
          <cell r="G1368">
            <v>9089</v>
          </cell>
          <cell r="H1368" t="str">
            <v>TARIFA MES - PERSONAL TÉCNICO - LABORATORISTA INSPECTOR (NO INCLUYE FACTOR DE PRESTACIONES)</v>
          </cell>
          <cell r="I1368" t="str">
            <v>MES</v>
          </cell>
          <cell r="J1368">
            <v>2739000</v>
          </cell>
        </row>
        <row r="1369">
          <cell r="G1369">
            <v>9090</v>
          </cell>
          <cell r="H1369" t="str">
            <v>TARIFA MES - PERSONAL TÉCNICO - LABORATORISTA AUXILIAR (NO INCLUYE FACTOR DE PRESTACIONES)</v>
          </cell>
          <cell r="I1369" t="str">
            <v>MES</v>
          </cell>
          <cell r="J1369">
            <v>1917000</v>
          </cell>
        </row>
        <row r="1370">
          <cell r="G1370">
            <v>9091</v>
          </cell>
          <cell r="H1370" t="str">
            <v>TARIFA MES - PERSONAL TÉCNICO - OPERADOR EQUIPO PERFORACIÓN (INCLUYE FACTOR DE PRESTACIONES)</v>
          </cell>
          <cell r="I1370" t="str">
            <v>MES</v>
          </cell>
          <cell r="J1370">
            <v>3590916</v>
          </cell>
        </row>
        <row r="1371">
          <cell r="G1371">
            <v>9092</v>
          </cell>
          <cell r="H1371" t="str">
            <v>TARIFA MES - PERSONAL TÉCNICO - OPERADOR AUXILIAR DE EQUIPO (INCLUYE FACTOR DE PRESTACIONES)</v>
          </cell>
          <cell r="I1371" t="str">
            <v>MES</v>
          </cell>
          <cell r="J1371">
            <v>2613899</v>
          </cell>
        </row>
        <row r="1372">
          <cell r="G1372">
            <v>9093</v>
          </cell>
          <cell r="H1372" t="str">
            <v>TARIFA MES - PERSONAL TÉCNICO - INSPECTOR 1 (NO INCLUYE FACTOR DE PRESTACIONES)</v>
          </cell>
          <cell r="I1372" t="str">
            <v>MES</v>
          </cell>
          <cell r="J1372">
            <v>2249000</v>
          </cell>
        </row>
        <row r="1373">
          <cell r="G1373">
            <v>9094</v>
          </cell>
          <cell r="H1373" t="str">
            <v>TARIFA MES - PERSONAL TÉCNICO - INSPECTOR 2 (NO INCLUYE FACTOR DE PRESTACIONES)</v>
          </cell>
          <cell r="I1373" t="str">
            <v>MES</v>
          </cell>
          <cell r="J1373">
            <v>2025000</v>
          </cell>
        </row>
        <row r="1374">
          <cell r="G1374">
            <v>9095</v>
          </cell>
          <cell r="H1374" t="str">
            <v>TARIFA MES - PERSONAL TÉCNICO - TOPÓGRAFO AUXILIAR (NO INCLUYE FACTOR DE PRESTACIONES)</v>
          </cell>
          <cell r="I1374" t="str">
            <v>MES</v>
          </cell>
          <cell r="J1374">
            <v>2536000</v>
          </cell>
        </row>
        <row r="1375">
          <cell r="G1375">
            <v>9096</v>
          </cell>
          <cell r="H1375" t="str">
            <v>TARIFA MES - PERSONAL TÉCNICO - BATIMETRISTA INSPECTOR (NO INCLUYE FACTOR DE PRESTACIONES)</v>
          </cell>
          <cell r="I1375" t="str">
            <v>MES</v>
          </cell>
          <cell r="J1375">
            <v>3092000</v>
          </cell>
        </row>
        <row r="1376">
          <cell r="G1376">
            <v>9097</v>
          </cell>
          <cell r="H1376" t="str">
            <v>TARIFA MES - PERSONAL TÉCNICO - BATIMETRISTA AUXILIAR (NO INCLUYE FACTOR DE PRESTACIONES)</v>
          </cell>
          <cell r="I1376" t="str">
            <v>MES</v>
          </cell>
          <cell r="J1376">
            <v>2536000</v>
          </cell>
        </row>
        <row r="1377">
          <cell r="G1377">
            <v>9098</v>
          </cell>
          <cell r="H1377" t="str">
            <v>TARIFA MES - PERSONAL AUXILIAR TÉCNICO - CADENERO 1 (NO INCLUYE FACTOR DE PRESTACIONES)</v>
          </cell>
          <cell r="I1377" t="str">
            <v>MES</v>
          </cell>
          <cell r="J1377">
            <v>1917000</v>
          </cell>
        </row>
        <row r="1378">
          <cell r="G1378">
            <v>9099</v>
          </cell>
          <cell r="H1378" t="str">
            <v>TARIFA MES - PERSONAL AUXILIAR TÉCNICO - CADENERO 2 (NO INCLUYE FACTOR DE PRESTACIONES)</v>
          </cell>
          <cell r="I1378" t="str">
            <v>MES</v>
          </cell>
          <cell r="J1378">
            <v>1670000</v>
          </cell>
        </row>
        <row r="1379">
          <cell r="G1379">
            <v>9100</v>
          </cell>
          <cell r="H1379" t="str">
            <v>TARIFA MES - PERSONAL AUXILIAR TÉCNICO - CONDUCTOR O MOTORISTA (NO INCLUYE FACTOR DE PRESTACIONES)</v>
          </cell>
          <cell r="I1379" t="str">
            <v>MES</v>
          </cell>
          <cell r="J1379">
            <v>1389000</v>
          </cell>
        </row>
        <row r="1380">
          <cell r="G1380">
            <v>9101</v>
          </cell>
          <cell r="H1380" t="str">
            <v>TARIFA MES - PERSONAL DE OBRA - MAESTRO DE OBRA (NO INCLUYE FACTOR DE PRESTACIONES)</v>
          </cell>
          <cell r="I1380" t="str">
            <v>MES</v>
          </cell>
          <cell r="J1380">
            <v>3480000</v>
          </cell>
        </row>
        <row r="1381">
          <cell r="G1381">
            <v>9102</v>
          </cell>
          <cell r="H1381" t="str">
            <v>TARIFA MES - PERSONAL ADMINISTRATIVO - ADMINISTRADOR (NO INCLUYE FACTOR DE PRESTACIONES)</v>
          </cell>
          <cell r="I1381" t="str">
            <v>MES</v>
          </cell>
          <cell r="J1381">
            <v>2879000</v>
          </cell>
        </row>
        <row r="1382">
          <cell r="G1382">
            <v>9103</v>
          </cell>
          <cell r="H1382" t="str">
            <v>TARIFA MES - PERSONAL ADMINISTRATIVO - AUXILIAR ADMINISTRATIVO-ALMACENISTA (NO INCLUYE FACTOR DE PRESTACIONES)</v>
          </cell>
          <cell r="I1382" t="str">
            <v>MES</v>
          </cell>
          <cell r="J1382">
            <v>2053000</v>
          </cell>
        </row>
        <row r="1383">
          <cell r="G1383">
            <v>9104</v>
          </cell>
          <cell r="H1383" t="str">
            <v>TARIFA MES - PERSONAL ADMINISTRATIVO - SECRETARIA 1 (NO INCLUYE FACTOR DE PRESTACIONES)</v>
          </cell>
          <cell r="I1383" t="str">
            <v>MES</v>
          </cell>
          <cell r="J1383">
            <v>1670000</v>
          </cell>
        </row>
        <row r="1384">
          <cell r="G1384">
            <v>9105</v>
          </cell>
          <cell r="H1384" t="str">
            <v>TARIFA MES - PERSONAL ADMINISTRATIVO - SECRETARIA 2 (NO INCLUYE FACTOR DE PRESTACIONES)</v>
          </cell>
          <cell r="I1384" t="str">
            <v>MES</v>
          </cell>
          <cell r="J1384">
            <v>1389000</v>
          </cell>
        </row>
        <row r="1385">
          <cell r="G1385">
            <v>9107</v>
          </cell>
          <cell r="H1385" t="str">
            <v>TARIFA MES - PROFESIONAL CATEGORÍA 1 (NO INCLUYE FACTOR DE PRESTACIONES)</v>
          </cell>
          <cell r="I1385" t="str">
            <v>MES</v>
          </cell>
          <cell r="J1385">
            <v>14390000</v>
          </cell>
        </row>
        <row r="1386">
          <cell r="G1386">
            <v>9108</v>
          </cell>
          <cell r="H1386" t="str">
            <v>TARIFA MES - PROFESIONAL CATEGORÍA 2 (NO INCLUYE FACTOR DE PRESTACIONES)</v>
          </cell>
          <cell r="I1386" t="str">
            <v>MES</v>
          </cell>
          <cell r="J1386">
            <v>10967000</v>
          </cell>
        </row>
        <row r="1387">
          <cell r="G1387">
            <v>9109</v>
          </cell>
          <cell r="H1387" t="str">
            <v>TARIFA MES - PROFESIONAL CATEGORÍA 3 (NO INCLUYE FACTOR DE PRESTACIONES)</v>
          </cell>
          <cell r="I1387" t="str">
            <v>MES</v>
          </cell>
          <cell r="J1387">
            <v>9255000</v>
          </cell>
        </row>
        <row r="1388">
          <cell r="G1388">
            <v>9110</v>
          </cell>
          <cell r="H1388" t="str">
            <v>TARIFA MES - PROFESIONAL CATEGORÍA 4 (NO INCLUYE FACTOR DE PRESTACIONES)</v>
          </cell>
          <cell r="I1388" t="str">
            <v>MES</v>
          </cell>
          <cell r="J1388">
            <v>7881000</v>
          </cell>
        </row>
        <row r="1389">
          <cell r="G1389">
            <v>9111</v>
          </cell>
          <cell r="H1389" t="str">
            <v>TARIFA MES - PROFESIONAL CATEGORÍA 5 (NO INCLUYE FACTOR DE PRESTACIONES)</v>
          </cell>
          <cell r="I1389" t="str">
            <v>MES</v>
          </cell>
          <cell r="J1389">
            <v>7108000</v>
          </cell>
        </row>
        <row r="1390">
          <cell r="G1390">
            <v>9112</v>
          </cell>
          <cell r="H1390" t="str">
            <v>TARIFA MES - PROFESIONAL CATEGORÍA 6 (NO INCLUYE FACTOR DE PRESTACIONES)</v>
          </cell>
          <cell r="I1390" t="str">
            <v>MES</v>
          </cell>
          <cell r="J1390">
            <v>6339000</v>
          </cell>
        </row>
        <row r="1391">
          <cell r="G1391">
            <v>9113</v>
          </cell>
          <cell r="H1391" t="str">
            <v>TARIFA MES - PROFESIONAL CATEGORÍA 7 (NO INCLUYE FACTOR DE PRESTACIONES)</v>
          </cell>
          <cell r="I1391" t="str">
            <v>MES</v>
          </cell>
          <cell r="J1391">
            <v>4793000</v>
          </cell>
        </row>
        <row r="1392">
          <cell r="G1392">
            <v>9114</v>
          </cell>
          <cell r="H1392" t="str">
            <v>TARIFA MES - PROFESIONAL CATEGORÍA 8 (NO INCLUYE FACTOR DE PRESTACIONES)</v>
          </cell>
          <cell r="I1392" t="str">
            <v>MES</v>
          </cell>
          <cell r="J1392">
            <v>4523000</v>
          </cell>
        </row>
        <row r="1393">
          <cell r="G1393">
            <v>9115</v>
          </cell>
          <cell r="H1393" t="str">
            <v>EQUIPO DE TOPOGRAFÍA. INCLUYE TRÁNSITO, NIVEL Y ELEMENTOS COMPLEMENTARIOS - MES</v>
          </cell>
          <cell r="I1393" t="str">
            <v>MES</v>
          </cell>
          <cell r="J1393">
            <v>4103000</v>
          </cell>
        </row>
        <row r="1394">
          <cell r="G1394">
            <v>9116</v>
          </cell>
          <cell r="H1394" t="str">
            <v>EQUIPO COMPLETO DE LABORATORIO - ESTUDIOS - DÍA</v>
          </cell>
          <cell r="I1394" t="str">
            <v>DIA</v>
          </cell>
          <cell r="J1394">
            <v>221000</v>
          </cell>
        </row>
        <row r="1395">
          <cell r="G1395">
            <v>9117</v>
          </cell>
          <cell r="H1395" t="str">
            <v>EQUIPO COMPLETO DE LABORATORIO - ESTUDIOS - MES</v>
          </cell>
          <cell r="I1395" t="str">
            <v>MES</v>
          </cell>
          <cell r="J1395">
            <v>6399000</v>
          </cell>
        </row>
        <row r="1396">
          <cell r="G1396">
            <v>9118</v>
          </cell>
          <cell r="H1396" t="str">
            <v>EQUIPO COMPLETO DE LABORATORIO - INTERVENTORIAS - DÍA</v>
          </cell>
          <cell r="I1396" t="str">
            <v>DIA</v>
          </cell>
          <cell r="J1396">
            <v>382000</v>
          </cell>
        </row>
        <row r="1397">
          <cell r="G1397">
            <v>9119</v>
          </cell>
          <cell r="H1397" t="str">
            <v>EQUIPO COMPLETO DE LABORATORIO - INTERVENTORIAS - MES</v>
          </cell>
          <cell r="I1397" t="str">
            <v>MES</v>
          </cell>
          <cell r="J1397">
            <v>11312000</v>
          </cell>
        </row>
        <row r="1398">
          <cell r="G1398">
            <v>9120</v>
          </cell>
          <cell r="H1398" t="str">
            <v>EQUIPO COMPLETO DE BATIMETRIA, HIDROMETRIA O SEDIMENTOMETRIA - DÍA</v>
          </cell>
          <cell r="I1398" t="str">
            <v>DIA</v>
          </cell>
          <cell r="J1398">
            <v>273000</v>
          </cell>
        </row>
        <row r="1399">
          <cell r="G1399">
            <v>9121</v>
          </cell>
          <cell r="H1399" t="str">
            <v>EQUIPO COMPLETO DE BATIMETRIA, HIDROMETRIA O SEDIMENTOMETRIA - MES</v>
          </cell>
          <cell r="I1399" t="str">
            <v>MES</v>
          </cell>
          <cell r="J1399">
            <v>8211000</v>
          </cell>
        </row>
        <row r="1400">
          <cell r="G1400">
            <v>9122</v>
          </cell>
          <cell r="H1400" t="str">
            <v xml:space="preserve"> PLOTTER - DÍA</v>
          </cell>
          <cell r="I1400" t="str">
            <v>DIA</v>
          </cell>
          <cell r="J1400">
            <v>41675</v>
          </cell>
        </row>
        <row r="1401">
          <cell r="G1401">
            <v>9123</v>
          </cell>
          <cell r="H1401" t="str">
            <v>PLOTTER - MES</v>
          </cell>
          <cell r="I1401" t="str">
            <v>MES</v>
          </cell>
          <cell r="J1401">
            <v>1254999</v>
          </cell>
        </row>
        <row r="1402">
          <cell r="G1402">
            <v>9124</v>
          </cell>
          <cell r="H1402" t="str">
            <v>DISTANCIOMETRO  (Incluyendo tránsito y Estación Total) - Capacidad de Lectura hasta 1500m</v>
          </cell>
          <cell r="I1402" t="str">
            <v>DIA</v>
          </cell>
          <cell r="J1402">
            <v>268000</v>
          </cell>
        </row>
        <row r="1403">
          <cell r="G1403">
            <v>9125</v>
          </cell>
          <cell r="H1403" t="str">
            <v>DISTANCIOMETRO  (Incluyendo tránsito y Estación Total) - Capacidad de Lectura hasta 1500m.</v>
          </cell>
          <cell r="I1403" t="str">
            <v>MES</v>
          </cell>
          <cell r="J1403">
            <v>8016000</v>
          </cell>
        </row>
        <row r="1404">
          <cell r="G1404">
            <v>9143</v>
          </cell>
          <cell r="H1404" t="str">
            <v>TAPON HD EXTREMO LISO D= 3"</v>
          </cell>
          <cell r="I1404" t="str">
            <v>UN</v>
          </cell>
          <cell r="J1404">
            <v>58178</v>
          </cell>
        </row>
        <row r="1405">
          <cell r="G1405">
            <v>9144</v>
          </cell>
          <cell r="H1405" t="str">
            <v>PRUEBA HIDROSTÁTICA EN TUBERÍAS HASTA DE 12" TRAMOS MÁXIMO DE 500 ML</v>
          </cell>
          <cell r="I1405" t="str">
            <v>UN</v>
          </cell>
          <cell r="J1405">
            <v>654500</v>
          </cell>
        </row>
        <row r="1406">
          <cell r="G1406">
            <v>9145</v>
          </cell>
          <cell r="H1406" t="str">
            <v>DESINFECCIÓN DE TUBERÍAS HASTA DE 12", POR TRAMOS.</v>
          </cell>
          <cell r="I1406" t="str">
            <v>UN</v>
          </cell>
          <cell r="J1406">
            <v>654500</v>
          </cell>
        </row>
        <row r="1407">
          <cell r="G1407">
            <v>9146</v>
          </cell>
          <cell r="H1407" t="str">
            <v>DETECTORES DE DEMANDA VEHICULAR (CÁMARA) NO INCLUYE CABLES</v>
          </cell>
          <cell r="I1407" t="str">
            <v>UN</v>
          </cell>
          <cell r="J1407">
            <v>17062199</v>
          </cell>
        </row>
        <row r="1408">
          <cell r="G1408">
            <v>9147</v>
          </cell>
          <cell r="H1408" t="str">
            <v>DETECTORES DE DEMANDA PEATONAL (BOTONES) NO INCLUYE CABLES</v>
          </cell>
          <cell r="I1408" t="str">
            <v>UN</v>
          </cell>
          <cell r="J1408">
            <v>1913706</v>
          </cell>
        </row>
        <row r="1409">
          <cell r="G1409">
            <v>9148</v>
          </cell>
          <cell r="H1409" t="str">
            <v>TORRE DE ILUMINACIÓN. POTENCIA DE 2.4 A 3.8 KW - INCLUYE COMBUSTIBLE</v>
          </cell>
          <cell r="I1409" t="str">
            <v>MES</v>
          </cell>
          <cell r="J1409">
            <v>3511737</v>
          </cell>
        </row>
        <row r="1410">
          <cell r="G1410">
            <v>9150</v>
          </cell>
          <cell r="H1410" t="str">
            <v>CONTROLADOR C900V CON CAPACIDAD PARA 16 GRUPOS VEHICULARES O PEATONALES. (Suministro, instalación y puesta en funcionamiento). CON POSIBILIDAD DE AMPLIACIÓN HASTA 32 GRUPOS, RELOJ EN TIEMPO REAL, 32</v>
          </cell>
          <cell r="I1410" t="str">
            <v>UN</v>
          </cell>
          <cell r="J1410">
            <v>128072248</v>
          </cell>
        </row>
        <row r="1411">
          <cell r="G1411">
            <v>9151</v>
          </cell>
          <cell r="H1411" t="str">
            <v>CONTROLADOR C900V CON CAPACIDAD PARA 24 GRUPOS VEHICULARES O PEATONALES. (Suministro, instalación y puesta en funcionamiento). CON POSIBILIDAD DE AMPLIACIÓN HASTA 32 GRUPOS, RELOJ EN TIEMPO REAL, 32</v>
          </cell>
          <cell r="I1411" t="str">
            <v>UN</v>
          </cell>
          <cell r="J1411">
            <v>145471863</v>
          </cell>
        </row>
        <row r="1412">
          <cell r="G1412">
            <v>9152</v>
          </cell>
          <cell r="H1412" t="str">
            <v>CONTROLADOR C900V CON CAPACIDAD PARA 32 GRUPOS VEHICULARES O PEATONALES. (Suministro, instalación y puesta en funcionamiento). CON POSIBILIDAD DE AMPLIACIÓN HASTA 32 GRUPOS, RELOJ EN TIEMPO REAL, 32</v>
          </cell>
          <cell r="I1412" t="str">
            <v>UN</v>
          </cell>
          <cell r="J1412">
            <v>161839084</v>
          </cell>
        </row>
        <row r="1413">
          <cell r="G1413">
            <v>9159</v>
          </cell>
          <cell r="H1413" t="str">
            <v>ALQUILER ENTIBADO DESLIZANTE E2, RANGO PROFUNDIDAD DE EXCAVACIÓN: 3.0 M &lt; H &lt;= 4.8 M. INCL. ACCESORIOS Y ELEMENTOS DE FIJACIÓN</v>
          </cell>
          <cell r="I1413" t="str">
            <v>M2/MES</v>
          </cell>
          <cell r="J1413">
            <v>135660</v>
          </cell>
        </row>
        <row r="1414">
          <cell r="G1414">
            <v>9164</v>
          </cell>
          <cell r="H1414" t="str">
            <v>ALQUILER DE VEHICULO: CAMPERO, PICK-UP, CAMIONETA, CAMION O SIMILAR MAYOR A 2000cc DE CILINDRADA, MODELO 2022 A 2019. 100% DE LA TARIFA ESTABLECIDA. INCLUYE TODOS LOS COSTOS DE OPERACIÓN Y MANTENIMIENTO EXCEPTO EL SALARIO DEL CONDUCTOR.</v>
          </cell>
          <cell r="I1414" t="str">
            <v>DIA</v>
          </cell>
          <cell r="J1414">
            <v>344000</v>
          </cell>
        </row>
        <row r="1415">
          <cell r="G1415">
            <v>9165</v>
          </cell>
          <cell r="H1415" t="str">
            <v>ALQUILER DE VEHICULO: CAMPERO, PICK-UP, CAMIONETA, CAMION O SIMILAR DE 1300cc A 2000cc DE CILINDRADA, MODELO 2022 A 2019. 100% DE LA TARIFA ESTABLECIDA. INCLUYE TODOS LOS COSTOS DE OPERACIÓN Y MANTENIMIENTO EXCEPTO EL SALARIO DEL CONDUCTOR</v>
          </cell>
          <cell r="I1415" t="str">
            <v>MES</v>
          </cell>
          <cell r="J1415">
            <v>7265000</v>
          </cell>
        </row>
        <row r="1416">
          <cell r="G1416">
            <v>9166</v>
          </cell>
          <cell r="H1416" t="str">
            <v>ALQUILER DE VEHICULO: CAMPERO, PICK-UP, CAMIONETA, CAMION O SIMILAR MAYOR A 2000cc DE CILINDRADA, MODELO 2022 A 2019. 100% DE LA TARIFA ESTABLECIDA. INCLUYE TODOS LOS COSTOS DE OPERACIÓN Y MANTENIMIENTO EXCEPTO EL SALARIO DEL CONDUCTOR</v>
          </cell>
          <cell r="I1416" t="str">
            <v>MES</v>
          </cell>
          <cell r="J1416">
            <v>10378000</v>
          </cell>
        </row>
        <row r="1417">
          <cell r="G1417">
            <v>9167</v>
          </cell>
          <cell r="H1417" t="str">
            <v>ALQUILER DE VEHICULO: CAMPERO, PICK-UP, CAMIONETA, CAMION O SIMILAR CON CAPACIDAD DE CARGA DE 3 TON O MAS, MODELO 2022 A 2019. 100% DE LA TARIFA ESTABLECIDA. INCLUYE TODOS LOS COSTOS DE OPERACIÓN Y MANTENIMIENTO EXCEPTO EL SALARIO DEL CONDUCTOR.</v>
          </cell>
          <cell r="I1417" t="str">
            <v>DIA</v>
          </cell>
          <cell r="J1417">
            <v>471000</v>
          </cell>
        </row>
        <row r="1418">
          <cell r="G1418">
            <v>9168</v>
          </cell>
          <cell r="H1418" t="str">
            <v>ALQUILER DE VEHICULO: CAMPERO, PICK-UP, CAMIONETA, CAMION O SIMILAR CON CAPACIDAD DE CARGA DE 3 TON O MAS, MODELO 2022 A 2019. 100% DE LA TARIFA ESTABLECIDA. INCLUYE TODOS LOS COSTOS DE OPERACIÓN Y MANTENIMIENTO EXCEPTO EL SALARIO DEL CONDUCTOR</v>
          </cell>
          <cell r="I1418" t="str">
            <v>MES</v>
          </cell>
          <cell r="J1418">
            <v>14121000</v>
          </cell>
        </row>
        <row r="1419">
          <cell r="G1419">
            <v>9169</v>
          </cell>
          <cell r="H1419" t="str">
            <v>PALETA PARE-SIGA REGLAMENTADA</v>
          </cell>
          <cell r="I1419" t="str">
            <v>UN</v>
          </cell>
          <cell r="J1419">
            <v>29750</v>
          </cell>
        </row>
        <row r="1420">
          <cell r="G1420">
            <v>9170</v>
          </cell>
          <cell r="H1420" t="str">
            <v>ARANDELA (Kg)</v>
          </cell>
          <cell r="I1420" t="str">
            <v>KG</v>
          </cell>
          <cell r="J1420">
            <v>10484</v>
          </cell>
        </row>
        <row r="1421">
          <cell r="G1421">
            <v>9171</v>
          </cell>
          <cell r="H1421" t="str">
            <v>TORNILLO (Kg)</v>
          </cell>
          <cell r="I1421" t="str">
            <v>KG</v>
          </cell>
          <cell r="J1421">
            <v>9206</v>
          </cell>
        </row>
        <row r="1422">
          <cell r="G1422">
            <v>9172</v>
          </cell>
          <cell r="H1422" t="str">
            <v>TRANSPORTE DE EQUIPO MENOR A UNA TONELADA POR VIAJE. INCLUYE ESCOLTA</v>
          </cell>
          <cell r="I1422" t="str">
            <v>VIAJE</v>
          </cell>
          <cell r="J1422">
            <v>122376</v>
          </cell>
        </row>
        <row r="1423">
          <cell r="G1423">
            <v>9176</v>
          </cell>
          <cell r="H1423" t="str">
            <v>PLUMA GRÚA A COMBUSTIÓN - CAPACIDAD DE CARGA DE  250 A 300 KG. GUAYA DE 35m. NO INCLUYE COMBUSTIBLE</v>
          </cell>
          <cell r="I1423" t="str">
            <v>MES</v>
          </cell>
          <cell r="J1423">
            <v>510510</v>
          </cell>
        </row>
        <row r="1424">
          <cell r="G1424">
            <v>9184</v>
          </cell>
          <cell r="H1424" t="str">
            <v>SEÑAL VERTICAL GRUPO DE INFORMATIVAS TIPO RECTANGULO (60cm x 75cm)</v>
          </cell>
          <cell r="I1424" t="str">
            <v>UN</v>
          </cell>
          <cell r="J1424">
            <v>257683</v>
          </cell>
        </row>
        <row r="1425">
          <cell r="G1425">
            <v>9185</v>
          </cell>
          <cell r="H1425" t="str">
            <v>SONORIZADORES PARA INVIDENTES</v>
          </cell>
          <cell r="I1425" t="str">
            <v>UN</v>
          </cell>
          <cell r="J1425">
            <v>5726009</v>
          </cell>
        </row>
        <row r="1426">
          <cell r="G1426">
            <v>9186</v>
          </cell>
          <cell r="H1426" t="str">
            <v>TRANSFORMADOR MONOFASICO 15 KVA (TENSION PRIMARIA DE 13.200, TENSION SECUNDARIA 240/120V ABB</v>
          </cell>
          <cell r="I1426" t="str">
            <v>UN</v>
          </cell>
          <cell r="J1426">
            <v>3291842</v>
          </cell>
        </row>
        <row r="1427">
          <cell r="G1427">
            <v>9187</v>
          </cell>
          <cell r="H1427" t="str">
            <v>POSTE TIPO MÉNSULA T2 (3.50m) EN TUBO SCH 40 GALVANIZADO Y PINTADO.</v>
          </cell>
          <cell r="I1427" t="str">
            <v>UN</v>
          </cell>
          <cell r="J1427">
            <v>3993521</v>
          </cell>
        </row>
        <row r="1428">
          <cell r="G1428">
            <v>9188</v>
          </cell>
          <cell r="H1428" t="str">
            <v>POSTE TIPO MÉNSULA T2 (4.50m) EN TUBO SCH 40 GALVANIZADO Y PINTADO.</v>
          </cell>
          <cell r="I1428" t="str">
            <v>UN</v>
          </cell>
          <cell r="J1428">
            <v>4232830</v>
          </cell>
        </row>
        <row r="1429">
          <cell r="G1429">
            <v>9189</v>
          </cell>
          <cell r="H1429" t="str">
            <v>POSTE TIPO MÉNSULA T2 (6.50m) EN TUBO SCH 40 GALVANIZADO Y PINTADO.</v>
          </cell>
          <cell r="I1429" t="str">
            <v>UN</v>
          </cell>
          <cell r="J1429">
            <v>5189947</v>
          </cell>
        </row>
        <row r="1430">
          <cell r="G1430">
            <v>9190</v>
          </cell>
          <cell r="H1430" t="str">
            <v>POSTE TIPO MÉNSULA T2 (8.50m) EN TUBO SCH 40 GALVANIZADO Y PINTADO.</v>
          </cell>
          <cell r="I1430" t="str">
            <v>UN</v>
          </cell>
          <cell r="J1430">
            <v>11890004</v>
          </cell>
        </row>
        <row r="1431">
          <cell r="G1431">
            <v>9191</v>
          </cell>
          <cell r="H1431" t="str">
            <v>SEMAFORO VEHICULAR DE POLICARBONATO (3x200), LENTES DE POLICARBONATO DE 8", TRES LUCES, SISTEMA DE ILUMINACIÓN A LEDS. TIPO MENSULA.</v>
          </cell>
          <cell r="I1431" t="str">
            <v>UN</v>
          </cell>
          <cell r="J1431">
            <v>4640076</v>
          </cell>
        </row>
        <row r="1432">
          <cell r="G1432">
            <v>9192</v>
          </cell>
          <cell r="H1432" t="str">
            <v>SEMAFORO VEHICULAR DE POLICARBONATO (3x200), LENTES DE POLICARBONATO DE 8", TRES LUCES, SISTEMA DE ILUMINACIÓN A LEDS. FLECHA DE GIRO TIPO MENSULA.</v>
          </cell>
          <cell r="I1432" t="str">
            <v>UN</v>
          </cell>
          <cell r="J1432">
            <v>4473226</v>
          </cell>
        </row>
        <row r="1433">
          <cell r="G1433">
            <v>9193</v>
          </cell>
          <cell r="H1433" t="str">
            <v>SEMAFORO VEHICULAR DE POLICARBONATO (3x200), LENTES DE POLICARBONATO DE 8", TRES LUCES, SISTEMA DE ILUMINACIÓN A LEDS. FLECHA DE GIRO TIPO MASTIL.</v>
          </cell>
          <cell r="I1433" t="str">
            <v>UN</v>
          </cell>
          <cell r="J1433">
            <v>3938351</v>
          </cell>
        </row>
        <row r="1434">
          <cell r="G1434">
            <v>9194</v>
          </cell>
          <cell r="H1434" t="str">
            <v>SEMAFORO VEHICULAR DE POLICARBONATO (3x200), LENTES DE POLICARBONATO DE 8", TRES LUCES, SISTEMA DE ILUMINACIÓN A LEDS. TIPO MASTIL.</v>
          </cell>
          <cell r="I1434" t="str">
            <v>UN</v>
          </cell>
          <cell r="J1434">
            <v>40940819</v>
          </cell>
        </row>
        <row r="1435">
          <cell r="G1435">
            <v>9197</v>
          </cell>
          <cell r="H1435" t="str">
            <v>CONCRETO MR41 COLOR OCRE.</v>
          </cell>
          <cell r="I1435" t="str">
            <v>M3</v>
          </cell>
          <cell r="J1435">
            <v>803866</v>
          </cell>
        </row>
        <row r="1436">
          <cell r="G1436">
            <v>9199</v>
          </cell>
          <cell r="H1436" t="str">
            <v>CONCRETO MR41 COLOR GRIS GRAVA 1" (280 Kg/cm2)</v>
          </cell>
          <cell r="I1436" t="str">
            <v>M3</v>
          </cell>
          <cell r="J1436">
            <v>539070</v>
          </cell>
        </row>
        <row r="1437">
          <cell r="G1437">
            <v>9200</v>
          </cell>
          <cell r="H1437" t="str">
            <v>SEÑAL VERTICAL GRUPO DE PREVENTIVAS TIPO CUADRADO (75cm x 75cm)</v>
          </cell>
          <cell r="I1437" t="str">
            <v>UN</v>
          </cell>
          <cell r="J1437">
            <v>322103</v>
          </cell>
        </row>
        <row r="1438">
          <cell r="G1438">
            <v>9201</v>
          </cell>
          <cell r="H1438" t="str">
            <v>SEÑAL VERTICAL GRUPO DE PREVENTIVAS SP-40 TIPO RECTANGULO (120cm x 40cm)</v>
          </cell>
          <cell r="I1438" t="str">
            <v>UN</v>
          </cell>
          <cell r="J1438">
            <v>322103</v>
          </cell>
        </row>
        <row r="1439">
          <cell r="G1439">
            <v>9202</v>
          </cell>
          <cell r="H1439" t="str">
            <v>SEÑAL VERTICAL GRUPO DE REGLAMENTARIAS TIPO CIRCULO D= 75cm</v>
          </cell>
          <cell r="I1439" t="str">
            <v>UN</v>
          </cell>
          <cell r="J1439">
            <v>322103</v>
          </cell>
        </row>
        <row r="1440">
          <cell r="G1440">
            <v>9203</v>
          </cell>
          <cell r="H1440" t="str">
            <v>SEÑAL VERTICAL GRUPO DE REGLAMENTARIAS SR-01 TIPO OCTAGONO CON ALTURA DE 75cm</v>
          </cell>
          <cell r="I1440" t="str">
            <v>UN</v>
          </cell>
          <cell r="J1440">
            <v>322103</v>
          </cell>
        </row>
        <row r="1441">
          <cell r="G1441">
            <v>9204</v>
          </cell>
          <cell r="H1441" t="str">
            <v>SEÑAL VERTICAL GRUPO DE REGLAMENTARIAS SR-02 TIPO TRIANGULO EQUILATERO 75cm DE LADO</v>
          </cell>
          <cell r="I1441" t="str">
            <v>UN</v>
          </cell>
          <cell r="J1441">
            <v>322103</v>
          </cell>
        </row>
        <row r="1442">
          <cell r="G1442">
            <v>9209</v>
          </cell>
          <cell r="H1442" t="str">
            <v>BARRICADA METALICA TIPO IDU CON CERRADO REFLECTIVO NARANJA Y BLANCO GRADO INGENIERIA, MEDIDAS: 2.40m x 1.50m - 3 BANDEJAS DE 20cm x 2.40m. TABLERO DE DESVIO DE 60cm</v>
          </cell>
          <cell r="I1442" t="str">
            <v>UN</v>
          </cell>
          <cell r="J1442">
            <v>296335</v>
          </cell>
        </row>
        <row r="1443">
          <cell r="G1443">
            <v>9210</v>
          </cell>
          <cell r="H1443" t="str">
            <v>GRÚA REMOLQUE TIPO PLANCHÓN.  INCLUYE CONDUCTOR Y COMBUSTIBLE - INCLUYE MOVILIZACIÓN Y DESMOVILIZACIÓN</v>
          </cell>
          <cell r="I1443" t="str">
            <v>DIA</v>
          </cell>
          <cell r="J1443">
            <v>1295832</v>
          </cell>
        </row>
        <row r="1444">
          <cell r="G1444">
            <v>9211</v>
          </cell>
          <cell r="H1444" t="str">
            <v>PASACALLE  IMPRESO EN LONA BANNER (7.00m x 1.00m) INCLUYE PALOS A LOS EXTREMOS</v>
          </cell>
          <cell r="I1444" t="str">
            <v>UN</v>
          </cell>
          <cell r="J1444">
            <v>285705</v>
          </cell>
        </row>
        <row r="1445">
          <cell r="G1445">
            <v>9216</v>
          </cell>
          <cell r="H1445" t="str">
            <v>CARGA PUNTUAL EN MUESTRAS DE ROCA INTACTA. Norma técnica: ASTM D5731 - 16.</v>
          </cell>
          <cell r="I1445" t="str">
            <v>UN</v>
          </cell>
          <cell r="J1445">
            <v>107100</v>
          </cell>
        </row>
        <row r="1446">
          <cell r="G1446">
            <v>9217</v>
          </cell>
          <cell r="H1446" t="str">
            <v>MÉTODO PARA LA DETERMINACIÓN DEL ÍNDICE DE DESLEIMIENTO - DURABILIDAD DE LUTITAS Y OTRAS ROCAS DÉBILES. Norma técnica: INV E 236-13 ASTM D4644 - 16.</v>
          </cell>
          <cell r="I1446" t="str">
            <v>UN</v>
          </cell>
          <cell r="J1446">
            <v>208488</v>
          </cell>
        </row>
        <row r="1447">
          <cell r="G1447">
            <v>9219</v>
          </cell>
          <cell r="H1447" t="str">
            <v>RESISTENCIA A LA TRACCIÓN INDIRECTA DE MUESTRAS DE ROCA INTACTA. Norma técnica: ASTM D3967 - 16.</v>
          </cell>
          <cell r="I1447" t="str">
            <v>UN</v>
          </cell>
          <cell r="J1447">
            <v>95200</v>
          </cell>
        </row>
        <row r="1448">
          <cell r="G1448">
            <v>9229</v>
          </cell>
          <cell r="H1448" t="str">
            <v>JUEGO DE ARO Y TAPA EN HF PARA CAMARA T-13 Y T-14 NORMA ETB</v>
          </cell>
          <cell r="I1448" t="str">
            <v>JGO</v>
          </cell>
          <cell r="J1448">
            <v>503115</v>
          </cell>
        </row>
        <row r="1449">
          <cell r="G1449">
            <v>9247</v>
          </cell>
          <cell r="H1449" t="str">
            <v>LAMINA ALVEOLAR POLICARBONATO 6 MM</v>
          </cell>
          <cell r="I1449" t="str">
            <v>M2</v>
          </cell>
          <cell r="J1449">
            <v>42179</v>
          </cell>
        </row>
        <row r="1450">
          <cell r="G1450">
            <v>9253</v>
          </cell>
          <cell r="H1450" t="str">
            <v>EQUIPO ANDROIDE CON GPS, CAMARA Y WIFI</v>
          </cell>
          <cell r="I1450" t="str">
            <v>UN</v>
          </cell>
          <cell r="J1450">
            <v>210000</v>
          </cell>
        </row>
        <row r="1451">
          <cell r="G1451">
            <v>9254</v>
          </cell>
          <cell r="H1451" t="str">
            <v>TARIFA JORNAL - PROFESIONAL CATEGORÍA 6 (NO INCLUYE FACTOR DE PRESTACIONES)</v>
          </cell>
          <cell r="I1451" t="str">
            <v>JR</v>
          </cell>
          <cell r="J1451">
            <v>211300</v>
          </cell>
        </row>
        <row r="1452">
          <cell r="G1452">
            <v>9255</v>
          </cell>
          <cell r="H1452" t="str">
            <v>CONCRETO MR43 DE RESISTENCIA ACELERADA (7 días)</v>
          </cell>
          <cell r="I1452" t="str">
            <v>M3</v>
          </cell>
          <cell r="J1452">
            <v>612850</v>
          </cell>
        </row>
        <row r="1453">
          <cell r="G1453">
            <v>9256</v>
          </cell>
          <cell r="H1453" t="str">
            <v>TUBERIA CONCRETO REF. CL.V D=24" (60cm)</v>
          </cell>
          <cell r="I1453" t="str">
            <v>ML</v>
          </cell>
          <cell r="J1453">
            <v>756764</v>
          </cell>
        </row>
        <row r="1454">
          <cell r="G1454">
            <v>9257</v>
          </cell>
          <cell r="H1454" t="str">
            <v>TUBERIA CONCRETO REF. CL.V D=27" (70 cm)</v>
          </cell>
          <cell r="I1454" t="str">
            <v>ML</v>
          </cell>
          <cell r="J1454">
            <v>1010077</v>
          </cell>
        </row>
        <row r="1455">
          <cell r="G1455">
            <v>9259</v>
          </cell>
          <cell r="H1455" t="str">
            <v>TUBERIA CONCRETO REF. CL.V D=40´ (100 cm)</v>
          </cell>
          <cell r="I1455" t="str">
            <v>ML</v>
          </cell>
          <cell r="J1455">
            <v>1986477</v>
          </cell>
        </row>
        <row r="1456">
          <cell r="G1456">
            <v>9260</v>
          </cell>
          <cell r="H1456" t="str">
            <v>CRUZ HD  12" x 6" JH (JUNTA HIDRAULICA)</v>
          </cell>
          <cell r="I1456" t="str">
            <v>UN</v>
          </cell>
          <cell r="J1456">
            <v>2590107</v>
          </cell>
        </row>
        <row r="1457">
          <cell r="G1457">
            <v>9266</v>
          </cell>
          <cell r="H1457" t="str">
            <v>JUEGO RUEDA GIRATORIA SENCILLA - IDRD NIÑOS (1 - 5 AÑOS) SUMINISTRO E INSTALACION. SEGUN ESPECIFICACIONES IDRD</v>
          </cell>
          <cell r="I1457" t="str">
            <v>UN</v>
          </cell>
          <cell r="J1457">
            <v>4313750</v>
          </cell>
        </row>
        <row r="1458">
          <cell r="G1458">
            <v>9269</v>
          </cell>
          <cell r="H1458" t="str">
            <v>ESTRUCTURA MICROFUTBOL. SUMINISTRO E INSTALACION. SEGUN ESPECIFICACIONES IDRD</v>
          </cell>
          <cell r="I1458" t="str">
            <v>JGO</v>
          </cell>
          <cell r="J1458">
            <v>2142000</v>
          </cell>
        </row>
        <row r="1459">
          <cell r="G1459">
            <v>9270</v>
          </cell>
          <cell r="H1459" t="str">
            <v>ESTRUCTURA BALONCESTO CON TABLERO ANTIBANDALICO. SUMINISTRO E INSTALACION. SEGUN ESPECIFICACIONES IDRD</v>
          </cell>
          <cell r="I1459" t="str">
            <v>JGO</v>
          </cell>
          <cell r="J1459">
            <v>5117000</v>
          </cell>
        </row>
        <row r="1460">
          <cell r="G1460">
            <v>9271</v>
          </cell>
          <cell r="H1460" t="str">
            <v>CERRAMIENTO CONTRA IMPACTO IDRD h= 5.0m</v>
          </cell>
          <cell r="I1460" t="str">
            <v>ML</v>
          </cell>
          <cell r="J1460">
            <v>1130500</v>
          </cell>
        </row>
        <row r="1461">
          <cell r="G1461">
            <v>9275</v>
          </cell>
          <cell r="H1461" t="str">
            <v>CORTE DIRECTO EN CONDICIÓN UU, NO CONSOLIDADA - NO DRENADA (3 PUNTOS)</v>
          </cell>
          <cell r="I1461" t="str">
            <v>UN</v>
          </cell>
          <cell r="J1461">
            <v>362117</v>
          </cell>
        </row>
        <row r="1462">
          <cell r="G1462">
            <v>9276</v>
          </cell>
          <cell r="H1462" t="str">
            <v>CORTE DIRECTO EN CONDICIÓN CU, CONSOLIDADA - NO DRENADA (3 PUNTOS). Norma técnica: ASTM D6528 - 17.</v>
          </cell>
          <cell r="I1462" t="str">
            <v>UN</v>
          </cell>
          <cell r="J1462">
            <v>454580</v>
          </cell>
        </row>
        <row r="1463">
          <cell r="G1463">
            <v>9277</v>
          </cell>
          <cell r="H1463" t="str">
            <v>CORTE DIRECTO EN CONDICIÓN CD, CONSOLIDADA - DRENADA (3 PUNTOS). Norma técnica: INV E 154-13 NTC 1917-00 ASTM D3080/D3080M - 11.</v>
          </cell>
          <cell r="I1463" t="str">
            <v>UN</v>
          </cell>
          <cell r="J1463">
            <v>559300</v>
          </cell>
        </row>
        <row r="1464">
          <cell r="G1464">
            <v>9278</v>
          </cell>
          <cell r="H1464" t="str">
            <v>COMPRESIÓN TRIAXIAL UU NO CONSOLIDADO - NO DRENADO SOBRE SUELOS (3 PUNTOS). Norma técnica: INV E 153-13 ASTM D2850 - 15.</v>
          </cell>
          <cell r="I1464" t="str">
            <v>UN</v>
          </cell>
          <cell r="J1464">
            <v>750414</v>
          </cell>
        </row>
        <row r="1465">
          <cell r="G1465">
            <v>9279</v>
          </cell>
          <cell r="H1465" t="str">
            <v>DENSIDAD Y PESO UNITARIO DEL SUELO EN EL TERRENO POR EL MÉTODO DEL CONO Y ARENA. Norma técnica: INV E 161-13 NTC 1667-02 ASTM D1556 / D1556M - 15e1 .</v>
          </cell>
          <cell r="I1465" t="str">
            <v>UN</v>
          </cell>
          <cell r="J1465">
            <v>58905</v>
          </cell>
        </row>
        <row r="1466">
          <cell r="G1466">
            <v>9280</v>
          </cell>
          <cell r="H1466" t="str">
            <v>BOLSA PARA BASURA TIPO INDUSTRIAL NEGRA DE 60 x 90 Cm CALIBRE 2 (PAQUETE DE 30 UNIDADES)</v>
          </cell>
          <cell r="I1466" t="str">
            <v>UN</v>
          </cell>
          <cell r="J1466">
            <v>10042</v>
          </cell>
        </row>
        <row r="1467">
          <cell r="G1467">
            <v>9283</v>
          </cell>
          <cell r="H1467" t="str">
            <v>GUANTE CAUCHO NEGRO CORRUGADO CALIBRE 35</v>
          </cell>
          <cell r="I1467" t="str">
            <v>PAR</v>
          </cell>
          <cell r="J1467">
            <v>4641</v>
          </cell>
        </row>
        <row r="1468">
          <cell r="G1468">
            <v>9286</v>
          </cell>
          <cell r="H1468" t="str">
            <v>OVEROL EN DRILL DOS PIEZAS, CAMISA Y PANTALÓN</v>
          </cell>
          <cell r="I1468" t="str">
            <v>UN</v>
          </cell>
          <cell r="J1468">
            <v>44500</v>
          </cell>
        </row>
        <row r="1469">
          <cell r="G1469">
            <v>9287</v>
          </cell>
          <cell r="H1469" t="str">
            <v>PALA REDONDA No.  2 CON CABO</v>
          </cell>
          <cell r="I1469" t="str">
            <v>UN</v>
          </cell>
          <cell r="J1469">
            <v>19517</v>
          </cell>
        </row>
        <row r="1470">
          <cell r="G1470">
            <v>9288</v>
          </cell>
          <cell r="H1470" t="str">
            <v>BOTIQUIN PRIMEROS AUXILIOS METÁLICO DE 40cm x 27cm x 10cm, INCLUYE MEDICAMENTOS</v>
          </cell>
          <cell r="I1470" t="str">
            <v>UN</v>
          </cell>
          <cell r="J1470">
            <v>113824</v>
          </cell>
        </row>
        <row r="1471">
          <cell r="G1471">
            <v>9289</v>
          </cell>
          <cell r="H1471" t="str">
            <v>FILTRO CONTRA POLVO PARA RESPIRADORES</v>
          </cell>
          <cell r="I1471" t="str">
            <v>UN</v>
          </cell>
          <cell r="J1471">
            <v>1904</v>
          </cell>
        </row>
        <row r="1472">
          <cell r="G1472">
            <v>9290</v>
          </cell>
          <cell r="H1472" t="str">
            <v>CANECA PLÁSTICA NEGRA DE 55 GALONES CON TAPA PLANA.</v>
          </cell>
          <cell r="I1472" t="str">
            <v>UN</v>
          </cell>
          <cell r="J1472">
            <v>122000</v>
          </cell>
        </row>
        <row r="1473">
          <cell r="G1473">
            <v>9291</v>
          </cell>
          <cell r="H1473" t="str">
            <v>CUBIERTA VERDE (INCLUYE GEOTEXTIL 1800 PARA BASE, LÁMINA DE DRENAJE DE BAJA RETENCIÓN DE AGUA, GEOTEXTIL 1800 PARA RETENCIÓN DE FINOS, TAPETE TIPO CRASSULACEA EXL, TRANSPORTE Y MANO DE OBRA.</v>
          </cell>
          <cell r="I1473" t="str">
            <v>M2</v>
          </cell>
          <cell r="J1473">
            <v>370240</v>
          </cell>
        </row>
        <row r="1474">
          <cell r="G1474">
            <v>9302</v>
          </cell>
          <cell r="H1474" t="str">
            <v>CONCRETO GRAVA COMÚN 6000 PSI 44 MPa (420 Kg/cm2)</v>
          </cell>
          <cell r="I1474" t="str">
            <v>M3</v>
          </cell>
          <cell r="J1474">
            <v>585480</v>
          </cell>
        </row>
        <row r="1475">
          <cell r="G1475">
            <v>9303</v>
          </cell>
          <cell r="H1475" t="str">
            <v>TUBO EN U - SEPARADOR DE CICLORUTA SC-01 ARO. ELABORADO EN TUBO AN REDONDO DE 2 1/2" TERMINADO EN PINTURA EN POLVO RESISTENTE A LA INTEMPERIE. (INCLUYE PINTURA)</v>
          </cell>
          <cell r="I1475" t="str">
            <v>UN</v>
          </cell>
          <cell r="J1475">
            <v>202300</v>
          </cell>
        </row>
        <row r="1476">
          <cell r="G1476">
            <v>9305</v>
          </cell>
          <cell r="H1476" t="str">
            <v>POSTE DE CONCRETO H=2.50 M RECTO (SECCIÓN DE 10CM X 10CM, PARA 8 HILOS)</v>
          </cell>
          <cell r="I1476" t="str">
            <v>UN</v>
          </cell>
          <cell r="J1476">
            <v>70805</v>
          </cell>
        </row>
        <row r="1477">
          <cell r="G1477">
            <v>9306</v>
          </cell>
          <cell r="H1477" t="str">
            <v>ALAMBRE DE PUAS X 350 MTS. CAL. 12</v>
          </cell>
          <cell r="I1477" t="str">
            <v>ROLLO</v>
          </cell>
          <cell r="J1477">
            <v>160000</v>
          </cell>
        </row>
        <row r="1478">
          <cell r="G1478">
            <v>9307</v>
          </cell>
          <cell r="H1478" t="str">
            <v>PUNTILLA GRAPA EN U 1 1/4 x 9"</v>
          </cell>
          <cell r="I1478" t="str">
            <v>KG</v>
          </cell>
          <cell r="J1478">
            <v>6392</v>
          </cell>
        </row>
        <row r="1479">
          <cell r="G1479">
            <v>9309</v>
          </cell>
          <cell r="H1479" t="str">
            <v>FUMIGADORA AGRÍCOLA PLÁSTICA ERGONÓMICA DE 20 LITROS</v>
          </cell>
          <cell r="I1479" t="str">
            <v>UN</v>
          </cell>
          <cell r="J1479">
            <v>129900</v>
          </cell>
        </row>
        <row r="1480">
          <cell r="G1480">
            <v>9310</v>
          </cell>
          <cell r="H1480" t="str">
            <v>HERBICIDA (APLICADO POR ASPERSIÓN)</v>
          </cell>
          <cell r="I1480" t="str">
            <v>LT</v>
          </cell>
          <cell r="J1480">
            <v>11809</v>
          </cell>
        </row>
        <row r="1481">
          <cell r="G1481">
            <v>9311</v>
          </cell>
          <cell r="H1481" t="str">
            <v>RATICIDA 250 G</v>
          </cell>
          <cell r="I1481" t="str">
            <v>GR</v>
          </cell>
          <cell r="J1481">
            <v>24800</v>
          </cell>
        </row>
        <row r="1482">
          <cell r="G1482">
            <v>9314</v>
          </cell>
          <cell r="H1482" t="str">
            <v>TARIFA JORNAL - PERSONAL DE OBRA - PLOMERO ELECTRICISTA (INCLUYE FACTOR DE PRESTACIONES)</v>
          </cell>
          <cell r="I1482" t="str">
            <v>JR</v>
          </cell>
          <cell r="J1482">
            <v>106000</v>
          </cell>
        </row>
        <row r="1483">
          <cell r="G1483">
            <v>9317</v>
          </cell>
          <cell r="H1483" t="str">
            <v>TARIFA JORNAL - PERSONAL DE OBRA - OPERARIO (INCLUYE FACTOR DE PRESTACIONES)</v>
          </cell>
          <cell r="I1483" t="str">
            <v>JR</v>
          </cell>
          <cell r="J1483">
            <v>119708</v>
          </cell>
        </row>
        <row r="1484">
          <cell r="G1484">
            <v>9318</v>
          </cell>
          <cell r="H1484" t="str">
            <v>TARIFA HORA - PERSONAL DE OBRA - OPERARIO (INCLUYE FACTOR DE PRESTACIONES)</v>
          </cell>
          <cell r="I1484" t="str">
            <v>HR</v>
          </cell>
          <cell r="J1484">
            <v>14963</v>
          </cell>
        </row>
        <row r="1485">
          <cell r="G1485">
            <v>9319</v>
          </cell>
          <cell r="H1485" t="str">
            <v>TARIFA JORNAL- PERSONAL DE OBRA - OPERARIO HORARIO NOCTURNO (INCLUYE FACTOR DE PRESTACIONES)</v>
          </cell>
          <cell r="I1485" t="str">
            <v>JR</v>
          </cell>
          <cell r="J1485">
            <v>163000</v>
          </cell>
        </row>
        <row r="1486">
          <cell r="G1486">
            <v>9320</v>
          </cell>
          <cell r="H1486" t="str">
            <v>TARIFA JORNAL - PERSONAL TÉCNICO - INSPECTOR 2 (INCLUYE FACTOR DE PRESTACIONES)</v>
          </cell>
          <cell r="I1486" t="str">
            <v>JR</v>
          </cell>
          <cell r="J1486">
            <v>105470</v>
          </cell>
        </row>
        <row r="1487">
          <cell r="G1487">
            <v>9321</v>
          </cell>
          <cell r="H1487" t="str">
            <v>TARIFA JORNAL - PERSONAL TÉCNICO - INSPECTOR 1 (INCLUYE FACTOR DE PRESTACIONES)</v>
          </cell>
          <cell r="I1487" t="str">
            <v>JR</v>
          </cell>
          <cell r="J1487">
            <v>116281</v>
          </cell>
        </row>
        <row r="1488">
          <cell r="G1488">
            <v>9323</v>
          </cell>
          <cell r="H1488" t="str">
            <v>TARIFA JORNAL - PERSONAL TÉCNICO - TOPÓGRAFO INSPECTOR (INCLUYE FACTOR DE PRESTACIONES)</v>
          </cell>
          <cell r="I1488" t="str">
            <v>JR</v>
          </cell>
          <cell r="J1488">
            <v>150201</v>
          </cell>
        </row>
        <row r="1489">
          <cell r="G1489">
            <v>9324</v>
          </cell>
          <cell r="H1489" t="str">
            <v>TARIFA JORNAL - PERSONAL AUXILIAR TÉCNICO - CADENERO 2 (INCLUYE FACTOR DE PRESTACIONES)</v>
          </cell>
          <cell r="I1489" t="str">
            <v>JR</v>
          </cell>
          <cell r="J1489">
            <v>88336</v>
          </cell>
        </row>
        <row r="1490">
          <cell r="G1490">
            <v>9325</v>
          </cell>
          <cell r="H1490" t="str">
            <v>CARROTANQUE IRRIGADOR DE AGUA - VIAJE</v>
          </cell>
          <cell r="I1490" t="str">
            <v>VIAJE</v>
          </cell>
          <cell r="J1490">
            <v>234213</v>
          </cell>
        </row>
        <row r="1491">
          <cell r="G1491">
            <v>9333</v>
          </cell>
          <cell r="H1491" t="str">
            <v>MEDIDA DEL POTENCIAL DE COLAPSO DE UN SUELO PARCIALMENTE SATURADO. Norma técnica: INV E 157-13 ASTM D5333-03.</v>
          </cell>
          <cell r="I1491" t="str">
            <v>UN</v>
          </cell>
          <cell r="J1491">
            <v>253232</v>
          </cell>
        </row>
        <row r="1492">
          <cell r="G1492">
            <v>9334</v>
          </cell>
          <cell r="H1492" t="str">
            <v>DETERMINACIÓN DEL CONTENIDO DE SALES SOLUBLES EN LOS SUELOS. Norma técnica: INV E 158-13 NLT 114.</v>
          </cell>
          <cell r="I1492" t="str">
            <v>UN</v>
          </cell>
          <cell r="J1492">
            <v>146608</v>
          </cell>
        </row>
        <row r="1493">
          <cell r="G1493">
            <v>9335</v>
          </cell>
          <cell r="H1493" t="str">
            <v>DETERMINACIÓN DE LA DENSIDAD Y DEL CONTENIDO DE AGUA DEL SUELO Y DEL SUELO-AGREGADO EN EL TERRENO. Norma técnica: INV E 164-13 ASTM D6938 - 17a.</v>
          </cell>
          <cell r="I1493" t="str">
            <v>UN</v>
          </cell>
          <cell r="J1493">
            <v>41650</v>
          </cell>
        </row>
        <row r="1494">
          <cell r="G1494">
            <v>9342</v>
          </cell>
          <cell r="H1494" t="str">
            <v>DETERMINACIÓN DE TERRONES DE ARCILLA Y PARTÍCULAS DELEZNABLES EN LOS AGREGADOS. Norma técnica: INV E 211-13 NTC-589-2000.</v>
          </cell>
          <cell r="I1494" t="str">
            <v>UN</v>
          </cell>
          <cell r="J1494">
            <v>45815</v>
          </cell>
        </row>
        <row r="1495">
          <cell r="G1495">
            <v>9343</v>
          </cell>
          <cell r="H1495" t="str">
            <v>PRESENCIA DE IMPUREZAS ORGÁNICAS EN ARENAS USADAS PARA LA PREPARACIÓN DE MORTEROS O CONCRETOS. Norma técnica: INV E 212-13 NTC-127-2000.</v>
          </cell>
          <cell r="I1495" t="str">
            <v>UN</v>
          </cell>
          <cell r="J1495">
            <v>31535</v>
          </cell>
        </row>
        <row r="1496">
          <cell r="G1496">
            <v>9344</v>
          </cell>
          <cell r="H1496" t="str">
            <v>DENSIDAD BULK (PESO UNITARIO) Y PORCENTAJE DE VACÍOS DE LOS AGREGADOS EN ESTADO SUELTO Y COMPACTO. Norma técnica: INV E 217-13 NTC-92-1995.</v>
          </cell>
          <cell r="I1496" t="str">
            <v>UN</v>
          </cell>
          <cell r="J1496">
            <v>52955</v>
          </cell>
        </row>
        <row r="1497">
          <cell r="G1497">
            <v>9345</v>
          </cell>
          <cell r="H1497" t="str">
            <v>SOLIDEZ DE LOS AGREGADOS FRENTE A LA ACCIÓN DE SOLUCIONES DE SULFATO DE SODIO O DE MAGNESIO. Norma técnica: INV E 220-13 NTC-126-1995.</v>
          </cell>
          <cell r="I1497" t="str">
            <v>UN</v>
          </cell>
          <cell r="J1497">
            <v>287980</v>
          </cell>
        </row>
        <row r="1498">
          <cell r="G1498">
            <v>9346</v>
          </cell>
          <cell r="H1498" t="str">
            <v>CANTIDAD DE PARTÍCULAS LIVIANAS EN UN AGREGADO PÉTREO. Norma técnica: INV E-221-13 NTC-130-1994.</v>
          </cell>
          <cell r="I1498" t="str">
            <v>UN</v>
          </cell>
          <cell r="J1498">
            <v>126378</v>
          </cell>
        </row>
        <row r="1499">
          <cell r="G1499">
            <v>9347</v>
          </cell>
          <cell r="H1499" t="str">
            <v>DENSIDAD, DENSIDAD RELATIVA (GRAVEDAD ESPECÍFICA) Y ABSORCIÓN DEL AGREGADO GRUESO. Norma técnica: INV E-223-13 NTC-176-1995.</v>
          </cell>
          <cell r="I1499" t="str">
            <v>UN</v>
          </cell>
          <cell r="J1499">
            <v>71638</v>
          </cell>
        </row>
        <row r="1500">
          <cell r="G1500">
            <v>9348</v>
          </cell>
          <cell r="H1500" t="str">
            <v>DETERMINACIÓN DEL VALOR DEL 10% DE FINOS. Norma técnica: INV E-224-13.</v>
          </cell>
          <cell r="I1500" t="str">
            <v>UN</v>
          </cell>
          <cell r="J1500">
            <v>227290</v>
          </cell>
        </row>
        <row r="1501">
          <cell r="G1501">
            <v>9350</v>
          </cell>
          <cell r="H1501" t="str">
            <v>DETERMINACIÓN DEL CONTENIDO DE AZUFRE EN LOS AGREGADOS PÉTREOS. Norma técnica: INV E-233-13.</v>
          </cell>
          <cell r="I1501" t="str">
            <v>UN</v>
          </cell>
          <cell r="J1501">
            <v>286314</v>
          </cell>
        </row>
        <row r="1502">
          <cell r="G1502">
            <v>9351</v>
          </cell>
          <cell r="H1502" t="str">
            <v>DETERMINACIÓN DE LA REACTIVIDAD POTENCIAL ÁLCALI-SÍLICE DE AGREGADOS (MÉTODO QUÍMICO). Norma técnica: INV 234-13 NTC 175.</v>
          </cell>
          <cell r="I1502" t="str">
            <v>UN</v>
          </cell>
          <cell r="J1502">
            <v>423045</v>
          </cell>
        </row>
        <row r="1503">
          <cell r="G1503">
            <v>9352</v>
          </cell>
          <cell r="H1503" t="str">
            <v>DETERMINACIÓN DE LA LIMPIEZA SUPERFICIAL DE LAS PARTÍCULAS DE AGREGADO GRUESO. Norma técnica: INV E-237-13.</v>
          </cell>
          <cell r="I1503" t="str">
            <v>UN</v>
          </cell>
          <cell r="J1503">
            <v>62118</v>
          </cell>
        </row>
        <row r="1504">
          <cell r="G1504">
            <v>9353</v>
          </cell>
          <cell r="H1504" t="str">
            <v>DETERMINACIÓN DE LA RESISTENCIA DEL AGREGADO GRUESO A LA DEGRADACIÓN POR ABRASIÓN, UTILIZANDO EL APARATO MICRO-DEVAL. Norma técnica: INV E-238-13.</v>
          </cell>
          <cell r="I1504" t="str">
            <v>UN</v>
          </cell>
          <cell r="J1504">
            <v>207060</v>
          </cell>
        </row>
        <row r="1505">
          <cell r="G1505">
            <v>9354</v>
          </cell>
          <cell r="H1505" t="str">
            <v>DETERMINACIÓN DEL CONTENIDO DE VACÍOS EN AGREGADOS FINOS NO COMPACTADOS (INFLUENCIADO POR LA FORMA DE LAS PARTÍCULAS, LA TEXTURA SUPERFICIAL Y LA GRANULOMETRÍA). Norma técnica: INV E-239-13.</v>
          </cell>
          <cell r="I1505" t="str">
            <v>UN</v>
          </cell>
          <cell r="J1505">
            <v>101150</v>
          </cell>
        </row>
        <row r="1506">
          <cell r="G1506">
            <v>9355</v>
          </cell>
          <cell r="H1506" t="str">
            <v>PROPORCIÓN DE PARTÍCULAS PLANAS, ALARGADAS O PLANAS Y ALARGADAS EN AGREGADOS GRUESOS. Norma técnica: INV E-240-13.</v>
          </cell>
          <cell r="I1506" t="str">
            <v>UN</v>
          </cell>
          <cell r="J1506">
            <v>145894</v>
          </cell>
        </row>
        <row r="1507">
          <cell r="G1507">
            <v>9356</v>
          </cell>
          <cell r="H1507" t="str">
            <v>ANÁLISIS PETROGRÁFICO DE AGREGADOS PARA CONCRETO (1 SECCIÓN DELGADA). Norma técnica: ASTM C295/C295M − 12.</v>
          </cell>
          <cell r="I1507" t="str">
            <v>UN</v>
          </cell>
          <cell r="J1507">
            <v>1785000</v>
          </cell>
        </row>
        <row r="1508">
          <cell r="G1508">
            <v>9357</v>
          </cell>
          <cell r="H1508" t="str">
            <v>ANÁLISIS PETROGRÁFICO DE AGREGADOS PARA CONCRETO (2 SECCIÓN DELGADA). Norma técnica: ASTM C295/C295M − 12.</v>
          </cell>
          <cell r="I1508" t="str">
            <v>UN</v>
          </cell>
          <cell r="J1508">
            <v>1558900</v>
          </cell>
        </row>
        <row r="1509">
          <cell r="G1509">
            <v>9358</v>
          </cell>
          <cell r="H1509" t="str">
            <v>ANÀLISIS PETROGRÀFICO DE AGREGADOS PARA CONCRETO (3 SECCIÓN DELGADA). Norma técnica: ASTM C295/C295M − 12.</v>
          </cell>
          <cell r="I1509" t="str">
            <v>UN</v>
          </cell>
          <cell r="J1509">
            <v>1630300</v>
          </cell>
        </row>
        <row r="1510">
          <cell r="G1510">
            <v>9359</v>
          </cell>
          <cell r="H1510" t="str">
            <v>DETERMINACIÓN DEL CONTENIDO DE AGUA EN LOS MATERIALES BITUMINOSOS POR DESTILACIÓN. Norma técnica:: INV E-704-13 ASTM D95.</v>
          </cell>
          <cell r="I1510" t="str">
            <v>UN</v>
          </cell>
          <cell r="J1510">
            <v>209083</v>
          </cell>
        </row>
        <row r="1511">
          <cell r="G1511">
            <v>9360</v>
          </cell>
          <cell r="H1511" t="str">
            <v>PUNTOS DE INFLAMACIÓN Y DE COMBUSTIÓN MEDIANTE LA COPA ABIERTA CLEVELAND. Norma técnica: INV E-709-13 / ASTM D92.</v>
          </cell>
          <cell r="I1511" t="str">
            <v>UN</v>
          </cell>
          <cell r="J1511">
            <v>113050</v>
          </cell>
        </row>
        <row r="1512">
          <cell r="G1512">
            <v>9361</v>
          </cell>
          <cell r="H1512" t="str">
            <v>SOLUBILIDAD DE MATERIALES ASFÁLTICOS EN TRICLOROETILENO. Norma técnica: INV E – 713 - 13 ASTM D88.</v>
          </cell>
          <cell r="I1512" t="str">
            <v>UN</v>
          </cell>
          <cell r="J1512">
            <v>317873</v>
          </cell>
        </row>
        <row r="1513">
          <cell r="G1513">
            <v>9363</v>
          </cell>
          <cell r="H1513" t="str">
            <v>DETERMINACIÓN DE LA VISCOSIDAD DEL ASFALTO EMPLEANDO UN VISCOSÍMETRO  ROTACIONAL (Tres temperaturas). Norma técnica: INV E – 717 - 13 ASTM D4402 - D4402M AASHTO T 316 – 06.</v>
          </cell>
          <cell r="I1513" t="str">
            <v>UN</v>
          </cell>
          <cell r="J1513">
            <v>287000</v>
          </cell>
        </row>
        <row r="1514">
          <cell r="G1514">
            <v>9364</v>
          </cell>
          <cell r="H1514" t="str">
            <v>EFECTO DEL CALOR Y DEL AIRE SOBRE EL ASFALTO EN LAMINA DELGADA Y ROTATORIA. Norma técnica: INV E - 720 - 13 ASTM D 2872.</v>
          </cell>
          <cell r="I1514" t="str">
            <v>UN</v>
          </cell>
          <cell r="J1514">
            <v>568000</v>
          </cell>
        </row>
        <row r="1515">
          <cell r="G1515">
            <v>9366</v>
          </cell>
          <cell r="H1515" t="str">
            <v>GRAVEDAD ESPECÍFICA BULK Y DENSIDAD DE MEZCLAS ASFÁLTICAS COMPACTADAS ABSORBENTES EMPLEANDO ESPECÍMENES RECUBIERTOS CON UNA PELÍCULA DE PARAFINA. Norma técnica: INV E – 734 - 13 ASTM D1188.</v>
          </cell>
          <cell r="I1515" t="str">
            <v>UN</v>
          </cell>
          <cell r="J1515">
            <v>49980</v>
          </cell>
        </row>
        <row r="1516">
          <cell r="G1516">
            <v>9367</v>
          </cell>
          <cell r="H1516" t="str">
            <v>GRAVEDAD ESPECÍFICA MÁXIMA DE MEZCLAS ASFÁLTICAS PARA PAVIMENTOS. Norma técnica: INV E – 735 - 13 ASTM D2041/D2041.</v>
          </cell>
          <cell r="I1516" t="str">
            <v>UN</v>
          </cell>
          <cell r="J1516">
            <v>107100</v>
          </cell>
        </row>
        <row r="1517">
          <cell r="G1517">
            <v>9368</v>
          </cell>
          <cell r="H1517" t="str">
            <v>MEDIDA DE LA DENSIDAD DE CAPAS DE CONCRETO ASFÁLTICO EN EL TERRENO EMPLEANDO EL MÉTODO NUCLEAR. Norma técnica: INV E - 746 - 13 ASTM D2950/D2950M.</v>
          </cell>
          <cell r="I1517" t="str">
            <v>UN</v>
          </cell>
          <cell r="J1517">
            <v>49980</v>
          </cell>
        </row>
        <row r="1518">
          <cell r="G1518">
            <v>9369</v>
          </cell>
          <cell r="H1518" t="str">
            <v>DETERMINACIÓN DE LAS PROPIEDADES REOLÓGICAS DE LOS LIGANTES ASFÁLTICOS MEDIANTE EL REÓMETRO DE CORTE DINÁMICO. Norma técnica: INV E – 750 - 13 AASHTO T 315.</v>
          </cell>
          <cell r="I1518" t="str">
            <v>UN</v>
          </cell>
          <cell r="J1518">
            <v>1074808</v>
          </cell>
        </row>
        <row r="1519">
          <cell r="G1519">
            <v>9370</v>
          </cell>
          <cell r="H1519" t="str">
            <v>RESISTENCIA A LA DEFORMACIÓN PLÁSTICA DE LAS MEZCLAS ASFÁLTICAS MEDIANTE LA PISTA DE ENSAYO DE LABORATORIO. Norma técnica: INV E - 756 - 13 NLT173.</v>
          </cell>
          <cell r="I1519" t="str">
            <v>UN</v>
          </cell>
          <cell r="J1519">
            <v>991667</v>
          </cell>
        </row>
        <row r="1520">
          <cell r="G1520">
            <v>9371</v>
          </cell>
          <cell r="H1520" t="str">
            <v>RECUPERACIÓN DEL ASFALTO DE UNA SOLUCIÓN UTILIZANDO EL EVAPORADOR ROTATORIO. Norma técnica: INV E – 759 - 13 ASTM D5404/D5404M.</v>
          </cell>
          <cell r="I1520" t="str">
            <v>UN</v>
          </cell>
          <cell r="J1520">
            <v>570600</v>
          </cell>
        </row>
        <row r="1521">
          <cell r="G1521">
            <v>9373</v>
          </cell>
          <cell r="H1521" t="str">
            <v>ADHESIVIDAD DE LOS LIGANTES BITUMINOSOS A LOS AGREGADOS FINOS (MÉTODO RIEDEL - WEBER). Norma técnica: INV E – 774 - 13 NLT 355.</v>
          </cell>
          <cell r="I1521" t="str">
            <v>UN</v>
          </cell>
          <cell r="J1521">
            <v>180285</v>
          </cell>
        </row>
        <row r="1522">
          <cell r="G1522">
            <v>9374</v>
          </cell>
          <cell r="H1522" t="str">
            <v>ANÁLISIS GRANULOMÉTRICO DE LOS AGREGADOS EXTRAÍDOS DE MEZCLAS ASFÁLTICAS. Norma técnica: INV E – 782 - 13 ASTM D5444.</v>
          </cell>
          <cell r="I1522" t="str">
            <v>UN</v>
          </cell>
          <cell r="J1522">
            <v>64260</v>
          </cell>
        </row>
        <row r="1523">
          <cell r="G1523">
            <v>9375</v>
          </cell>
          <cell r="H1523" t="str">
            <v>DETERMINACIÓN DE LAS LEYES DE FATIGA DE MEZCLAS ASFÁLTICAS COMPACTADAS EN CALIENTE SOMETIDAS A FLEXIÓN DINÁMICA. Norma técnica: INV E - 784 - 13 AASHTO T 321 EN-12697-24 Anexo D.</v>
          </cell>
          <cell r="I1523" t="str">
            <v>UN</v>
          </cell>
          <cell r="J1523">
            <v>3113397</v>
          </cell>
        </row>
        <row r="1524">
          <cell r="G1524">
            <v>9379</v>
          </cell>
          <cell r="H1524" t="str">
            <v>VISCOSIDAD SAYBOLT DE ASFALTOS. Norma técnica: INV E-714-13 ASTM D 88.</v>
          </cell>
          <cell r="I1524" t="str">
            <v>UN</v>
          </cell>
          <cell r="J1524">
            <v>107000</v>
          </cell>
        </row>
        <row r="1525">
          <cell r="G1525">
            <v>9381</v>
          </cell>
          <cell r="H1525" t="str">
            <v>RECUPERACIÓN ELÁSTICA POR TORSIÓN DE ASFALTOS MODIFICADOS. Norma técnica: INV E – 727 - 13 NLT 329.</v>
          </cell>
          <cell r="I1525" t="str">
            <v>UN</v>
          </cell>
          <cell r="J1525">
            <v>70567</v>
          </cell>
        </row>
        <row r="1526">
          <cell r="G1526">
            <v>9383</v>
          </cell>
          <cell r="H1526" t="str">
            <v>DESTILACIÓN DE EMULSIONES ASFÁLTICAS. Norma técnica: INV E – 762 - 13 ASTM D6997.</v>
          </cell>
          <cell r="I1526" t="str">
            <v>UN</v>
          </cell>
          <cell r="J1526">
            <v>196350</v>
          </cell>
        </row>
        <row r="1527">
          <cell r="G1527">
            <v>9384</v>
          </cell>
          <cell r="H1527" t="str">
            <v>VISCOSIDAD SAYBOLT FUROL DE EMULSIONES ASFÁLTICAS. Norma técnica: INV E – 763 - 13 ASTM D7496.</v>
          </cell>
          <cell r="I1527" t="str">
            <v>UN</v>
          </cell>
          <cell r="J1527">
            <v>111000</v>
          </cell>
        </row>
        <row r="1528">
          <cell r="G1528">
            <v>9385</v>
          </cell>
          <cell r="H1528" t="str">
            <v>PREFABRICADOS DE CONCRETO. MUESTREO Y ENSAYO DE PREFABRICADOS DE CONCRETO NO REFORZADOS, VIBROCOMPACTADOS. RESISTENCIA A LA COMPRESIÓN. Norma técnica: NTC 4024 numeral 6.</v>
          </cell>
          <cell r="I1528" t="str">
            <v>UN</v>
          </cell>
          <cell r="J1528">
            <v>34100</v>
          </cell>
        </row>
        <row r="1529">
          <cell r="G1529">
            <v>9386</v>
          </cell>
          <cell r="H1529" t="str">
            <v>ABSORCIÓN DE AGUA POR LOS ADOQUINES DE CONCRETO. Norma técnica: INV E - 427 - 13 NTC 2017 numeral 6.3 ASTM C140.</v>
          </cell>
          <cell r="I1529" t="str">
            <v>UN</v>
          </cell>
          <cell r="J1529">
            <v>33320</v>
          </cell>
        </row>
        <row r="1530">
          <cell r="G1530">
            <v>9387</v>
          </cell>
          <cell r="H1530" t="str">
            <v>DISEÑO DE MEZCLAS DE CONCRETO CON DOS AGREGADOS PARA UNA RESISTENCIA DADA (Incluye caracterización)</v>
          </cell>
          <cell r="I1530" t="str">
            <v>UN</v>
          </cell>
          <cell r="J1530">
            <v>595000</v>
          </cell>
        </row>
        <row r="1531">
          <cell r="G1531">
            <v>9388</v>
          </cell>
          <cell r="H1531" t="str">
            <v>MEDIDA DE LA MACROTEXTURA SUPERFICIAL DE UN PAVIMENTO EMPLEANDO LA TECNICA VOLUMETRICA. Norma técnica: INV E - 791 - 13 ASTM E 965 NLT 335.</v>
          </cell>
          <cell r="I1531" t="str">
            <v>UN</v>
          </cell>
          <cell r="J1531">
            <v>37000</v>
          </cell>
        </row>
        <row r="1532">
          <cell r="G1532">
            <v>9389</v>
          </cell>
          <cell r="H1532" t="str">
            <v>MÉTODO PARA DETERMINAR LA CARGA DE ROTURA Y ELONGACIÓN DE GEOTEXTILES (MÉTODO GRAB). Norma técnica: ASTM D4632 D4632M - 15a.</v>
          </cell>
          <cell r="I1532" t="str">
            <v>UN</v>
          </cell>
          <cell r="J1532">
            <v>333200</v>
          </cell>
        </row>
        <row r="1533">
          <cell r="G1533">
            <v>9396</v>
          </cell>
          <cell r="H1533" t="str">
            <v>MÉTODOS PARA MUESTREO Y ENSAYOS DE UNIDADES DE MAMPOSTERÍA Y OTROS PRODUCTOS DE ARCILLA. MÓDULO DE ROTURA. Norma técnica: NTC 4017 numeral 6.</v>
          </cell>
          <cell r="I1533" t="str">
            <v>UN</v>
          </cell>
          <cell r="J1533">
            <v>36890</v>
          </cell>
        </row>
        <row r="1534">
          <cell r="G1534">
            <v>9397</v>
          </cell>
          <cell r="H1534" t="str">
            <v>ADOQUINES DE CONCRETO PARA PAVIMENTOS. RESISTENCIA A LA FLEXOTRACCIÓN (MÓDULO DE ROTURA). Norma técnica: NTC 2017 numeral 6.4.</v>
          </cell>
          <cell r="I1534" t="str">
            <v>UN</v>
          </cell>
          <cell r="J1534">
            <v>30940</v>
          </cell>
        </row>
        <row r="1535">
          <cell r="G1535">
            <v>9398</v>
          </cell>
          <cell r="H1535" t="str">
            <v>RESISTENCIA A LA ABRASIÓN DE MATERIALES PARA PISOS Y PAVIMENTOS, MEDIANTE ARENA Y DISCO METÁLICO ANCHO. (ADOQUINES DE CONCRETO). Norma técnica: NTC 5147.</v>
          </cell>
          <cell r="I1535" t="str">
            <v>UN</v>
          </cell>
          <cell r="J1535">
            <v>61999</v>
          </cell>
        </row>
        <row r="1536">
          <cell r="G1536">
            <v>9401</v>
          </cell>
          <cell r="H1536" t="str">
            <v>RESISTENCIA A LA FLEXOTRACCIÓN (MÓDULO DE ROTURA) DE LOSETAS DE CONCRETO PARA PAVIMENTO. Norma técnica: NTC 4992 numeral 6.4.</v>
          </cell>
          <cell r="I1536" t="str">
            <v>UN</v>
          </cell>
          <cell r="J1536">
            <v>46291</v>
          </cell>
        </row>
        <row r="1537">
          <cell r="G1537">
            <v>9402</v>
          </cell>
          <cell r="H1537" t="str">
            <v>ABSORCIÓN DE AGUA DE LOSETAS DE CONCRETO PARA PAVIMENTOS. Norma técnica: NTC 4992 numeral 6.3.</v>
          </cell>
          <cell r="I1537" t="str">
            <v>UN</v>
          </cell>
          <cell r="J1537">
            <v>34510</v>
          </cell>
        </row>
        <row r="1538">
          <cell r="G1538">
            <v>9404</v>
          </cell>
          <cell r="H1538" t="str">
            <v>RESISTENCIA A LA ABRASIÓN DE MATERIALES PARA PISOS Y PAVIMENTOS, MEDIANTE ARENA Y DISCO METÁLICO ANCHO. (LOSETAS DE CONCRETO). Norma técnica: NTC 5147.</v>
          </cell>
          <cell r="I1538" t="str">
            <v>UN</v>
          </cell>
          <cell r="J1538">
            <v>78064</v>
          </cell>
        </row>
        <row r="1539">
          <cell r="G1539">
            <v>9405</v>
          </cell>
          <cell r="H1539" t="str">
            <v>RESISTENCIA A LA FLEXOTRACCIÓN (MÓDULO DE ROTURA) DE BORDILLOS Y SARDINELES. Norma técnica: NTC 4109.</v>
          </cell>
          <cell r="I1539" t="str">
            <v>UN</v>
          </cell>
          <cell r="J1539">
            <v>199920</v>
          </cell>
        </row>
        <row r="1540">
          <cell r="G1540">
            <v>9407</v>
          </cell>
          <cell r="H1540" t="str">
            <v>EXTRACCIÓN DE TESTIGOS DE PAVIMENTOS ASFÁLTICOS MEDIANTE ASERRADO, DE 100 CM X 100 CM. Norma técnica: INV E – 758 - 13 ASTM D 5361.</v>
          </cell>
          <cell r="I1540" t="str">
            <v>UN</v>
          </cell>
          <cell r="J1540">
            <v>161558</v>
          </cell>
        </row>
        <row r="1541">
          <cell r="G1541">
            <v>9408</v>
          </cell>
          <cell r="H1541" t="str">
            <v>PUESTO DE TRABAJO - ESCRITORIO 75x120x50</v>
          </cell>
          <cell r="I1541" t="str">
            <v>UN</v>
          </cell>
          <cell r="J1541">
            <v>176900</v>
          </cell>
        </row>
        <row r="1542">
          <cell r="G1542">
            <v>9409</v>
          </cell>
          <cell r="H1542" t="str">
            <v>SILLA ESCRITORIO GIRATORIA CON BRAZOS</v>
          </cell>
          <cell r="I1542" t="str">
            <v>UN</v>
          </cell>
          <cell r="J1542">
            <v>159900</v>
          </cell>
        </row>
        <row r="1543">
          <cell r="G1543">
            <v>9413</v>
          </cell>
          <cell r="H1543" t="str">
            <v>LAMINA ALFAJOR</v>
          </cell>
          <cell r="I1543" t="str">
            <v>KG</v>
          </cell>
          <cell r="J1543">
            <v>6486</v>
          </cell>
        </row>
        <row r="1544">
          <cell r="G1544">
            <v>9414</v>
          </cell>
          <cell r="H1544" t="str">
            <v>SILLA PLÁSTICA SIN BRAZOS</v>
          </cell>
          <cell r="I1544" t="str">
            <v>UN</v>
          </cell>
          <cell r="J1544">
            <v>23521</v>
          </cell>
        </row>
        <row r="1545">
          <cell r="G1545">
            <v>9423</v>
          </cell>
          <cell r="H1545" t="str">
            <v>TARIFA MES - PERSONAL DE OBRA - TÉCNICO (PLOMERO_ELECTRICISTA) (INCLUYE FACTOR DE PRESTACIONES)</v>
          </cell>
          <cell r="I1545" t="str">
            <v>MES</v>
          </cell>
          <cell r="J1545">
            <v>3171353</v>
          </cell>
        </row>
        <row r="1546">
          <cell r="G1546">
            <v>9424</v>
          </cell>
          <cell r="H1546" t="str">
            <v>TARIFA MES - PERSONAL DE OBRA - AYUDANTE (INCLUYE FACTOR DE PRESTACIONES)</v>
          </cell>
          <cell r="I1546" t="str">
            <v>MES</v>
          </cell>
          <cell r="J1546">
            <v>1911652</v>
          </cell>
        </row>
        <row r="1547">
          <cell r="G1547">
            <v>9427</v>
          </cell>
          <cell r="H1547" t="str">
            <v>COSTO DE LA REPRODUCCIÓN DE PLANOS TAMAÑO PLIEGO</v>
          </cell>
          <cell r="I1547" t="str">
            <v>UN</v>
          </cell>
          <cell r="J1547">
            <v>8700</v>
          </cell>
        </row>
        <row r="1548">
          <cell r="G1548">
            <v>9428</v>
          </cell>
          <cell r="H1548" t="str">
            <v>COSTO DE CERTIFICADO DE TRADICIÓN Y LIBERTAD DE INMUEBLES</v>
          </cell>
          <cell r="I1548" t="str">
            <v>UN</v>
          </cell>
          <cell r="J1548">
            <v>20300</v>
          </cell>
        </row>
        <row r="1549">
          <cell r="G1549">
            <v>9433</v>
          </cell>
          <cell r="H1549" t="str">
            <v>EXPANSIÓN LIBRE EN CONSOLIDÓMETRO. Norma técnica: ASTM D4546 - 14e1. Norma técnica: ASTM D4546 - 14e1.</v>
          </cell>
          <cell r="I1549" t="str">
            <v>UN</v>
          </cell>
          <cell r="J1549">
            <v>145180</v>
          </cell>
        </row>
        <row r="1550">
          <cell r="G1550">
            <v>9434</v>
          </cell>
          <cell r="H1550" t="str">
            <v>TRATAMIENTO Y DISPOSICIÓN FINAL DE LODOS NO PELIGROSOS PROVENIENTES DE ALCANTARILLADO</v>
          </cell>
          <cell r="I1550" t="str">
            <v>KG</v>
          </cell>
          <cell r="J1550">
            <v>286</v>
          </cell>
        </row>
        <row r="1551">
          <cell r="G1551">
            <v>9437</v>
          </cell>
          <cell r="H1551" t="str">
            <v xml:space="preserve">CONO CONCENTRICO PARA POZO D= 1.20m x 0.60m e=0.10m  h= 0.75m </v>
          </cell>
          <cell r="I1551" t="str">
            <v>UN</v>
          </cell>
          <cell r="J1551">
            <v>667608</v>
          </cell>
        </row>
        <row r="1552">
          <cell r="G1552">
            <v>9441</v>
          </cell>
          <cell r="H1552" t="str">
            <v>SEÑAL LUMINOSA BIDIRECCIONAL 1.50m x 0.50m</v>
          </cell>
          <cell r="I1552" t="str">
            <v>UN</v>
          </cell>
          <cell r="J1552">
            <v>1011500</v>
          </cell>
        </row>
        <row r="1553">
          <cell r="G1553">
            <v>9443</v>
          </cell>
          <cell r="H1553" t="str">
            <v>DETERMINACIÓN DEL COEFICIENTE DE PULIMIENTO ACELERADO (CPA) DE LAS PARTÍCULAS DE AGREGADO GRUESO. Norma técnica: INV E-232-13.</v>
          </cell>
          <cell r="I1553" t="str">
            <v>UN</v>
          </cell>
          <cell r="J1553">
            <v>1689000</v>
          </cell>
        </row>
        <row r="1554">
          <cell r="G1554">
            <v>9444</v>
          </cell>
          <cell r="H1554" t="str">
            <v>PORCENTAJE DE VACÍOS CON AIRE EN MEZCLAS ASFÁLTICAS COMPACTADAS DENSAS Y ABIERTAS. Norma técnica: INV E - 736 - 13 ASTM D3203/D3203.</v>
          </cell>
          <cell r="I1554" t="str">
            <v>UN</v>
          </cell>
          <cell r="J1554">
            <v>136850</v>
          </cell>
        </row>
        <row r="1555">
          <cell r="G1555">
            <v>9445</v>
          </cell>
          <cell r="H1555" t="str">
            <v>CONCENTRACIÓN CRÍTICA DE LLENANTE EN MEZCLAS DE CONCRETO ASFÁLTICO. Norma técnica: INV E – 745 - 13 IRAM 1542 – Junio 1983.</v>
          </cell>
          <cell r="I1555" t="str">
            <v>UN</v>
          </cell>
          <cell r="J1555">
            <v>233597</v>
          </cell>
        </row>
        <row r="1556">
          <cell r="G1556">
            <v>9446</v>
          </cell>
          <cell r="H1556" t="str">
            <v>CUBRIMIENTO DE LOS AGREGADOS CON MATERIALES ASFÁLTICOS EN PRESENCIA DE AGUA (STRIPPING). Norma técnica: AASHTO T 182 NLT 166 ASTM D1664.</v>
          </cell>
          <cell r="I1556" t="str">
            <v>UN</v>
          </cell>
          <cell r="J1556">
            <v>73066</v>
          </cell>
        </row>
        <row r="1557">
          <cell r="G1557">
            <v>9447</v>
          </cell>
          <cell r="H1557" t="str">
            <v>MÓDULO DINÁMICO DE MEZCLAS ASFÁLTICAS. Norma técnica: ASTM D3497  AASHTO TP 62 – 03.</v>
          </cell>
          <cell r="I1557" t="str">
            <v>UN</v>
          </cell>
          <cell r="J1557">
            <v>1400000</v>
          </cell>
        </row>
        <row r="1558">
          <cell r="G1558">
            <v>9448</v>
          </cell>
          <cell r="H1558" t="str">
            <v>SEDIMENTACIÓN DE LAS EMULSIONES ASFÁLTICAS DURANTE EL ALMACENAMIENTO. Norma técnica: INV E – 764 - 13 ASTM D 6930 NLT 140.</v>
          </cell>
          <cell r="I1558" t="str">
            <v>UN</v>
          </cell>
          <cell r="J1558">
            <v>214200</v>
          </cell>
        </row>
        <row r="1559">
          <cell r="G1559">
            <v>9449</v>
          </cell>
          <cell r="H1559" t="str">
            <v>TAMIZADO DE LAS EMULSIONES ASFALTICAS. Norma técnica: INV E – 765 - 13 ASTM6933.</v>
          </cell>
          <cell r="I1559" t="str">
            <v>UN</v>
          </cell>
          <cell r="J1559">
            <v>52836</v>
          </cell>
        </row>
        <row r="1560">
          <cell r="G1560">
            <v>9450</v>
          </cell>
          <cell r="H1560" t="str">
            <v>DEMULSIBILIDAD DE LAS EMULSIONES ASFÁLTICAS. Norma técnica: INV E - 766 - 13 ASTM D6936.</v>
          </cell>
          <cell r="I1560" t="str">
            <v>UN</v>
          </cell>
          <cell r="J1560">
            <v>148750</v>
          </cell>
        </row>
        <row r="1561">
          <cell r="G1561">
            <v>9451</v>
          </cell>
          <cell r="H1561" t="str">
            <v>IDENTIFICACIÓN DE LAS EMULSIONES ASFÁLTICAS CATIÓNICAS MEDIANTE LA DETERMINACIÓN DE LA CARGA DE LAS PARTÍCULAS. Norma técnica. INV E – 767 - 13 ASTM D7402 NLT 194.</v>
          </cell>
          <cell r="I1561" t="str">
            <v>UN</v>
          </cell>
          <cell r="J1561">
            <v>74970</v>
          </cell>
        </row>
        <row r="1562">
          <cell r="G1562">
            <v>9452</v>
          </cell>
          <cell r="H1562" t="str">
            <v>PH DE LAS EMULSIONES ASFÁLTICAS. Norma técnica: INV E – 768 - 13 NLT 195.</v>
          </cell>
          <cell r="I1562" t="str">
            <v>UN</v>
          </cell>
          <cell r="J1562">
            <v>50000</v>
          </cell>
        </row>
        <row r="1563">
          <cell r="G1563">
            <v>9453</v>
          </cell>
          <cell r="H1563" t="str">
            <v>ENSAYO DE MEZCLA CON CEMENTO DE LAS EMULSIONES ASFALTICAS. Norma técnica: INV E – 770 - 13 ASTM D6935 NLT 144.</v>
          </cell>
          <cell r="I1563" t="str">
            <v>UN</v>
          </cell>
          <cell r="J1563">
            <v>238000</v>
          </cell>
        </row>
        <row r="1564">
          <cell r="G1564">
            <v>9454</v>
          </cell>
          <cell r="H1564" t="str">
            <v>MEDIDA DEL COEFICIENTE DE RESISTENCIA AL DESLIZAMIENTO USANDO EL PÉNDULO BRITÁNICO. Norma técnica: INV E – 792 - 13 NTC 5129 ASTM E 501.</v>
          </cell>
          <cell r="I1564" t="str">
            <v>UN</v>
          </cell>
          <cell r="J1564">
            <v>49504</v>
          </cell>
        </row>
        <row r="1565">
          <cell r="G1565">
            <v>9455</v>
          </cell>
          <cell r="H1565" t="str">
            <v>TARIFA MES - PERSONAL DE OBRA - AYUDANTE (NO INCLUYE FACTOR DE PRESTACIONES)</v>
          </cell>
          <cell r="I1565" t="str">
            <v>MES</v>
          </cell>
          <cell r="J1565">
            <v>1160000</v>
          </cell>
        </row>
        <row r="1566">
          <cell r="G1566">
            <v>9456</v>
          </cell>
          <cell r="H1566" t="str">
            <v>ALQUILER DE VEHICULO: CAMPERO, PICK-UP, CAMIONETA, CAMION O SIMILAR DE 1300cc A 2000cc DE CILINDRADA, MODELO 2014 A 2011. 75% DE LA TARIFA ESTABLECIDA. INCLUYE TODOS LOS COSTOS DE OPERACIÓN Y MANTENIMIENTO EXCEPTO EL SALARIO DEL CONDUCTOR</v>
          </cell>
          <cell r="I1566" t="str">
            <v>MES</v>
          </cell>
          <cell r="J1566">
            <v>5448750</v>
          </cell>
        </row>
        <row r="1567">
          <cell r="G1567">
            <v>9457</v>
          </cell>
          <cell r="H1567" t="str">
            <v>TARIFA MES - PERSONAL DE OBRA - INSPECTOR 1 HORARIO NOCTURNO (NO INCLUYE FACTOR DE PRESTACIONES)</v>
          </cell>
          <cell r="I1567" t="str">
            <v>MES</v>
          </cell>
          <cell r="J1567">
            <v>3036150</v>
          </cell>
        </row>
        <row r="1568">
          <cell r="G1568">
            <v>9459</v>
          </cell>
          <cell r="H1568" t="str">
            <v>TARIFA MES - PERSONAL TÉCNICO - OPERADOR EQUIPO PERFORACIÓN (NO INCLUYE FACTOR DE PRESTACIONES)</v>
          </cell>
          <cell r="I1568" t="str">
            <v>MES</v>
          </cell>
          <cell r="J1568">
            <v>2460000</v>
          </cell>
        </row>
        <row r="1569">
          <cell r="G1569">
            <v>9460</v>
          </cell>
          <cell r="H1569" t="str">
            <v>TARIFA MES - PERSONAL TÉCNICO - OPERADOR AUXILIAR DE EQUIPO (NO INCLUYE FACTOR DE PRESTACIONES)</v>
          </cell>
          <cell r="I1569" t="str">
            <v>MES</v>
          </cell>
          <cell r="J1569">
            <v>1645000</v>
          </cell>
        </row>
        <row r="1570">
          <cell r="G1570">
            <v>9461</v>
          </cell>
          <cell r="H1570" t="str">
            <v>TARIFA MES - PERSONAL DE OBRA - OFICIAL (NO INCLUYE FACTOR DE PRESTACIONES)</v>
          </cell>
          <cell r="I1570" t="str">
            <v>MES</v>
          </cell>
          <cell r="J1570">
            <v>1740000</v>
          </cell>
        </row>
        <row r="1571">
          <cell r="G1571">
            <v>9462</v>
          </cell>
          <cell r="H1571" t="str">
            <v>TARIFA MES - PERSONAL DE OBRA - PLOMERO (NO INCLUYE FACTOR DE PRESTACIONES)</v>
          </cell>
          <cell r="I1571" t="str">
            <v>MES</v>
          </cell>
          <cell r="J1571">
            <v>2030000</v>
          </cell>
        </row>
        <row r="1572">
          <cell r="G1572">
            <v>9463</v>
          </cell>
          <cell r="H1572" t="str">
            <v>TARIFA MES - PERSONAL DE OBRA - TÉCNICO ELÉCTRICO (NO INCLUYE FACTOR DE PRESTACIONES)</v>
          </cell>
          <cell r="I1572" t="str">
            <v>MES</v>
          </cell>
          <cell r="J1572">
            <v>2030000</v>
          </cell>
        </row>
        <row r="1573">
          <cell r="G1573">
            <v>9464</v>
          </cell>
          <cell r="H1573" t="str">
            <v>TARIFA MES - PERSONAL DE OBRA - OPERARIO (NO INCLUYE FACTOR DE PRESTACIONES)</v>
          </cell>
          <cell r="I1573" t="str">
            <v>MES</v>
          </cell>
          <cell r="J1573">
            <v>2320000</v>
          </cell>
        </row>
        <row r="1574">
          <cell r="G1574">
            <v>9465</v>
          </cell>
          <cell r="H1574" t="str">
            <v>TARIFA MES - PROFESIONAL CATEGORÍA 1 (INCLUYE FACTOR DE PRESTACIONES)</v>
          </cell>
          <cell r="I1574" t="str">
            <v>MES</v>
          </cell>
          <cell r="J1574">
            <v>22807410</v>
          </cell>
        </row>
        <row r="1575">
          <cell r="G1575">
            <v>9466</v>
          </cell>
          <cell r="H1575" t="str">
            <v>TARIFA MES - PROFESIONAL CATEGORÍA 2 (INCLUYE FACTOR DE PRESTACIONES)</v>
          </cell>
          <cell r="I1575" t="str">
            <v>MES</v>
          </cell>
          <cell r="J1575">
            <v>15908485</v>
          </cell>
        </row>
        <row r="1576">
          <cell r="G1576">
            <v>9467</v>
          </cell>
          <cell r="H1576" t="str">
            <v>TARIFA MES - PROFESIONAL CATEGORÍA 3 (INCLUYE FACTOR DE PRESTACIONES)</v>
          </cell>
          <cell r="I1576" t="str">
            <v>MES</v>
          </cell>
          <cell r="J1576">
            <v>13429623</v>
          </cell>
        </row>
        <row r="1577">
          <cell r="G1577">
            <v>9468</v>
          </cell>
          <cell r="H1577" t="str">
            <v>TARIFA MES - PROFESIONAL CATEGORÍA 4 (INCLUYE FACTOR DE PRESTACIONES)</v>
          </cell>
          <cell r="I1577" t="str">
            <v>MES</v>
          </cell>
          <cell r="J1577">
            <v>11440163</v>
          </cell>
        </row>
        <row r="1578">
          <cell r="G1578">
            <v>9469</v>
          </cell>
          <cell r="H1578" t="str">
            <v>TARIFA MES - PROFESIONAL CATEGORÍA 5 (INCLUYE FACTOR DE PRESTACIONES)</v>
          </cell>
          <cell r="I1578" t="str">
            <v>MES</v>
          </cell>
          <cell r="J1578">
            <v>10320910</v>
          </cell>
        </row>
        <row r="1579">
          <cell r="G1579">
            <v>9470</v>
          </cell>
          <cell r="H1579" t="str">
            <v>TARIFA MES - PROFESIONAL CATEGORÍA 6 (INCLUYE FACTOR DE PRESTACIONES)</v>
          </cell>
          <cell r="I1579" t="str">
            <v>MES</v>
          </cell>
          <cell r="J1579">
            <v>9207450</v>
          </cell>
        </row>
        <row r="1580">
          <cell r="G1580">
            <v>9471</v>
          </cell>
          <cell r="H1580" t="str">
            <v>TARIFA MES - PROFESIONAL CATEGORÍA 7 (INCLUYE FACTOR DE PRESTACIONES)</v>
          </cell>
          <cell r="I1580" t="str">
            <v>MES</v>
          </cell>
          <cell r="J1580">
            <v>6968945</v>
          </cell>
        </row>
        <row r="1581">
          <cell r="G1581">
            <v>9472</v>
          </cell>
          <cell r="H1581" t="str">
            <v>TARIFA MES - PROFESIONAL CATEGORÍA 8 (INCLUYE FACTOR DE PRESTACIONES)</v>
          </cell>
          <cell r="I1581" t="str">
            <v>MES</v>
          </cell>
          <cell r="J1581">
            <v>6578003</v>
          </cell>
        </row>
        <row r="1582">
          <cell r="G1582">
            <v>9473</v>
          </cell>
          <cell r="H1582" t="str">
            <v>TARIFA MES - PERSONAL TÉCNICO - TECNÓLOGO EN ÁREAS DE INGENIERÍA (INCLUYE FACTOR DE PRESTACIONES)</v>
          </cell>
          <cell r="I1582" t="str">
            <v>MES</v>
          </cell>
          <cell r="J1582">
            <v>4323570</v>
          </cell>
        </row>
        <row r="1583">
          <cell r="G1583">
            <v>9474</v>
          </cell>
          <cell r="H1583" t="str">
            <v>TARIFA MES - PERSONAL TÉCNICO - AUXILIAR DE INGENIERÍA (INCLUYE FACTOR DE PRESTACIONES)</v>
          </cell>
          <cell r="I1583" t="str">
            <v>MES</v>
          </cell>
          <cell r="J1583">
            <v>3803763</v>
          </cell>
        </row>
        <row r="1584">
          <cell r="G1584">
            <v>9475</v>
          </cell>
          <cell r="H1584" t="str">
            <v>TARIFA MES - PERSONAL TÉCNICO - DIBUJANTE 1 (INCLUYE FACTOR DE PRESTACIONES)</v>
          </cell>
          <cell r="I1584" t="str">
            <v>MES</v>
          </cell>
          <cell r="J1584">
            <v>3987650</v>
          </cell>
        </row>
        <row r="1585">
          <cell r="G1585">
            <v>9476</v>
          </cell>
          <cell r="H1585" t="str">
            <v>TARIFA MES - PERSONAL TÉCNICO - DIBUJANTE 2 (INCLUYE FACTOR DE PRESTACIONES)</v>
          </cell>
          <cell r="I1585" t="str">
            <v>MES</v>
          </cell>
          <cell r="J1585">
            <v>3430534</v>
          </cell>
        </row>
        <row r="1586">
          <cell r="G1586">
            <v>9477</v>
          </cell>
          <cell r="H1586" t="str">
            <v>TARIFA MES - PERSONAL TÉCNICO - TOPÓGRAFO INSPECTOR (INCLUYE FACTOR DE PRESTACIONES)</v>
          </cell>
          <cell r="I1586" t="str">
            <v>MES</v>
          </cell>
          <cell r="J1586">
            <v>4506009</v>
          </cell>
        </row>
        <row r="1587">
          <cell r="G1587">
            <v>9478</v>
          </cell>
          <cell r="H1587" t="str">
            <v>TARIFA MES - PERSONAL TÉCNICO - TOPÓGRAFO AUXILIAR (INCLUYE FACTOR DE PRESTACIONES)</v>
          </cell>
          <cell r="I1587" t="str">
            <v>MES</v>
          </cell>
          <cell r="J1587">
            <v>3700958</v>
          </cell>
        </row>
        <row r="1588">
          <cell r="G1588">
            <v>9479</v>
          </cell>
          <cell r="H1588" t="str">
            <v>TARIFA MES - PERSONAL TÉCNICO - BATIMETRISTA INSPECTOR (INCLUYE FACTOR DE PRESTACIONES)</v>
          </cell>
          <cell r="I1588" t="str">
            <v>MES</v>
          </cell>
          <cell r="J1588">
            <v>4506009</v>
          </cell>
        </row>
        <row r="1589">
          <cell r="G1589">
            <v>9480</v>
          </cell>
          <cell r="H1589" t="str">
            <v>TARIFA MES - PERSONAL TÉCNICO - BATIMETRISTA AUXILIAR (INCLUYE FACTOR DE PRESTACIONES)</v>
          </cell>
          <cell r="I1589" t="str">
            <v>MES</v>
          </cell>
          <cell r="J1589">
            <v>3700958</v>
          </cell>
        </row>
        <row r="1590">
          <cell r="G1590">
            <v>9481</v>
          </cell>
          <cell r="H1590" t="str">
            <v>TARIFA MES - PERSONAL TÉCNICO - LABORATORISTA INSPECTOR (INCLUYE FACTOR DE PRESTACIONES)</v>
          </cell>
          <cell r="I1590" t="str">
            <v>MES</v>
          </cell>
          <cell r="J1590">
            <v>3994890</v>
          </cell>
        </row>
        <row r="1591">
          <cell r="G1591">
            <v>9482</v>
          </cell>
          <cell r="H1591" t="str">
            <v>TARIFA MES - PERSONAL TÉCNICO - LABORATORISTA AUXILIAR (INCLUYE FACTOR DE PRESTACIONES)</v>
          </cell>
          <cell r="I1591" t="str">
            <v>MES</v>
          </cell>
          <cell r="J1591">
            <v>3007737</v>
          </cell>
        </row>
        <row r="1592">
          <cell r="G1592">
            <v>9483</v>
          </cell>
          <cell r="H1592" t="str">
            <v>TARIFA MES - PERSONAL TÉCNICO - INSPECTOR 1 (INCLUYE FACTOR DE PRESTACIONES)</v>
          </cell>
          <cell r="I1592" t="str">
            <v>MES</v>
          </cell>
          <cell r="J1592">
            <v>3488450</v>
          </cell>
        </row>
        <row r="1593">
          <cell r="G1593">
            <v>9484</v>
          </cell>
          <cell r="H1593" t="str">
            <v>TARIFA MES - PERSONAL TÉCNICO - INSPECTOR 2 (INCLUYE FACTOR DE PRESTACIONES)</v>
          </cell>
          <cell r="I1593" t="str">
            <v>MES</v>
          </cell>
          <cell r="J1593">
            <v>3164114</v>
          </cell>
        </row>
        <row r="1594">
          <cell r="G1594">
            <v>9485</v>
          </cell>
          <cell r="H1594" t="str">
            <v>TARIFA MES - PERSONAL ADMINISTRATIVO - ADMINISTRADOR (INCLUYE FACTOR DE PRESTACIONES)</v>
          </cell>
          <cell r="I1594" t="str">
            <v>MES</v>
          </cell>
          <cell r="J1594">
            <v>4197599</v>
          </cell>
        </row>
        <row r="1595">
          <cell r="G1595">
            <v>9486</v>
          </cell>
          <cell r="H1595" t="str">
            <v>TARIFA MES - PERSONAL ADMINISTRATIVO - AUXILIAR ADMINISTRATIVO-ALMACENISTA (INCLUYE FACTOR DE PRESTACIONES)</v>
          </cell>
          <cell r="I1595" t="str">
            <v>MES</v>
          </cell>
          <cell r="J1595">
            <v>3204657</v>
          </cell>
        </row>
        <row r="1596">
          <cell r="G1596">
            <v>9487</v>
          </cell>
          <cell r="H1596" t="str">
            <v>TARIFA MES - PERSONAL ADMINISTRATIVO - SECRETARIA 1 (INCLUYE FACTOR DE PRESTACIONES)</v>
          </cell>
          <cell r="I1596" t="str">
            <v>MES</v>
          </cell>
          <cell r="J1596">
            <v>2650098</v>
          </cell>
        </row>
        <row r="1597">
          <cell r="G1597">
            <v>9488</v>
          </cell>
          <cell r="H1597" t="str">
            <v>TARIFA MES - PERSONAL ADMINISTRATIVO - SECRETARIA 2 (INCLUYE FACTOR DE PRESTACIONES)</v>
          </cell>
          <cell r="I1597" t="str">
            <v>MES</v>
          </cell>
          <cell r="J1597">
            <v>2243229</v>
          </cell>
        </row>
        <row r="1598">
          <cell r="G1598">
            <v>9489</v>
          </cell>
          <cell r="H1598" t="str">
            <v>TARIFA MES - PERSONAL AUXILIAR TÉCNICO - CADENERO 1 (INCLUYE FACTOR DE PRESTACIONES)</v>
          </cell>
          <cell r="I1598" t="str">
            <v>MES</v>
          </cell>
          <cell r="J1598">
            <v>3007737</v>
          </cell>
        </row>
        <row r="1599">
          <cell r="G1599">
            <v>9490</v>
          </cell>
          <cell r="H1599" t="str">
            <v>TARIFA MES - PERSONAL AUXILIAR TÉCNICO - CADENERO 2 (INCLUYE FACTOR DE PRESTACIONES)</v>
          </cell>
          <cell r="I1599" t="str">
            <v>MES</v>
          </cell>
          <cell r="J1599">
            <v>2650098</v>
          </cell>
        </row>
        <row r="1600">
          <cell r="G1600">
            <v>9491</v>
          </cell>
          <cell r="H1600" t="str">
            <v>TARIFA MES - PERSONAL AUXILIAR TÉCNICO - SECRETARIA - CONDUCTOR O MOTORISTA (INCLUYE FACTOR DE PRESTACIONES)</v>
          </cell>
          <cell r="I1600" t="str">
            <v>MES</v>
          </cell>
          <cell r="J1600">
            <v>2243229</v>
          </cell>
        </row>
        <row r="1601">
          <cell r="G1601">
            <v>9492</v>
          </cell>
          <cell r="H1601" t="str">
            <v>TARIFA MES - PERSONAL DE OBRA - MAESTRO DE OBRA (INCLUYE FACTOR DE PRESTACIONES)</v>
          </cell>
          <cell r="I1601" t="str">
            <v>MES</v>
          </cell>
          <cell r="J1601">
            <v>5067807</v>
          </cell>
        </row>
        <row r="1602">
          <cell r="G1602">
            <v>9493</v>
          </cell>
          <cell r="H1602" t="str">
            <v>TARIFA MES - PERSONAL DE OBRA - OFICIAL (INCLUYE FACTOR DE PRESTACIONES)</v>
          </cell>
          <cell r="I1602" t="str">
            <v>MES</v>
          </cell>
          <cell r="J1602">
            <v>2751453</v>
          </cell>
        </row>
        <row r="1603">
          <cell r="G1603">
            <v>9494</v>
          </cell>
          <cell r="H1603" t="str">
            <v>TARIFA MES - PERSONAL DE OBRA - OPERARIO (INCLUYE FACTOR DE PRESTACIONES)</v>
          </cell>
          <cell r="I1603" t="str">
            <v>MES</v>
          </cell>
          <cell r="J1603">
            <v>3591255</v>
          </cell>
        </row>
        <row r="1604">
          <cell r="G1604">
            <v>9495</v>
          </cell>
          <cell r="H1604" t="str">
            <v>TUERCAS POR KG</v>
          </cell>
          <cell r="I1604" t="str">
            <v>KG</v>
          </cell>
          <cell r="J1604">
            <v>11513</v>
          </cell>
        </row>
        <row r="1605">
          <cell r="G1605">
            <v>9496</v>
          </cell>
          <cell r="H1605" t="str">
            <v>PERNOS POR Kg</v>
          </cell>
          <cell r="I1605" t="str">
            <v>KG</v>
          </cell>
          <cell r="J1605">
            <v>9670</v>
          </cell>
        </row>
        <row r="1606">
          <cell r="G1606">
            <v>9497</v>
          </cell>
          <cell r="H1606" t="str">
            <v>TARIFA JORNAL - PERSONAL DE OBRA - AYUDANTE - HORARIO NOCTURNO (INCLUYE FACTOR DE PRESTACIONES)</v>
          </cell>
          <cell r="I1606" t="str">
            <v>HR</v>
          </cell>
          <cell r="J1606">
            <v>11000</v>
          </cell>
        </row>
        <row r="1607">
          <cell r="G1607">
            <v>9499</v>
          </cell>
          <cell r="H1607" t="str">
            <v>CONCRETO TREMIE GRAVA FINA 3500 PSI</v>
          </cell>
          <cell r="I1607" t="str">
            <v>M3</v>
          </cell>
          <cell r="J1607">
            <v>547041</v>
          </cell>
        </row>
        <row r="1608">
          <cell r="G1608">
            <v>9500</v>
          </cell>
          <cell r="H1608" t="str">
            <v>LÁMINA COLABORANTE 2" CALIBRE 16 (1.50mm)</v>
          </cell>
          <cell r="I1608" t="str">
            <v>M2</v>
          </cell>
          <cell r="J1608">
            <v>106505</v>
          </cell>
        </row>
        <row r="1609">
          <cell r="G1609">
            <v>9501</v>
          </cell>
          <cell r="H1609" t="str">
            <v>LÁMINA COLABORANTE 2" CALIBRE 18 (1.20mm)</v>
          </cell>
          <cell r="I1609" t="str">
            <v>M2</v>
          </cell>
          <cell r="J1609">
            <v>77683</v>
          </cell>
        </row>
        <row r="1610">
          <cell r="G1610">
            <v>9502</v>
          </cell>
          <cell r="H1610" t="str">
            <v>TABLILLA EN TEKA PARA PISO TIPO DECK DE 8cm x 2cm</v>
          </cell>
          <cell r="I1610" t="str">
            <v>M2</v>
          </cell>
          <cell r="J1610">
            <v>115956</v>
          </cell>
        </row>
        <row r="1611">
          <cell r="G1611">
            <v>9505</v>
          </cell>
          <cell r="H1611" t="str">
            <v>TARIFA JORNAL- PROFESIONAL CATEGORÍA 1 (INCLUYE FACTOR DE PRESTACIONES)</v>
          </cell>
          <cell r="I1611" t="str">
            <v>JR</v>
          </cell>
          <cell r="J1611">
            <v>760246</v>
          </cell>
        </row>
        <row r="1612">
          <cell r="G1612">
            <v>9506</v>
          </cell>
          <cell r="H1612" t="str">
            <v>TARIFA JORNAL - PROFESIONAL CATEGORÍA 2 (INCLUYE FACTOR DE PRESTACIONES)</v>
          </cell>
          <cell r="I1612" t="str">
            <v>JR</v>
          </cell>
          <cell r="J1612">
            <v>530283</v>
          </cell>
        </row>
        <row r="1613">
          <cell r="G1613">
            <v>9507</v>
          </cell>
          <cell r="H1613" t="str">
            <v>TARIFA JORNAL - PROFESIONAL CATEGORÍA 3 (INCLUYE FACTOR DE PRESTACIONES)</v>
          </cell>
          <cell r="I1613" t="str">
            <v>JR</v>
          </cell>
          <cell r="J1613">
            <v>447654</v>
          </cell>
        </row>
        <row r="1614">
          <cell r="G1614">
            <v>9508</v>
          </cell>
          <cell r="H1614" t="str">
            <v>TARIFA JORNAL - PROFESIONAL CATEGORÍA 4 (INCLUYE FACTOR DE PRESTACIONES)</v>
          </cell>
          <cell r="I1614" t="str">
            <v>JR</v>
          </cell>
          <cell r="J1614">
            <v>381338</v>
          </cell>
        </row>
        <row r="1615">
          <cell r="G1615">
            <v>9509</v>
          </cell>
          <cell r="H1615" t="str">
            <v>TARIFA JORNAL - PROFESIONAL CATEGORÍA 5 (INCLUYE FACTOR DE PRESTACIONES)</v>
          </cell>
          <cell r="I1615" t="str">
            <v>JR</v>
          </cell>
          <cell r="J1615">
            <v>344030</v>
          </cell>
        </row>
        <row r="1616">
          <cell r="G1616">
            <v>9510</v>
          </cell>
          <cell r="H1616" t="str">
            <v>TARIFA JORNAL - PROFESIONAL CATEGORÍA 6 (INCLUYE FACTOR DE PRESTACIONES)</v>
          </cell>
          <cell r="I1616" t="str">
            <v>JR</v>
          </cell>
          <cell r="J1616">
            <v>306894</v>
          </cell>
        </row>
        <row r="1617">
          <cell r="G1617">
            <v>9511</v>
          </cell>
          <cell r="H1617" t="str">
            <v>TARIFA JORNAL - PROFESIONAL CATEGORÍA 7 (INCLUYE FACTOR DE PRESTACIONES)</v>
          </cell>
          <cell r="I1617" t="str">
            <v>JR</v>
          </cell>
          <cell r="J1617">
            <v>232298</v>
          </cell>
        </row>
        <row r="1618">
          <cell r="G1618">
            <v>9512</v>
          </cell>
          <cell r="H1618" t="str">
            <v>TARIFA JORNAL - PERSONAL TÉCNICO - TECNÓLOGO EN ÁREAS DE INGENIERÍA (INCLUYE FACTOR DE PRESTACIONES)</v>
          </cell>
          <cell r="I1618" t="str">
            <v>JR</v>
          </cell>
          <cell r="J1618">
            <v>144118</v>
          </cell>
        </row>
        <row r="1619">
          <cell r="G1619">
            <v>9513</v>
          </cell>
          <cell r="H1619" t="str">
            <v>TARIFA JORNAL - PERSONAL TÉCNICO - AUXILIAR DE INGENIERÍA (INCLUYE FACTOR DE PRESTACIONES)</v>
          </cell>
          <cell r="I1619" t="str">
            <v>JR</v>
          </cell>
          <cell r="J1619">
            <v>126791</v>
          </cell>
        </row>
        <row r="1620">
          <cell r="G1620">
            <v>9514</v>
          </cell>
          <cell r="H1620" t="str">
            <v>TARIFA JORNAL - PERSONAL TÉCNICO - DIBUJANTE 1 (INCLUYE FACTOR DE PRESTACIONES)</v>
          </cell>
          <cell r="I1620" t="str">
            <v>JR</v>
          </cell>
          <cell r="J1620">
            <v>132922</v>
          </cell>
        </row>
        <row r="1621">
          <cell r="G1621">
            <v>9515</v>
          </cell>
          <cell r="H1621" t="str">
            <v>TARIFA JORNAL - PERSONAL TÉCNICO - DIBUJANTE 2 (INCLUYE FACTOR DE PRESTACIONES)</v>
          </cell>
          <cell r="I1621" t="str">
            <v>JR</v>
          </cell>
          <cell r="J1621">
            <v>114350</v>
          </cell>
        </row>
        <row r="1622">
          <cell r="G1622">
            <v>9516</v>
          </cell>
          <cell r="H1622" t="str">
            <v>TARIFA JORNAL - PERSONAL TÉCNICO - TOPÓGRAFO AUXILIAR (INCLUYE FACTOR DE PRESTACIONES)</v>
          </cell>
          <cell r="I1622" t="str">
            <v>JR</v>
          </cell>
          <cell r="J1622">
            <v>123366</v>
          </cell>
        </row>
        <row r="1623">
          <cell r="G1623">
            <v>9517</v>
          </cell>
          <cell r="H1623" t="str">
            <v>TARIFA JORNAL - PERSONAL TÉCNICO - BATIMETRISTA INSPECTOR (INCLUYE FACTOR DE PRESTACIONES)</v>
          </cell>
          <cell r="I1623" t="str">
            <v>JR</v>
          </cell>
          <cell r="J1623">
            <v>150201</v>
          </cell>
        </row>
        <row r="1624">
          <cell r="G1624">
            <v>9518</v>
          </cell>
          <cell r="H1624" t="str">
            <v>TARIFA JORNAL - PERSONAL TÉCNICO - BATIMETRISTA AUXILIAR (INCLUYE FACTOR DE PRESTACIONES)</v>
          </cell>
          <cell r="I1624" t="str">
            <v>JR</v>
          </cell>
          <cell r="J1624">
            <v>123366</v>
          </cell>
        </row>
        <row r="1625">
          <cell r="G1625">
            <v>9519</v>
          </cell>
          <cell r="H1625" t="str">
            <v>TARIFA JORNAL - PERSONAL TÉCNICO - LABORATORISTA INSPECTOR (INCLUYE FACTOR DE PRESTACIONES)</v>
          </cell>
          <cell r="I1625" t="str">
            <v>JR</v>
          </cell>
          <cell r="J1625">
            <v>133163</v>
          </cell>
        </row>
        <row r="1626">
          <cell r="G1626">
            <v>9520</v>
          </cell>
          <cell r="H1626" t="str">
            <v>TARIFA JORNAL - PERSONAL TÉCNICO - LABORATORISTA AUXILIAR (INCLUYE FACTOR DE PRESTACIONES)</v>
          </cell>
          <cell r="I1626" t="str">
            <v>JR</v>
          </cell>
          <cell r="J1626">
            <v>100258</v>
          </cell>
        </row>
        <row r="1627">
          <cell r="G1627">
            <v>9521</v>
          </cell>
          <cell r="H1627" t="str">
            <v>TARIFA JORNAL - PERSONAL TÉCNICO - OPERADOR EQUIPO PERFORACIÓN (INCLUYE FACTOR DE PRESTACIONES)</v>
          </cell>
          <cell r="I1627" t="str">
            <v>JR</v>
          </cell>
          <cell r="J1627">
            <v>119697</v>
          </cell>
        </row>
        <row r="1628">
          <cell r="G1628">
            <v>9522</v>
          </cell>
          <cell r="H1628" t="str">
            <v>TARIFA JORNAL - PERSONAL TÉCNICO - OPERADOR AUXILIAR DE EQUIPO (INCLUYE FACTOR DE PRESTACIONES)</v>
          </cell>
          <cell r="I1628" t="str">
            <v>JR</v>
          </cell>
          <cell r="J1628">
            <v>87130</v>
          </cell>
        </row>
        <row r="1629">
          <cell r="G1629">
            <v>9523</v>
          </cell>
          <cell r="H1629" t="str">
            <v>TARIFA JORNAL- PERSONAL ADMINISTRATIVO - ADMINISTRADOR (INCLUYE FACTOR DE PRESTACIONES)</v>
          </cell>
          <cell r="I1629" t="str">
            <v>JR</v>
          </cell>
          <cell r="J1629">
            <v>139920</v>
          </cell>
        </row>
        <row r="1630">
          <cell r="G1630">
            <v>9524</v>
          </cell>
          <cell r="H1630" t="str">
            <v>TARIFA JORNAL - PERSONAL ADMINISTRATIVO - AUXILIAR ADMINISTRATIVO-ALMACENISTA (INCLUYE FACTOR DE PRESTACIONES)</v>
          </cell>
          <cell r="I1630" t="str">
            <v>JR</v>
          </cell>
          <cell r="J1630">
            <v>106822</v>
          </cell>
        </row>
        <row r="1631">
          <cell r="G1631">
            <v>9525</v>
          </cell>
          <cell r="H1631" t="str">
            <v>TARIFA JORNAL - PERSONAL ADMINISTRATIVO - SECRETARIA 1 (INCLUYE FACTOR DE PRESTACIONES)</v>
          </cell>
          <cell r="I1631" t="str">
            <v>JR</v>
          </cell>
          <cell r="J1631">
            <v>88336</v>
          </cell>
        </row>
        <row r="1632">
          <cell r="G1632">
            <v>9526</v>
          </cell>
          <cell r="H1632" t="str">
            <v>TARIFA JORNAL - PERSONAL ADMINISTRATIVO - SECRETARIA 2 (INCLUYE FACTOR DE PRESTACIONES)</v>
          </cell>
          <cell r="I1632" t="str">
            <v>JR</v>
          </cell>
          <cell r="J1632">
            <v>74775</v>
          </cell>
        </row>
        <row r="1633">
          <cell r="G1633">
            <v>9527</v>
          </cell>
          <cell r="H1633" t="str">
            <v>TARIFA JORNAL - PERSONAL AUXILIAR TÉCNICO - CADENERO 1 (INCLUYE FACTOR DE PRESTACIONES)</v>
          </cell>
          <cell r="I1633" t="str">
            <v>JR</v>
          </cell>
          <cell r="J1633">
            <v>100258</v>
          </cell>
        </row>
        <row r="1634">
          <cell r="G1634">
            <v>9528</v>
          </cell>
          <cell r="H1634" t="str">
            <v>TARIFA JORNAL - PERSONAL AUXILIAR TÉCNICO - SECRETARIA - CONDUCTOR O MOTORISTA (INCLUYE FACTOR DE PRESTACIONES)</v>
          </cell>
          <cell r="I1634" t="str">
            <v>JR</v>
          </cell>
          <cell r="J1634">
            <v>74775</v>
          </cell>
        </row>
        <row r="1635">
          <cell r="G1635">
            <v>9529</v>
          </cell>
          <cell r="H1635" t="str">
            <v>TARIFA JORNAL- PERSONAL DE OBRA - MAESTRO DE OBRA (INCLUYE FACTOR DE PRESTACIONES)</v>
          </cell>
          <cell r="I1635" t="str">
            <v>JR</v>
          </cell>
          <cell r="J1635">
            <v>168926</v>
          </cell>
        </row>
        <row r="1636">
          <cell r="G1636">
            <v>9530</v>
          </cell>
          <cell r="H1636" t="str">
            <v>TARIFA MES - PERSONAL DE OBRA - TÉCNICO ELÉCTRICO (INCLUYE FACTOR DE PRESTACIONES)</v>
          </cell>
          <cell r="I1636" t="str">
            <v>MES</v>
          </cell>
          <cell r="J1636">
            <v>3171353</v>
          </cell>
        </row>
        <row r="1637">
          <cell r="G1637">
            <v>9531</v>
          </cell>
          <cell r="H1637" t="str">
            <v>TARIFA HORA - PROFESIONAL CATEGORIA 1 (INCLUYE FACTOR DE PRESTACIONES)</v>
          </cell>
          <cell r="I1637" t="str">
            <v>HR</v>
          </cell>
          <cell r="J1637">
            <v>95031</v>
          </cell>
        </row>
        <row r="1638">
          <cell r="G1638">
            <v>9532</v>
          </cell>
          <cell r="H1638" t="str">
            <v>TARIFA HORA - PROFESIONAL CATEGORÍA 2 (INCLUYE FACTOR DE PRESTACIONES)</v>
          </cell>
          <cell r="I1638" t="str">
            <v>HR</v>
          </cell>
          <cell r="J1638">
            <v>66285</v>
          </cell>
        </row>
        <row r="1639">
          <cell r="G1639">
            <v>9533</v>
          </cell>
          <cell r="H1639" t="str">
            <v>TARIFA HORA - PROFESIONAL CATEGORÍA 3 (INCLUYE FACTOR DE PRESTACIONES)</v>
          </cell>
          <cell r="I1639" t="str">
            <v>HR</v>
          </cell>
          <cell r="J1639">
            <v>55957</v>
          </cell>
        </row>
        <row r="1640">
          <cell r="G1640">
            <v>9534</v>
          </cell>
          <cell r="H1640" t="str">
            <v>TARIFA HORA - PROFESIONAL CATEGORÍA 4 (INCLUYE FACTOR DE PRESTACIONES)</v>
          </cell>
          <cell r="I1640" t="str">
            <v>HR</v>
          </cell>
          <cell r="J1640">
            <v>47668</v>
          </cell>
        </row>
        <row r="1641">
          <cell r="G1641">
            <v>9535</v>
          </cell>
          <cell r="H1641" t="str">
            <v>TARIFA HORA - PROFESIONAL CATEGORÍA 5 (INCLUYE FACTOR DE PRESTACIONES)</v>
          </cell>
          <cell r="I1641" t="str">
            <v>HR</v>
          </cell>
          <cell r="J1641">
            <v>43004</v>
          </cell>
        </row>
        <row r="1642">
          <cell r="G1642">
            <v>9536</v>
          </cell>
          <cell r="H1642" t="str">
            <v>TARIFA HORA - PROFESIONAL CATEGORÍA 6 (INCLUYE FACTOR DE PRESTACIONES)</v>
          </cell>
          <cell r="I1642" t="str">
            <v>HR</v>
          </cell>
          <cell r="J1642">
            <v>38365</v>
          </cell>
        </row>
        <row r="1643">
          <cell r="G1643">
            <v>9537</v>
          </cell>
          <cell r="H1643" t="str">
            <v>TARIFA HORA - PROFESIONAL CATEGORÍA 7 (INCLUYE FACTOR DE PRESTACIONES)</v>
          </cell>
          <cell r="I1643" t="str">
            <v>HR</v>
          </cell>
          <cell r="J1643">
            <v>29038</v>
          </cell>
        </row>
        <row r="1644">
          <cell r="G1644">
            <v>9538</v>
          </cell>
          <cell r="H1644" t="str">
            <v>TARIFA HORA - PROFESIONAL CATEGORÍA 8 (INCLUYE FACTOR DE PRESTACIONES)</v>
          </cell>
          <cell r="I1644" t="str">
            <v>HR</v>
          </cell>
          <cell r="J1644">
            <v>27408</v>
          </cell>
        </row>
        <row r="1645">
          <cell r="G1645">
            <v>9539</v>
          </cell>
          <cell r="H1645" t="str">
            <v>TARIFA HORA - PERSONAL TÉCNICO - TECNÓLOGO EN ÁREAS DE INGENIERÍA (INCLUYE FACTOR DE PRESTACIONES)</v>
          </cell>
          <cell r="I1645" t="str">
            <v>HR</v>
          </cell>
          <cell r="J1645">
            <v>18014</v>
          </cell>
        </row>
        <row r="1646">
          <cell r="G1646">
            <v>9540</v>
          </cell>
          <cell r="H1646" t="str">
            <v>TARIFA HORA - PERSONAL TÉCNICO - AUXILIAR DE INGENIERÍA (INCLUYE FACTOR DE PRESTACIONES)</v>
          </cell>
          <cell r="I1646" t="str">
            <v>HR</v>
          </cell>
          <cell r="J1646">
            <v>15849</v>
          </cell>
        </row>
        <row r="1647">
          <cell r="G1647">
            <v>9541</v>
          </cell>
          <cell r="H1647" t="str">
            <v>TARIFA HORA - PERSONAL TÉCNICO - DIBUJANTE 1 (INCLUYE FACTOR DE PRESTACIONES)</v>
          </cell>
          <cell r="I1647" t="str">
            <v>HR</v>
          </cell>
          <cell r="J1647">
            <v>16615</v>
          </cell>
        </row>
        <row r="1648">
          <cell r="G1648">
            <v>9542</v>
          </cell>
          <cell r="H1648" t="str">
            <v>TARIFA HORA - PERSONAL TÉCNICO - DIBUJANTE 2 (INCLUYE FACTOR DE PRESTACIONES)</v>
          </cell>
          <cell r="I1648" t="str">
            <v>HR</v>
          </cell>
          <cell r="J1648">
            <v>14294</v>
          </cell>
        </row>
        <row r="1649">
          <cell r="G1649">
            <v>9543</v>
          </cell>
          <cell r="H1649" t="str">
            <v>TARIFA HORA - PERSONAL TÉCNICO - TOPÓGRAFO INSPECTOR (INCLUYE FACTOR DE PRESTACIONES)</v>
          </cell>
          <cell r="I1649" t="str">
            <v>HR</v>
          </cell>
          <cell r="J1649">
            <v>18774</v>
          </cell>
        </row>
        <row r="1650">
          <cell r="G1650">
            <v>9544</v>
          </cell>
          <cell r="H1650" t="str">
            <v>TARIFA HORA - PERSONAL TÉCNICO - TOPÓGRAFO AUXILIAR (INCLUYE FACTOR DE PRESTACIONES)</v>
          </cell>
          <cell r="I1650" t="str">
            <v>HR</v>
          </cell>
          <cell r="J1650">
            <v>15420</v>
          </cell>
        </row>
        <row r="1651">
          <cell r="G1651">
            <v>9545</v>
          </cell>
          <cell r="H1651" t="str">
            <v>TARIFA HORA - PERSONAL TÉCNICO - BATIMETRISTA INSPECTOR (INCLUYE FACTOR DE PRESTACIONES)</v>
          </cell>
          <cell r="I1651" t="str">
            <v>HR</v>
          </cell>
          <cell r="J1651">
            <v>18774</v>
          </cell>
        </row>
        <row r="1652">
          <cell r="G1652">
            <v>9546</v>
          </cell>
          <cell r="H1652" t="str">
            <v>TARIFA HORA - PERSONAL TÉCNICO - BATIMETRISTA AUXILIAR (INCLUYE FACTOR DE PRESTACIONES)</v>
          </cell>
          <cell r="I1652" t="str">
            <v>HR</v>
          </cell>
          <cell r="J1652">
            <v>15420</v>
          </cell>
        </row>
        <row r="1653">
          <cell r="G1653">
            <v>9547</v>
          </cell>
          <cell r="H1653" t="str">
            <v>TARIFA HORA - PERSONAL TÉCNICO - LABORATORISTA INSPECTOR (INCLUYE FACTOR DE PRESTACIONES)</v>
          </cell>
          <cell r="I1653" t="str">
            <v>HR</v>
          </cell>
          <cell r="J1653">
            <v>16646</v>
          </cell>
        </row>
        <row r="1654">
          <cell r="G1654">
            <v>9548</v>
          </cell>
          <cell r="H1654" t="str">
            <v>TARIFA HORA - PERSONAL TÉCNICO - LABORATORISTA AUXILIAR (INCLUYE FACTOR DE PRESTACIONES)</v>
          </cell>
          <cell r="I1654" t="str">
            <v>HR</v>
          </cell>
          <cell r="J1654">
            <v>12532</v>
          </cell>
        </row>
        <row r="1655">
          <cell r="G1655">
            <v>9549</v>
          </cell>
          <cell r="H1655" t="str">
            <v>TARIFA HORA - PERSONAL TÉCNICO - OPERADOR EQUIPO PERFORACIÓN (INCLUYE FACTOR DE PRESTACIONES)</v>
          </cell>
          <cell r="I1655" t="str">
            <v>HR</v>
          </cell>
          <cell r="J1655">
            <v>14962</v>
          </cell>
        </row>
        <row r="1656">
          <cell r="G1656">
            <v>9550</v>
          </cell>
          <cell r="H1656" t="str">
            <v>TARIFA HORA - PERSONAL TÉCNICO - OPERADOR AUXILIAR DE EQUIPO (INCLUYE FACTOR DE PRESTACIONES)</v>
          </cell>
          <cell r="I1656" t="str">
            <v>HR</v>
          </cell>
          <cell r="J1656">
            <v>10891</v>
          </cell>
        </row>
        <row r="1657">
          <cell r="G1657">
            <v>9551</v>
          </cell>
          <cell r="H1657" t="str">
            <v>TARIFA HORA - PERSONAL TÉCNICO - INSPECTOR 1 (INCLUYE FACTOR DE PRESTACIONES)</v>
          </cell>
          <cell r="I1657" t="str">
            <v>HR</v>
          </cell>
          <cell r="J1657">
            <v>14535</v>
          </cell>
        </row>
        <row r="1658">
          <cell r="G1658">
            <v>9552</v>
          </cell>
          <cell r="H1658" t="str">
            <v>TARIFA HORA - PERSONAL TÉCNICO - INSPECTOR 2 (INCLUYE FACTOR DE PRESTACIONES)</v>
          </cell>
          <cell r="I1658" t="str">
            <v>HR</v>
          </cell>
          <cell r="J1658">
            <v>13184</v>
          </cell>
        </row>
        <row r="1659">
          <cell r="G1659">
            <v>9553</v>
          </cell>
          <cell r="H1659" t="str">
            <v>TARIFA HORA- PERSONAL ADMINISTRATIVO - ADMINISTRADOR (INCLUYE FACTOR DE PRESTACIONES)</v>
          </cell>
          <cell r="I1659" t="str">
            <v>HR</v>
          </cell>
          <cell r="J1659">
            <v>17490</v>
          </cell>
        </row>
        <row r="1660">
          <cell r="G1660">
            <v>9554</v>
          </cell>
          <cell r="H1660" t="str">
            <v>TARIFA HORA - PERSONAL ADMINISTRATIVO - AUXILIAR ADMINISTRATIVO-ALMACENISTA (INCLUYE FACTOR DE PRESTACIONES)</v>
          </cell>
          <cell r="I1660" t="str">
            <v>HR</v>
          </cell>
          <cell r="J1660">
            <v>13353</v>
          </cell>
        </row>
        <row r="1661">
          <cell r="G1661">
            <v>9555</v>
          </cell>
          <cell r="H1661" t="str">
            <v>TARIFA HORA - PERSONAL ADMINISTRATIVO - SECRETARIA 1 (INCLUYE FACTOR DE PRESTACIONES)</v>
          </cell>
          <cell r="I1661" t="str">
            <v>HR</v>
          </cell>
          <cell r="J1661">
            <v>11042</v>
          </cell>
        </row>
        <row r="1662">
          <cell r="G1662">
            <v>9556</v>
          </cell>
          <cell r="H1662" t="str">
            <v>TARIFA HORA - PERSONAL ADMINISTRATIVO - SECRETARIA 2 (INCLUYE FACTOR DE PRESTACIONES)</v>
          </cell>
          <cell r="I1662" t="str">
            <v>HR</v>
          </cell>
          <cell r="J1662">
            <v>9346</v>
          </cell>
        </row>
        <row r="1663">
          <cell r="G1663">
            <v>9557</v>
          </cell>
          <cell r="H1663" t="str">
            <v>TARIFA HORA - PERSONAL AUXILIAR TÉCNICO - CADENERO 1 (INCLUYE FACTOR DE PRESTACIONES)</v>
          </cell>
          <cell r="I1663" t="str">
            <v>HR</v>
          </cell>
          <cell r="J1663">
            <v>12532</v>
          </cell>
        </row>
        <row r="1664">
          <cell r="G1664">
            <v>9558</v>
          </cell>
          <cell r="H1664" t="str">
            <v>TARIFA HORA - PERSONAL AUXILIAR TÉCNICO - CADENERO 2 (INCLUYE FACTOR DE PRESTACIONES)</v>
          </cell>
          <cell r="I1664" t="str">
            <v>HR</v>
          </cell>
          <cell r="J1664">
            <v>11042</v>
          </cell>
        </row>
        <row r="1665">
          <cell r="G1665">
            <v>9559</v>
          </cell>
          <cell r="H1665" t="str">
            <v>TARIFA HORA - PERSONAL AUXILIAR TÉCNICO - SECRETARIA - CONDUCTOR O MOTORISTA (INCLUYE FACTOR DE PRESTACIONES)</v>
          </cell>
          <cell r="I1665" t="str">
            <v>HR</v>
          </cell>
          <cell r="J1665">
            <v>9346</v>
          </cell>
        </row>
        <row r="1666">
          <cell r="G1666">
            <v>9560</v>
          </cell>
          <cell r="H1666" t="str">
            <v>TARIFA HORA - PERSONAL DE OBRA - MAESTRO DE OBRA (INCLUYE FACTOR DE PRESTACIONES)</v>
          </cell>
          <cell r="I1666" t="str">
            <v>HR</v>
          </cell>
          <cell r="J1666">
            <v>21116</v>
          </cell>
        </row>
        <row r="1667">
          <cell r="G1667">
            <v>9569</v>
          </cell>
          <cell r="H1667" t="str">
            <v>MANTO GEOSINTÉTICO COMPUESTO DE CEMENTO A GRANEL. DIMENSIONES: 1.10m DE ANCHO x 8mm DE ESPESOR x 114ml. PESO DEL ROLLO A GRANEL: 1550Kg.</v>
          </cell>
          <cell r="I1667" t="str">
            <v>M2</v>
          </cell>
          <cell r="J1667">
            <v>272460</v>
          </cell>
        </row>
        <row r="1668">
          <cell r="G1668">
            <v>9570</v>
          </cell>
          <cell r="H1668" t="str">
            <v>UNIÓN CANALETA PLÁSTICA DE 20cm x 12cm PORTACABLES</v>
          </cell>
          <cell r="I1668" t="str">
            <v>UN</v>
          </cell>
          <cell r="J1668">
            <v>1889</v>
          </cell>
        </row>
        <row r="1669">
          <cell r="G1669">
            <v>9571</v>
          </cell>
          <cell r="H1669" t="str">
            <v>UNIÓN CANALETA PLÁSTICA DE 32mm x 12mm PORTACABLES</v>
          </cell>
          <cell r="I1669" t="str">
            <v>UN</v>
          </cell>
          <cell r="J1669">
            <v>10100</v>
          </cell>
        </row>
        <row r="1670">
          <cell r="G1670">
            <v>9572</v>
          </cell>
          <cell r="H1670" t="str">
            <v>CANALETA PLÁSTICA DE 20cm x 12cm PORTACABLES CON ADHESIVO</v>
          </cell>
          <cell r="I1670" t="str">
            <v>ML</v>
          </cell>
          <cell r="J1670">
            <v>4250</v>
          </cell>
        </row>
        <row r="1671">
          <cell r="G1671">
            <v>9573</v>
          </cell>
          <cell r="H1671" t="str">
            <v>CANALETA PLÁSTICA DE 32cm x 12cm PORTACABLES CON ADHESIVO</v>
          </cell>
          <cell r="I1671" t="str">
            <v>ML</v>
          </cell>
          <cell r="J1671">
            <v>4429</v>
          </cell>
        </row>
        <row r="1672">
          <cell r="G1672">
            <v>9574</v>
          </cell>
          <cell r="H1672" t="str">
            <v>ABRAZADERA CORREDIZA - CREMALLERA 8mm</v>
          </cell>
          <cell r="I1672" t="str">
            <v>UN</v>
          </cell>
          <cell r="J1672">
            <v>1225</v>
          </cell>
        </row>
        <row r="1673">
          <cell r="G1673">
            <v>9575</v>
          </cell>
          <cell r="H1673" t="str">
            <v>TARIFA MES - PERSONAL TÉCNICO - CELADOR ARMADO (24 horas por 30 dias dividos en 3 turnos de 8 horas diarias. Incluye prestaciones de ley, Administraciòn y servicios).</v>
          </cell>
          <cell r="I1673" t="str">
            <v>MES</v>
          </cell>
          <cell r="J1673">
            <v>10981528</v>
          </cell>
        </row>
        <row r="1674">
          <cell r="G1674">
            <v>9576</v>
          </cell>
          <cell r="H1674" t="str">
            <v>ALQUILER MES - ARRIENDO OFICINA INCL. ADMINISTRACIÓN, SERVICIOS PÚBLICOS, COMUNICACIONES</v>
          </cell>
          <cell r="I1674" t="str">
            <v>M2/MES</v>
          </cell>
          <cell r="J1674">
            <v>45108</v>
          </cell>
        </row>
        <row r="1675">
          <cell r="G1675">
            <v>9577</v>
          </cell>
          <cell r="H1675" t="str">
            <v>ALQUILER MES - CAMPAMENTOS INCL. SERVICIOS PÚBLICOS PROVISIONALES</v>
          </cell>
          <cell r="I1675" t="str">
            <v>M2/MES</v>
          </cell>
          <cell r="J1675">
            <v>30851</v>
          </cell>
        </row>
        <row r="1676">
          <cell r="G1676">
            <v>9578</v>
          </cell>
          <cell r="H1676" t="str">
            <v>GASTOS OFICINA (PAPELERIA, FOTOCOPIAS Y OTROS)</v>
          </cell>
          <cell r="I1676" t="str">
            <v>GLB/MS</v>
          </cell>
          <cell r="J1676">
            <v>1043625</v>
          </cell>
        </row>
        <row r="1677">
          <cell r="G1677">
            <v>9628</v>
          </cell>
          <cell r="H1677" t="str">
            <v>JUNTA TC-JEVF-75 MÓDULOS DE 1.83m. INCLUYE TORNILLERÍA DE FIJACIÓN.</v>
          </cell>
          <cell r="I1677" t="str">
            <v>UN</v>
          </cell>
          <cell r="J1677">
            <v>565250</v>
          </cell>
        </row>
        <row r="1678">
          <cell r="G1678">
            <v>9629</v>
          </cell>
          <cell r="H1678" t="str">
            <v>NEOPRENO - APOYO EN CAUCHO NEOPRENO. DUREZA 60 SIN REFUERZOS</v>
          </cell>
          <cell r="I1678" t="str">
            <v>dm3</v>
          </cell>
          <cell r="J1678">
            <v>49980</v>
          </cell>
        </row>
        <row r="1679">
          <cell r="G1679">
            <v>9630</v>
          </cell>
          <cell r="H1679" t="str">
            <v>NEOPRENO - APOYO EN CAUCHO NEOPRENO. DUREZA 50 SIN REFUERZOS</v>
          </cell>
          <cell r="I1679" t="str">
            <v>dm3</v>
          </cell>
          <cell r="J1679">
            <v>49980</v>
          </cell>
        </row>
        <row r="1680">
          <cell r="G1680">
            <v>9631</v>
          </cell>
          <cell r="H1680" t="str">
            <v>NEOPRENO - APOYO EN CAUCHO NEOPRENO. DUREZA 60 REFORZADA CON 2 PLATINAS DE 1/4"</v>
          </cell>
          <cell r="I1680" t="str">
            <v>dm3</v>
          </cell>
          <cell r="J1680">
            <v>70210</v>
          </cell>
        </row>
        <row r="1681">
          <cell r="G1681">
            <v>9632</v>
          </cell>
          <cell r="H1681" t="str">
            <v>NEOPRENO - APOYO EN CAUCHO NEOPRENO. DUREZA 50 REFORZADA CON PLATINA DE 1/8"</v>
          </cell>
          <cell r="I1681" t="str">
            <v>dm3</v>
          </cell>
          <cell r="J1681">
            <v>52925</v>
          </cell>
        </row>
        <row r="1682">
          <cell r="G1682">
            <v>9635</v>
          </cell>
          <cell r="H1682" t="str">
            <v>ADHESIVO ESTRUCTURAL PARA ANCLAJE DE BARRAS AL CONCRETO. USO EN CONCRETO FISURADO Y NO FISURADO POR 600 ml</v>
          </cell>
          <cell r="I1682" t="str">
            <v>UN</v>
          </cell>
          <cell r="J1682">
            <v>167552</v>
          </cell>
        </row>
        <row r="1683">
          <cell r="G1683">
            <v>9637</v>
          </cell>
          <cell r="H1683" t="str">
            <v>LÁMINA DE FIBRA DE CARBONO PARA REFUERZO ESTRUCTURAL</v>
          </cell>
          <cell r="I1683" t="str">
            <v>UN</v>
          </cell>
          <cell r="J1683">
            <v>232100</v>
          </cell>
        </row>
        <row r="1684">
          <cell r="G1684">
            <v>9638</v>
          </cell>
          <cell r="H1684" t="str">
            <v>ADHESIVO EPÓXICO DE DOS COMPONENTES DE CONSISTENCIA PASTOSA</v>
          </cell>
          <cell r="I1684" t="str">
            <v>KG</v>
          </cell>
          <cell r="J1684">
            <v>116843</v>
          </cell>
        </row>
        <row r="1685">
          <cell r="G1685">
            <v>9639</v>
          </cell>
          <cell r="H1685" t="str">
            <v>MORTERO DE REPARACIÓN MONOCOMPONENTE</v>
          </cell>
          <cell r="I1685" t="str">
            <v>KG</v>
          </cell>
          <cell r="J1685">
            <v>4504</v>
          </cell>
        </row>
        <row r="1686">
          <cell r="G1686">
            <v>9640</v>
          </cell>
          <cell r="H1686" t="str">
            <v>RECUBRIMIENTO INHIBIDOR PROTECTOR DE CORROSIÓN MODIFICADO CON RESINA ACRÍLICA DE DOS COMPONENTES QUE IMPIDE LA OXIDACIÓN DEL ACERO DE REFUERZO.</v>
          </cell>
          <cell r="I1686" t="str">
            <v>KG</v>
          </cell>
          <cell r="J1686">
            <v>18626</v>
          </cell>
        </row>
        <row r="1687">
          <cell r="G1687">
            <v>9642</v>
          </cell>
          <cell r="H1687" t="str">
            <v>ADHESIVO EPÓXICO DE ALTA RESISTENCIA, ALTO MÓDULO Y BAJA VISCOSIDAD.</v>
          </cell>
          <cell r="I1687" t="str">
            <v>KG</v>
          </cell>
          <cell r="J1687">
            <v>97195</v>
          </cell>
        </row>
        <row r="1688">
          <cell r="G1688">
            <v>9643</v>
          </cell>
          <cell r="H1688" t="str">
            <v>FONDO DE JUNTA EN ESPUMA DE POLIETILENO DE BAJA DENSIDAD D= 6 mm</v>
          </cell>
          <cell r="I1688" t="str">
            <v>ML</v>
          </cell>
          <cell r="J1688">
            <v>820</v>
          </cell>
        </row>
        <row r="1689">
          <cell r="G1689">
            <v>9644</v>
          </cell>
          <cell r="H1689" t="str">
            <v>PERFIL DE PVC PARA SELLO DE JUNTA (CINTA FLEXIBLE PARA SELLO DE PVC).</v>
          </cell>
          <cell r="I1689" t="str">
            <v>ML</v>
          </cell>
          <cell r="J1689">
            <v>18215</v>
          </cell>
        </row>
        <row r="1690">
          <cell r="G1690">
            <v>9645</v>
          </cell>
          <cell r="H1690" t="str">
            <v>ADHESIVO ESPECIAL PARA EL PEGADO PLÁSTICO DE METALES MONOCOMPONENTE Y LIBRE DE SOLVENTES (300ml)</v>
          </cell>
          <cell r="I1690" t="str">
            <v>UN</v>
          </cell>
          <cell r="J1690">
            <v>69234</v>
          </cell>
        </row>
        <row r="1691">
          <cell r="G1691">
            <v>9646</v>
          </cell>
          <cell r="H1691" t="str">
            <v>OBTENCIÓN DE NÚCLEOS DE CONCRETO ENDURECIDO. NÚCLEOS DE 6". Norma técnica: INV E 418-13 NTC 3658.</v>
          </cell>
          <cell r="I1691" t="str">
            <v>UN</v>
          </cell>
          <cell r="J1691">
            <v>285005</v>
          </cell>
        </row>
        <row r="1692">
          <cell r="G1692">
            <v>9647</v>
          </cell>
          <cell r="H1692" t="str">
            <v>DISEÑO DE MEZCLAS DE CONCRETO CON TRES AGREGADOS PARA UNA RESISTENCIA DADA (INCLUYE CARACTERIZACIÓN)</v>
          </cell>
          <cell r="I1692" t="str">
            <v>UN</v>
          </cell>
          <cell r="J1692">
            <v>772310</v>
          </cell>
        </row>
        <row r="1693">
          <cell r="G1693">
            <v>9648</v>
          </cell>
          <cell r="H1693" t="str">
            <v>CORTE DE NÚCLEO PARA ENSAYO DE COMPRESIÓN</v>
          </cell>
          <cell r="I1693" t="str">
            <v>UN</v>
          </cell>
          <cell r="J1693">
            <v>23205</v>
          </cell>
        </row>
        <row r="1694">
          <cell r="G1694">
            <v>9649</v>
          </cell>
          <cell r="H1694" t="str">
            <v>CICATRIZANTE DE RAICES</v>
          </cell>
          <cell r="I1694" t="str">
            <v>GLN</v>
          </cell>
          <cell r="J1694">
            <v>320000</v>
          </cell>
        </row>
        <row r="1695">
          <cell r="G1695">
            <v>9650</v>
          </cell>
          <cell r="H1695" t="str">
            <v>LAMINA GALVANIZADA POR KILOGRAMOS</v>
          </cell>
          <cell r="I1695" t="str">
            <v>KG</v>
          </cell>
          <cell r="J1695">
            <v>7735</v>
          </cell>
        </row>
        <row r="1696">
          <cell r="G1696">
            <v>9651</v>
          </cell>
          <cell r="H1696" t="str">
            <v>ACERO ESTRUCTURAL PARA PUENTE PEATONAL TIPO TRANSMILENIO. Suministro, fabricación, transporte y montaje de estructura metálica con el siguiente esquema de protección y pintura:(Guía 6.7.1) Ver observ.</v>
          </cell>
          <cell r="I1696" t="str">
            <v>KG</v>
          </cell>
          <cell r="J1696">
            <v>16950</v>
          </cell>
        </row>
        <row r="1697">
          <cell r="G1697">
            <v>9652</v>
          </cell>
          <cell r="H1697" t="str">
            <v>ACERO ESTRUCTURAL PARA PUENTE PEATONAL TIPO TRANSMILENIO. Suministro, fabricación, transporte y montaje de estructura metálica con el siguiente esquema de protección y pintura:(Guía 6.7.2)Ver observ.</v>
          </cell>
          <cell r="I1697" t="str">
            <v>KG</v>
          </cell>
          <cell r="J1697">
            <v>16320</v>
          </cell>
        </row>
        <row r="1698">
          <cell r="G1698">
            <v>9653</v>
          </cell>
          <cell r="H1698" t="str">
            <v>ACERO ESTRUCTURAL PARA ESTACIÓN TIPO TRANSMILENIO. Suministro, fabricación, transporte y montaje de estructura metálica con el siguiente esquema de protección y pintura:(Guía 6.7.1) Ver observ.</v>
          </cell>
          <cell r="I1698" t="str">
            <v>KG</v>
          </cell>
          <cell r="J1698">
            <v>17250</v>
          </cell>
        </row>
        <row r="1699">
          <cell r="G1699">
            <v>9654</v>
          </cell>
          <cell r="H1699" t="str">
            <v>ACERO ESTRUCTURAL PARA ESTACIÓN TIPO TRANSMILENIO. Suministro, fabricación, transporte y montaje de estructura metálica con el siguiente esquema de protección y pintura:(Guía 6.7.2)Ver observ.</v>
          </cell>
          <cell r="I1699" t="str">
            <v>KG</v>
          </cell>
          <cell r="J1699">
            <v>16820</v>
          </cell>
        </row>
        <row r="1700">
          <cell r="G1700">
            <v>9655</v>
          </cell>
          <cell r="H1700" t="str">
            <v>ACERO ESTRUCTURAL PARA ESTACIÓN TIPO TRANSMILENIO. Suministro, fabricación, transporte y montaje de estructura metálica con el siguiente esquema de protección y pintura: Altern. Estación. Ver observ.</v>
          </cell>
          <cell r="I1700" t="str">
            <v>KG</v>
          </cell>
          <cell r="J1700">
            <v>16950</v>
          </cell>
        </row>
        <row r="1701">
          <cell r="G1701">
            <v>9656</v>
          </cell>
          <cell r="H1701" t="str">
            <v>GEOMALLA FORTGRID BX-50</v>
          </cell>
          <cell r="I1701" t="str">
            <v>M2</v>
          </cell>
          <cell r="J1701">
            <v>13661</v>
          </cell>
        </row>
        <row r="1702">
          <cell r="G1702">
            <v>9663</v>
          </cell>
          <cell r="H1702" t="str">
            <v>PISO PRETENSADO e= 70 mm PARA ESTACIONES Y PUENTES TIPO TRANSMILENIO. NO INCLUYE TRANSPORTE</v>
          </cell>
          <cell r="I1702" t="str">
            <v>M2</v>
          </cell>
          <cell r="J1702">
            <v>408002</v>
          </cell>
        </row>
        <row r="1703">
          <cell r="G1703">
            <v>9669</v>
          </cell>
          <cell r="H1703" t="str">
            <v>REGISTRO DE CIERRE 1 1/2" EN PVC. VÁLVULA CIERRE RÁPIDO EN PVC UNIVERSAL SOLDADA</v>
          </cell>
          <cell r="I1703" t="str">
            <v>UN</v>
          </cell>
          <cell r="J1703">
            <v>128401</v>
          </cell>
        </row>
        <row r="1704">
          <cell r="G1704">
            <v>9671</v>
          </cell>
          <cell r="H1704" t="str">
            <v>MEZCLA ASFÁLTICA EN CALIENTE DENSA MD10 CON CEMENTO ASFÁLTICO 60-70</v>
          </cell>
          <cell r="I1704" t="str">
            <v>M3</v>
          </cell>
          <cell r="J1704">
            <v>795689</v>
          </cell>
        </row>
        <row r="1705">
          <cell r="G1705">
            <v>9672</v>
          </cell>
          <cell r="H1705" t="str">
            <v>MEZCLA ASFÁLTICA EN CALIENTE DENSA MD12 CON CEMENTO ASFÁLTICO 60-70</v>
          </cell>
          <cell r="I1705" t="str">
            <v>M3</v>
          </cell>
          <cell r="J1705">
            <v>776266</v>
          </cell>
        </row>
        <row r="1706">
          <cell r="G1706">
            <v>9673</v>
          </cell>
          <cell r="H1706" t="str">
            <v>MEZCLA ASFÁLTICA EN CALIENTE DENSA MD20 CON CEMENTO ASFÁLTICO 60-70</v>
          </cell>
          <cell r="I1706" t="str">
            <v>M3</v>
          </cell>
          <cell r="J1706">
            <v>758679</v>
          </cell>
        </row>
        <row r="1707">
          <cell r="G1707">
            <v>9682</v>
          </cell>
          <cell r="H1707" t="str">
            <v>PINTURA PARA RECUBRIMIENTO ACRÍLICO, IMPERMEABLE, DECORATIVO, EN COLORES MONOCOMPONENTES, CON ACABADO MATE PARA SUPERFICIES EN CONCRETO, MORTERO O FIBROCEMENTO</v>
          </cell>
          <cell r="I1707" t="str">
            <v>GLN</v>
          </cell>
          <cell r="J1707">
            <v>63955</v>
          </cell>
        </row>
        <row r="1708">
          <cell r="G1708">
            <v>9685</v>
          </cell>
          <cell r="H1708" t="str">
            <v>TUBERIA CONDUIT METALICA EMT D= 3"</v>
          </cell>
          <cell r="I1708" t="str">
            <v>ML</v>
          </cell>
          <cell r="J1708">
            <v>74731</v>
          </cell>
        </row>
        <row r="1709">
          <cell r="G1709">
            <v>9686</v>
          </cell>
          <cell r="H1709" t="str">
            <v>TUBERIA CONDUIT METALICA IMC D= 2"</v>
          </cell>
          <cell r="I1709" t="str">
            <v>ML</v>
          </cell>
          <cell r="J1709">
            <v>56923</v>
          </cell>
        </row>
        <row r="1710">
          <cell r="G1710">
            <v>9687</v>
          </cell>
          <cell r="H1710" t="str">
            <v>UNIÓN IMC D= 2"</v>
          </cell>
          <cell r="I1710" t="str">
            <v>UN</v>
          </cell>
          <cell r="J1710">
            <v>6538</v>
          </cell>
        </row>
        <row r="1711">
          <cell r="G1711">
            <v>9688</v>
          </cell>
          <cell r="H1711" t="str">
            <v>TUBERIA CONDUIT METALICA IMC D= 3/4"</v>
          </cell>
          <cell r="I1711" t="str">
            <v>ML</v>
          </cell>
          <cell r="J1711">
            <v>20270</v>
          </cell>
        </row>
        <row r="1712">
          <cell r="G1712">
            <v>9689</v>
          </cell>
          <cell r="H1712" t="str">
            <v>UNIÓN IMC D= 3/4"</v>
          </cell>
          <cell r="I1712" t="str">
            <v>UN</v>
          </cell>
          <cell r="J1712">
            <v>2788</v>
          </cell>
        </row>
        <row r="1713">
          <cell r="G1713">
            <v>9690</v>
          </cell>
          <cell r="H1713" t="str">
            <v>TUBERIA CONDUIT METALICA EMT D= 1 1/4"</v>
          </cell>
          <cell r="I1713" t="str">
            <v>ML</v>
          </cell>
          <cell r="J1713">
            <v>23717</v>
          </cell>
        </row>
        <row r="1714">
          <cell r="G1714">
            <v>9692</v>
          </cell>
          <cell r="H1714" t="str">
            <v>CABLES POSTENSADOS (Incl. Torón de 5/8" ASTM A 416, Grado 270k, anclajes de acuerdo con planos, ductos metálicos galvanizados, equipo para inyectar (Bomba+Mezclador), ... Ver Observaciones</v>
          </cell>
          <cell r="I1714" t="str">
            <v>TON-M</v>
          </cell>
          <cell r="J1714">
            <v>3213</v>
          </cell>
        </row>
        <row r="1715">
          <cell r="G1715">
            <v>9694</v>
          </cell>
          <cell r="H1715" t="str">
            <v>MORTERO SIN CONTRACCIÓN DE ALTAS RESISTENCIAS</v>
          </cell>
          <cell r="I1715" t="str">
            <v>KG</v>
          </cell>
          <cell r="J1715">
            <v>11575</v>
          </cell>
        </row>
        <row r="1716">
          <cell r="G1716">
            <v>9695</v>
          </cell>
          <cell r="H1716" t="str">
            <v>LIMPIEZA GRADO DE LIMPIEZA SEGÚN NORMA SSPC-SP1 - LIMPIEZA CON SOLVENTES PARA ESTRUCTURA PESADA</v>
          </cell>
          <cell r="I1716" t="str">
            <v>KG</v>
          </cell>
          <cell r="J1716">
            <v>536</v>
          </cell>
        </row>
        <row r="1717">
          <cell r="G1717">
            <v>9696</v>
          </cell>
          <cell r="H1717" t="str">
            <v>LIMPIEZA GRADO DE LIMPIEZA SEGÚN NORMA SSPC-SP2 - LIMPIEZA MANUAL PARA ESTRUCTURA PESADA</v>
          </cell>
          <cell r="I1717" t="str">
            <v>KG</v>
          </cell>
          <cell r="J1717">
            <v>774</v>
          </cell>
        </row>
        <row r="1718">
          <cell r="G1718">
            <v>9697</v>
          </cell>
          <cell r="H1718" t="str">
            <v>LIMPIEZA GRADO DE LIMPIEZA SEGÚN NORMA SSPC-SP3 - LIMPIEZA CON HERRAMIENTAS ELÉCTRICAS PARA ESTRUCTURA PESADA</v>
          </cell>
          <cell r="I1718" t="str">
            <v>KG</v>
          </cell>
          <cell r="J1718">
            <v>893</v>
          </cell>
        </row>
        <row r="1719">
          <cell r="G1719">
            <v>9698</v>
          </cell>
          <cell r="H1719" t="str">
            <v>LIMPIEZA GRADO DE LIMPIEZA SEGÚN NORMA SSPC-SP5 - LIMPIEZA CON ABRASIVO METAL BLANCO PARA ESTRUCTURA PESADA</v>
          </cell>
          <cell r="I1719" t="str">
            <v>KG</v>
          </cell>
          <cell r="J1719">
            <v>1012</v>
          </cell>
        </row>
        <row r="1720">
          <cell r="G1720">
            <v>9699</v>
          </cell>
          <cell r="H1720" t="str">
            <v>LIMPIEZA GRADO DE LIMPIEZA SEGÚN NORMA SSPC-SP7 - LIMPIEZA CON CHORRO ABRASIVO BRUSH-OFF PARA ESTRUCTURA PESADA</v>
          </cell>
          <cell r="I1720" t="str">
            <v>KG</v>
          </cell>
          <cell r="J1720">
            <v>1371</v>
          </cell>
        </row>
        <row r="1721">
          <cell r="G1721">
            <v>9700</v>
          </cell>
          <cell r="H1721" t="str">
            <v>LIMPIEZA GRADO DE LIMPIEZA SEGÚN NORMA SSPC-SP6 - LIMPIEZA CON CHORRO ABRASIVO COMERCIAL PARA ESTRUCTURA PESADA</v>
          </cell>
          <cell r="I1721" t="str">
            <v>KG</v>
          </cell>
          <cell r="J1721">
            <v>1428</v>
          </cell>
        </row>
        <row r="1722">
          <cell r="G1722">
            <v>9701</v>
          </cell>
          <cell r="H1722" t="str">
            <v>LIMPIEZA GRADO DE LIMPIEZA SEGÚN NORMA SSPC-SP10 - LIMPIEZA CON CHORRO ABRASIVO METAL CASI BLANCO PARA ESTRUCTURA PESADA</v>
          </cell>
          <cell r="I1722" t="str">
            <v>KG</v>
          </cell>
          <cell r="J1722">
            <v>1601</v>
          </cell>
        </row>
        <row r="1723">
          <cell r="G1723">
            <v>9704</v>
          </cell>
          <cell r="H1723" t="str">
            <v>ESCOLTA - COSTO POR ESCOLTA EN CADA RECORRIDO EN PERÍMETRO URBANO</v>
          </cell>
          <cell r="I1723" t="str">
            <v>VIAJE</v>
          </cell>
          <cell r="J1723">
            <v>48950</v>
          </cell>
        </row>
        <row r="1724">
          <cell r="G1724">
            <v>9705</v>
          </cell>
          <cell r="H1724" t="str">
            <v>TRANSPORTE DE EQUIPO DE UNA TONELADA POR VIAJE DIURNO SIN ESCOLTA</v>
          </cell>
          <cell r="I1724" t="str">
            <v>VIAJE</v>
          </cell>
          <cell r="J1724">
            <v>192742</v>
          </cell>
        </row>
        <row r="1725">
          <cell r="G1725">
            <v>9706</v>
          </cell>
          <cell r="H1725" t="str">
            <v>TRANSPORTE DE EQUIPO DE CINCO TONELADAS POR VIAJE DIURNO SIN ESCOLTA</v>
          </cell>
          <cell r="I1725" t="str">
            <v>VIAJE</v>
          </cell>
          <cell r="J1725">
            <v>398334</v>
          </cell>
        </row>
        <row r="1726">
          <cell r="G1726">
            <v>9707</v>
          </cell>
          <cell r="H1726" t="str">
            <v>TRANSPORTE DE EQUIPO DE DIEZ TONELADAS POR VIAJE DIURNO SIN ESCOLTA</v>
          </cell>
          <cell r="I1726" t="str">
            <v>VIAJE</v>
          </cell>
          <cell r="J1726">
            <v>655324</v>
          </cell>
        </row>
        <row r="1727">
          <cell r="G1727">
            <v>9708</v>
          </cell>
          <cell r="H1727" t="str">
            <v>TRANSPORTE DE EQUIPO DE QUINCE TONELADAS POR VIAJE DIURNO SIN ESCOLTA</v>
          </cell>
          <cell r="I1727" t="str">
            <v>VIAJE</v>
          </cell>
          <cell r="J1727">
            <v>912313</v>
          </cell>
        </row>
        <row r="1728">
          <cell r="G1728">
            <v>9709</v>
          </cell>
          <cell r="H1728" t="str">
            <v>TARIFA MES - PERSONAL TÉCNICO - TOPÓGRAFO INSPECTOR HORARIO NOCTURNO (NO INCLUYE FACTOR DE PRESTACIONES)</v>
          </cell>
          <cell r="I1728" t="str">
            <v>MES</v>
          </cell>
          <cell r="J1728">
            <v>4174200</v>
          </cell>
        </row>
        <row r="1729">
          <cell r="G1729">
            <v>9710</v>
          </cell>
          <cell r="H1729" t="str">
            <v>TARIFA MES - PERSONAL TÉCNICO - LABORATORISTA INSPECTOR HORARIO NOCTURNO (NO INCLUYE FACTOR DE PRESTACIONES)</v>
          </cell>
          <cell r="I1729" t="str">
            <v>MES</v>
          </cell>
          <cell r="J1729">
            <v>3697650</v>
          </cell>
        </row>
        <row r="1730">
          <cell r="G1730">
            <v>9711</v>
          </cell>
          <cell r="H1730" t="str">
            <v>TARIFA MES - PERSONAL TÉCNICO - INSPECTOR 2 HORARIO NOCTURNO (NO INCLUYE FACTOR DE PRESTACIONES)</v>
          </cell>
          <cell r="I1730" t="str">
            <v>MES</v>
          </cell>
          <cell r="J1730">
            <v>2733750</v>
          </cell>
        </row>
        <row r="1731">
          <cell r="G1731">
            <v>9712</v>
          </cell>
          <cell r="H1731" t="str">
            <v>TARIFA MES - PERSONAL AUXILIAR TÉCNICO - CADENERO 1 - HORARIO NOCTURNO (NO INCLUYE FACTOR DE PRESTACIONES)</v>
          </cell>
          <cell r="I1731" t="str">
            <v>MES</v>
          </cell>
          <cell r="J1731">
            <v>2587950</v>
          </cell>
        </row>
        <row r="1732">
          <cell r="G1732">
            <v>9713</v>
          </cell>
          <cell r="H1732" t="str">
            <v>TARIFA MES - PERSONAL AUXILIAR TÉCNICO - CADENERO 2 - HORARIO NOCTURNO (NO INCLUYE FACTOR DE PRESTACIONES)</v>
          </cell>
          <cell r="I1732" t="str">
            <v>MES</v>
          </cell>
          <cell r="J1732">
            <v>2254500</v>
          </cell>
        </row>
        <row r="1733">
          <cell r="G1733">
            <v>9714</v>
          </cell>
          <cell r="H1733" t="str">
            <v>TARIFA MES - PERSONAL AUXILIAR TÉCNICO -  CONDUCTOR O MOTORISTA - HORARIO NOCTURNO (No incluye Factor de Prestaciones)</v>
          </cell>
          <cell r="I1733" t="str">
            <v>MES</v>
          </cell>
          <cell r="J1733">
            <v>1875150</v>
          </cell>
        </row>
        <row r="1734">
          <cell r="G1734">
            <v>9715</v>
          </cell>
          <cell r="H1734" t="str">
            <v>TARIFA MES - PERSONAL DE OBRA - MAESTRO DE OBRA - HORARIO NOCTURNO (NO INCLUYE FACTOR DE PRESTACIONES)</v>
          </cell>
          <cell r="I1734" t="str">
            <v>MES</v>
          </cell>
          <cell r="J1734">
            <v>4698000</v>
          </cell>
        </row>
        <row r="1735">
          <cell r="G1735">
            <v>9717</v>
          </cell>
          <cell r="H1735" t="str">
            <v>MEZCLA ASFÁLTICA EN FRÍO</v>
          </cell>
          <cell r="I1735" t="str">
            <v>M3</v>
          </cell>
          <cell r="J1735">
            <v>2794555</v>
          </cell>
        </row>
        <row r="1736">
          <cell r="G1736">
            <v>9720</v>
          </cell>
          <cell r="H1736" t="str">
            <v>DETERMINACIÓN DE LA RESISTENCIA DE MORTEROS DE CEMENTO HIDRÁULICO A LA COMPRESIÓN, USANDO CUBOS DE 50 MM DE LADO (UNIDAD). Norma técnica: ASTMC109 C109M NTC 220  INV E323.</v>
          </cell>
          <cell r="I1736" t="str">
            <v>UN</v>
          </cell>
          <cell r="J1736">
            <v>11305</v>
          </cell>
        </row>
        <row r="1737">
          <cell r="G1737">
            <v>9721</v>
          </cell>
          <cell r="H1737" t="str">
            <v>ESTACIÓN DE TOPOGRAFÍA CON TRÍPODE, DOS BASTONES, DOS PRISMAS CON PORTAPRISMA</v>
          </cell>
          <cell r="I1737" t="str">
            <v>MES</v>
          </cell>
          <cell r="J1737">
            <v>2206167</v>
          </cell>
        </row>
        <row r="1738">
          <cell r="G1738">
            <v>9722</v>
          </cell>
          <cell r="H1738" t="str">
            <v>SISTEMA GPS, BASE, ROVER Y COLECTOR DE DATOS</v>
          </cell>
          <cell r="I1738" t="str">
            <v>MES</v>
          </cell>
          <cell r="J1738">
            <v>8089278</v>
          </cell>
        </row>
        <row r="1739">
          <cell r="G1739">
            <v>9723</v>
          </cell>
          <cell r="H1739" t="str">
            <v>HIDROFUGANTE - PROTECTOR DEL CONCRETO - con ingrediente activo 100% en base a siliconas órganoreactivas de alta penetración</v>
          </cell>
          <cell r="I1739" t="str">
            <v>LT</v>
          </cell>
          <cell r="J1739">
            <v>30337</v>
          </cell>
        </row>
        <row r="1740">
          <cell r="G1740">
            <v>9724</v>
          </cell>
          <cell r="H1740" t="str">
            <v>PORTÁTILES - Procesador minimo: intel, Core i3 4005U, celeron o similar, Memoria RAM de 4 GB(2x2048 MB) Disco duro de 500gb a 7200 rpm Pantalla LED HP BrightView widescreen alta definición con 35,6 cm</v>
          </cell>
          <cell r="I1740" t="str">
            <v>UN/MES</v>
          </cell>
          <cell r="J1740">
            <v>154700</v>
          </cell>
        </row>
        <row r="1741">
          <cell r="G1741">
            <v>9725</v>
          </cell>
          <cell r="H1741" t="str">
            <v>IMPRESORA MULTIFUNCIONAL MONOCROMÁTICA 4 en 1, COPIADORA, IMPRESORA, SCANER Y FAX. 35 ppm, RENDIMIENTO 5000 PAG.</v>
          </cell>
          <cell r="I1741" t="str">
            <v>UN/MES</v>
          </cell>
          <cell r="J1741">
            <v>81905</v>
          </cell>
        </row>
        <row r="1742">
          <cell r="G1742">
            <v>9726</v>
          </cell>
          <cell r="H1742" t="str">
            <v>INSECTICIDA</v>
          </cell>
          <cell r="I1742" t="str">
            <v>LT</v>
          </cell>
          <cell r="J1742">
            <v>33400</v>
          </cell>
        </row>
        <row r="1743">
          <cell r="G1743">
            <v>9727</v>
          </cell>
          <cell r="H1743" t="str">
            <v>CÁMARA DIGITAL COMPACTA MÍNIMO 16.2 MEGAPIXELES, MEMORIA DE 8 GB, VÍDEO HD CON PAUSA Y ZOOM (DIA)</v>
          </cell>
          <cell r="I1743" t="str">
            <v>DIA</v>
          </cell>
          <cell r="J1743">
            <v>105422</v>
          </cell>
        </row>
        <row r="1744">
          <cell r="G1744">
            <v>9728</v>
          </cell>
          <cell r="H1744" t="str">
            <v>POSTE METALICO H=12m BRAZO SENCILLO PINTADO</v>
          </cell>
          <cell r="I1744" t="str">
            <v>UN</v>
          </cell>
          <cell r="J1744">
            <v>3444567</v>
          </cell>
        </row>
        <row r="1745">
          <cell r="G1745">
            <v>9733</v>
          </cell>
          <cell r="H1745" t="str">
            <v>MALLA PARA GAVIÓN CALIBRE 13.0 HUECO DE 8 cm x 10 cm (7.5 cm x 7.5 cm) de 2m x 1m x 1m</v>
          </cell>
          <cell r="I1745" t="str">
            <v>UN</v>
          </cell>
          <cell r="J1745">
            <v>103058</v>
          </cell>
        </row>
        <row r="1746">
          <cell r="G1746">
            <v>9736</v>
          </cell>
          <cell r="H1746" t="str">
            <v>JUNTA DE DILATACIÓN - TRAMOS DE 1.00 m (Movimiento +/- 25 mm)</v>
          </cell>
          <cell r="I1746" t="str">
            <v>ML</v>
          </cell>
          <cell r="J1746">
            <v>618800</v>
          </cell>
        </row>
        <row r="1747">
          <cell r="G1747">
            <v>9743</v>
          </cell>
          <cell r="H1747" t="str">
            <v>PRUEBA DE HERMETICIDAD POR EL MÉTODO DE PRESIÓN POSITIVA CON AIRE PARA REDES DE ALCANTARILLADO - TRAMOS DE Ø 6" A Ø 12"</v>
          </cell>
          <cell r="I1747" t="str">
            <v>TRAMO</v>
          </cell>
          <cell r="J1747">
            <v>535500</v>
          </cell>
        </row>
        <row r="1748">
          <cell r="G1748">
            <v>9744</v>
          </cell>
          <cell r="H1748" t="str">
            <v>PRUEBA DE HERMETICIDAD POR EL MÉTODO DE PRESIÓN POSITIVA CON AIRE PARA REDES DE ALCANTARILLADO - TRAMOS DE Ø 14" A Ø 24"</v>
          </cell>
          <cell r="I1748" t="str">
            <v>TRAMO</v>
          </cell>
          <cell r="J1748">
            <v>654500</v>
          </cell>
        </row>
        <row r="1749">
          <cell r="G1749">
            <v>9745</v>
          </cell>
          <cell r="H1749" t="str">
            <v>PRUEBA DE HERMETICIDAD POR EL MÉTODO DE PRESIÓN POSITIVA CON AIRE PARA REDES DE ALCANTARILLADO - TRAMOS DE Ø 27" A Ø 40"</v>
          </cell>
          <cell r="I1749" t="str">
            <v>TRAMO</v>
          </cell>
          <cell r="J1749">
            <v>773500</v>
          </cell>
        </row>
        <row r="1750">
          <cell r="G1750">
            <v>9746</v>
          </cell>
          <cell r="H1750" t="str">
            <v>PRUEBA DE HERMETICIDAD POR EL MÉTODO DE PRESIÓN POSITIVA CON AIRE PARA REDES DE ALCANTARILLADO - TRAMOS DE Ø 42" A Ø 50"</v>
          </cell>
          <cell r="I1750" t="str">
            <v>TRAMO</v>
          </cell>
          <cell r="J1750">
            <v>892500</v>
          </cell>
        </row>
        <row r="1751">
          <cell r="G1751">
            <v>9747</v>
          </cell>
          <cell r="H1751" t="str">
            <v>RAJÓN = 6" A 12" (15 - 30 cm)</v>
          </cell>
          <cell r="I1751" t="str">
            <v>M3</v>
          </cell>
          <cell r="J1751">
            <v>69020</v>
          </cell>
        </row>
        <row r="1752">
          <cell r="G1752">
            <v>9752</v>
          </cell>
          <cell r="H1752" t="str">
            <v>MARTILLO DEMOLEDOR ELÉCTRICO - POTENCIA DE 1920 A 2200 WATTS - GOLPES POR MINUTO DE 860 A 2000</v>
          </cell>
          <cell r="I1752" t="str">
            <v>HR</v>
          </cell>
          <cell r="J1752">
            <v>8925</v>
          </cell>
        </row>
        <row r="1753">
          <cell r="G1753">
            <v>9754</v>
          </cell>
          <cell r="H1753" t="str">
            <v>PINTURA (LÁTEX) ACRÍLICA BASE AGUA - Pintura base agua con tecnología acrílica avanzada de uso exterior que ofrece protección a rayos ultravioleta y factores climáticos.</v>
          </cell>
          <cell r="I1753" t="str">
            <v>GLN</v>
          </cell>
          <cell r="J1753">
            <v>76525</v>
          </cell>
        </row>
        <row r="1754">
          <cell r="G1754">
            <v>9764</v>
          </cell>
          <cell r="H1754" t="str">
            <v>TUBERIA CONDUIT METALICA IMC D= 3"</v>
          </cell>
          <cell r="I1754" t="str">
            <v>ML</v>
          </cell>
          <cell r="J1754">
            <v>122933</v>
          </cell>
        </row>
        <row r="1755">
          <cell r="G1755">
            <v>9765</v>
          </cell>
          <cell r="H1755" t="str">
            <v>TUBERIA METALICO RIGID D= 6"</v>
          </cell>
          <cell r="I1755" t="str">
            <v>ML</v>
          </cell>
          <cell r="J1755">
            <v>632683</v>
          </cell>
        </row>
        <row r="1756">
          <cell r="G1756">
            <v>9766</v>
          </cell>
          <cell r="H1756" t="str">
            <v>CONECTOR MECÁNICO GD. CUERPO: DOBLE Y PERNO DE SUJECIÓN EN U. TUBO DE 3" VARILLA 3" - 3 1/2", 4 SOL - 2/0 STR</v>
          </cell>
          <cell r="I1756" t="str">
            <v>UN</v>
          </cell>
          <cell r="J1756">
            <v>130115</v>
          </cell>
        </row>
        <row r="1757">
          <cell r="G1757">
            <v>9767</v>
          </cell>
          <cell r="H1757" t="str">
            <v>CONECTOR MECÁNICO GD. CUERPO: DOBLE Y PERNO DE SUJECIÓN EN U. TUBO DE 6" , 4 SOL - 2/0 STR</v>
          </cell>
          <cell r="I1757" t="str">
            <v>UN</v>
          </cell>
          <cell r="J1757">
            <v>243850</v>
          </cell>
        </row>
        <row r="1758">
          <cell r="G1758">
            <v>9768</v>
          </cell>
          <cell r="H1758" t="str">
            <v>PASO PLÁSTICO EN POLIPROPILENO DE ALTO IMPACTO CON MATERIAL ORIGINAL. DE 0.40m DE ANCHO x 0.30m DE FONDO x 3.5cm DE GROSOR. Libre de todo mantenimiento de anticorrosivo de inmunizantes y de pintura.</v>
          </cell>
          <cell r="I1758" t="str">
            <v>UN</v>
          </cell>
          <cell r="J1758">
            <v>89350</v>
          </cell>
        </row>
        <row r="1759">
          <cell r="G1759">
            <v>9773</v>
          </cell>
          <cell r="H1759" t="str">
            <v>CABLE ACERO GALVANIZADO A.A 6 x 19 DE 5/8 EN TRAMOS SEGÚN PLANOS, POR VIGAS. Incl. TORON DE 5/8"</v>
          </cell>
          <cell r="I1759" t="str">
            <v>ML</v>
          </cell>
          <cell r="J1759">
            <v>16839</v>
          </cell>
        </row>
        <row r="1760">
          <cell r="G1760">
            <v>9774</v>
          </cell>
          <cell r="H1760" t="str">
            <v>APOYO ELASTOMÉRICO DE 30x30x5,0cm CON 4 REFUERZOS INTERNOS DE 1/8" A-36. DUREZA 60 SHORE A, ESFUERZO DE COMPRESIÓN APOYOS DE 112 Kg/cm2.</v>
          </cell>
          <cell r="I1760" t="str">
            <v>UN</v>
          </cell>
          <cell r="J1760">
            <v>310055</v>
          </cell>
        </row>
        <row r="1761">
          <cell r="G1761">
            <v>9775</v>
          </cell>
          <cell r="H1761" t="str">
            <v>APOYO ELASTOMÉRICO DE 20x20x5,0cm CON 4 REFUERZOS INTERNOS DE 1/8" A-36. DUREZA 60 SHORE A, ESFUERZO DE COMPRESIÓN APOYOS DE 112 Kg/cm2.</v>
          </cell>
          <cell r="I1761" t="str">
            <v>UN</v>
          </cell>
          <cell r="J1761">
            <v>138040</v>
          </cell>
        </row>
        <row r="1762">
          <cell r="G1762">
            <v>9789</v>
          </cell>
          <cell r="H1762" t="str">
            <v>SEÑAL ELEVADA BS, TABLERO 3.097m x 2.228m REFLECTIVO DIAMANTE, SOPORTE EN TUBO GALVANIZADO DE 12" EN 7m. CERCHA EN TUBO DE 4" EN 3mm Y 2" EN 2mm. INCL. SUMINIST. E INSTALAC</v>
          </cell>
          <cell r="I1762" t="str">
            <v>UN</v>
          </cell>
          <cell r="J1762">
            <v>6571422</v>
          </cell>
        </row>
        <row r="1763">
          <cell r="G1763">
            <v>9790</v>
          </cell>
          <cell r="H1763" t="str">
            <v>SEÑAL INFORMATIVA SI-05, TABLERO 1.401m x 0.512m REFLECTIVO ALTA INTENSIDAD, PEDESTAL EN ÁNGULO DE 2"x2"x1/4" H= 2.60m EN PINTURA ELECTROSTÁTICA. INCL. SUMINIST. E INSTALAC</v>
          </cell>
          <cell r="I1763" t="str">
            <v>UN</v>
          </cell>
          <cell r="J1763">
            <v>975800</v>
          </cell>
        </row>
        <row r="1764">
          <cell r="G1764">
            <v>9791</v>
          </cell>
          <cell r="H1764" t="str">
            <v>SEÑAL INFORMATIVA SI-05, TABLERO 1.167m x 0.512m REFLECTIVO ALTA INTENSIDAD, PEDESTAL EN ÁNGULO DE 2"x2"x1/4" H= 2.60m EN PINTURA ELECTROSTÁTICA. INCL. SUMINIST. E INSTALAC</v>
          </cell>
          <cell r="I1764" t="str">
            <v>UN</v>
          </cell>
          <cell r="J1764">
            <v>644555</v>
          </cell>
        </row>
        <row r="1765">
          <cell r="G1765">
            <v>9792</v>
          </cell>
          <cell r="H1765" t="str">
            <v>SEÑAL INFORMATIVA SI-05, TABLERO 1.190m x 0.512m REFLECTIVO ALTA INTENSIDAD, PEDESTAL EN ÁNGULO DE 2"x2"x1/4" H= 2.60m EN PINTURA ELECTROSTÁTICA. INCL. SUMINIST. E INSTALAC</v>
          </cell>
          <cell r="I1765" t="str">
            <v>UN</v>
          </cell>
          <cell r="J1765">
            <v>644555</v>
          </cell>
        </row>
        <row r="1766">
          <cell r="G1766">
            <v>9796</v>
          </cell>
          <cell r="H1766" t="str">
            <v>SEÑAL ELEVADA BS, TABLERO 2.414m x 1.380m REFLECTIVO DIAMANTE, SOPORTE EN TUBO GALVANIZADO DE 12" EN 7m. CERCHA EN TUBO DE 4" EN 3mm Y 2" EN 2mm. INCL. SUMINIST. E INSTALAC</v>
          </cell>
          <cell r="I1766" t="str">
            <v>UN</v>
          </cell>
          <cell r="J1766">
            <v>6571422</v>
          </cell>
        </row>
        <row r="1767">
          <cell r="G1767">
            <v>9797</v>
          </cell>
          <cell r="H1767" t="str">
            <v>SEÑAL ELEVADA BS, TABLERO 3.322m x 2.111m REFLECTIVO DIAMANTE, SOPORTE EN TUBO GALVANIZADO DE 12" EN 7m. CERCHA EN TUBO DE 4" EN 3mm Y 2" EN 2mm. INCL. SUMINIST. E INSTALAC</v>
          </cell>
          <cell r="I1767" t="str">
            <v>UN</v>
          </cell>
          <cell r="J1767">
            <v>7473955</v>
          </cell>
        </row>
        <row r="1768">
          <cell r="G1768">
            <v>9798</v>
          </cell>
          <cell r="H1768" t="str">
            <v>REEMPLAZO DE TABLERO SEÑAL ELEVADA BS, POR TABLERO GALVANIZADO  CALIBRE 20 3.914m x 1.972m REFLECTIVO DIAMANTE. INCL. SUMINIST. E INSTALAC</v>
          </cell>
          <cell r="I1768" t="str">
            <v>UN</v>
          </cell>
          <cell r="J1768">
            <v>4122922</v>
          </cell>
        </row>
        <row r="1769">
          <cell r="G1769">
            <v>9799</v>
          </cell>
          <cell r="H1769" t="str">
            <v>SEÑAL INFORMATIVA SI-05C, TABLERO 60.64cm x 82.50cm REFLECTIVO ALTA INTENSIDAD, PEDESTAL EN ÁNGULO DE 2"x2"x1/4" H= 2.60m EN PINTURA ELECTROSTÁTICA. INCL. SUMINIST. E INSTALAC</v>
          </cell>
          <cell r="I1769" t="str">
            <v>UN</v>
          </cell>
          <cell r="J1769">
            <v>428400</v>
          </cell>
        </row>
        <row r="1770">
          <cell r="G1770">
            <v>9800</v>
          </cell>
          <cell r="H1770" t="str">
            <v>SEÑAL INFORMATIVA SI-05C, TABLERO 75.09cm x 82.50cm REFLECTIVO ALTA INTENSIDAD, PEDESTAL EN ÁNGULO DE 2"x2"x1/4" H= 2.60m EN PINTURA ELECTROSTÁTICA. INCL. SUMINIST. E INSTALAC</v>
          </cell>
          <cell r="I1770" t="str">
            <v>UN</v>
          </cell>
          <cell r="J1770">
            <v>493850</v>
          </cell>
        </row>
        <row r="1771">
          <cell r="G1771">
            <v>9801</v>
          </cell>
          <cell r="H1771" t="str">
            <v>SEÑAL INFORMATIVA SI-05C, TABLERO 76.09cm x 97.51cm REFLECTIVO ALTA INTENSIDAD, PEDESTAL EN ÁNGULO DE 2"x2"x1/4" H= 2.60m EN PINTURA ELECTROSTÁTICA. INCL. SUMINIST. E INSTALAC</v>
          </cell>
          <cell r="I1771" t="str">
            <v>UN</v>
          </cell>
          <cell r="J1771">
            <v>493850</v>
          </cell>
        </row>
        <row r="1772">
          <cell r="G1772">
            <v>9802</v>
          </cell>
          <cell r="H1772" t="str">
            <v>SEÑAL INFORMATIVA SI-05C, TABLERO 75.01cm x 82.50cm REFLECTIVO ALTA INTENSIDAD, PEDESTAL EN ÁNGULO DE 2"x2"x1/4" H= 2.60m EN PINTURA ELECTROSTÁTICA. INCL. SUMINIST. E INSTALAC</v>
          </cell>
          <cell r="I1772" t="str">
            <v>UN</v>
          </cell>
          <cell r="J1772">
            <v>493850</v>
          </cell>
        </row>
        <row r="1773">
          <cell r="G1773">
            <v>9804</v>
          </cell>
          <cell r="H1773" t="str">
            <v>SEÑAL INFORMATIVA SI-05, TABLERO 1.119m x 0.512m REFLECTIVO ALTA INTENSIDAD, PEDESTAL EN ÁNGULO DE 2"x2"x1/4" H= 2.60m EN PINTURA ELECTROSTÁTICA. INCL. SUMINIST. E INSTALAC</v>
          </cell>
          <cell r="I1773" t="str">
            <v>UN</v>
          </cell>
          <cell r="J1773">
            <v>668780</v>
          </cell>
        </row>
        <row r="1774">
          <cell r="G1774">
            <v>9813</v>
          </cell>
          <cell r="H1774" t="str">
            <v>CIELO RASO EN BANDEJA TILE LAY IN DE 610 mm x 610mm EN ALUZINC PERFORADO PERFIL CLP INCLUYE PERFILES DE FIJACION SISTEMA DE SUSPENSION Y ESPACIO PARA LAMPARAS. SUMINISTRO E INSTALACIÓN</v>
          </cell>
          <cell r="I1774" t="str">
            <v>M2</v>
          </cell>
          <cell r="J1774">
            <v>208400</v>
          </cell>
        </row>
        <row r="1775">
          <cell r="G1775">
            <v>9817</v>
          </cell>
          <cell r="H1775" t="str">
            <v>VENTANAS EN ALUMINIO TIPO LENHER DE 1,20m x 0,30m CON ALFAJIA EN ALUMINIO Y VIDRIO LAMINADO DE 3+3 (6 mm). SUMINISTRO E INSTALACIÓN</v>
          </cell>
          <cell r="I1775" t="str">
            <v>UN</v>
          </cell>
          <cell r="J1775">
            <v>335167</v>
          </cell>
        </row>
        <row r="1776">
          <cell r="G1776">
            <v>9819</v>
          </cell>
          <cell r="H1776" t="str">
            <v>VINILO ADHESIVO FABRICADA EN LÁMINA DE ALUMINIO ANODIZADO 1.5mm PARA RUTEROS VALLA "SALIDA GRACIAS OTROS DESTINOS"(275cm x 31,6cm) SEGÚN MANUAL DE IMAGEN DE TRANSMILENIO. SUMINISTRO E INSTALACIÓN.</v>
          </cell>
          <cell r="I1776" t="str">
            <v>UN</v>
          </cell>
          <cell r="J1776">
            <v>1532143</v>
          </cell>
        </row>
        <row r="1777">
          <cell r="G1777">
            <v>9822</v>
          </cell>
          <cell r="H1777" t="str">
            <v>PINTURA SILOXANO MONO-COMPONENTE. ALTA ADHERENCIA, ALTA RESISTENCIA A LOS GRAFFITIS, A LOS RAYOS UV, ALTA LAVABILIDAD. NO REQUIERE DILUCIÓN. (6 - 10 M2 / Gl   @ 15 mils.</v>
          </cell>
          <cell r="I1777" t="str">
            <v>GLN</v>
          </cell>
          <cell r="J1777">
            <v>535927</v>
          </cell>
        </row>
        <row r="1778">
          <cell r="G1778">
            <v>9828</v>
          </cell>
          <cell r="H1778" t="str">
            <v>MEZCLA ASFÁLTICA EN CALIENTE DE ALTO MÓDULO MAM-20 CON CEMENTO ASFÁLTICO TIPO V</v>
          </cell>
          <cell r="I1778" t="str">
            <v>M3</v>
          </cell>
          <cell r="J1778">
            <v>940199</v>
          </cell>
        </row>
        <row r="1779">
          <cell r="G1779">
            <v>9832</v>
          </cell>
          <cell r="H1779" t="str">
            <v>DENSIDAD BULK DEL LLENANTE MINERAL EN KEROSENE. Norma técnica: INV E-225-13.</v>
          </cell>
          <cell r="I1779" t="str">
            <v>UN</v>
          </cell>
          <cell r="J1779">
            <v>117810</v>
          </cell>
        </row>
        <row r="1780">
          <cell r="G1780">
            <v>9833</v>
          </cell>
          <cell r="H1780" t="str">
            <v>TARIFA HORA - PERSONAL DE OBRA - OFICIAL NOCTURNO (INCLUYE FACTOR DE PRESTACIONES)</v>
          </cell>
          <cell r="I1780" t="str">
            <v>HR</v>
          </cell>
          <cell r="J1780">
            <v>15000</v>
          </cell>
        </row>
        <row r="1781">
          <cell r="G1781">
            <v>9834</v>
          </cell>
          <cell r="H1781" t="str">
            <v>SERVICIO TELEFONIA LOCAL ILIMITADA E INTERNET ILIMITADO VELOCIDAD PROMEDIO (50-500 MB) ESTRATOS 1 Y 2</v>
          </cell>
          <cell r="I1781" t="str">
            <v>MES</v>
          </cell>
          <cell r="J1781">
            <v>104900</v>
          </cell>
        </row>
        <row r="1782">
          <cell r="G1782">
            <v>9835</v>
          </cell>
          <cell r="H1782" t="str">
            <v>SERVICIO TELEFONIA LOCAL ILIMITADA E INTERNET ILIMITADO VELOCIDAD PROMEDIO (80-500 MB) ESTRATO 3</v>
          </cell>
          <cell r="I1782" t="str">
            <v>MES</v>
          </cell>
          <cell r="J1782">
            <v>142400</v>
          </cell>
        </row>
        <row r="1783">
          <cell r="G1783">
            <v>9836</v>
          </cell>
          <cell r="H1783" t="str">
            <v>SERVICIO TELEFONIA LOCAL ILIMITADA E INTERNET ILIMITADO VELOCIDAD PROMEDIO (80-500 MB) ESTRATO 4</v>
          </cell>
          <cell r="I1783" t="str">
            <v>MES</v>
          </cell>
          <cell r="J1783">
            <v>152400</v>
          </cell>
        </row>
        <row r="1784">
          <cell r="G1784">
            <v>9837</v>
          </cell>
          <cell r="H1784" t="str">
            <v>SERVICIO TELEFONIA LOCAL ILIMITADA E INTERNET ILIMITADO VELOCIDAD PROMEDIO (80-500 MB) ESTRATO 5</v>
          </cell>
          <cell r="I1784" t="str">
            <v>MES</v>
          </cell>
          <cell r="J1784">
            <v>152400</v>
          </cell>
        </row>
        <row r="1785">
          <cell r="G1785">
            <v>9838</v>
          </cell>
          <cell r="H1785" t="str">
            <v>SERVICIO TELEFONIA LOCAL ILIMITADA E INTERNET ILIMITADO VELOCIDAD PROMEDIO (80-500 MB) ESTRATO 6</v>
          </cell>
          <cell r="I1785" t="str">
            <v>MES</v>
          </cell>
          <cell r="J1785">
            <v>152400</v>
          </cell>
        </row>
        <row r="1786">
          <cell r="G1786">
            <v>9839</v>
          </cell>
          <cell r="H1786" t="str">
            <v>LEVANTAMIENTO DE ACTAS DE FACHADA (Incluye personal, logística, papelería, fotografía)</v>
          </cell>
          <cell r="I1786" t="str">
            <v>UN</v>
          </cell>
          <cell r="J1786">
            <v>11190</v>
          </cell>
        </row>
        <row r="1787">
          <cell r="G1787">
            <v>9840</v>
          </cell>
          <cell r="H1787" t="str">
            <v>EDICIÓN DE INFORME MENSUAL DE INTERVENTORÍA O CONSULTORÍA. Incluye 4 tapas plastificadas tamaño carta color blanco, con 6 tornillos, hojas de papel bond tamaño carta 75 gramos, 170 folios</v>
          </cell>
          <cell r="I1787" t="str">
            <v>UN/MES</v>
          </cell>
          <cell r="J1787">
            <v>219000</v>
          </cell>
        </row>
        <row r="1788">
          <cell r="G1788">
            <v>9842</v>
          </cell>
          <cell r="H1788" t="str">
            <v>CUBIERTA DE VAGÓN LISA TIPO SÁNDWICH DECK EN ALUZINC CALIBRE 26 (SUM. E INSTAL.) PINTADA AL HORNO POR LAS DOS CARAS COLOR A ELEGIR CON AISLAMIENTO ACÚSTICO EN FIBRA DE VIDRIO DE 30mm CON SUS RESPEC</v>
          </cell>
          <cell r="I1788" t="str">
            <v>M2</v>
          </cell>
          <cell r="J1788">
            <v>295703</v>
          </cell>
        </row>
        <row r="1789">
          <cell r="G1789">
            <v>9845</v>
          </cell>
          <cell r="H1789" t="str">
            <v>SPLP - EXTRACCIÓN DE METALES PESADOS. Norma técnica: EPA SW 846 1312 .</v>
          </cell>
          <cell r="I1789" t="str">
            <v>UN</v>
          </cell>
          <cell r="J1789">
            <v>142800</v>
          </cell>
        </row>
        <row r="1790">
          <cell r="G1790">
            <v>9846</v>
          </cell>
          <cell r="H1790" t="str">
            <v>ENSAYO DE LIXIVIACIÓN - BARIO. Norma técnica: SM 3120 B.</v>
          </cell>
          <cell r="I1790" t="str">
            <v>UN</v>
          </cell>
          <cell r="J1790">
            <v>59151</v>
          </cell>
        </row>
        <row r="1791">
          <cell r="G1791">
            <v>9847</v>
          </cell>
          <cell r="H1791" t="str">
            <v>ENSAYO DE LIXIVIACIÓN - ARSENICO. Norma técnica: SM 3120 B.</v>
          </cell>
          <cell r="I1791" t="str">
            <v>UN</v>
          </cell>
          <cell r="J1791">
            <v>59151</v>
          </cell>
        </row>
        <row r="1792">
          <cell r="G1792">
            <v>9848</v>
          </cell>
          <cell r="H1792" t="str">
            <v>ENSAYO DE LIXIVIACIÓN - CROMO. Norma técnica: SM 3120 B.</v>
          </cell>
          <cell r="I1792" t="str">
            <v>UN</v>
          </cell>
          <cell r="J1792">
            <v>59151</v>
          </cell>
        </row>
        <row r="1793">
          <cell r="G1793">
            <v>9849</v>
          </cell>
          <cell r="H1793" t="str">
            <v>ENSAYO DE LIXIVIACIÓN - COBRE. Norma técnica: SM 3120 B.</v>
          </cell>
          <cell r="I1793" t="str">
            <v>UN</v>
          </cell>
          <cell r="J1793">
            <v>53550</v>
          </cell>
        </row>
        <row r="1794">
          <cell r="G1794">
            <v>9850</v>
          </cell>
          <cell r="H1794" t="str">
            <v>ENSAYO DE LIXIVIACIÓN - MOLIBDENO. Norma técnica: SM 3120 B.</v>
          </cell>
          <cell r="I1794" t="str">
            <v>UN</v>
          </cell>
          <cell r="J1794">
            <v>53550</v>
          </cell>
        </row>
        <row r="1795">
          <cell r="G1795">
            <v>9851</v>
          </cell>
          <cell r="H1795" t="str">
            <v>ENSAYO DE LIXIVIACIÓN - NIQUEL. Norma técnica: SM 3120 B.</v>
          </cell>
          <cell r="I1795" t="str">
            <v>UN</v>
          </cell>
          <cell r="J1795">
            <v>53550</v>
          </cell>
        </row>
        <row r="1796">
          <cell r="G1796">
            <v>9852</v>
          </cell>
          <cell r="H1796" t="str">
            <v>ENSAYO DE LIXIVIACIÓN - PLOMO. Norma técnica: SM 3120 B.</v>
          </cell>
          <cell r="I1796" t="str">
            <v>UN</v>
          </cell>
          <cell r="J1796">
            <v>45410</v>
          </cell>
        </row>
        <row r="1797">
          <cell r="G1797">
            <v>9853</v>
          </cell>
          <cell r="H1797" t="str">
            <v>ENSAYO DE LIXIVIACIÓN - SELENIO. Norma técnica: SM 3120 B.</v>
          </cell>
          <cell r="I1797" t="str">
            <v>UN</v>
          </cell>
          <cell r="J1797">
            <v>50456</v>
          </cell>
        </row>
        <row r="1798">
          <cell r="G1798">
            <v>9854</v>
          </cell>
          <cell r="H1798" t="str">
            <v>ENSAYO DE LIXIVIACIÓN - ZINC. Norma técnica: SM 3120 B.</v>
          </cell>
          <cell r="I1798" t="str">
            <v>UN</v>
          </cell>
          <cell r="J1798">
            <v>53550</v>
          </cell>
        </row>
        <row r="1799">
          <cell r="G1799">
            <v>9855</v>
          </cell>
          <cell r="H1799" t="str">
            <v>ENSAYO DE LIXIVIACIÓN - CADMIO. Norma técnica: SM 3120 B.</v>
          </cell>
          <cell r="I1799" t="str">
            <v>UN</v>
          </cell>
          <cell r="J1799">
            <v>53550</v>
          </cell>
        </row>
        <row r="1800">
          <cell r="G1800">
            <v>9856</v>
          </cell>
          <cell r="H1800" t="str">
            <v>ENSAYO DE LIXIVIACIÓN - MERCURIO. Norma técnica: SM 3120 B  / EPA 7473.</v>
          </cell>
          <cell r="I1800" t="str">
            <v>UN</v>
          </cell>
          <cell r="J1800">
            <v>50456</v>
          </cell>
        </row>
        <row r="1801">
          <cell r="G1801">
            <v>9857</v>
          </cell>
          <cell r="H1801" t="str">
            <v>ENSAYO DE LIXIVIACIÓN - ANTIMONIO. Norma técnica: SM 3120 B  / EPA 7473.</v>
          </cell>
          <cell r="I1801" t="str">
            <v>UN</v>
          </cell>
          <cell r="J1801">
            <v>65450</v>
          </cell>
        </row>
        <row r="1802">
          <cell r="G1802">
            <v>9860</v>
          </cell>
          <cell r="H1802" t="str">
            <v>SEÑAL TEMPORAL MÓVIL ECONÓMICA CON TRÍPODE TIPO SIO, SP, SI, SR DE (100 x 50 - 75 x 75 - 80 x 50) LÁMINA GALVANIZADA CAL. 20 Y ÁNGULOS DE 1" x 1/2" x 1/8".</v>
          </cell>
          <cell r="I1802" t="str">
            <v>UN</v>
          </cell>
          <cell r="J1802">
            <v>333200</v>
          </cell>
        </row>
        <row r="1803">
          <cell r="G1803">
            <v>9861</v>
          </cell>
          <cell r="H1803" t="str">
            <v>BARRICADA METÁLICA CON SEÑAL DE DESVÍO O VÍA CERRADA DE 2.40 m CINTA GRADO INGENIERÍA SHEETING</v>
          </cell>
          <cell r="I1803" t="str">
            <v>UN</v>
          </cell>
          <cell r="J1803">
            <v>322103</v>
          </cell>
        </row>
        <row r="1804">
          <cell r="G1804">
            <v>9862</v>
          </cell>
          <cell r="H1804" t="str">
            <v>PERMEABILIDAD DE SUELOS GRANULARES (CABEZA CONSTANTE). Norma técnica: INV E-130-13.</v>
          </cell>
          <cell r="I1804" t="str">
            <v>UN</v>
          </cell>
          <cell r="J1804">
            <v>297500</v>
          </cell>
        </row>
        <row r="1805">
          <cell r="G1805">
            <v>9864</v>
          </cell>
          <cell r="H1805" t="str">
            <v>PERMEABILIDAD DEL CONCRETO AL AGUA. Norma técnica: NTC-4483-98.</v>
          </cell>
          <cell r="I1805" t="str">
            <v>UN</v>
          </cell>
          <cell r="J1805">
            <v>358013</v>
          </cell>
        </row>
        <row r="1806">
          <cell r="G1806">
            <v>9869</v>
          </cell>
          <cell r="H1806" t="str">
            <v>DISEÑO DE MEZCLA DE SUELO - CEMENTO (NO INCLUYE PRUEBA DE DURABILIDAD)</v>
          </cell>
          <cell r="I1806" t="str">
            <v>UN</v>
          </cell>
          <cell r="J1806">
            <v>907256</v>
          </cell>
        </row>
        <row r="1807">
          <cell r="G1807">
            <v>9873</v>
          </cell>
          <cell r="H1807" t="str">
            <v>ENSAYO DE CLASIFICACIÓN DE LOS COMPONENTES DE LOS ÁRIDOS GRUESOS RECICLADOS. Norma técnica: UNE-EN 933-11.</v>
          </cell>
          <cell r="I1807" t="str">
            <v>UN</v>
          </cell>
          <cell r="J1807">
            <v>178500</v>
          </cell>
        </row>
        <row r="1808">
          <cell r="G1808">
            <v>9879</v>
          </cell>
          <cell r="H1808" t="str">
            <v>CONDUCTIVIDAD. Norma técnica: SM 2510 B.</v>
          </cell>
          <cell r="I1808" t="str">
            <v>UN</v>
          </cell>
          <cell r="J1808">
            <v>7568</v>
          </cell>
        </row>
        <row r="1809">
          <cell r="G1809">
            <v>9880</v>
          </cell>
          <cell r="H1809" t="str">
            <v>OLOR. Norma técnica: SM 2150 B.</v>
          </cell>
          <cell r="I1809" t="str">
            <v>UN</v>
          </cell>
          <cell r="J1809">
            <v>3457</v>
          </cell>
        </row>
        <row r="1810">
          <cell r="G1810">
            <v>9881</v>
          </cell>
          <cell r="H1810" t="str">
            <v>CADMIO TOTAL. Norma técnica: SM 3111 B.</v>
          </cell>
          <cell r="I1810" t="str">
            <v>UN</v>
          </cell>
          <cell r="J1810">
            <v>42840</v>
          </cell>
        </row>
        <row r="1811">
          <cell r="G1811">
            <v>9882</v>
          </cell>
          <cell r="H1811" t="str">
            <v>COBRE TOTAL. Norma técnica: SM 3111 B.</v>
          </cell>
          <cell r="I1811" t="str">
            <v>UN</v>
          </cell>
          <cell r="J1811">
            <v>42840</v>
          </cell>
        </row>
        <row r="1812">
          <cell r="G1812">
            <v>9883</v>
          </cell>
          <cell r="H1812" t="str">
            <v>MERCURIO TOTAL. Norma técnica: SM 3112 B.</v>
          </cell>
          <cell r="I1812" t="str">
            <v>UN</v>
          </cell>
          <cell r="J1812">
            <v>41650</v>
          </cell>
        </row>
        <row r="1813">
          <cell r="G1813">
            <v>9884</v>
          </cell>
          <cell r="H1813" t="str">
            <v>NIQUEL TOTAL. Norma técnica: SM 3111 B.</v>
          </cell>
          <cell r="I1813" t="str">
            <v>UN</v>
          </cell>
          <cell r="J1813">
            <v>43078</v>
          </cell>
        </row>
        <row r="1814">
          <cell r="G1814">
            <v>9885</v>
          </cell>
          <cell r="H1814" t="str">
            <v>PLOMO TOTAL. Norma técnica: SM 3111 B.</v>
          </cell>
          <cell r="I1814" t="str">
            <v>UN</v>
          </cell>
          <cell r="J1814">
            <v>43078</v>
          </cell>
        </row>
        <row r="1815">
          <cell r="G1815">
            <v>9886</v>
          </cell>
          <cell r="H1815" t="str">
            <v>ZINC TOTAL. Norma técnica: SM 3111 B.</v>
          </cell>
          <cell r="I1815" t="str">
            <v>UN</v>
          </cell>
          <cell r="J1815">
            <v>28560</v>
          </cell>
        </row>
        <row r="1816">
          <cell r="G1816">
            <v>9887</v>
          </cell>
          <cell r="H1816" t="str">
            <v>DUREZA TOTAL. Norma técnica: SM 2340 C.</v>
          </cell>
          <cell r="I1816" t="str">
            <v>UN</v>
          </cell>
          <cell r="J1816">
            <v>11662</v>
          </cell>
        </row>
        <row r="1817">
          <cell r="G1817">
            <v>9888</v>
          </cell>
          <cell r="H1817" t="str">
            <v>FOSFATOS. Norma técnica: SM 4110 B.</v>
          </cell>
          <cell r="I1817" t="str">
            <v>UN</v>
          </cell>
          <cell r="J1817">
            <v>18921</v>
          </cell>
        </row>
        <row r="1818">
          <cell r="G1818">
            <v>9896</v>
          </cell>
          <cell r="H1818" t="str">
            <v>LUMINARIA DE EMERGENCIA LED R2 2.4W 6500K  120 o 277V  180 lm DE 60 x 130 x 300 mm</v>
          </cell>
          <cell r="I1818" t="str">
            <v>UN</v>
          </cell>
          <cell r="J1818">
            <v>73109</v>
          </cell>
        </row>
        <row r="1819">
          <cell r="G1819">
            <v>9901</v>
          </cell>
          <cell r="H1819" t="str">
            <v>CABLE MONOPOLAR DE ALUMINIO, CPT HFFR LS PARA 600 V c.a., 75°C CT, CALIBRE 4/0 AWG AA8000 (SIW)</v>
          </cell>
          <cell r="I1819" t="str">
            <v>ML</v>
          </cell>
          <cell r="J1819">
            <v>13626</v>
          </cell>
        </row>
        <row r="1820">
          <cell r="G1820">
            <v>9902</v>
          </cell>
          <cell r="H1820" t="str">
            <v>BORNA TERMINAL DE ALUMINIO 1 HUECO, 4/0 AWG</v>
          </cell>
          <cell r="I1820" t="str">
            <v>UN</v>
          </cell>
          <cell r="J1820">
            <v>16733</v>
          </cell>
        </row>
        <row r="1821">
          <cell r="G1821">
            <v>9905</v>
          </cell>
          <cell r="H1821" t="str">
            <v>CABLE 10 AWG EN COBRE CPR HFFR LS 600 V  75° C CT</v>
          </cell>
          <cell r="I1821" t="str">
            <v>ML</v>
          </cell>
          <cell r="J1821">
            <v>3988</v>
          </cell>
        </row>
        <row r="1822">
          <cell r="G1822">
            <v>9906</v>
          </cell>
          <cell r="H1822" t="str">
            <v>REDUCCIÓN EMT 2" A 3/4"</v>
          </cell>
          <cell r="I1822" t="str">
            <v>UN</v>
          </cell>
          <cell r="J1822">
            <v>11632</v>
          </cell>
        </row>
        <row r="1823">
          <cell r="G1823">
            <v>9907</v>
          </cell>
          <cell r="H1823" t="str">
            <v>CONDULETA TIPO T DE 2"</v>
          </cell>
          <cell r="I1823" t="str">
            <v>UN</v>
          </cell>
          <cell r="J1823">
            <v>19159</v>
          </cell>
        </row>
        <row r="1824">
          <cell r="G1824">
            <v>9908</v>
          </cell>
          <cell r="H1824" t="str">
            <v>TUBERÍA CORAZA LIQUID TIGHT 3/4"</v>
          </cell>
          <cell r="I1824" t="str">
            <v>ML</v>
          </cell>
          <cell r="J1824">
            <v>6200</v>
          </cell>
        </row>
        <row r="1825">
          <cell r="G1825">
            <v>9909</v>
          </cell>
          <cell r="H1825" t="str">
            <v>CONECTOR RECTO LIQUID TIGHT 3/4"</v>
          </cell>
          <cell r="I1825" t="str">
            <v>ML</v>
          </cell>
          <cell r="J1825">
            <v>7400</v>
          </cell>
        </row>
        <row r="1826">
          <cell r="G1826">
            <v>9922</v>
          </cell>
          <cell r="H1826" t="str">
            <v>PISO EN MÁRMOL ROYAL VETA</v>
          </cell>
          <cell r="I1826" t="str">
            <v>M2</v>
          </cell>
          <cell r="J1826">
            <v>135131</v>
          </cell>
        </row>
        <row r="1827">
          <cell r="G1827">
            <v>9925</v>
          </cell>
          <cell r="H1827" t="str">
            <v>CHAZO EXPANSIVO DE 5/8" x (2 1/4" - 4 1/4") PARA CONCRETO.</v>
          </cell>
          <cell r="I1827" t="str">
            <v>UN</v>
          </cell>
          <cell r="J1827">
            <v>4290</v>
          </cell>
        </row>
        <row r="1828">
          <cell r="G1828">
            <v>9926</v>
          </cell>
          <cell r="H1828" t="str">
            <v>TUBERÍA CONDUIT PVC D=3/4"</v>
          </cell>
          <cell r="I1828" t="str">
            <v>ML</v>
          </cell>
          <cell r="J1828">
            <v>3263</v>
          </cell>
        </row>
        <row r="1829">
          <cell r="G1829">
            <v>9928</v>
          </cell>
          <cell r="H1829" t="str">
            <v>TORNILLOS A-325</v>
          </cell>
          <cell r="I1829" t="str">
            <v>KG</v>
          </cell>
          <cell r="J1829">
            <v>8750</v>
          </cell>
        </row>
        <row r="1830">
          <cell r="G1830">
            <v>9930</v>
          </cell>
          <cell r="H1830" t="str">
            <v>CERROJO METÁLICO CON ESCUDO EN LÁMINA DE ACERO CON LLAVE MATÁLICA</v>
          </cell>
          <cell r="I1830" t="str">
            <v>UN</v>
          </cell>
          <cell r="J1830">
            <v>74156</v>
          </cell>
        </row>
        <row r="1831">
          <cell r="G1831">
            <v>9931</v>
          </cell>
          <cell r="H1831" t="str">
            <v>MANIJA METÁLICA (Cc 192mm - 160mm - 107mm) CROMADA O NIQUELADA</v>
          </cell>
          <cell r="I1831" t="str">
            <v>UN</v>
          </cell>
          <cell r="J1831">
            <v>6200</v>
          </cell>
        </row>
        <row r="1832">
          <cell r="G1832">
            <v>9933</v>
          </cell>
          <cell r="H1832" t="str">
            <v>CODO 90° 1/4 CXE PVC SANITARIA D= 6"</v>
          </cell>
          <cell r="I1832" t="str">
            <v>UN</v>
          </cell>
          <cell r="J1832">
            <v>137425</v>
          </cell>
        </row>
        <row r="1833">
          <cell r="G1833">
            <v>9934</v>
          </cell>
          <cell r="H1833" t="str">
            <v>TUBERIA PVC U.M.  EXT CORRUGADO/INT LISO U.M. NORMA NTC 3722-1 D=355MM (14")</v>
          </cell>
          <cell r="I1833" t="str">
            <v>ML</v>
          </cell>
          <cell r="J1833">
            <v>192105</v>
          </cell>
        </row>
        <row r="1834">
          <cell r="G1834">
            <v>9935</v>
          </cell>
          <cell r="H1834" t="str">
            <v>TRAGANTE CÚPULA 5" x 4" PLÁSTICAS</v>
          </cell>
          <cell r="I1834" t="str">
            <v>UN</v>
          </cell>
          <cell r="J1834">
            <v>10500</v>
          </cell>
        </row>
        <row r="1835">
          <cell r="G1835">
            <v>9936</v>
          </cell>
          <cell r="H1835" t="str">
            <v>TRAGANTE CÚPULA 6" x 4" EN ALUMINIO</v>
          </cell>
          <cell r="I1835" t="str">
            <v>UN</v>
          </cell>
          <cell r="J1835">
            <v>21900</v>
          </cell>
        </row>
        <row r="1836">
          <cell r="G1836">
            <v>9937</v>
          </cell>
          <cell r="H1836" t="str">
            <v>TEE REDUCIDA PVC SOLDAR DE 1" x 1/2"</v>
          </cell>
          <cell r="I1836" t="str">
            <v>UN</v>
          </cell>
          <cell r="J1836">
            <v>5078</v>
          </cell>
        </row>
        <row r="1837">
          <cell r="G1837">
            <v>9939</v>
          </cell>
          <cell r="H1837" t="str">
            <v>UNIÓN UNIVERSAL D=1"</v>
          </cell>
          <cell r="I1837" t="str">
            <v>UN</v>
          </cell>
          <cell r="J1837">
            <v>11674</v>
          </cell>
        </row>
        <row r="1838">
          <cell r="G1838">
            <v>9940</v>
          </cell>
          <cell r="H1838" t="str">
            <v>VÁLVULA CHEQUE DE 1"</v>
          </cell>
          <cell r="I1838" t="str">
            <v>UN</v>
          </cell>
          <cell r="J1838">
            <v>45812</v>
          </cell>
        </row>
        <row r="1839">
          <cell r="G1839">
            <v>9941</v>
          </cell>
          <cell r="H1839" t="str">
            <v>FLOTADOR MECÁNICO DE 1"</v>
          </cell>
          <cell r="I1839" t="str">
            <v>UN</v>
          </cell>
          <cell r="J1839">
            <v>105572</v>
          </cell>
        </row>
        <row r="1840">
          <cell r="G1840">
            <v>9943</v>
          </cell>
          <cell r="H1840" t="str">
            <v>TABLERO TRIFASICO 42 CIRCUITOS CON PUERTA ESPACIO PARA TOTALIZADOR</v>
          </cell>
          <cell r="I1840" t="str">
            <v>UN</v>
          </cell>
          <cell r="J1840">
            <v>383180</v>
          </cell>
        </row>
        <row r="1841">
          <cell r="G1841">
            <v>9944</v>
          </cell>
          <cell r="H1841" t="str">
            <v>CONTACTOR TRIPOLAR 110 V  AC1  18A MÁXIMO HP-60HZ</v>
          </cell>
          <cell r="I1841" t="str">
            <v>UN</v>
          </cell>
          <cell r="J1841">
            <v>26180</v>
          </cell>
        </row>
        <row r="1842">
          <cell r="G1842">
            <v>9945</v>
          </cell>
          <cell r="H1842" t="str">
            <v>CAJA PARA 2 MEDIDORES TRIFÁSICA 57cm x 60cm x 18cm</v>
          </cell>
          <cell r="I1842" t="str">
            <v>UN</v>
          </cell>
          <cell r="J1842">
            <v>253840</v>
          </cell>
        </row>
        <row r="1843">
          <cell r="G1843">
            <v>9948</v>
          </cell>
          <cell r="H1843" t="str">
            <v>CODO DE 90 CONDUIT PVC 3/4"</v>
          </cell>
          <cell r="I1843" t="str">
            <v>UN</v>
          </cell>
          <cell r="J1843">
            <v>2323</v>
          </cell>
        </row>
        <row r="1844">
          <cell r="G1844">
            <v>9949</v>
          </cell>
          <cell r="H1844" t="str">
            <v>UNION PVC CONDUIT DE 3/4"</v>
          </cell>
          <cell r="I1844" t="str">
            <v>UN</v>
          </cell>
          <cell r="J1844">
            <v>857</v>
          </cell>
        </row>
        <row r="1845">
          <cell r="G1845">
            <v>9950</v>
          </cell>
          <cell r="H1845" t="str">
            <v>PISO EN PIZARRA MULTICOLOR DE 30cm x 60cm x 7 - 10mm</v>
          </cell>
          <cell r="I1845" t="str">
            <v>M2</v>
          </cell>
          <cell r="J1845">
            <v>92773</v>
          </cell>
        </row>
        <row r="1846">
          <cell r="G1846">
            <v>9951</v>
          </cell>
          <cell r="H1846" t="str">
            <v>INTERRUPTOR MONOFASICO TERMOMAGNÉTICO DE 16A TIPO INDUSTRIAL</v>
          </cell>
          <cell r="I1846" t="str">
            <v>UN</v>
          </cell>
          <cell r="J1846">
            <v>16184</v>
          </cell>
        </row>
        <row r="1847">
          <cell r="G1847">
            <v>9952</v>
          </cell>
          <cell r="H1847" t="str">
            <v>INTERRUPTOR TRIFASICO TERMOMAGNETICO DE 40A TIPO INDUSTRIAL</v>
          </cell>
          <cell r="I1847" t="str">
            <v>UN</v>
          </cell>
          <cell r="J1847">
            <v>41769</v>
          </cell>
        </row>
        <row r="1848">
          <cell r="G1848">
            <v>9953</v>
          </cell>
          <cell r="H1848" t="str">
            <v>TUBO EN ACERO INOXIDABLE DE 2 1/2" CALIBRE 16 REDONDO</v>
          </cell>
          <cell r="I1848" t="str">
            <v>ML</v>
          </cell>
          <cell r="J1848">
            <v>41667</v>
          </cell>
        </row>
        <row r="1849">
          <cell r="G1849">
            <v>9961</v>
          </cell>
          <cell r="H1849" t="str">
            <v>LÁMINA COLABORANTE 2" CALIBRE 22 (0.75mm)</v>
          </cell>
          <cell r="I1849" t="str">
            <v>M2</v>
          </cell>
          <cell r="J1849">
            <v>60690</v>
          </cell>
        </row>
        <row r="1850">
          <cell r="G1850">
            <v>9962</v>
          </cell>
          <cell r="H1850" t="str">
            <v>TABLA OTOBO P / FORMALETA. TABLA CEPILLADA</v>
          </cell>
          <cell r="I1850" t="str">
            <v>M2</v>
          </cell>
          <cell r="J1850">
            <v>17133</v>
          </cell>
        </row>
        <row r="1851">
          <cell r="G1851">
            <v>9963</v>
          </cell>
          <cell r="H1851" t="str">
            <v>CODO 45° 1/8 CxE PVC SANITARIA D= 6"</v>
          </cell>
          <cell r="I1851" t="str">
            <v>UN</v>
          </cell>
          <cell r="J1851">
            <v>66422</v>
          </cell>
        </row>
        <row r="1852">
          <cell r="G1852">
            <v>9964</v>
          </cell>
          <cell r="H1852" t="str">
            <v>CODO 90° E.L. PARA SOLDAR D= 1/2"</v>
          </cell>
          <cell r="I1852" t="str">
            <v>UN</v>
          </cell>
          <cell r="J1852">
            <v>784</v>
          </cell>
        </row>
        <row r="1853">
          <cell r="G1853">
            <v>9966</v>
          </cell>
          <cell r="H1853" t="str">
            <v>BORNA TERMINAL DE ALUMINIO 1 HUECO BARRIL LARGO, 500 KCMIL</v>
          </cell>
          <cell r="I1853" t="str">
            <v>UN</v>
          </cell>
          <cell r="J1853">
            <v>21896</v>
          </cell>
        </row>
        <row r="1854">
          <cell r="G1854">
            <v>9968</v>
          </cell>
          <cell r="H1854" t="str">
            <v>SEÑALES INFORMATIVAS REGLAMENTARIAS - Letreros Señalética en Trovicel.</v>
          </cell>
          <cell r="I1854" t="str">
            <v>UN</v>
          </cell>
          <cell r="J1854">
            <v>66313</v>
          </cell>
        </row>
        <row r="1855">
          <cell r="G1855">
            <v>9972</v>
          </cell>
          <cell r="H1855" t="str">
            <v>CABLE FPLP ENCAUCHETADO 2X18 AWG</v>
          </cell>
          <cell r="I1855" t="str">
            <v>ML</v>
          </cell>
          <cell r="J1855">
            <v>3100</v>
          </cell>
        </row>
        <row r="1856">
          <cell r="G1856">
            <v>9975</v>
          </cell>
          <cell r="H1856" t="str">
            <v>TAPÓN DE PRUEBA PVC SANITARIA D=6"</v>
          </cell>
          <cell r="I1856" t="str">
            <v>UN</v>
          </cell>
          <cell r="J1856">
            <v>16913</v>
          </cell>
        </row>
        <row r="1857">
          <cell r="G1857">
            <v>9976</v>
          </cell>
          <cell r="H1857" t="str">
            <v>REDUCCION PVC E.L. D= 1" x 1/2" (BUJE SOLDADO)</v>
          </cell>
          <cell r="I1857" t="str">
            <v>UN</v>
          </cell>
          <cell r="J1857">
            <v>1511</v>
          </cell>
        </row>
        <row r="1858">
          <cell r="G1858">
            <v>9977</v>
          </cell>
          <cell r="H1858" t="str">
            <v>REGISTRO DE PASO DIRECTO TIPO PESADO 1/2" EN BRONCE</v>
          </cell>
          <cell r="I1858" t="str">
            <v>UN</v>
          </cell>
          <cell r="J1858">
            <v>63224</v>
          </cell>
        </row>
        <row r="1859">
          <cell r="G1859">
            <v>9978</v>
          </cell>
          <cell r="H1859" t="str">
            <v>TRANSFORMADOR TRIFASICO SECO 150 KVA, 11400 V - 208/120 V</v>
          </cell>
          <cell r="I1859" t="str">
            <v>UN</v>
          </cell>
          <cell r="J1859">
            <v>14295398</v>
          </cell>
        </row>
        <row r="1860">
          <cell r="G1860">
            <v>9979</v>
          </cell>
          <cell r="H1860" t="str">
            <v>CELDA TRANSFORMADOR DE 150 KVA, 13.2 KV. CELDA METÁLICA M.T. PARA ALOJAR TRANSFORMADOR TIPO SECO DE 15 KV. EN LÁMINA COLD ROLLED CAL. 14-16 CON PINTURA EN POLVO ELECTROSTÁTICA</v>
          </cell>
          <cell r="I1860" t="str">
            <v>UN</v>
          </cell>
          <cell r="J1860">
            <v>4641000</v>
          </cell>
        </row>
        <row r="1861">
          <cell r="G1861">
            <v>9980</v>
          </cell>
          <cell r="H1861" t="str">
            <v>CONECTORES PLUG RJ 45 PARA CABLE UTP</v>
          </cell>
          <cell r="I1861" t="str">
            <v>UN</v>
          </cell>
          <cell r="J1861">
            <v>417</v>
          </cell>
        </row>
        <row r="1862">
          <cell r="G1862">
            <v>9981</v>
          </cell>
          <cell r="H1862" t="str">
            <v>PONCHADOR JACK PARA DATOS PARA RJ 45 - PINZA TELEFÓNICA METÁLICA</v>
          </cell>
          <cell r="I1862" t="str">
            <v>UN</v>
          </cell>
          <cell r="J1862">
            <v>71162</v>
          </cell>
        </row>
        <row r="1863">
          <cell r="G1863">
            <v>9982</v>
          </cell>
          <cell r="H1863" t="str">
            <v>TAPA TROQUEL SENCILLO DE 12 cm</v>
          </cell>
          <cell r="I1863" t="str">
            <v>UN</v>
          </cell>
          <cell r="J1863">
            <v>2599</v>
          </cell>
        </row>
        <row r="1864">
          <cell r="G1864">
            <v>9984</v>
          </cell>
          <cell r="H1864" t="str">
            <v>JACK PARA DATOS CATEGORÍA 6A amperios. componente blindado, ponchado a 180.</v>
          </cell>
          <cell r="I1864" t="str">
            <v>ML</v>
          </cell>
          <cell r="J1864">
            <v>36950</v>
          </cell>
        </row>
        <row r="1865">
          <cell r="G1865">
            <v>9985</v>
          </cell>
          <cell r="H1865" t="str">
            <v>SEÑAL EN POLIESTIRENO (30cm x 20cm) FOTOLUMINISCENTE - NORMA NTC - ISO</v>
          </cell>
          <cell r="I1865" t="str">
            <v>UN</v>
          </cell>
          <cell r="J1865">
            <v>68425</v>
          </cell>
        </row>
        <row r="1866">
          <cell r="G1866">
            <v>9986</v>
          </cell>
          <cell r="H1866" t="str">
            <v>SEÑAL EN POLIESTRIENO (30cm x 45cm) REFLECTIVO GRADO INGENIERÍA - NORMA ISO</v>
          </cell>
          <cell r="I1866" t="str">
            <v>UN</v>
          </cell>
          <cell r="J1866">
            <v>78838</v>
          </cell>
        </row>
        <row r="1867">
          <cell r="G1867">
            <v>9987</v>
          </cell>
          <cell r="H1867" t="str">
            <v>LAMINA COLD ROLLED</v>
          </cell>
          <cell r="I1867" t="str">
            <v>KG</v>
          </cell>
          <cell r="J1867">
            <v>6307</v>
          </cell>
        </row>
        <row r="1868">
          <cell r="G1868">
            <v>9988</v>
          </cell>
          <cell r="H1868" t="str">
            <v>PROTECCIÓN CONTRA SOBRETENSIONES TRANSITORIAS - DPS</v>
          </cell>
          <cell r="I1868" t="str">
            <v>UN</v>
          </cell>
          <cell r="J1868">
            <v>1466198</v>
          </cell>
        </row>
        <row r="1869">
          <cell r="G1869">
            <v>9989</v>
          </cell>
          <cell r="H1869" t="str">
            <v>BISAGRA METÁLICA DE NUDO ACERO INOXIDABLE 4" x 3"  2mm</v>
          </cell>
          <cell r="I1869" t="str">
            <v>UN</v>
          </cell>
          <cell r="J1869">
            <v>18900</v>
          </cell>
        </row>
        <row r="1870">
          <cell r="G1870">
            <v>9990</v>
          </cell>
          <cell r="H1870" t="str">
            <v>FALLEBA METÁLICA INCRUSTAR TIPO BÁSCULA 2" (pg)</v>
          </cell>
          <cell r="I1870" t="str">
            <v>UN</v>
          </cell>
          <cell r="J1870">
            <v>25750</v>
          </cell>
        </row>
        <row r="1871">
          <cell r="G1871">
            <v>9991</v>
          </cell>
          <cell r="H1871" t="str">
            <v>TOTALIZADOR TRIFÁSICO 200 A</v>
          </cell>
          <cell r="I1871" t="str">
            <v>UN</v>
          </cell>
          <cell r="J1871">
            <v>297500</v>
          </cell>
        </row>
        <row r="1872">
          <cell r="G1872">
            <v>9992</v>
          </cell>
          <cell r="H1872" t="str">
            <v>TUBO METÁLICO GALVANIZADO DE 3" CALIBRE 14</v>
          </cell>
          <cell r="I1872" t="str">
            <v>ML</v>
          </cell>
          <cell r="J1872">
            <v>121670</v>
          </cell>
        </row>
        <row r="1873">
          <cell r="G1873">
            <v>9993</v>
          </cell>
          <cell r="H1873" t="str">
            <v>AGREGADOS SELECCIONADOS (TAMAÑO MÁXIMO 1") BANDAS SONORAS REDUCE VELOCIDAD.</v>
          </cell>
          <cell r="I1873" t="str">
            <v>M3</v>
          </cell>
          <cell r="J1873">
            <v>84073</v>
          </cell>
        </row>
        <row r="1874">
          <cell r="G1874">
            <v>9994</v>
          </cell>
          <cell r="H1874" t="str">
            <v>RESINA TERMOPLÁSTICA - PINTURA TERMOPLÁSTICA</v>
          </cell>
          <cell r="I1874" t="str">
            <v>KG</v>
          </cell>
          <cell r="J1874">
            <v>12890</v>
          </cell>
        </row>
        <row r="1875">
          <cell r="G1875">
            <v>9995</v>
          </cell>
          <cell r="H1875" t="str">
            <v xml:space="preserve">CAMIÓN CON CALDERA PARA DERRETIR EL TERMOPLÁSTICO </v>
          </cell>
          <cell r="I1875" t="str">
            <v>HR</v>
          </cell>
          <cell r="J1875">
            <v>66728</v>
          </cell>
        </row>
        <row r="1876">
          <cell r="G1876">
            <v>9997</v>
          </cell>
          <cell r="H1876" t="str">
            <v>TRITUBO PE 100 FOPT DE 40mm (1 1/4") RDE 13.5 MULTF Rollo de 500 mt.</v>
          </cell>
          <cell r="I1876" t="str">
            <v>ML</v>
          </cell>
          <cell r="J1876">
            <v>15827</v>
          </cell>
        </row>
        <row r="1877">
          <cell r="G1877">
            <v>9999</v>
          </cell>
          <cell r="H1877" t="str">
            <v>CANALETA METÁLICA DE 12 cm x 5 cm CON TAPA (2.40m)</v>
          </cell>
          <cell r="I1877" t="str">
            <v>ML</v>
          </cell>
          <cell r="J1877">
            <v>17147</v>
          </cell>
        </row>
        <row r="1878">
          <cell r="G1878">
            <v>10000</v>
          </cell>
          <cell r="H1878" t="str">
            <v>CHEVRON 90 cm x 40 cm, REFLECTIVO PRISMÁTICO TIPO VII O SUPERIOR, AMARILLO LIMÓN FLUORESCENTE EN LÁMINA GALVANIZADA, PEDESTAL EN ÁNGULO. Suministro e Instalación.</v>
          </cell>
          <cell r="I1878" t="str">
            <v>ML</v>
          </cell>
          <cell r="J1878">
            <v>285600</v>
          </cell>
        </row>
        <row r="1879">
          <cell r="G1879">
            <v>10009</v>
          </cell>
          <cell r="H1879" t="str">
            <v>PINTURA ACRÍLICA BASE AGUA (e=15mils. Incluye Suministro y Aplicación con Equipo. Incluye Microesferas)</v>
          </cell>
          <cell r="I1879" t="str">
            <v>M2</v>
          </cell>
          <cell r="J1879">
            <v>35194</v>
          </cell>
        </row>
        <row r="1880">
          <cell r="G1880">
            <v>10010</v>
          </cell>
          <cell r="H1880" t="str">
            <v>PINTURA EN FRÍO PARA DEMARCACIÓN DE VÍAS. A= 15 cm. INCLUYE EQUIPO AUTOPROPULSADO Y MANO DE OBRA.</v>
          </cell>
          <cell r="I1880" t="str">
            <v>ML</v>
          </cell>
          <cell r="J1880">
            <v>1601</v>
          </cell>
        </row>
        <row r="1881">
          <cell r="G1881">
            <v>10011</v>
          </cell>
          <cell r="H1881" t="str">
            <v>PINTURA DE TRÁFICO - IMPRIMANTE NEGRO</v>
          </cell>
          <cell r="I1881" t="str">
            <v>ML</v>
          </cell>
          <cell r="J1881">
            <v>1281</v>
          </cell>
        </row>
        <row r="1882">
          <cell r="G1882">
            <v>10012</v>
          </cell>
          <cell r="H1882" t="str">
            <v>PINTURA DE TRÁFICO - IMPRIMANTE NEGRO - Incluye suministro y aplicación</v>
          </cell>
          <cell r="I1882" t="str">
            <v>M2</v>
          </cell>
          <cell r="J1882">
            <v>26103</v>
          </cell>
        </row>
        <row r="1883">
          <cell r="G1883">
            <v>10013</v>
          </cell>
          <cell r="H1883" t="str">
            <v>FENOLES. Norma: SM 5530 B, D.</v>
          </cell>
          <cell r="I1883" t="str">
            <v>UN</v>
          </cell>
          <cell r="J1883">
            <v>39627</v>
          </cell>
        </row>
        <row r="1884">
          <cell r="G1884">
            <v>10014</v>
          </cell>
          <cell r="H1884" t="str">
            <v>USO DEL PENETRÓMETRO DINÁMICO DE CONO EN APLICACIONES DE PAVIMENTOS A POCA PROFUNDIDAD. Norma técnica: INV E 172-13 ASTM D6951 / D6951M - 09(2015).</v>
          </cell>
          <cell r="I1884" t="str">
            <v>UN</v>
          </cell>
          <cell r="J1884">
            <v>49980</v>
          </cell>
        </row>
        <row r="1885">
          <cell r="G1885">
            <v>10015</v>
          </cell>
          <cell r="H1885" t="str">
            <v>DETERMINACIÓN DE SUELOS EXPANSIVOS (PROBETA). Norma técnica: INV E 132-13.</v>
          </cell>
          <cell r="I1885" t="str">
            <v>UN</v>
          </cell>
          <cell r="J1885">
            <v>57120</v>
          </cell>
        </row>
        <row r="1886">
          <cell r="G1886">
            <v>10016</v>
          </cell>
          <cell r="H1886" t="str">
            <v>DETECCIÓN DEL REFUERZO UTILIZANDO FERROSCAN (POR ELEMENTO)</v>
          </cell>
          <cell r="I1886" t="str">
            <v>UN</v>
          </cell>
          <cell r="J1886">
            <v>172550</v>
          </cell>
        </row>
        <row r="1887">
          <cell r="G1887">
            <v>10017</v>
          </cell>
          <cell r="H1887" t="str">
            <v>DETERMINACIÓN DE LA FINURA DEL CEMENTO HIDRÁULICO POR MEDIO DEL APARATO BLAINE DE PERMEABILIDAD AL AIRE. Norma técnica:  NTC - 33  ASTM C204 .</v>
          </cell>
          <cell r="I1887" t="str">
            <v>UN</v>
          </cell>
          <cell r="J1887">
            <v>74586</v>
          </cell>
        </row>
        <row r="1888">
          <cell r="G1888">
            <v>10018</v>
          </cell>
          <cell r="H1888" t="str">
            <v>DETERMINACIÓN DE LA VISCOSIDAD DEL ASFALTO EMPLEANDO UN VISCOSÍMETRO ROTACIONAL (UNA TEMPERATURA). Norma técnica: INV E – 717 - 13 ASTM D4402 - D4402M AASHTO T 316 – 06.</v>
          </cell>
          <cell r="I1888" t="str">
            <v>UN</v>
          </cell>
          <cell r="J1888">
            <v>173200</v>
          </cell>
        </row>
        <row r="1889">
          <cell r="G1889">
            <v>10019</v>
          </cell>
          <cell r="H1889" t="str">
            <v>DETERMINACIÓN LÍMITE LÍQUIDO, LÍMITE PLÁSTICO E ÍNDICE DE PLASTICIDAD DE SUELOS. Norma técnica: INV E 125-13 e INV E 126-13 NTC-4630-1999.</v>
          </cell>
          <cell r="I1889" t="str">
            <v>UN</v>
          </cell>
          <cell r="J1889">
            <v>57120</v>
          </cell>
        </row>
        <row r="1890">
          <cell r="G1890">
            <v>10020</v>
          </cell>
          <cell r="H1890" t="str">
            <v>PH DE LOS SUELOS. Norma técnica: INV E -131.</v>
          </cell>
          <cell r="I1890" t="str">
            <v>UN</v>
          </cell>
          <cell r="J1890">
            <v>45101</v>
          </cell>
        </row>
        <row r="1891">
          <cell r="G1891">
            <v>10021</v>
          </cell>
          <cell r="H1891" t="str">
            <v>RELACIONES HUMEDAD-DENSIDAD DE MEZCLAS DE SUELO CEMENTO. Norma técnica: INV E 611-13.</v>
          </cell>
          <cell r="I1891" t="str">
            <v>UN</v>
          </cell>
          <cell r="J1891">
            <v>151000</v>
          </cell>
        </row>
        <row r="1892">
          <cell r="G1892">
            <v>10022</v>
          </cell>
          <cell r="H1892" t="str">
            <v>HUMEDECIMIENTO Y SECADO DE MEZCLAS COMPACTADAS DE SUELO-CEMENTO. Norma técnica: INV E 612-13.</v>
          </cell>
          <cell r="I1892" t="str">
            <v>UN</v>
          </cell>
          <cell r="J1892">
            <v>524000</v>
          </cell>
        </row>
        <row r="1893">
          <cell r="G1893">
            <v>10023</v>
          </cell>
          <cell r="H1893" t="str">
            <v>RESISTENCIA A LA COMPRESIÓN DE LOS CILINDROS MOLDEADOS DE SUELO-CEMENTO. Norma técnica: INV E 612-13.</v>
          </cell>
          <cell r="I1893" t="str">
            <v>UN</v>
          </cell>
          <cell r="J1893">
            <v>15232</v>
          </cell>
        </row>
        <row r="1894">
          <cell r="G1894">
            <v>10024</v>
          </cell>
          <cell r="H1894" t="str">
            <v>DETERMINACIÓN DEL POTENCIAL DE CAMBIO VOLUMÉTRICO DE UN SUELO EMPLEANDO EL APARATO DE LAMBE. Norma técnica: INV E 120-13.</v>
          </cell>
          <cell r="I1894" t="str">
            <v>UN</v>
          </cell>
          <cell r="J1894">
            <v>181500</v>
          </cell>
        </row>
        <row r="1895">
          <cell r="G1895">
            <v>10025</v>
          </cell>
          <cell r="H1895" t="str">
            <v>VACÍOS DEL LLENANTE SECO COMPACTADO. Norma técnica: INV E 229-13.</v>
          </cell>
          <cell r="I1895" t="str">
            <v>UN</v>
          </cell>
          <cell r="J1895">
            <v>278103</v>
          </cell>
        </row>
        <row r="1896">
          <cell r="G1896">
            <v>10026</v>
          </cell>
          <cell r="H1896" t="str">
            <v>MÉTODO PARA LA DETERMINACIÓN DEL ÍNDICE DE RESISTENCIA AL PUNZONAMIENTO DE GEOTEXTILES, GEOMEMBRANAS Y PRODUCTOS RELACIONADOS. Norma técnica: ASTM D4833 D4833M - 07(2013)e1.</v>
          </cell>
          <cell r="I1896" t="str">
            <v>UN</v>
          </cell>
          <cell r="J1896">
            <v>333200</v>
          </cell>
        </row>
        <row r="1897">
          <cell r="G1897">
            <v>10027</v>
          </cell>
          <cell r="H1897" t="str">
            <v>MÉTODO PARA LA DETERMINACIÓN DE LA RESISTENCIA AL RASGADO TRAPEZOIDAL DE GEOTEXTILES. Norma técnica: ASTM D4533 D4533M - 15.</v>
          </cell>
          <cell r="I1897" t="str">
            <v>UN</v>
          </cell>
          <cell r="J1897">
            <v>452200</v>
          </cell>
        </row>
        <row r="1898">
          <cell r="G1898">
            <v>10028</v>
          </cell>
          <cell r="H1898" t="str">
            <v>MÉTODO PARA LA DETERMINACIÓN DE LA PERMEABILIDAD DEL AGUA DE LOS GEOTEXTILES POR MEDIO DE LA PERMITIVIDAD. Norma técnica: ASTM D4491 D4491M - 17.</v>
          </cell>
          <cell r="I1898" t="str">
            <v>UN</v>
          </cell>
          <cell r="J1898">
            <v>232645</v>
          </cell>
        </row>
        <row r="1899">
          <cell r="G1899">
            <v>10032</v>
          </cell>
          <cell r="H1899" t="str">
            <v>TRANSFORMADOR  SECO CLASE F TRIFASICO DE 45 KVA, 11.4/0.480-277 KV ZCC 4%</v>
          </cell>
          <cell r="I1899" t="str">
            <v>UN</v>
          </cell>
          <cell r="J1899">
            <v>21655271</v>
          </cell>
        </row>
        <row r="1900">
          <cell r="G1900">
            <v>10033</v>
          </cell>
          <cell r="H1900" t="str">
            <v>ADAPTADOR PVC MACHO ROSCADO 1 1/2"</v>
          </cell>
          <cell r="I1900" t="str">
            <v>UN</v>
          </cell>
          <cell r="J1900">
            <v>5042</v>
          </cell>
        </row>
        <row r="1901">
          <cell r="G1901">
            <v>10035</v>
          </cell>
          <cell r="H1901" t="str">
            <v>REDUCCION PVC E.L.  D= 1 1/2 x 1/2" (BUJE SOLDADO)</v>
          </cell>
          <cell r="I1901" t="str">
            <v>UN</v>
          </cell>
          <cell r="J1901">
            <v>4480</v>
          </cell>
        </row>
        <row r="1902">
          <cell r="G1902">
            <v>10066</v>
          </cell>
          <cell r="H1902" t="str">
            <v>DETERMINACIÓN DEL CONTENIDO DE MATERIA ORGÁNICA DE UN SUELO POR EL MÉTODO DE PERMANGANATO POTÁSICO. Norma técnica: UNE 103204.</v>
          </cell>
          <cell r="I1902" t="str">
            <v>UN</v>
          </cell>
          <cell r="J1902">
            <v>172431</v>
          </cell>
        </row>
        <row r="1903">
          <cell r="G1903">
            <v>10072</v>
          </cell>
          <cell r="H1903" t="str">
            <v>SENSOR DE MOVIMIENTO 360° PARA LUMINARIA</v>
          </cell>
          <cell r="I1903" t="str">
            <v>UN</v>
          </cell>
          <cell r="J1903">
            <v>24001</v>
          </cell>
        </row>
        <row r="1904">
          <cell r="G1904">
            <v>10074</v>
          </cell>
          <cell r="H1904" t="str">
            <v>TEE PVC REDUCIDA U.M. 3" x 2"</v>
          </cell>
          <cell r="I1904" t="str">
            <v>UN</v>
          </cell>
          <cell r="J1904">
            <v>287890</v>
          </cell>
        </row>
        <row r="1905">
          <cell r="G1905">
            <v>10079</v>
          </cell>
          <cell r="H1905" t="str">
            <v>BREAKER INDUSTRIAL 3X30AMP</v>
          </cell>
          <cell r="I1905" t="str">
            <v>UN</v>
          </cell>
          <cell r="J1905">
            <v>133280</v>
          </cell>
        </row>
        <row r="1906">
          <cell r="G1906">
            <v>10085</v>
          </cell>
          <cell r="H1906" t="str">
            <v>BREAKER INDUSTRIAL 3X40 AMP</v>
          </cell>
          <cell r="I1906" t="str">
            <v>UN</v>
          </cell>
          <cell r="J1906">
            <v>133280</v>
          </cell>
        </row>
        <row r="1907">
          <cell r="G1907">
            <v>10089</v>
          </cell>
          <cell r="H1907" t="str">
            <v>MALLA ELECTROSOLDADA S=150 x150 mm, Ø=7.5 mm x 7.5 mm</v>
          </cell>
          <cell r="I1907" t="str">
            <v>KG</v>
          </cell>
          <cell r="J1907">
            <v>5474</v>
          </cell>
        </row>
        <row r="1908">
          <cell r="G1908">
            <v>10090</v>
          </cell>
          <cell r="H1908" t="str">
            <v>MALLA ELECTROSOLDADA S=150 x150 mm, Ø=6.5 mm x 6.5 mm</v>
          </cell>
          <cell r="I1908" t="str">
            <v>KG</v>
          </cell>
          <cell r="J1908">
            <v>5474</v>
          </cell>
        </row>
        <row r="1909">
          <cell r="G1909">
            <v>10094</v>
          </cell>
          <cell r="H1909" t="str">
            <v>INTERRUPTOR SENCILLO CONMUTABLE PARA ENCENDIDO/APAGADO DE ILUMINACIÓN DE 20 A.</v>
          </cell>
          <cell r="I1909" t="str">
            <v>UN</v>
          </cell>
          <cell r="J1909">
            <v>3808</v>
          </cell>
        </row>
        <row r="1910">
          <cell r="G1910">
            <v>10096</v>
          </cell>
          <cell r="H1910" t="str">
            <v>BREAKER INDUSTRIAL 3X20AMP</v>
          </cell>
          <cell r="I1910" t="str">
            <v>UN</v>
          </cell>
          <cell r="J1910">
            <v>131396</v>
          </cell>
        </row>
        <row r="1911">
          <cell r="G1911">
            <v>10101</v>
          </cell>
          <cell r="H1911" t="str">
            <v>CODO 90° PVC E.L. D=3/4"</v>
          </cell>
          <cell r="I1911" t="str">
            <v>UN</v>
          </cell>
          <cell r="J1911">
            <v>1255</v>
          </cell>
        </row>
        <row r="1912">
          <cell r="G1912">
            <v>10136</v>
          </cell>
          <cell r="H1912" t="str">
            <v>TEE PVC E.L. D=2"</v>
          </cell>
          <cell r="I1912" t="str">
            <v>UN</v>
          </cell>
          <cell r="J1912">
            <v>18425</v>
          </cell>
        </row>
        <row r="1913">
          <cell r="G1913">
            <v>10145</v>
          </cell>
          <cell r="H1913" t="str">
            <v>TEE HD EXTREMO JUNTA HIDRÁULICA 4"X4" (100x100mm)</v>
          </cell>
          <cell r="I1913" t="str">
            <v>UN</v>
          </cell>
          <cell r="J1913">
            <v>416500</v>
          </cell>
        </row>
        <row r="1914">
          <cell r="G1914">
            <v>10147</v>
          </cell>
          <cell r="H1914" t="str">
            <v>ADAPTADOR PVC MACHO ROSCADO D=1"</v>
          </cell>
          <cell r="I1914" t="str">
            <v>UN</v>
          </cell>
          <cell r="J1914">
            <v>2044</v>
          </cell>
        </row>
        <row r="1915">
          <cell r="G1915">
            <v>10154</v>
          </cell>
          <cell r="H1915" t="str">
            <v>UNION DRESSER HD D=16"</v>
          </cell>
          <cell r="I1915" t="str">
            <v>UN</v>
          </cell>
          <cell r="J1915">
            <v>1015571</v>
          </cell>
        </row>
        <row r="1916">
          <cell r="G1916">
            <v>10158</v>
          </cell>
          <cell r="H1916" t="str">
            <v>VÁLVULA COMPUERTA D=2" EXTREMOS BRIDADOS (A) (150 PSI)</v>
          </cell>
          <cell r="I1916" t="str">
            <v>UN</v>
          </cell>
          <cell r="J1916">
            <v>417241</v>
          </cell>
        </row>
        <row r="1917">
          <cell r="G1917">
            <v>10163</v>
          </cell>
          <cell r="H1917" t="str">
            <v>SEÑAL VERTICAL GRUPO DE PREVENTIVAS SR-38 Y SR-39 TIPO RECTÁNGULO (75cm x 25cm)</v>
          </cell>
          <cell r="I1917" t="str">
            <v>UN</v>
          </cell>
          <cell r="J1917">
            <v>287960</v>
          </cell>
        </row>
        <row r="1918">
          <cell r="G1918">
            <v>10167</v>
          </cell>
          <cell r="H1918" t="str">
            <v>LLAVE MANGUERA 1/2"</v>
          </cell>
          <cell r="I1918" t="str">
            <v>UN</v>
          </cell>
          <cell r="J1918">
            <v>48499</v>
          </cell>
        </row>
        <row r="1919">
          <cell r="G1919">
            <v>10181</v>
          </cell>
          <cell r="H1919" t="str">
            <v>UNION PVC (PRESION) EXTREMO LISO D=1"</v>
          </cell>
          <cell r="I1919" t="str">
            <v>UN</v>
          </cell>
          <cell r="J1919">
            <v>1295</v>
          </cell>
        </row>
        <row r="1920">
          <cell r="G1920">
            <v>10189</v>
          </cell>
          <cell r="H1920" t="str">
            <v>UNION DRESSER HD D=24"</v>
          </cell>
          <cell r="I1920" t="str">
            <v>UN</v>
          </cell>
          <cell r="J1920">
            <v>3188889</v>
          </cell>
        </row>
        <row r="1921">
          <cell r="G1921">
            <v>10203</v>
          </cell>
          <cell r="H1921" t="str">
            <v>ENCUESTA DE PERCEPCIÓN CIUDADANA. Incl. formato de encuesta de percepción ciudadana, diseño de muestra y metodología de recolección en campo, base de datos en formato excel, presentación de resultados</v>
          </cell>
          <cell r="I1921" t="str">
            <v>UN</v>
          </cell>
          <cell r="J1921">
            <v>91022</v>
          </cell>
        </row>
        <row r="1922">
          <cell r="G1922">
            <v>10211</v>
          </cell>
          <cell r="H1922" t="str">
            <v>PLANTACIÓN DE ÁRBOL LIQUIDAMBAR H=1.5mt (Incluye siembra, caja, tierra abonada, tutor) SUMINISTRO Y SIEMBRA</v>
          </cell>
          <cell r="I1922" t="str">
            <v>UN</v>
          </cell>
          <cell r="J1922">
            <v>132000</v>
          </cell>
        </row>
        <row r="1923">
          <cell r="G1923">
            <v>10212</v>
          </cell>
          <cell r="H1923" t="str">
            <v>PLANTACIÓN DE ÁRBOL CEDRO H=1.5mt (Incluye siembra, caja, tierra abonada, tutor) SUMINISTRO Y SIEMBRA</v>
          </cell>
          <cell r="I1923" t="str">
            <v>UN</v>
          </cell>
          <cell r="J1923">
            <v>138000</v>
          </cell>
        </row>
        <row r="1924">
          <cell r="G1924">
            <v>10232</v>
          </cell>
          <cell r="H1924" t="str">
            <v>TUBERIA DB PVC TELEFÓNICO D=4"</v>
          </cell>
          <cell r="I1924" t="str">
            <v>ML</v>
          </cell>
          <cell r="J1924">
            <v>34029</v>
          </cell>
        </row>
        <row r="1925">
          <cell r="G1925">
            <v>10251</v>
          </cell>
          <cell r="H1925" t="str">
            <v>TEE PVC SOLDAR E.L. D=3/4" SCHEDULE 40</v>
          </cell>
          <cell r="I1925" t="str">
            <v>UN</v>
          </cell>
          <cell r="J1925">
            <v>1747</v>
          </cell>
        </row>
        <row r="1926">
          <cell r="G1926">
            <v>10262</v>
          </cell>
          <cell r="H1926" t="str">
            <v>CODO HD EXTREMO JUNTA HIDRÁULICA PARA PVC 22.5ºX4"</v>
          </cell>
          <cell r="I1926" t="str">
            <v>UN</v>
          </cell>
          <cell r="J1926">
            <v>177477</v>
          </cell>
        </row>
        <row r="1927">
          <cell r="G1927">
            <v>10279</v>
          </cell>
          <cell r="H1927" t="str">
            <v>ÁNGULO ALUMINIO BLANCO DE 3m DE 66mm x 39mm</v>
          </cell>
          <cell r="I1927" t="str">
            <v>UN</v>
          </cell>
          <cell r="J1927">
            <v>7563</v>
          </cell>
        </row>
        <row r="1928">
          <cell r="G1928">
            <v>10282</v>
          </cell>
          <cell r="H1928" t="str">
            <v>MASILLA PARA LÁMINAS DE YESO Y CARTÓN, PARA DRY WALL</v>
          </cell>
          <cell r="I1928" t="str">
            <v>GLN</v>
          </cell>
          <cell r="J1928">
            <v>9546</v>
          </cell>
        </row>
        <row r="1929">
          <cell r="G1929">
            <v>10283</v>
          </cell>
          <cell r="H1929" t="str">
            <v>CINTA FIBRA DE VIDRIO PARA DRY WALL 5cm DE ANCHO</v>
          </cell>
          <cell r="I1929" t="str">
            <v>ML</v>
          </cell>
          <cell r="J1929">
            <v>118</v>
          </cell>
        </row>
        <row r="1930">
          <cell r="G1930">
            <v>10288</v>
          </cell>
          <cell r="H1930" t="str">
            <v>BARRAJE PREFORMADO BT DE 6 SALIDAS, AP 280 CON FUSIBLE DE 175 AMP</v>
          </cell>
          <cell r="I1930" t="str">
            <v>UN</v>
          </cell>
          <cell r="J1930">
            <v>213224</v>
          </cell>
        </row>
        <row r="1931">
          <cell r="G1931">
            <v>10289</v>
          </cell>
          <cell r="H1931" t="str">
            <v>PANEL EN FIBRA MINERAL DE 60 cm x 60 cm x 14 mm.</v>
          </cell>
          <cell r="I1931" t="str">
            <v>UN</v>
          </cell>
          <cell r="J1931">
            <v>12173</v>
          </cell>
        </row>
        <row r="1932">
          <cell r="G1932">
            <v>10290</v>
          </cell>
          <cell r="H1932" t="str">
            <v>TEE ALUMINIO BLANCO DE 3m DE 18mm x 23mm</v>
          </cell>
          <cell r="I1932" t="str">
            <v>ML</v>
          </cell>
          <cell r="J1932">
            <v>2859</v>
          </cell>
        </row>
        <row r="1933">
          <cell r="G1933">
            <v>10299</v>
          </cell>
          <cell r="H1933" t="str">
            <v>TUBERIA PVC PRESION E.L. D=3/4"  RDE 21</v>
          </cell>
          <cell r="I1933" t="str">
            <v>ML</v>
          </cell>
          <cell r="J1933">
            <v>4184</v>
          </cell>
        </row>
        <row r="1934">
          <cell r="G1934">
            <v>10303</v>
          </cell>
          <cell r="H1934" t="str">
            <v>LAMINA ACERO INOXIDABLE 304 Cal. 18</v>
          </cell>
          <cell r="I1934" t="str">
            <v>M2</v>
          </cell>
          <cell r="J1934">
            <v>5950</v>
          </cell>
        </row>
        <row r="1935">
          <cell r="G1935">
            <v>10348</v>
          </cell>
          <cell r="H1935" t="str">
            <v>MEDIDOR PARA AGUA DE 1/2"</v>
          </cell>
          <cell r="I1935" t="str">
            <v>UN</v>
          </cell>
          <cell r="J1935">
            <v>121348</v>
          </cell>
        </row>
        <row r="1936">
          <cell r="G1936">
            <v>10355</v>
          </cell>
          <cell r="H1936" t="str">
            <v>LADRILLO PRENSADO LIVIANO 24x12x6</v>
          </cell>
          <cell r="I1936" t="str">
            <v>UN</v>
          </cell>
          <cell r="J1936">
            <v>757</v>
          </cell>
        </row>
        <row r="1937">
          <cell r="G1937">
            <v>10357</v>
          </cell>
          <cell r="H1937" t="str">
            <v>PIEDRA MUÑECA BOGOTANA PULIDA 600X400X60MM</v>
          </cell>
          <cell r="I1937" t="str">
            <v>M2</v>
          </cell>
          <cell r="J1937">
            <v>163384</v>
          </cell>
        </row>
        <row r="1938">
          <cell r="G1938">
            <v>10359</v>
          </cell>
          <cell r="H1938" t="str">
            <v>BORDILLO PREFABRICADO A81 (800x150x350mm)</v>
          </cell>
          <cell r="I1938" t="str">
            <v>UN</v>
          </cell>
          <cell r="J1938">
            <v>37976</v>
          </cell>
        </row>
        <row r="1939">
          <cell r="G1939">
            <v>10375</v>
          </cell>
          <cell r="H1939" t="str">
            <v>LIQUIDAMBAR H=2.5m (Incluye tutor con manguera y almabre)</v>
          </cell>
          <cell r="I1939" t="str">
            <v>UN</v>
          </cell>
          <cell r="J1939">
            <v>205000</v>
          </cell>
        </row>
        <row r="1940">
          <cell r="G1940">
            <v>10381</v>
          </cell>
          <cell r="H1940" t="str">
            <v>PALMA PHOENIX H=3.5m (Incluye tutor con manguera y almabre)</v>
          </cell>
          <cell r="I1940" t="str">
            <v>UN</v>
          </cell>
          <cell r="J1940">
            <v>385000</v>
          </cell>
        </row>
        <row r="1941">
          <cell r="G1941">
            <v>10398</v>
          </cell>
          <cell r="H1941" t="str">
            <v>PERSIANA EN ALUMINIO EXTRUIDO NATURAL MATE O ACERO GALVANIZADO (Suministro e instalación)</v>
          </cell>
          <cell r="I1941" t="str">
            <v>M2</v>
          </cell>
          <cell r="J1941">
            <v>279820</v>
          </cell>
        </row>
        <row r="1942">
          <cell r="G1942">
            <v>10401</v>
          </cell>
          <cell r="H1942" t="str">
            <v>CAJA 4X2 DE 3/4" (Soporte de dispositivo). Metalica</v>
          </cell>
          <cell r="I1942" t="str">
            <v>UN</v>
          </cell>
          <cell r="J1942">
            <v>2678</v>
          </cell>
        </row>
        <row r="1943">
          <cell r="G1943">
            <v>10421</v>
          </cell>
          <cell r="H1943" t="str">
            <v>HIEDRA MIAMI (12 Unidades por m2)</v>
          </cell>
          <cell r="I1943" t="str">
            <v>M2</v>
          </cell>
          <cell r="J1943">
            <v>36000</v>
          </cell>
        </row>
        <row r="1944">
          <cell r="G1944">
            <v>10441</v>
          </cell>
          <cell r="H1944" t="str">
            <v>CABLE CONDUCTOR MONOPOLAR DE ALUMINIO HF FR PARA 600 V  C.A.  CALIBRE No.6 AWG</v>
          </cell>
          <cell r="I1944" t="str">
            <v>ML</v>
          </cell>
          <cell r="J1944">
            <v>2682</v>
          </cell>
        </row>
        <row r="1945">
          <cell r="G1945">
            <v>10442</v>
          </cell>
          <cell r="H1945" t="str">
            <v>CABLE MONOPOLAR DE COBRE, HF FR PARA 600 V  C.A. CALIBRE No. 8 AWG</v>
          </cell>
          <cell r="I1945" t="str">
            <v>ML</v>
          </cell>
          <cell r="J1945">
            <v>6461</v>
          </cell>
        </row>
        <row r="1946">
          <cell r="G1946">
            <v>10495</v>
          </cell>
          <cell r="H1946" t="str">
            <v>FACHADA FIJA EN PANELES DE VIDRIO LAMINADO DE SEGURIDAD EN 3 MÓDULOS VERTICALES CON BORDE PERIMETRAL EN NEOPRENO+ESTRUCT. METAL. EXTER. DE PERFIL TRAPEZ. FIJACIÓN A ESTRUCTURA CON BUJES.</v>
          </cell>
          <cell r="I1946" t="str">
            <v>M2</v>
          </cell>
          <cell r="J1946">
            <v>654930</v>
          </cell>
        </row>
        <row r="1947">
          <cell r="G1947">
            <v>10506</v>
          </cell>
          <cell r="H1947" t="str">
            <v>GRIFERÍA LAVAPLATOS MONOCONTROL</v>
          </cell>
          <cell r="I1947" t="str">
            <v>UN</v>
          </cell>
          <cell r="J1947">
            <v>92437</v>
          </cell>
        </row>
        <row r="1948">
          <cell r="G1948">
            <v>10510</v>
          </cell>
          <cell r="H1948" t="str">
            <v>DUCHA ANTIVANDÁLICA CON REGADERA TUBULAR</v>
          </cell>
          <cell r="I1948" t="str">
            <v>UN</v>
          </cell>
          <cell r="J1948">
            <v>317730</v>
          </cell>
        </row>
        <row r="1949">
          <cell r="G1949">
            <v>10511</v>
          </cell>
          <cell r="H1949" t="str">
            <v>GRIFERÍA LAVAMANOS DE MESON PUSH</v>
          </cell>
          <cell r="I1949" t="str">
            <v>UN</v>
          </cell>
          <cell r="J1949">
            <v>141384</v>
          </cell>
        </row>
        <row r="1950">
          <cell r="G1950">
            <v>10517</v>
          </cell>
          <cell r="H1950" t="str">
            <v>GRAFIL ACERO DE 5mm</v>
          </cell>
          <cell r="I1950" t="str">
            <v>KG</v>
          </cell>
          <cell r="J1950">
            <v>5117</v>
          </cell>
        </row>
        <row r="1951">
          <cell r="G1951">
            <v>10521</v>
          </cell>
          <cell r="H1951" t="str">
            <v>MORTERO IMPERMEABILIZANTE PARA ZONAS HÚMEDAS Y TANQUES DE AGUA POTABLE</v>
          </cell>
          <cell r="I1951" t="str">
            <v>KG</v>
          </cell>
          <cell r="J1951">
            <v>2945</v>
          </cell>
        </row>
        <row r="1952">
          <cell r="G1952">
            <v>10547</v>
          </cell>
          <cell r="H1952" t="str">
            <v>ESPEJO CRISTAL BISELADO DE 5MM COLOCADO SOBRE MARCO DE MADERA, PARA BAÑOS WC. H=1.00</v>
          </cell>
          <cell r="I1952" t="str">
            <v>M2</v>
          </cell>
          <cell r="J1952">
            <v>200273</v>
          </cell>
        </row>
        <row r="1953">
          <cell r="G1953">
            <v>10548</v>
          </cell>
          <cell r="H1953" t="str">
            <v>CINTA DOBLE FAZ INTERIORES 24 MM</v>
          </cell>
          <cell r="I1953" t="str">
            <v>ROLLO</v>
          </cell>
          <cell r="J1953">
            <v>16349</v>
          </cell>
        </row>
        <row r="1954">
          <cell r="G1954">
            <v>10560</v>
          </cell>
          <cell r="H1954" t="str">
            <v>DIVISIONES CANTILIVER ANCLADAS A MURO Y PUERTAS SANITARIOS EN ACERO INOXIDABLE, LÍNEA INSTITUCIONAL. (PUERTAS INCLUYEN CERRADO Y GANCHO ROPA). Suministro e instalación</v>
          </cell>
          <cell r="I1954" t="str">
            <v>M2</v>
          </cell>
          <cell r="J1954">
            <v>541218</v>
          </cell>
        </row>
        <row r="1955">
          <cell r="G1955">
            <v>10565</v>
          </cell>
          <cell r="H1955" t="str">
            <v>PUERTA EN VIDRIO TEMPLADO DE 10mm Y CONECTORES EN ACERO INOXIDABLE (Suministro e instalación).</v>
          </cell>
          <cell r="I1955" t="str">
            <v>M2</v>
          </cell>
          <cell r="J1955">
            <v>337981</v>
          </cell>
        </row>
        <row r="1956">
          <cell r="G1956">
            <v>10569</v>
          </cell>
          <cell r="H1956" t="str">
            <v>BARANDA EN VIDRIO TEMPLADO OPALIZADO DE 10mm H=1.00m Y PASAMANOS CILINDRICO EN ACERO INOXIDABLE MATE DE D=1 1/2" EDIFICIO ACCESO (ESCALERAS, RAMPAS, TERRAZAS, TORNIQUETES) (Suministro e instalación).</v>
          </cell>
          <cell r="I1956" t="str">
            <v>ML</v>
          </cell>
          <cell r="J1956">
            <v>503407</v>
          </cell>
        </row>
        <row r="1957">
          <cell r="G1957">
            <v>10591</v>
          </cell>
          <cell r="H1957" t="str">
            <v>BRIDA CIEGA EN ACERO D= 24". PRESIÓN DE TRABAJO= 150 PSI. No incluye espárragos, tuerca ni empaques. Norma de fabricación AWWA C 207 Clase D. Incluye Transporte.</v>
          </cell>
          <cell r="I1957" t="str">
            <v>UN</v>
          </cell>
          <cell r="J1957">
            <v>3264573</v>
          </cell>
        </row>
        <row r="1958">
          <cell r="G1958">
            <v>10592</v>
          </cell>
          <cell r="H1958" t="str">
            <v>FIBRA ÓPTICA MONOMODO 4 HILOS</v>
          </cell>
          <cell r="I1958" t="str">
            <v>ML</v>
          </cell>
          <cell r="J1958">
            <v>3131</v>
          </cell>
        </row>
        <row r="1959">
          <cell r="G1959">
            <v>10593</v>
          </cell>
          <cell r="H1959" t="str">
            <v>TUBO ACERO CARBÓN 16" STD 150 PSI</v>
          </cell>
          <cell r="I1959" t="str">
            <v>ML</v>
          </cell>
          <cell r="J1959">
            <v>515017</v>
          </cell>
        </row>
        <row r="1960">
          <cell r="G1960">
            <v>10594</v>
          </cell>
          <cell r="H1960" t="str">
            <v>CODO 90° ALCANTARILLADO D=10"</v>
          </cell>
          <cell r="I1960" t="str">
            <v>UN</v>
          </cell>
          <cell r="J1960">
            <v>376784</v>
          </cell>
        </row>
        <row r="1961">
          <cell r="G1961">
            <v>10596</v>
          </cell>
          <cell r="H1961" t="str">
            <v>CODO 90° ALCANTARILLADO D=12"</v>
          </cell>
          <cell r="I1961" t="str">
            <v>UN</v>
          </cell>
          <cell r="J1961">
            <v>577112</v>
          </cell>
        </row>
        <row r="1962">
          <cell r="G1962">
            <v>10597</v>
          </cell>
          <cell r="H1962" t="str">
            <v>CODO 90° ALCANTARILLADO D=16"</v>
          </cell>
          <cell r="I1962" t="str">
            <v>UN</v>
          </cell>
          <cell r="J1962">
            <v>1888254</v>
          </cell>
        </row>
        <row r="1963">
          <cell r="G1963">
            <v>10599</v>
          </cell>
          <cell r="H1963" t="str">
            <v>BRIDA FLANGLES SLIP-ON ACERO CARBÓN 150 D= 16"</v>
          </cell>
          <cell r="I1963" t="str">
            <v>UN</v>
          </cell>
          <cell r="J1963">
            <v>988741</v>
          </cell>
        </row>
        <row r="1964">
          <cell r="G1964">
            <v>10600</v>
          </cell>
          <cell r="H1964" t="str">
            <v>TUBERIA EN ACERO D=16" CON UNIONES ESPIGO-CAMPANA CON EMPAQUE DE CAUCHO, CON REVESTIMIENTO INTERIOR Y RECUBRIMIENTO EXTERIOR EN MORTERO DE CEMENTO. PRESIÓN DE TRABAJO = 150 PSI</v>
          </cell>
          <cell r="I1964" t="str">
            <v>ML</v>
          </cell>
          <cell r="J1964">
            <v>944770</v>
          </cell>
        </row>
        <row r="1965">
          <cell r="G1965">
            <v>10601</v>
          </cell>
          <cell r="H1965" t="str">
            <v>TUBO ACERO CARBÓN A106 SCH-40  S/C 4"</v>
          </cell>
          <cell r="I1965" t="str">
            <v>ML</v>
          </cell>
          <cell r="J1965">
            <v>81544</v>
          </cell>
        </row>
        <row r="1966">
          <cell r="G1966">
            <v>10602</v>
          </cell>
          <cell r="H1966" t="str">
            <v>TUBERIA EN ACERO D=24" CON UNIONES ESPIGO-CAMPANA CON EMPAQUE DE CAUCHO, CON REVESTIMIENTO INTERIOR Y RECUBRIMIENTO EXTERIOR EN MORTERO DE CEMENTO. PRESIÓN DE TRABAJO = 150 PSI</v>
          </cell>
          <cell r="I1966" t="str">
            <v>ML</v>
          </cell>
          <cell r="J1966">
            <v>1373519</v>
          </cell>
        </row>
        <row r="1967">
          <cell r="G1967">
            <v>10603</v>
          </cell>
          <cell r="H1967" t="str">
            <v>FLECHA LUMINOSA INTERMITENTE DE 1.10 MTS DE LONGITUD Y 40 CMS DE ANCHO CON ESTRUCTURA EN TUBO CUADRADO DE 1" DE 1.60CMS DE ALTO (ALTURA TOTAL 2 MTS) EN CALIBRE 20. ESTRUCTURA EN ANGULO DE 1 1/2 X 1/8</v>
          </cell>
          <cell r="I1967" t="str">
            <v>UN</v>
          </cell>
          <cell r="J1967">
            <v>792976</v>
          </cell>
        </row>
        <row r="1968">
          <cell r="G1968">
            <v>10604</v>
          </cell>
          <cell r="H1968" t="str">
            <v>GEOMALLA RESISTENCIA ÚLTIMA 60 KN/M</v>
          </cell>
          <cell r="I1968" t="str">
            <v>M2</v>
          </cell>
          <cell r="J1968">
            <v>13661</v>
          </cell>
        </row>
        <row r="1969">
          <cell r="G1969">
            <v>10605</v>
          </cell>
          <cell r="H1969" t="str">
            <v>TUBO ACERO CARBÓN 24" STD 150 PSI</v>
          </cell>
          <cell r="I1969" t="str">
            <v>ML</v>
          </cell>
          <cell r="J1969">
            <v>674427</v>
          </cell>
        </row>
        <row r="1970">
          <cell r="G1970">
            <v>10606</v>
          </cell>
          <cell r="H1970" t="str">
            <v>JUEGO INFANTIL TIPO M-5A DE TRES PUESTOS, ACABADO SUPERFICIAL EN PINTURA EN POLVO SECO TGIC RESISTENTE A LA INTERPERIE. (Incluye suministro e instalación)</v>
          </cell>
          <cell r="I1970" t="str">
            <v>UN</v>
          </cell>
          <cell r="J1970">
            <v>2142000</v>
          </cell>
        </row>
        <row r="1971">
          <cell r="G1971">
            <v>10608</v>
          </cell>
          <cell r="H1971" t="str">
            <v>JUEGO INFANTIL TIPO M-3 METÁLICO. INCLUYE RODADERO, BARRAS DE FLEXIÓN, ESCALADOR ÁRBOL Y ARCO, PASAMANOS Y ANGULATADO, PLATAFORMAS CUBIERTAS, ACABDO SUPERFICIAL EN PINTURA EN POLVO EN SECO TGIC</v>
          </cell>
          <cell r="I1971" t="str">
            <v>UN</v>
          </cell>
          <cell r="J1971">
            <v>6247500</v>
          </cell>
        </row>
        <row r="1972">
          <cell r="G1972">
            <v>10609</v>
          </cell>
          <cell r="H1972" t="str">
            <v>BRIDA FLANGLES SLIP-ON ACERO CARBÓN 150 D= 12"</v>
          </cell>
          <cell r="I1972" t="str">
            <v>UN</v>
          </cell>
          <cell r="J1972">
            <v>585844</v>
          </cell>
        </row>
        <row r="1973">
          <cell r="G1973">
            <v>10613</v>
          </cell>
          <cell r="H1973" t="str">
            <v>BRIDA FLANGLES SLIP-ON ACERO CARBÓN 150 D= 4"</v>
          </cell>
          <cell r="I1973" t="str">
            <v>UN</v>
          </cell>
          <cell r="J1973">
            <v>109498</v>
          </cell>
        </row>
        <row r="1974">
          <cell r="G1974">
            <v>10614</v>
          </cell>
          <cell r="H1974" t="str">
            <v>SEÑAL VERTICAL SP/SR PARA CICLORUTA DE 0.45 m x 0.45 m, INCLUYE POSTE</v>
          </cell>
          <cell r="I1974" t="str">
            <v>UN</v>
          </cell>
          <cell r="J1974">
            <v>276677</v>
          </cell>
        </row>
        <row r="1975">
          <cell r="G1975">
            <v>10617</v>
          </cell>
          <cell r="H1975" t="str">
            <v>PALMA DE CERA H=3.5mt (Incluye tutor H=3.00m con manguera y alambre) SUMINISTRO. No incluye caja ni abono.</v>
          </cell>
          <cell r="I1975" t="str">
            <v>UN</v>
          </cell>
          <cell r="J1975">
            <v>235000</v>
          </cell>
        </row>
        <row r="1976">
          <cell r="G1976">
            <v>10618</v>
          </cell>
          <cell r="H1976" t="str">
            <v>PERFORACIÓN HORIZONTAL DIRIGIDA PARA ACUED. D=16", INCLUYE INSTAL. DE CAMISA ACERO D=24", MOVILIZACIÓN Y DESMOVILIZACIÓN EQUIPOS, EQUIPO Y COMPRESORES PARA HINCADO, OBRA MECÁNICA Y LIMPIEZA DE CAMISAS</v>
          </cell>
          <cell r="I1976" t="str">
            <v>ML</v>
          </cell>
          <cell r="J1976">
            <v>2422800</v>
          </cell>
        </row>
        <row r="1977">
          <cell r="G1977">
            <v>10619</v>
          </cell>
          <cell r="H1977" t="str">
            <v>PERFORACIÓN HORIZONTAL DIRIGIDA PARA ACUED. D=24", INCLUYE INSTAL. DE CAMISA ACERO D=36", MOVILIZACIÓN Y DESMOVILIZACIÓN EQUIPOS, EQUIPO Y COMPRESORES PARA HINCADO, OBRA MECÁNICA Y LIMPIEZA DE CAMISAS</v>
          </cell>
          <cell r="I1977" t="str">
            <v>ML</v>
          </cell>
          <cell r="J1977">
            <v>3502965</v>
          </cell>
        </row>
        <row r="1978">
          <cell r="G1978">
            <v>10620</v>
          </cell>
          <cell r="H1978" t="str">
            <v>REDUCCIÓN HD 24" x 16"</v>
          </cell>
          <cell r="I1978" t="str">
            <v>UN</v>
          </cell>
          <cell r="J1978">
            <v>5864056</v>
          </cell>
        </row>
        <row r="1979">
          <cell r="G1979">
            <v>10621</v>
          </cell>
          <cell r="H1979" t="str">
            <v>REDUCCION HD TIPO  U.M. 12" X 6"</v>
          </cell>
          <cell r="I1979" t="str">
            <v>UN</v>
          </cell>
          <cell r="J1979">
            <v>1767150</v>
          </cell>
        </row>
        <row r="1980">
          <cell r="G1980">
            <v>10622</v>
          </cell>
          <cell r="H1980" t="str">
            <v>REDUCCION PVC TIPO  U.M. 12" X 8"</v>
          </cell>
          <cell r="I1980" t="str">
            <v>UN</v>
          </cell>
          <cell r="J1980">
            <v>1944460</v>
          </cell>
        </row>
        <row r="1981">
          <cell r="G1981">
            <v>10623</v>
          </cell>
          <cell r="H1981" t="str">
            <v>REDUCCION PVC TIPO  U.M. 6" X 3"</v>
          </cell>
          <cell r="I1981" t="str">
            <v>UN</v>
          </cell>
          <cell r="J1981">
            <v>311780</v>
          </cell>
        </row>
        <row r="1982">
          <cell r="G1982">
            <v>10624</v>
          </cell>
          <cell r="H1982" t="str">
            <v>ACERO LISO  D= 2 1/2"</v>
          </cell>
          <cell r="I1982" t="str">
            <v>KG</v>
          </cell>
          <cell r="J1982">
            <v>5831</v>
          </cell>
        </row>
        <row r="1983">
          <cell r="G1983">
            <v>10625</v>
          </cell>
          <cell r="H1983" t="str">
            <v>SEÑAL CICLORUTA SIC-02, TABLERO 0.70M X 0.18M. INCLUYE POSTE. SUMINISTRO E INSTALACIÓN</v>
          </cell>
          <cell r="I1983" t="str">
            <v>UN</v>
          </cell>
          <cell r="J1983">
            <v>391213</v>
          </cell>
        </row>
        <row r="1984">
          <cell r="G1984">
            <v>10626</v>
          </cell>
          <cell r="H1984" t="str">
            <v>SEÑAL CICLORUTA SIC-02, TABLERO 0.70M X 0.30M. INCLUYE POSTE. SUMINISTRO E INSTALACIÓN</v>
          </cell>
          <cell r="I1984" t="str">
            <v>UN</v>
          </cell>
          <cell r="J1984">
            <v>426095</v>
          </cell>
        </row>
        <row r="1985">
          <cell r="G1985">
            <v>10627</v>
          </cell>
          <cell r="H1985" t="str">
            <v>SEÑAL CICLORUTA SIC-02, TABLERO 0.70M X 0.40M. EN LÁMINA GALVANIZADA CAL-16. INCLUYE SOPORTE EN TUBO REDONDO 2" EN REFLECTIVO CON PINTURA ELECTROSTÁTICA</v>
          </cell>
          <cell r="I1985" t="str">
            <v>UN</v>
          </cell>
          <cell r="J1985">
            <v>426095</v>
          </cell>
        </row>
        <row r="1986">
          <cell r="G1986">
            <v>10628</v>
          </cell>
          <cell r="H1986" t="str">
            <v>SEÑAL CICLORUTA SIC-02, TABLERO 0.80M X 0.18M. INCLUYE POSTE. SUMINISTRO E INSTALACIÓN</v>
          </cell>
          <cell r="I1986" t="str">
            <v>UN</v>
          </cell>
          <cell r="J1986">
            <v>426095</v>
          </cell>
        </row>
        <row r="1987">
          <cell r="G1987">
            <v>10629</v>
          </cell>
          <cell r="H1987" t="str">
            <v>SEÑAL CICLORUTA SIC-02, TABLERO 0.80M X 0.80M. EN LÁMINA GALVANIZADA C-16. INCLUYE SOPORTE EN TUBO REDONDO 2" EN REFLECTIVO CON PINTURA ELECTROSTÁTICA</v>
          </cell>
          <cell r="I1987" t="str">
            <v>UN</v>
          </cell>
          <cell r="J1987">
            <v>426095</v>
          </cell>
        </row>
        <row r="1988">
          <cell r="G1988">
            <v>10634</v>
          </cell>
          <cell r="H1988" t="str">
            <v>SEÑAL VERTICAL SR 90x30 , INCLUYE POSTE. SUMINISTRO E INSTALACIÓN</v>
          </cell>
          <cell r="I1988" t="str">
            <v>UN</v>
          </cell>
          <cell r="J1988">
            <v>428400</v>
          </cell>
        </row>
        <row r="1989">
          <cell r="G1989">
            <v>10635</v>
          </cell>
          <cell r="H1989" t="str">
            <v>SEÑAL VERTICAL SR PARA CICLORUTA D=0.45M. INCLUYE POSTE</v>
          </cell>
          <cell r="I1989" t="str">
            <v>UN</v>
          </cell>
          <cell r="J1989">
            <v>426095</v>
          </cell>
        </row>
        <row r="1990">
          <cell r="G1990">
            <v>10636</v>
          </cell>
          <cell r="H1990" t="str">
            <v>SEÑAL VERTICAL GRUPO I (60X60CM) CON PLAQUETA. INCLUYE POSTE. SUMINISTRO E INSTALACIÓN</v>
          </cell>
          <cell r="I1990" t="str">
            <v>UN</v>
          </cell>
          <cell r="J1990">
            <v>467650</v>
          </cell>
        </row>
        <row r="1991">
          <cell r="G1991">
            <v>10639</v>
          </cell>
          <cell r="H1991" t="str">
            <v>TEE PVC U.M. 4" X 4"</v>
          </cell>
          <cell r="I1991" t="str">
            <v>UN</v>
          </cell>
          <cell r="J1991">
            <v>217289</v>
          </cell>
        </row>
        <row r="1992">
          <cell r="G1992">
            <v>10640</v>
          </cell>
          <cell r="H1992" t="str">
            <v>TEE PVC U.M. 6" X 3"</v>
          </cell>
          <cell r="I1992" t="str">
            <v>UN</v>
          </cell>
          <cell r="J1992">
            <v>1378859</v>
          </cell>
        </row>
        <row r="1993">
          <cell r="G1993">
            <v>10641</v>
          </cell>
          <cell r="H1993" t="str">
            <v>TEE PVC U.M. 6" X 4"</v>
          </cell>
          <cell r="I1993" t="str">
            <v>UN</v>
          </cell>
          <cell r="J1993">
            <v>1247592</v>
          </cell>
        </row>
        <row r="1994">
          <cell r="G1994">
            <v>10642</v>
          </cell>
          <cell r="H1994" t="str">
            <v>TEE PVC U.M. 6" X 6"</v>
          </cell>
          <cell r="I1994" t="str">
            <v>UN</v>
          </cell>
          <cell r="J1994">
            <v>600713</v>
          </cell>
        </row>
        <row r="1995">
          <cell r="G1995">
            <v>10643</v>
          </cell>
          <cell r="H1995" t="str">
            <v>TEE PVC U.M. 8" X 6"</v>
          </cell>
          <cell r="I1995" t="str">
            <v>UN</v>
          </cell>
          <cell r="J1995">
            <v>2155213</v>
          </cell>
        </row>
        <row r="1996">
          <cell r="G1996">
            <v>10644</v>
          </cell>
          <cell r="H1996" t="str">
            <v>TEE PVC U.M. 8" X 8"</v>
          </cell>
          <cell r="I1996" t="str">
            <v>UN</v>
          </cell>
          <cell r="J1996">
            <v>1903714</v>
          </cell>
        </row>
        <row r="1997">
          <cell r="G1997">
            <v>10645</v>
          </cell>
          <cell r="H1997" t="str">
            <v>TUBERIA PVC U.M. EXT CORRUGAD LISO U.M. NORMA NTC 3722-1  D=24"</v>
          </cell>
          <cell r="I1997" t="str">
            <v>ML</v>
          </cell>
          <cell r="J1997">
            <v>542117</v>
          </cell>
        </row>
        <row r="1998">
          <cell r="G1998">
            <v>10646</v>
          </cell>
          <cell r="H1998" t="str">
            <v>TUBERIA PVC U.M. EXT CORRUGAD LISO U.M. NORMA NTC 3722-1  D=27"</v>
          </cell>
          <cell r="I1998" t="str">
            <v>ML</v>
          </cell>
          <cell r="J1998">
            <v>649118</v>
          </cell>
        </row>
        <row r="1999">
          <cell r="G1999">
            <v>10647</v>
          </cell>
          <cell r="H1999" t="str">
            <v>TUBERIA PVC U.M. EXT CORRUGAD LISO U.M. NORMA NTC 3722-1  D=30"</v>
          </cell>
          <cell r="I1999" t="str">
            <v>ML</v>
          </cell>
          <cell r="J1999">
            <v>810037</v>
          </cell>
        </row>
        <row r="2000">
          <cell r="G2000">
            <v>10648</v>
          </cell>
          <cell r="H2000" t="str">
            <v>TUBERIA PVC U.M. EXT CORRUGAD LISO U.M. NORMA NTC 3722-1  D=36"</v>
          </cell>
          <cell r="I2000" t="str">
            <v>ML</v>
          </cell>
          <cell r="J2000">
            <v>1503529</v>
          </cell>
        </row>
        <row r="2001">
          <cell r="G2001">
            <v>10649</v>
          </cell>
          <cell r="H2001" t="str">
            <v>TUBERIA PVC U.M. EXT CORRUGAD LISO U.M. NORMA NTC 3722-1  D=39"</v>
          </cell>
          <cell r="I2001" t="str">
            <v>ML</v>
          </cell>
          <cell r="J2001">
            <v>2011658</v>
          </cell>
        </row>
        <row r="2002">
          <cell r="G2002">
            <v>10650</v>
          </cell>
          <cell r="H2002" t="str">
            <v>TUBERIA PVC U.M. EXT CORRUGAD LISO U.M. NORMA NTC 3722-1  D=48"</v>
          </cell>
          <cell r="I2002" t="str">
            <v>ML</v>
          </cell>
          <cell r="J2002">
            <v>3105416</v>
          </cell>
        </row>
        <row r="2003">
          <cell r="G2003">
            <v>10651</v>
          </cell>
          <cell r="H2003" t="str">
            <v>VÁLVULA 1 1/2" PARA EXPULSIÓN DE AIRE</v>
          </cell>
          <cell r="I2003" t="str">
            <v>UN</v>
          </cell>
          <cell r="J2003">
            <v>330367</v>
          </cell>
        </row>
        <row r="2004">
          <cell r="G2004">
            <v>10653</v>
          </cell>
          <cell r="H2004" t="str">
            <v>KIT DE PUESTA A TIERRA CAPACITIVO VERTICAL DE 90 KG DE HIDROSOLTA</v>
          </cell>
          <cell r="I2004" t="str">
            <v>UN</v>
          </cell>
          <cell r="J2004">
            <v>102340</v>
          </cell>
        </row>
        <row r="2005">
          <cell r="G2005">
            <v>10655</v>
          </cell>
          <cell r="H2005" t="str">
            <v>TUBO ACERO CARBÓN A106 SCH-40  S/C 2"</v>
          </cell>
          <cell r="I2005" t="str">
            <v>ML</v>
          </cell>
          <cell r="J2005">
            <v>34028</v>
          </cell>
        </row>
        <row r="2006">
          <cell r="G2006">
            <v>10656</v>
          </cell>
          <cell r="H2006" t="str">
            <v>VÁLVULA COMPUERTA D=4" EXTREMOS BRIDADOS (A) (150 PSI)</v>
          </cell>
          <cell r="I2006" t="str">
            <v>UN</v>
          </cell>
          <cell r="J2006">
            <v>1203090</v>
          </cell>
        </row>
        <row r="2007">
          <cell r="G2007">
            <v>10657</v>
          </cell>
          <cell r="H2007" t="str">
            <v>VÁLVULA DE GLOBO DE 4" (A)</v>
          </cell>
          <cell r="I2007" t="str">
            <v>UN</v>
          </cell>
          <cell r="J2007">
            <v>2006290</v>
          </cell>
        </row>
        <row r="2008">
          <cell r="G2008">
            <v>10658</v>
          </cell>
          <cell r="H2008" t="str">
            <v>HIDROSOLTA (15 KILOGRAMOS)</v>
          </cell>
          <cell r="I2008" t="str">
            <v>UN</v>
          </cell>
          <cell r="J2008">
            <v>65450</v>
          </cell>
        </row>
        <row r="2009">
          <cell r="G2009">
            <v>10659</v>
          </cell>
          <cell r="H2009" t="str">
            <v>VÁLVULA DE MARIPOSA Ø 12"A BRIDA - BRIDA (A) (150 PSI)</v>
          </cell>
          <cell r="I2009" t="str">
            <v>UN</v>
          </cell>
          <cell r="J2009">
            <v>10577778</v>
          </cell>
        </row>
        <row r="2010">
          <cell r="G2010">
            <v>10662</v>
          </cell>
          <cell r="H2010" t="str">
            <v>CAÑUELA PREFABRICADA CU 004 (20cm x 30cm x 100cm)</v>
          </cell>
          <cell r="I2010" t="str">
            <v>UN</v>
          </cell>
          <cell r="J2010">
            <v>38627</v>
          </cell>
        </row>
        <row r="2011">
          <cell r="G2011">
            <v>10669</v>
          </cell>
          <cell r="H2011" t="str">
            <v>SEÑAL VERTICAL DE TRÁNSITO TIPO DELINEADOR OBSTÁCULO LATERAL CON LÁMINA RETRORREFLECTIVA TIPO GRADO DIAMANTE (90X20) INCLUYE POSTE</v>
          </cell>
          <cell r="I2011" t="str">
            <v>UN</v>
          </cell>
          <cell r="J2011">
            <v>252014</v>
          </cell>
        </row>
        <row r="2012">
          <cell r="G2012">
            <v>10670</v>
          </cell>
          <cell r="H2012" t="str">
            <v>SEÑAL VERTICAL DE TRÁNSITO TIPO DELINEADOR OBSTÁCULO LATERAL CON LÁMINA RETRORREFLECTIVA TIPO GRADO DIAMANTE (40X50) INCLUYE POSTE</v>
          </cell>
          <cell r="I2012" t="str">
            <v>UN</v>
          </cell>
          <cell r="J2012">
            <v>226245</v>
          </cell>
        </row>
        <row r="2013">
          <cell r="G2013">
            <v>10671</v>
          </cell>
          <cell r="H2013" t="str">
            <v>TEE PVC U.M. 12" X 6"</v>
          </cell>
          <cell r="I2013" t="str">
            <v>UN</v>
          </cell>
          <cell r="J2013">
            <v>2050370</v>
          </cell>
        </row>
        <row r="2014">
          <cell r="G2014">
            <v>10672</v>
          </cell>
          <cell r="H2014" t="str">
            <v>TEE PVC U.M. 12" X 4"</v>
          </cell>
          <cell r="I2014" t="str">
            <v>UN</v>
          </cell>
          <cell r="J2014">
            <v>1696940</v>
          </cell>
        </row>
        <row r="2015">
          <cell r="G2015">
            <v>10673</v>
          </cell>
          <cell r="H2015" t="str">
            <v>TUBERIA PVC U.M. EXT CORRUGAD LISO U.M. NORMA NTC 3722-1 D=33"</v>
          </cell>
          <cell r="I2015" t="str">
            <v>ML</v>
          </cell>
          <cell r="J2015">
            <v>1077829</v>
          </cell>
        </row>
        <row r="2016">
          <cell r="G2016">
            <v>10674</v>
          </cell>
          <cell r="H2016" t="str">
            <v>TUBERIA PVC U.M. EXT CORRUGAD LISO U.M. NORMA NTC 3722-1 D=42"</v>
          </cell>
          <cell r="I2016" t="str">
            <v>ML</v>
          </cell>
          <cell r="J2016">
            <v>2361667</v>
          </cell>
        </row>
        <row r="2017">
          <cell r="G2017">
            <v>10676</v>
          </cell>
          <cell r="H2017" t="str">
            <v>TUBO ACERO CARBÓN A106 SCH-40  S/C 1"</v>
          </cell>
          <cell r="I2017" t="str">
            <v>ML</v>
          </cell>
          <cell r="J2017">
            <v>17290</v>
          </cell>
        </row>
        <row r="2018">
          <cell r="G2018">
            <v>10677</v>
          </cell>
          <cell r="H2018" t="str">
            <v>TUBO ACERO CARBÓN A106 SCH-40  S/C 1 1/2"</v>
          </cell>
          <cell r="I2018" t="str">
            <v>ML</v>
          </cell>
          <cell r="J2018">
            <v>26156</v>
          </cell>
        </row>
        <row r="2019">
          <cell r="G2019">
            <v>10678</v>
          </cell>
          <cell r="H2019" t="str">
            <v>UNIÓN JUNTA DE DESMONTAJE AUTOPORTANTE Ø 16" (A)</v>
          </cell>
          <cell r="I2019" t="str">
            <v>UN</v>
          </cell>
          <cell r="J2019">
            <v>4366630</v>
          </cell>
        </row>
        <row r="2020">
          <cell r="G2020">
            <v>10679</v>
          </cell>
          <cell r="H2020" t="str">
            <v>TAPON PVC U.M. JUNTA HIDRAULICA NORMA NTC 382 D=2"</v>
          </cell>
          <cell r="I2020" t="str">
            <v>UN</v>
          </cell>
          <cell r="J2020">
            <v>9770</v>
          </cell>
        </row>
        <row r="2021">
          <cell r="G2021">
            <v>10680</v>
          </cell>
          <cell r="H2021" t="str">
            <v>UNIÓN JUNTA DE DESMONTAJE AUTOPORTANTE Ø 12" (A)</v>
          </cell>
          <cell r="I2021" t="str">
            <v>UN</v>
          </cell>
          <cell r="J2021">
            <v>2346033</v>
          </cell>
        </row>
        <row r="2022">
          <cell r="G2022">
            <v>10681</v>
          </cell>
          <cell r="H2022" t="str">
            <v>UNIÓN JUNTA DE DESMONTAJE AUTOPORTANTE Ø 24" (A)</v>
          </cell>
          <cell r="I2022" t="str">
            <v>UN</v>
          </cell>
          <cell r="J2022">
            <v>9554523</v>
          </cell>
        </row>
        <row r="2023">
          <cell r="G2023">
            <v>10682</v>
          </cell>
          <cell r="H2023" t="str">
            <v>VÁLVULA DE COMPUERTA Ø 4" (E.L) CON SELLO EN BRONCE</v>
          </cell>
          <cell r="I2023" t="str">
            <v>UN</v>
          </cell>
          <cell r="J2023">
            <v>1687104</v>
          </cell>
        </row>
        <row r="2024">
          <cell r="G2024">
            <v>10684</v>
          </cell>
          <cell r="H2024" t="str">
            <v>VENTOSA DE DOBLE ACCIÓN DE 2" DE BRIDA (A)</v>
          </cell>
          <cell r="I2024" t="str">
            <v>UN</v>
          </cell>
          <cell r="J2024">
            <v>462513</v>
          </cell>
        </row>
        <row r="2025">
          <cell r="G2025">
            <v>10687</v>
          </cell>
          <cell r="H2025" t="str">
            <v>CODO EN ACERO D=16" ENTRE 67.5° Y 90  L=1.25 m x 1.25 m, INCLUYE UNIONES ESPIGO-CAMPANA CON EMPAQUE CAUCHO. CON REVESTIMIENTO INTERIOR Y EXTERIOR EN MORTERO DE CEMENTO. PRESIÓN TRABAJO 150 PSI</v>
          </cell>
          <cell r="I2025" t="str">
            <v>UN</v>
          </cell>
          <cell r="J2025">
            <v>5276148</v>
          </cell>
        </row>
        <row r="2026">
          <cell r="G2026">
            <v>10688</v>
          </cell>
          <cell r="H2026" t="str">
            <v>CODO EN ACERO D=4"</v>
          </cell>
          <cell r="I2026" t="str">
            <v>UN</v>
          </cell>
          <cell r="J2026">
            <v>111411</v>
          </cell>
        </row>
        <row r="2027">
          <cell r="G2027">
            <v>10689</v>
          </cell>
          <cell r="H2027" t="str">
            <v>SEÑAL METÁLICA DEFINITIVA DOBLE DE 0.75x0.75m REFLECTIVO GRADO INGENIERÍA ÁNGULOS DE 2x1/4", LÁMINA CLA. 16 PINTADA UNA CARA PINTURA ELECTROSTÁTICA. INCL. POSTE</v>
          </cell>
          <cell r="I2027" t="str">
            <v>UN</v>
          </cell>
          <cell r="J2027">
            <v>520197</v>
          </cell>
        </row>
        <row r="2028">
          <cell r="G2028">
            <v>10690</v>
          </cell>
          <cell r="H2028" t="str">
            <v>CODO EN ACERO D=16" ENTRE 45° y 67.5°   JUNTA ESPIGO-CAMPANA CON EMPAQUE CAUCHO.  REVESTIMIENTO INTERIOR Y EXTERIOR EN MORTERO DE CEMENTO. L=0.85X0.85M PRESIÓN TRABAJO 150 PSI</v>
          </cell>
          <cell r="I2028" t="str">
            <v>UN</v>
          </cell>
          <cell r="J2028">
            <v>4176450</v>
          </cell>
        </row>
        <row r="2029">
          <cell r="G2029">
            <v>10692</v>
          </cell>
          <cell r="H2029" t="str">
            <v>SEÑAL DOBLE DE 60 CM, REFLECTIVO ALTA DENSIDAD TIPO IV EN LAMINA GALVANIZADA, PEDESTAL EN ANGULO SP/SR/SI. (SUMINISTRO E INSTALACION)</v>
          </cell>
          <cell r="I2029" t="str">
            <v>UN</v>
          </cell>
          <cell r="J2029">
            <v>527150</v>
          </cell>
        </row>
        <row r="2030">
          <cell r="G2030">
            <v>10694</v>
          </cell>
          <cell r="H2030" t="str">
            <v>SEÑAL VERTICAL REGLAMENTARIA CICLORRUTA (D= 45cm) CON PLAQUETA. INCLUYE POSTE.</v>
          </cell>
          <cell r="I2030" t="str">
            <v>UN</v>
          </cell>
          <cell r="J2030">
            <v>493850</v>
          </cell>
        </row>
        <row r="2031">
          <cell r="G2031">
            <v>10695</v>
          </cell>
          <cell r="H2031" t="str">
            <v>TUBO EN ACERO SCH 40 D= 1"</v>
          </cell>
          <cell r="I2031" t="str">
            <v>ML</v>
          </cell>
          <cell r="J2031">
            <v>25400</v>
          </cell>
        </row>
        <row r="2032">
          <cell r="G2032">
            <v>10696</v>
          </cell>
          <cell r="H2032" t="str">
            <v>TUBO EN ACERO SCH 40 D= 1 1/2"</v>
          </cell>
          <cell r="I2032" t="str">
            <v>ML</v>
          </cell>
          <cell r="J2032">
            <v>40079</v>
          </cell>
        </row>
        <row r="2033">
          <cell r="G2033">
            <v>10697</v>
          </cell>
          <cell r="H2033" t="str">
            <v>SEÑAL VERTICAL INFORMATIVA CICLORUTA (D= 45cm x 45cm) CON PLAQUETA. INCLUYE POSTE. LÁMINA CALIBRE 16 PINTADA POR UNA CARA CON PINTURA ELECTROSTÁTICA</v>
          </cell>
          <cell r="I2033" t="str">
            <v>UN</v>
          </cell>
          <cell r="J2033">
            <v>493850</v>
          </cell>
        </row>
        <row r="2034">
          <cell r="G2034">
            <v>10698</v>
          </cell>
          <cell r="H2034" t="str">
            <v>SEÑAL VERTICAL GRUPO DE REGLAMENTARIAS TIPO CIRCULO (D= 60cm). INCLUYE POSTE.</v>
          </cell>
          <cell r="I2034" t="str">
            <v>UN</v>
          </cell>
          <cell r="J2034">
            <v>428400</v>
          </cell>
        </row>
        <row r="2035">
          <cell r="G2035">
            <v>10699</v>
          </cell>
          <cell r="H2035" t="str">
            <v>SEÑAL VERTICAL GRUPO DE REGLAMENTARIAS TIPO CIRCULO (D= 60cm). CON PLAQUETA. INCLUYE POSTE. REFLECTIVO GRADO ING. CON ÁNGULO DE 2" x 1/4" x 3m LÁMINA CAL. 16 PINTADA UNA CARA PINTURA ELECTROSTATICA</v>
          </cell>
          <cell r="I2035" t="str">
            <v>UN</v>
          </cell>
          <cell r="J2035">
            <v>428400</v>
          </cell>
        </row>
        <row r="2036">
          <cell r="G2036">
            <v>10700</v>
          </cell>
          <cell r="H2036" t="str">
            <v>CODO 90° PVC ALCANTARILLADO D=8"</v>
          </cell>
          <cell r="I2036" t="str">
            <v>UN</v>
          </cell>
          <cell r="J2036">
            <v>197027</v>
          </cell>
        </row>
        <row r="2037">
          <cell r="G2037">
            <v>10706</v>
          </cell>
          <cell r="H2037" t="str">
            <v>PERNOS ROSCADO EN "U" PARA TUBERÍA D=3"</v>
          </cell>
          <cell r="I2037" t="str">
            <v>UN</v>
          </cell>
          <cell r="J2037">
            <v>9813</v>
          </cell>
        </row>
        <row r="2038">
          <cell r="G2038">
            <v>10710</v>
          </cell>
          <cell r="H2038" t="str">
            <v>POSTE TIPO MÁSTIL T1 (3.80m) EN TUBO SCH 40 GALVANIZADO Y PINTADO</v>
          </cell>
          <cell r="I2038" t="str">
            <v>UN</v>
          </cell>
          <cell r="J2038">
            <v>2343236</v>
          </cell>
        </row>
        <row r="2039">
          <cell r="G2039">
            <v>10712</v>
          </cell>
          <cell r="H2039" t="str">
            <v>TAPA VALVULA TIPO CHOROTE TRAFICO PESADO</v>
          </cell>
          <cell r="I2039" t="str">
            <v>UN</v>
          </cell>
          <cell r="J2039">
            <v>436334</v>
          </cell>
        </row>
        <row r="2040">
          <cell r="G2040">
            <v>10723</v>
          </cell>
          <cell r="H2040" t="str">
            <v>AGUA - E. COLI</v>
          </cell>
          <cell r="I2040" t="str">
            <v>MUESTRA</v>
          </cell>
          <cell r="J2040">
            <v>39270</v>
          </cell>
        </row>
        <row r="2041">
          <cell r="G2041">
            <v>10728</v>
          </cell>
          <cell r="H2041" t="str">
            <v>AGUA - COLOR APARENTE</v>
          </cell>
          <cell r="I2041" t="str">
            <v>MUESTRA</v>
          </cell>
          <cell r="J2041">
            <v>13479</v>
          </cell>
        </row>
        <row r="2042">
          <cell r="G2042">
            <v>10733</v>
          </cell>
          <cell r="H2042" t="str">
            <v>VALVULA COMPUERTA ELASTICA HD DN D=12" PVC L.F.</v>
          </cell>
          <cell r="I2042" t="str">
            <v>UN</v>
          </cell>
          <cell r="J2042">
            <v>4625133</v>
          </cell>
        </row>
        <row r="2043">
          <cell r="G2043">
            <v>10734</v>
          </cell>
          <cell r="H2043" t="str">
            <v>VALVULA COMPUERTA ELASTICA HD DN D=8" PVC L.F.</v>
          </cell>
          <cell r="I2043" t="str">
            <v>UN</v>
          </cell>
          <cell r="J2043">
            <v>2651320</v>
          </cell>
        </row>
        <row r="2044">
          <cell r="G2044">
            <v>10736</v>
          </cell>
          <cell r="H2044" t="str">
            <v>VALVULA COMPUERTA ELASTICA HD DN D=6" PVC L.F.</v>
          </cell>
          <cell r="I2044" t="str">
            <v>UN</v>
          </cell>
          <cell r="J2044">
            <v>1666000</v>
          </cell>
        </row>
        <row r="2045">
          <cell r="G2045">
            <v>10737</v>
          </cell>
          <cell r="H2045" t="str">
            <v>VALVULA COMPUERTA ELASTICA HD DN D=4" PVC L.F.</v>
          </cell>
          <cell r="I2045" t="str">
            <v>UN</v>
          </cell>
          <cell r="J2045">
            <v>938910</v>
          </cell>
        </row>
        <row r="2046">
          <cell r="G2046">
            <v>10754</v>
          </cell>
          <cell r="H2046" t="str">
            <v>REDUCCIÓN EXCÉNTRICA HD 27" x 24". Br PN10 x Br CL 125</v>
          </cell>
          <cell r="I2046" t="str">
            <v>UN</v>
          </cell>
          <cell r="J2046">
            <v>10975095</v>
          </cell>
        </row>
        <row r="2047">
          <cell r="G2047">
            <v>10755</v>
          </cell>
          <cell r="H2047" t="str">
            <v>UNIÓN JUNTA DE DESMONTAJE TIPO DRESSER Ø 4" 150 PSI</v>
          </cell>
          <cell r="I2047" t="str">
            <v>UN</v>
          </cell>
          <cell r="J2047">
            <v>295083</v>
          </cell>
        </row>
        <row r="2048">
          <cell r="G2048">
            <v>10756</v>
          </cell>
          <cell r="H2048" t="str">
            <v>VÁLVULA DE CHEQUE DE 4" 150 PSI EXTREMOS BRIDADOS.</v>
          </cell>
          <cell r="I2048" t="str">
            <v>UN</v>
          </cell>
          <cell r="J2048">
            <v>1110666</v>
          </cell>
        </row>
        <row r="2049">
          <cell r="G2049">
            <v>10757</v>
          </cell>
          <cell r="H2049" t="str">
            <v>VÁLVULA VENTOSA HD COMBINADA TRIPLE ACCIÓN (TRIPLE EFECTO) D=3" EXTREMO EN BRIDA CLASE 150</v>
          </cell>
          <cell r="I2049" t="str">
            <v>UN</v>
          </cell>
          <cell r="J2049">
            <v>1044937</v>
          </cell>
        </row>
        <row r="2050">
          <cell r="G2050">
            <v>10758</v>
          </cell>
          <cell r="H2050" t="str">
            <v>VÁLVULA COMPUERTA ELÁSTICA EXTREMOS BRIDADOS. D=3"  150 PSI (VASTAGO ASCENDENTE)</v>
          </cell>
          <cell r="I2050" t="str">
            <v>UN</v>
          </cell>
          <cell r="J2050">
            <v>912334</v>
          </cell>
        </row>
        <row r="2051">
          <cell r="G2051">
            <v>10767</v>
          </cell>
          <cell r="H2051" t="str">
            <v>PINTURA DE TRÁFICO ESPESOR SECO 4mils PARA SEÑALIZACIÓN DE PISO EN PUERTA CORREDIZA SENCILLA, SEGÚN MANUAL DE IMAGEN DE TRANSMILENIO - Incluye suministro y aplicación</v>
          </cell>
          <cell r="I2051" t="str">
            <v>M2</v>
          </cell>
          <cell r="J2051">
            <v>125977</v>
          </cell>
        </row>
        <row r="2052">
          <cell r="G2052">
            <v>10768</v>
          </cell>
          <cell r="H2052" t="str">
            <v>PINTURA DE TRÁFICO ESPESOR SECO 4mils PARA SEÑALIZACIÓN DE PISO EN PUERTA CORREDIZA TELESCÓPICA, SEGÚN MANUAL DE IMAGEN DE TRANSMILENIO - Incluye suministro y aplicación</v>
          </cell>
          <cell r="I2052" t="str">
            <v>UN</v>
          </cell>
          <cell r="J2052">
            <v>180565</v>
          </cell>
        </row>
        <row r="2053">
          <cell r="G2053">
            <v>10770</v>
          </cell>
          <cell r="H2053" t="str">
            <v>SEÑAL TIPO DE FRECUENCIA EN LÁMINA, RECUBRIMIENTO POR AMBAS CARAS EN PELÍCULA REFLECTORA GRADO INGENIERÍA AZUL PARA EL FONDO Y BLANCO PARA NÚMERO O LETRA. SEGÚN MANUAL DE IMAGEN TRANSMILENIO.</v>
          </cell>
          <cell r="I2053" t="str">
            <v>UN</v>
          </cell>
          <cell r="J2053">
            <v>83747</v>
          </cell>
        </row>
        <row r="2054">
          <cell r="G2054">
            <v>10774</v>
          </cell>
          <cell r="H2054" t="str">
            <v>RUTEROS MONTAJE RUTA FÁCIL EN VINILO CON ADHESIVO EN VINILO FUNDIDO 32cm x 16cm SOBRE IMPRESIÓN. SEGÚN MANUAL DE IMAGEN TRANSMILENIO. SUMINISTRO E INSTALACIÓN</v>
          </cell>
          <cell r="I2054" t="str">
            <v>UN</v>
          </cell>
          <cell r="J2054">
            <v>71249</v>
          </cell>
        </row>
        <row r="2055">
          <cell r="G2055">
            <v>10776</v>
          </cell>
          <cell r="H2055" t="str">
            <v>RUTEROS MONTANTE SERVICIOS Y HORARIOS + INFORMACIÓN + RIELES. SEGÚN MANUAL DE IMAGEN TRANSMILENIO. SUMINISTRO E INSTALACIÓN.</v>
          </cell>
          <cell r="I2055" t="str">
            <v>UN</v>
          </cell>
          <cell r="J2055">
            <v>86234</v>
          </cell>
        </row>
        <row r="2056">
          <cell r="G2056">
            <v>10777</v>
          </cell>
          <cell r="H2056" t="str">
            <v>YEE REDUCIDA PVC SANITARIA 4" x 3"</v>
          </cell>
          <cell r="I2056" t="str">
            <v>UN</v>
          </cell>
          <cell r="J2056">
            <v>28371</v>
          </cell>
        </row>
        <row r="2057">
          <cell r="G2057">
            <v>10783</v>
          </cell>
          <cell r="H2057" t="str">
            <v>CONDUCTORES DE ALUMINIO 4X(1X2/0) AWG AISLADO HFFR 600 V C.A.</v>
          </cell>
          <cell r="I2057" t="str">
            <v>ML</v>
          </cell>
          <cell r="J2057">
            <v>6624</v>
          </cell>
        </row>
        <row r="2058">
          <cell r="G2058">
            <v>10787</v>
          </cell>
          <cell r="H2058" t="str">
            <v>SIFON PVC 135° D=3"</v>
          </cell>
          <cell r="I2058" t="str">
            <v>UN</v>
          </cell>
          <cell r="J2058">
            <v>13459</v>
          </cell>
        </row>
        <row r="2059">
          <cell r="G2059">
            <v>10788</v>
          </cell>
          <cell r="H2059" t="str">
            <v>BARRA SOPORTE BAÑO MOVILIDAD REDUCIDA</v>
          </cell>
          <cell r="I2059" t="str">
            <v>UN</v>
          </cell>
          <cell r="J2059">
            <v>291550</v>
          </cell>
        </row>
        <row r="2060">
          <cell r="G2060">
            <v>10790</v>
          </cell>
          <cell r="H2060" t="str">
            <v>PUERTA METÁLICA CON REJILLA DE 0.80 m x 2.10 m.</v>
          </cell>
          <cell r="I2060" t="str">
            <v>M2</v>
          </cell>
          <cell r="J2060">
            <v>409930</v>
          </cell>
        </row>
        <row r="2061">
          <cell r="G2061">
            <v>10792</v>
          </cell>
          <cell r="H2061" t="str">
            <v>LUMINARIA PANEL LED 1.20 X 0.30MT. INSTALADA EN EL TECHO. INCLUYE SUMINISTRO E INSTALACIÓN, 42W 120V C.A 4396LM</v>
          </cell>
          <cell r="I2061" t="str">
            <v>UN</v>
          </cell>
          <cell r="J2061">
            <v>107171</v>
          </cell>
        </row>
        <row r="2062">
          <cell r="G2062">
            <v>10794</v>
          </cell>
          <cell r="H2062" t="str">
            <v>SIFON PVC 135° D=4"</v>
          </cell>
          <cell r="I2062" t="str">
            <v>UN</v>
          </cell>
          <cell r="J2062">
            <v>29417</v>
          </cell>
        </row>
        <row r="2063">
          <cell r="G2063">
            <v>10795</v>
          </cell>
          <cell r="H2063" t="str">
            <v>LUMINARIA PANEL LED 60 X 60CM. INSTALADA EN EL TECHO. INCLUYE SUMINISTRO E INSTALACIÓN, 33W 120V C.A 3520LM</v>
          </cell>
          <cell r="I2063" t="str">
            <v>UN</v>
          </cell>
          <cell r="J2063">
            <v>74327</v>
          </cell>
        </row>
        <row r="2064">
          <cell r="G2064">
            <v>10796</v>
          </cell>
          <cell r="H2064" t="str">
            <v>LUMINARIA PANEL LED  REDONDO INSTALADA EN EL TECHO. INCLUYE SUMINISTRO E INSTALACIÓN, 12W 120V C.A 710LM</v>
          </cell>
          <cell r="I2064" t="str">
            <v>UN</v>
          </cell>
          <cell r="J2064">
            <v>11688</v>
          </cell>
        </row>
        <row r="2065">
          <cell r="G2065">
            <v>10808</v>
          </cell>
          <cell r="H2065" t="str">
            <v>ACCESORIOS DE INSTALACIÓN ADICIONALES: CONDULETAS, CONECTORES, RECTOS, ADAPTADOR PVC A EMT, CAJAS METÁLICAS 5800 ENTRE OTROS</v>
          </cell>
          <cell r="I2065" t="str">
            <v>UN</v>
          </cell>
          <cell r="J2065">
            <v>57257</v>
          </cell>
        </row>
        <row r="2066">
          <cell r="G2066">
            <v>10813</v>
          </cell>
          <cell r="H2066" t="str">
            <v>CODO 90° PVC E.L.  D= 2"</v>
          </cell>
          <cell r="I2066" t="str">
            <v>UN</v>
          </cell>
          <cell r="J2066">
            <v>14420</v>
          </cell>
        </row>
        <row r="2067">
          <cell r="G2067">
            <v>10822</v>
          </cell>
          <cell r="H2067" t="str">
            <v>LUMINARIA LED I, 16 LED, RA03SIM, 21W, 4000°K  100-227 V</v>
          </cell>
          <cell r="I2067" t="str">
            <v>UN</v>
          </cell>
          <cell r="J2067">
            <v>1007405</v>
          </cell>
        </row>
        <row r="2068">
          <cell r="G2068">
            <v>10824</v>
          </cell>
          <cell r="H2068" t="str">
            <v>UPS 2.0 KVA</v>
          </cell>
          <cell r="I2068" t="str">
            <v>UN</v>
          </cell>
          <cell r="J2068">
            <v>1654100</v>
          </cell>
        </row>
        <row r="2069">
          <cell r="G2069">
            <v>10825</v>
          </cell>
          <cell r="H2069" t="str">
            <v>ESPECIES DE JARDINERÍA PORTE BAJO (CINTAS)</v>
          </cell>
          <cell r="I2069" t="str">
            <v>M2</v>
          </cell>
          <cell r="J2069">
            <v>58500</v>
          </cell>
        </row>
        <row r="2070">
          <cell r="G2070">
            <v>10830</v>
          </cell>
          <cell r="H2070" t="str">
            <v>ESPECIES DE JARDINERÍA PORTE ALTO (GARRAS DE CANGURO)</v>
          </cell>
          <cell r="I2070" t="str">
            <v>M2</v>
          </cell>
          <cell r="J2070">
            <v>65000</v>
          </cell>
        </row>
        <row r="2071">
          <cell r="G2071">
            <v>10836</v>
          </cell>
          <cell r="H2071" t="str">
            <v>POSTE METALICO GALVANIZADO EN CALIENTE H=14m CON BRAZO SENCILLO</v>
          </cell>
          <cell r="I2071" t="str">
            <v>UN</v>
          </cell>
          <cell r="J2071">
            <v>4736446</v>
          </cell>
        </row>
        <row r="2072">
          <cell r="G2072">
            <v>10842</v>
          </cell>
          <cell r="H2072" t="str">
            <v>CONECTOR TIPO CUÑA</v>
          </cell>
          <cell r="I2072" t="str">
            <v>UN</v>
          </cell>
          <cell r="J2072">
            <v>14994</v>
          </cell>
        </row>
        <row r="2073">
          <cell r="G2073">
            <v>10847</v>
          </cell>
          <cell r="H2073" t="str">
            <v>POSTE METALICO GALVANIZADO EN CALIENTE H=14m CON BRAZO DOBLE PROPOSITO DE 1.5m</v>
          </cell>
          <cell r="I2073" t="str">
            <v>UN</v>
          </cell>
          <cell r="J2073">
            <v>4788690</v>
          </cell>
        </row>
        <row r="2074">
          <cell r="G2074">
            <v>10848</v>
          </cell>
          <cell r="H2074" t="str">
            <v>CURVA DE ACERO GALVANIZADA DE 4" X 90°</v>
          </cell>
          <cell r="I2074" t="str">
            <v>ML</v>
          </cell>
          <cell r="J2074">
            <v>67116</v>
          </cell>
        </row>
        <row r="2075">
          <cell r="G2075">
            <v>10849</v>
          </cell>
          <cell r="H2075" t="str">
            <v>UNIÓN GALVANIZADA DE 4"</v>
          </cell>
          <cell r="I2075" t="str">
            <v>ML</v>
          </cell>
          <cell r="J2075">
            <v>39679</v>
          </cell>
        </row>
        <row r="2076">
          <cell r="G2076">
            <v>10850</v>
          </cell>
          <cell r="H2076" t="str">
            <v>ABRAZADERA DE UNA SALIDA PARA SUJECIÓN DE CABLES AL POSTE</v>
          </cell>
          <cell r="I2076" t="str">
            <v>ML</v>
          </cell>
          <cell r="J2076">
            <v>11932</v>
          </cell>
        </row>
        <row r="2077">
          <cell r="G2077">
            <v>10851</v>
          </cell>
          <cell r="H2077" t="str">
            <v>POSTE METALICO GALVANIZADO EN CALIENTE H=14m CON BRAZO TRIPLE PROPOSITO DE 1.5m</v>
          </cell>
          <cell r="I2077" t="str">
            <v>UN</v>
          </cell>
          <cell r="J2077">
            <v>3516843</v>
          </cell>
        </row>
        <row r="2078">
          <cell r="G2078">
            <v>10852</v>
          </cell>
          <cell r="H2078" t="str">
            <v>LUMINARIA REALED IV 128 LED, RA02SII, 200W COMPLETA PARA ALUMBRADO PÚBLICO</v>
          </cell>
          <cell r="I2078" t="str">
            <v>UN</v>
          </cell>
          <cell r="J2078">
            <v>1446627</v>
          </cell>
        </row>
        <row r="2079">
          <cell r="G2079">
            <v>10854</v>
          </cell>
          <cell r="H2079" t="str">
            <v>CIMBRA DE SOPORTE. FORZA ANDAMIOS Y FORZA ACERO LOSA</v>
          </cell>
          <cell r="I2079" t="str">
            <v>M2/DIA</v>
          </cell>
          <cell r="J2079">
            <v>4760</v>
          </cell>
        </row>
        <row r="2080">
          <cell r="G2080">
            <v>10855</v>
          </cell>
          <cell r="H2080" t="str">
            <v>CAJA METÁLICA DE PASO 30cmX30cmX10cm</v>
          </cell>
          <cell r="I2080" t="str">
            <v>UN</v>
          </cell>
          <cell r="J2080">
            <v>49266</v>
          </cell>
        </row>
        <row r="2081">
          <cell r="G2081">
            <v>10862</v>
          </cell>
          <cell r="H2081" t="str">
            <v>CAJA DE EMPALME PARA 12 HILOS MÍNIMO</v>
          </cell>
          <cell r="I2081" t="str">
            <v>UN</v>
          </cell>
          <cell r="J2081">
            <v>355375</v>
          </cell>
        </row>
        <row r="2082">
          <cell r="G2082">
            <v>10863</v>
          </cell>
          <cell r="H2082" t="str">
            <v>OTDR FIBRA ÓPTICA ALQUILER</v>
          </cell>
          <cell r="I2082" t="str">
            <v>DIA</v>
          </cell>
          <cell r="J2082">
            <v>54994</v>
          </cell>
        </row>
        <row r="2083">
          <cell r="G2083">
            <v>10864</v>
          </cell>
          <cell r="H2083" t="str">
            <v>FUSIONADOR DE FIBRA ÓPTICA ALQUILER</v>
          </cell>
          <cell r="I2083" t="str">
            <v>DIA</v>
          </cell>
          <cell r="J2083">
            <v>54994</v>
          </cell>
        </row>
        <row r="2084">
          <cell r="G2084">
            <v>10872</v>
          </cell>
          <cell r="H2084" t="str">
            <v>TABLERO TRIFASICO CON PUERTA Y ESPACIO PARA TOTALIZADOR DE 24 CIRCUITOS CON BARRAJE DE 225A-BARRA NEUTRO-BARRA TIERRA-CHAPA Y LLAVE.</v>
          </cell>
          <cell r="I2084" t="str">
            <v>UN</v>
          </cell>
          <cell r="J2084">
            <v>410441</v>
          </cell>
        </row>
        <row r="2085">
          <cell r="G2085">
            <v>10876</v>
          </cell>
          <cell r="H2085" t="str">
            <v>POSTE METÁLICO AP, H=21M CON CANASTA DE ANCLAJE, CANASTA DE MANTENIMIENTO, SOPORTE PARA LUMINARIAS, LÍNEA DE VIDA Y PELDAÑOS. INCLUYE TRANSPORTE AL PORTAL AMÉRICAS</v>
          </cell>
          <cell r="I2085" t="str">
            <v>UN</v>
          </cell>
          <cell r="J2085">
            <v>12657666</v>
          </cell>
        </row>
        <row r="2086">
          <cell r="G2086">
            <v>10877</v>
          </cell>
          <cell r="H2086" t="str">
            <v>PROYECTOR LED PRO 600W 5000K, 120-277V, 6000 LM, CON DIFUSOR DE VIDRIO PLANO (INCLUYE ACCESORIOS DE FIJACION)</v>
          </cell>
          <cell r="I2086" t="str">
            <v>UN</v>
          </cell>
          <cell r="J2086">
            <v>3990800</v>
          </cell>
        </row>
        <row r="2087">
          <cell r="G2087">
            <v>10878</v>
          </cell>
          <cell r="H2087" t="str">
            <v>TRAGANTE CÚPULA 4" x 3" PLÁSTICAS</v>
          </cell>
          <cell r="I2087" t="str">
            <v>UN</v>
          </cell>
          <cell r="J2087">
            <v>5640</v>
          </cell>
        </row>
        <row r="2088">
          <cell r="G2088">
            <v>10880</v>
          </cell>
          <cell r="H2088" t="str">
            <v>MATERIAL GRANULAR TIPO B-400 PROVENIENTE DE CENTROS DE TRATAMIENTO Y/O APROVECHAMIENTO DE RCD</v>
          </cell>
          <cell r="I2088" t="str">
            <v>M3</v>
          </cell>
          <cell r="J2088">
            <v>25680</v>
          </cell>
        </row>
        <row r="2089">
          <cell r="G2089">
            <v>10882</v>
          </cell>
          <cell r="H2089" t="str">
            <v>CABLE ALUMINIO AISLADO THHW, 500 KCMIL AA8000-CPT 600V 90°C CT</v>
          </cell>
          <cell r="I2089" t="str">
            <v>ML</v>
          </cell>
          <cell r="J2089">
            <v>27507</v>
          </cell>
        </row>
        <row r="2090">
          <cell r="G2090">
            <v>10890</v>
          </cell>
          <cell r="H2090" t="str">
            <v>TUBERÍA DE ACERO D 1 1/2" (DN40), ASTM A53 GALVANIZADO ASTM A123, SCH10, SC, CLASE 150, CONEXIONES ROSCADAS NPT.</v>
          </cell>
          <cell r="I2090" t="str">
            <v>ML</v>
          </cell>
          <cell r="J2090">
            <v>45410</v>
          </cell>
        </row>
        <row r="2091">
          <cell r="G2091">
            <v>10891</v>
          </cell>
          <cell r="H2091" t="str">
            <v>VÁLVULA ANTI-RETORNO, (CHEQUE CORTINA) TIPO SWING, D 1 1/2" (DN40), CLASE 150, CONEXIONES ROSCADAS NPT.</v>
          </cell>
          <cell r="I2091" t="str">
            <v>UN</v>
          </cell>
          <cell r="J2091">
            <v>89105</v>
          </cell>
        </row>
        <row r="2092">
          <cell r="G2092">
            <v>10920</v>
          </cell>
          <cell r="H2092" t="str">
            <v>TEE BRIDADO, D 6"X6" (DN150), ASTM A126, GALVANIZADO ASTM A123, ASME B16.42, RF CLASE 150</v>
          </cell>
          <cell r="I2092" t="str">
            <v>UN</v>
          </cell>
          <cell r="J2092">
            <v>1134070</v>
          </cell>
        </row>
        <row r="2093">
          <cell r="G2093">
            <v>10936</v>
          </cell>
          <cell r="H2093" t="str">
            <v>BRIDA FLANGLES SLIP-ON D= 3" ACERO SOLDABLE RF 150 LB. ANSI B16.5</v>
          </cell>
          <cell r="I2093" t="str">
            <v>UN</v>
          </cell>
          <cell r="J2093">
            <v>76454</v>
          </cell>
        </row>
        <row r="2094">
          <cell r="G2094">
            <v>10937</v>
          </cell>
          <cell r="H2094" t="str">
            <v>BRIDA FLANGLES SLIP-ON D= 6" ACERO SOLDABLE RF 150 LB. ANSI B16.5</v>
          </cell>
          <cell r="I2094" t="str">
            <v>UN</v>
          </cell>
          <cell r="J2094">
            <v>104178</v>
          </cell>
        </row>
        <row r="2095">
          <cell r="G2095">
            <v>10947</v>
          </cell>
          <cell r="H2095" t="str">
            <v>ACERO LISO  D= 1 1/2" A37 - ACERO DE TRANSFERENCIA</v>
          </cell>
          <cell r="I2095" t="str">
            <v>KG</v>
          </cell>
          <cell r="J2095">
            <v>5831</v>
          </cell>
        </row>
        <row r="2096">
          <cell r="G2096">
            <v>10948</v>
          </cell>
          <cell r="H2096" t="str">
            <v>ACERO LISO  D= 1" A37 - ACERO DE TRANSFERENCIA</v>
          </cell>
          <cell r="I2096" t="str">
            <v>KG</v>
          </cell>
          <cell r="J2096">
            <v>5831</v>
          </cell>
        </row>
        <row r="2097">
          <cell r="G2097">
            <v>10955</v>
          </cell>
          <cell r="H2097" t="str">
            <v>CAMIÓN APLICADOR DE VÍAS DOBLE CABINA DE 3.5 ton DE CAPACIDAD, CON EQUIPO DE APLICACIÓN DE DOS MAQUINAS DEMARCADORAS HIDRA AIRLESS HIDRAM 4000, UNA MAQUINA DEMARCADORA POWRLINE</v>
          </cell>
          <cell r="I2097" t="str">
            <v>DIA</v>
          </cell>
          <cell r="J2097">
            <v>4331600</v>
          </cell>
        </row>
        <row r="2098">
          <cell r="G2098">
            <v>10957</v>
          </cell>
          <cell r="H2098" t="str">
            <v>MÉTODOS PARA MUESTREO Y ENSAYOS DE UNIDADES DE MAMPOSTERÍA Y OTROS PRODUCTOS DE ARCILLA. EFLORECENCIA. Norma técnica: NTC 4017 numeral 12.</v>
          </cell>
          <cell r="I2098" t="str">
            <v>UN</v>
          </cell>
          <cell r="J2098">
            <v>43600</v>
          </cell>
        </row>
        <row r="2099">
          <cell r="G2099">
            <v>10958</v>
          </cell>
          <cell r="H2099" t="str">
            <v>MÉTODOS PARA MUESTREO Y ENSAYOS DE UNIDADES DE MAMPOSTERÍA Y OTROS PRODUCTOS DE ARCILLA. ABSORCIÓN DE AGUA. Norma técnica: NTC 4017 numeral 10.3.</v>
          </cell>
          <cell r="I2099" t="str">
            <v>UN</v>
          </cell>
          <cell r="J2099">
            <v>31401</v>
          </cell>
        </row>
        <row r="2100">
          <cell r="G2100">
            <v>10959</v>
          </cell>
          <cell r="H2100" t="str">
            <v>MÉTODOS PARA MUESTREO Y ENSAYOS DE UNIDADES DE MAMPOSTERÍA Y OTROS PRODUCTOS DE ARCILLA. MEDICIÓN DEL ALABEO. Norma técnica: NTC 4017 numeral 19.</v>
          </cell>
          <cell r="I2100" t="str">
            <v>UN</v>
          </cell>
          <cell r="J2100">
            <v>34510</v>
          </cell>
        </row>
        <row r="2101">
          <cell r="G2101">
            <v>10960</v>
          </cell>
          <cell r="H2101" t="str">
            <v>MÉTODOS PARA MUESTREO Y ENSAYOS DE UNIDADES DE MAMPOSTERÍA Y OTROS PRODUCTOS DE ARCILLA. RESISTENCIA A LA COMPRESIÓN. Norma técnica: NTC 4017 numeral 7.</v>
          </cell>
          <cell r="I2101" t="str">
            <v>UN</v>
          </cell>
          <cell r="J2101">
            <v>33320</v>
          </cell>
        </row>
        <row r="2102">
          <cell r="G2102">
            <v>10961</v>
          </cell>
          <cell r="H2102" t="str">
            <v>MÉTODOS PARA MUESTREO Y ENSAYOS DE UNIDADES DE MAMPOSTERÍA Y OTROS PRODUCTOS DE ARCILLA. MEDICIÓN DEL TAMAÑO. Norma técnica: NTC 4017 numeral 18.</v>
          </cell>
          <cell r="I2102" t="str">
            <v>UN</v>
          </cell>
          <cell r="J2102">
            <v>18802</v>
          </cell>
        </row>
        <row r="2103">
          <cell r="G2103">
            <v>10962</v>
          </cell>
          <cell r="H2103" t="str">
            <v>MEDICIONES (DIMENSIONES) DE LOSETAS DE CONCRETO PARA PAVIMENTOS. Norma técnica: NTC 4992 numeral 6.2.10.</v>
          </cell>
          <cell r="I2103" t="str">
            <v>UN</v>
          </cell>
          <cell r="J2103">
            <v>32725</v>
          </cell>
        </row>
        <row r="2104">
          <cell r="G2104">
            <v>10963</v>
          </cell>
          <cell r="H2104" t="str">
            <v>PREFABRICADOS DE CONCRETO. MUESTREO Y ENSAYO DE PREFABRICADOS DE CONCRETO NO REFORZADOS, VIBROCOMPACTADOS. ABSORCIÓN DE AGUA. Norma técnica: NTC 4024 numeral 8.</v>
          </cell>
          <cell r="I2104" t="str">
            <v>UN</v>
          </cell>
          <cell r="J2104">
            <v>31401</v>
          </cell>
        </row>
        <row r="2105">
          <cell r="G2105">
            <v>10964</v>
          </cell>
          <cell r="H2105" t="str">
            <v>ADOQUINES DE CONCRETO PARA PAVIMENTOS. MEDICIONES. Norma técnica: NTC 2017 numeral 6.2.</v>
          </cell>
          <cell r="I2105" t="str">
            <v>UN</v>
          </cell>
          <cell r="J2105">
            <v>32130</v>
          </cell>
        </row>
        <row r="2106">
          <cell r="G2106">
            <v>10965</v>
          </cell>
          <cell r="H2106" t="str">
            <v>DETERMINACIÓN DE LA VISCOSIDAD DEL ASFALTO EMPLEANDO VISCOSÍMETROS CAPILARES DE VACÍO. Norma técnica: INV E – 716 - 13 ASTM D2171.</v>
          </cell>
          <cell r="I2106" t="str">
            <v>UN</v>
          </cell>
          <cell r="J2106">
            <v>202300</v>
          </cell>
        </row>
        <row r="2107">
          <cell r="G2107">
            <v>10966</v>
          </cell>
          <cell r="H2107" t="str">
            <v>CARACTERIZACIÓN DE LAS MEZCLAS ASFÁLTICAS ABIERTAS POR MEDIO DEL ENSAYO CANTABRO DE PÉRDIDA POR DESGASTE. Norma técnica: INV E - 760 - 13 NLT 352.</v>
          </cell>
          <cell r="I2107" t="str">
            <v>UN</v>
          </cell>
          <cell r="J2107">
            <v>100793</v>
          </cell>
        </row>
        <row r="2108">
          <cell r="G2108">
            <v>10967</v>
          </cell>
          <cell r="H2108" t="str">
            <v>DISEÑO DE MEZCLAS DE AGREGADOS CON CEMENTO ASFÁLTICO ESPUMADO. COMPACTACIÓN DE 6 PROBETAS. Norma técnica: INV E – 785 - 13.</v>
          </cell>
          <cell r="I2108" t="str">
            <v>UN</v>
          </cell>
          <cell r="J2108">
            <v>773000</v>
          </cell>
        </row>
        <row r="2109">
          <cell r="G2109">
            <v>10968</v>
          </cell>
          <cell r="H2109" t="str">
            <v>EFECTO DEL AGUA SOBRE LAS MEZCLAS ASFÁLTICAS SUELTAS. Norma técnica:  INV E – 757 - 13.</v>
          </cell>
          <cell r="I2109" t="str">
            <v>UN</v>
          </cell>
          <cell r="J2109">
            <v>117215</v>
          </cell>
        </row>
        <row r="2110">
          <cell r="G2110">
            <v>10969</v>
          </cell>
          <cell r="H2110" t="str">
            <v>DETERMINACIÓN DEL POTENCIAL DE REACTIVIDAD ÁLCALI DEL AGREGADOS (MÉTODO DE LAS BARRAS DE MORTERO). Norma técnica: ASTM 1260.</v>
          </cell>
          <cell r="I2110" t="str">
            <v>UN</v>
          </cell>
          <cell r="J2110">
            <v>792897</v>
          </cell>
        </row>
        <row r="2111">
          <cell r="G2111">
            <v>10971</v>
          </cell>
          <cell r="H2111" t="str">
            <v>ENSAYO DE PLACA CON CARGA ESTÁTICA NO REPETIDA SOBRE SUELOS Y CAPAS NO TRATADAS DE PAVIMENTOS, PARA EMPLEAR ENLA EVALUACIÓN Y EL DISEÑO DE PAVIMENTOS (NO INCLUYE TRANSPORTE NI VOLQUETA) - TOMA POR PU. Norma técnica : INV E 168-13.</v>
          </cell>
          <cell r="I2111" t="str">
            <v>UN</v>
          </cell>
          <cell r="J2111">
            <v>625345</v>
          </cell>
        </row>
        <row r="2112">
          <cell r="G2112">
            <v>10972</v>
          </cell>
          <cell r="H2112" t="str">
            <v>DISEÑO DE MEZCLAS DE AGREGADOS, RECICLADOS O SIN RECICLAR, CON EMULSIÓN ASFÁLTICA, MEDIANTE EL MÉTODO DE INMERSIÓN – COMPRESIÓN (INCLUYE ELABORACIÓN DE PROBETAS). Norma técnica: INV E 622-13.</v>
          </cell>
          <cell r="I2112" t="str">
            <v>UN</v>
          </cell>
          <cell r="J2112">
            <v>2005150</v>
          </cell>
        </row>
        <row r="2113">
          <cell r="G2113">
            <v>10973</v>
          </cell>
          <cell r="H2113" t="str">
            <v>TIEMPO DE FRAGUADO, DESVIACIÓN MÁXIMA RESPECTO DEL TIEMPO DE CONTROL (HORAS:MINUTOS). Norma técnica: ASTM C 403.</v>
          </cell>
          <cell r="I2113" t="str">
            <v>UN</v>
          </cell>
          <cell r="J2113">
            <v>257036</v>
          </cell>
        </row>
        <row r="2114">
          <cell r="G2114">
            <v>10974</v>
          </cell>
          <cell r="H2114" t="str">
            <v>DETERMINACIÓN DE LA VELOCIDAD DE PULSO ULTRASONIDO A TRAVÉS DEL CONCRETO, POR ELEMENTO. Norma técnica: NTC 4325.</v>
          </cell>
          <cell r="I2114" t="str">
            <v>UN</v>
          </cell>
          <cell r="J2114">
            <v>130781</v>
          </cell>
        </row>
        <row r="2115">
          <cell r="G2115">
            <v>10975</v>
          </cell>
          <cell r="H2115" t="str">
            <v>DENSIDAD, ABSORCIÓN Y VACÍOS EN CONCRETO ENDURECIDO. Norma técnica: NTC 5653-2008 ASTM C642.</v>
          </cell>
          <cell r="I2115" t="str">
            <v>UN</v>
          </cell>
          <cell r="J2115">
            <v>77350</v>
          </cell>
        </row>
        <row r="2116">
          <cell r="G2116">
            <v>10976</v>
          </cell>
          <cell r="H2116" t="str">
            <v>BRIDA CIEGA EN ACERO D= 16". PRESIÓN DE TRABAJO= 150 PSI. No incluye espárragos, tuerca ni empaques. Norma de fabricación AWWA C 207 Clase D. Incluye Transporte.</v>
          </cell>
          <cell r="I2116" t="str">
            <v>UN</v>
          </cell>
          <cell r="J2116">
            <v>1483112</v>
          </cell>
        </row>
        <row r="2117">
          <cell r="G2117">
            <v>10977</v>
          </cell>
          <cell r="H2117" t="str">
            <v>TEE PVC U.M. 8" X 4"</v>
          </cell>
          <cell r="I2117" t="str">
            <v>UN</v>
          </cell>
          <cell r="J2117">
            <v>1731884</v>
          </cell>
        </row>
        <row r="2118">
          <cell r="G2118">
            <v>10987</v>
          </cell>
          <cell r="H2118" t="str">
            <v>BRIDA CIEGA EN ACERO (HD) D= 2". PRESIÓN DE TRABAJO= 150 PSI. No incluye espárragos, tuerca ni empaques. Incluye Transporte.</v>
          </cell>
          <cell r="I2118" t="str">
            <v>UN</v>
          </cell>
          <cell r="J2118">
            <v>82110</v>
          </cell>
        </row>
        <row r="2119">
          <cell r="G2119">
            <v>10988</v>
          </cell>
          <cell r="H2119" t="str">
            <v>BRIDA CIEGA EN ACERO (HD) D= 4". PRESIÓN DE TRABAJO= 150 PSI. No incluye espárragos, tuerca ni empaques. Incluye Transporte, Incluye IVA.</v>
          </cell>
          <cell r="I2119" t="str">
            <v>UN</v>
          </cell>
          <cell r="J2119">
            <v>195160</v>
          </cell>
        </row>
        <row r="2120">
          <cell r="G2120">
            <v>10989</v>
          </cell>
          <cell r="H2120" t="str">
            <v>BRIDA CIEGA EN ACERO (HD) D= 12". PRESIÓN DE TRABAJO= 150 PSI. No incluye espárragos, tuerca ni empaques. Incluye Transporte, Incluye IVA.</v>
          </cell>
          <cell r="I2120" t="str">
            <v>UN</v>
          </cell>
          <cell r="J2120">
            <v>885872</v>
          </cell>
        </row>
        <row r="2121">
          <cell r="G2121">
            <v>10992</v>
          </cell>
          <cell r="H2121" t="str">
            <v>CODO 90° Ø4" EN HIERRO GALVANIZADO</v>
          </cell>
          <cell r="I2121" t="str">
            <v>UN</v>
          </cell>
          <cell r="J2121">
            <v>149680</v>
          </cell>
        </row>
        <row r="2122">
          <cell r="G2122">
            <v>10995</v>
          </cell>
          <cell r="H2122" t="str">
            <v>MEDICIÓN DE PERFIL TRANSVERSAL PARA DETERMINACIÓN DEL AHUELLAMIENTO (100 M)</v>
          </cell>
          <cell r="I2122" t="str">
            <v>UN</v>
          </cell>
          <cell r="J2122">
            <v>29750</v>
          </cell>
        </row>
        <row r="2123">
          <cell r="G2123">
            <v>10996</v>
          </cell>
          <cell r="H2123" t="str">
            <v>APIQUE MANUAL HASTA 2 M DE 1.5 M X 1.5 M - RELLENO Y ADECUACIÓN DEL SITIO - INCLUYE TRANSPORTE</v>
          </cell>
          <cell r="I2123" t="str">
            <v>UN</v>
          </cell>
          <cell r="J2123">
            <v>273700</v>
          </cell>
        </row>
        <row r="2124">
          <cell r="G2124">
            <v>11007</v>
          </cell>
          <cell r="H2124" t="str">
            <v>TUBO (PERFIL TUBULAR) GALVANIZADO DE DIÁMETRO 3" ESPESOR 2.3 mm</v>
          </cell>
          <cell r="I2124" t="str">
            <v>ML</v>
          </cell>
          <cell r="J2124">
            <v>45545</v>
          </cell>
        </row>
        <row r="2125">
          <cell r="G2125">
            <v>11008</v>
          </cell>
          <cell r="H2125" t="str">
            <v>FRESADO DE PAVIMENTO - INCLUYE FRESADORA, OPERARIO Y COMBUSTIBLE. Incluye agua, puntas. No incluye transporte de maquinaria, transporte del fresado ni disposición final. A TODO COSTO</v>
          </cell>
          <cell r="I2125" t="str">
            <v>M3</v>
          </cell>
          <cell r="J2125">
            <v>88227</v>
          </cell>
        </row>
        <row r="2126">
          <cell r="G2126">
            <v>11026</v>
          </cell>
          <cell r="H2126" t="str">
            <v>BASE GRANULAR CLASE C - Gr1 (BGC_Gr1)</v>
          </cell>
          <cell r="I2126" t="str">
            <v>M3</v>
          </cell>
          <cell r="J2126">
            <v>73780</v>
          </cell>
        </row>
        <row r="2127">
          <cell r="G2127">
            <v>11027</v>
          </cell>
          <cell r="H2127" t="str">
            <v>BASE GRANULAR CLASE C - Gr2 (BGC_Gr2)</v>
          </cell>
          <cell r="I2127" t="str">
            <v>M3</v>
          </cell>
          <cell r="J2127">
            <v>73780</v>
          </cell>
        </row>
        <row r="2128">
          <cell r="G2128">
            <v>11028</v>
          </cell>
          <cell r="H2128" t="str">
            <v>BASE GRANULAR CLASE B - Gr1 (BGB_Gr1)</v>
          </cell>
          <cell r="I2128" t="str">
            <v>M3</v>
          </cell>
          <cell r="J2128">
            <v>85323</v>
          </cell>
        </row>
        <row r="2129">
          <cell r="G2129">
            <v>11029</v>
          </cell>
          <cell r="H2129" t="str">
            <v>BASE GRANULAR CLASE B - Gr2 (BGB_Gr2)</v>
          </cell>
          <cell r="I2129" t="str">
            <v>M3</v>
          </cell>
          <cell r="J2129">
            <v>85680</v>
          </cell>
        </row>
        <row r="2130">
          <cell r="G2130">
            <v>11030</v>
          </cell>
          <cell r="H2130" t="str">
            <v>BASE GRANULAR CLASE A - Gr1 (BGA_Gr1)</v>
          </cell>
          <cell r="I2130" t="str">
            <v>M3</v>
          </cell>
          <cell r="J2130">
            <v>85680</v>
          </cell>
        </row>
        <row r="2131">
          <cell r="G2131">
            <v>11031</v>
          </cell>
          <cell r="H2131" t="str">
            <v>BASE GRANULAR CLASE A - Gr2 (BGA_Gr2)</v>
          </cell>
          <cell r="I2131" t="str">
            <v>M3</v>
          </cell>
          <cell r="J2131">
            <v>85680</v>
          </cell>
        </row>
        <row r="2132">
          <cell r="G2132">
            <v>11032</v>
          </cell>
          <cell r="H2132" t="str">
            <v>SUBBASE GRANULAR CLASE C - Gr1 (SBGC_Gr1)</v>
          </cell>
          <cell r="I2132" t="str">
            <v>M3</v>
          </cell>
          <cell r="J2132">
            <v>65450</v>
          </cell>
        </row>
        <row r="2133">
          <cell r="G2133">
            <v>11033</v>
          </cell>
          <cell r="H2133" t="str">
            <v>SUBBASE GRANULAR CLASE C - Gr2 (SBGC_Gr2)</v>
          </cell>
          <cell r="I2133" t="str">
            <v>M3</v>
          </cell>
          <cell r="J2133">
            <v>65450</v>
          </cell>
        </row>
        <row r="2134">
          <cell r="G2134">
            <v>11034</v>
          </cell>
          <cell r="H2134" t="str">
            <v>SUBBASE GRANULAR CLASE B - Gr1 (SBGB_Gr1)</v>
          </cell>
          <cell r="I2134" t="str">
            <v>M3</v>
          </cell>
          <cell r="J2134">
            <v>71400</v>
          </cell>
        </row>
        <row r="2135">
          <cell r="G2135">
            <v>11035</v>
          </cell>
          <cell r="H2135" t="str">
            <v>SUBBASE GRANULAR CLASE B - Gr2 (SBGB_Gr2)</v>
          </cell>
          <cell r="I2135" t="str">
            <v>M3</v>
          </cell>
          <cell r="J2135">
            <v>71400</v>
          </cell>
        </row>
        <row r="2136">
          <cell r="G2136">
            <v>11036</v>
          </cell>
          <cell r="H2136" t="str">
            <v>SUBBASE GRANULAR CLASE A - Gr1 (SBGA_Gr1)</v>
          </cell>
          <cell r="I2136" t="str">
            <v>M3</v>
          </cell>
          <cell r="J2136">
            <v>71400</v>
          </cell>
        </row>
        <row r="2137">
          <cell r="G2137">
            <v>11037</v>
          </cell>
          <cell r="H2137" t="str">
            <v>SUBBASE GRANULAR CLASE A - Gr2 (SBGA_Gr2)</v>
          </cell>
          <cell r="I2137" t="str">
            <v>M3</v>
          </cell>
          <cell r="J2137">
            <v>71400</v>
          </cell>
        </row>
        <row r="2138">
          <cell r="G2138">
            <v>11038</v>
          </cell>
          <cell r="H2138" t="str">
            <v>MATERIAL ADECUADO</v>
          </cell>
          <cell r="I2138" t="str">
            <v>M3</v>
          </cell>
          <cell r="J2138">
            <v>18564</v>
          </cell>
        </row>
        <row r="2139">
          <cell r="G2139">
            <v>11039</v>
          </cell>
          <cell r="H2139" t="str">
            <v>MATERIAL TOLERABLE</v>
          </cell>
          <cell r="I2139" t="str">
            <v>M3</v>
          </cell>
          <cell r="J2139">
            <v>14518</v>
          </cell>
        </row>
        <row r="2140">
          <cell r="G2140">
            <v>11057</v>
          </cell>
          <cell r="H2140" t="str">
            <v>GEOCELDA</v>
          </cell>
          <cell r="I2140" t="str">
            <v>M2</v>
          </cell>
          <cell r="J2140">
            <v>55145</v>
          </cell>
        </row>
        <row r="2141">
          <cell r="G2141">
            <v>11074</v>
          </cell>
          <cell r="H2141" t="str">
            <v>GRÚA TELESCÓPICA MOVIL - CARGA MÁXIMA DE 55 A 64 TONELADAS - INCLUYE TRANSPORTE DE IDA Y VUELTA, COMBUSTIBLE Y OPERARIO</v>
          </cell>
          <cell r="I2141" t="str">
            <v>HR</v>
          </cell>
          <cell r="J2141">
            <v>416500</v>
          </cell>
        </row>
        <row r="2142">
          <cell r="G2142">
            <v>11080</v>
          </cell>
          <cell r="H2142" t="str">
            <v>MEZCLA ASFÁLTICA EN CALIENTE DENSA MD10 CON CEMENTO ASFÁLTICO TIPO II</v>
          </cell>
          <cell r="I2142" t="str">
            <v>M3</v>
          </cell>
          <cell r="J2142">
            <v>951612</v>
          </cell>
        </row>
        <row r="2143">
          <cell r="G2143">
            <v>11081</v>
          </cell>
          <cell r="H2143" t="str">
            <v>MEZCLA ASFÁLTICA EN CALIENTE DENSA MD12 CON CEMENTO ASFÁLTICO TIPO II</v>
          </cell>
          <cell r="I2143" t="str">
            <v>M3</v>
          </cell>
          <cell r="J2143">
            <v>910142</v>
          </cell>
        </row>
        <row r="2144">
          <cell r="G2144">
            <v>11082</v>
          </cell>
          <cell r="H2144" t="str">
            <v>MEZCLA ASFÁLTICA EN CALIENTE DENSA MD20 CON CEMENTO ASFÁLTICO TIPO II</v>
          </cell>
          <cell r="I2144" t="str">
            <v>M3</v>
          </cell>
          <cell r="J2144">
            <v>907982</v>
          </cell>
        </row>
        <row r="2145">
          <cell r="G2145">
            <v>11083</v>
          </cell>
          <cell r="H2145" t="str">
            <v>EXTINTOR x 10 LB</v>
          </cell>
          <cell r="I2145" t="str">
            <v>UN</v>
          </cell>
          <cell r="J2145">
            <v>38900</v>
          </cell>
        </row>
        <row r="2146">
          <cell r="G2146">
            <v>11084</v>
          </cell>
          <cell r="H2146" t="str">
            <v>CAMILLA EN FIBRA CON ARNÉS - INMOVILIZADOR Y SEÑAL</v>
          </cell>
          <cell r="I2146" t="str">
            <v>UN</v>
          </cell>
          <cell r="J2146">
            <v>159900</v>
          </cell>
        </row>
        <row r="2147">
          <cell r="G2147">
            <v>11085</v>
          </cell>
          <cell r="H2147" t="str">
            <v>VALLA DE 3.0m x 6.0m CON ESTRUCTURA METÁLICA - ESTRUCTURA TIPO VALLA EN CERCHA + BANNER. Incluye suministro e instalación. Impresión 720 DPI; Tintas para exteriores.</v>
          </cell>
          <cell r="I2147" t="str">
            <v>UN</v>
          </cell>
          <cell r="J2147">
            <v>4545714</v>
          </cell>
        </row>
        <row r="2148">
          <cell r="G2148">
            <v>11086</v>
          </cell>
          <cell r="H2148" t="str">
            <v>VALLA MÓVIL DE 1.20m x 1.20m EN LÁMINA GALVANIZADA CALIBRE 20, ÁNGULO EN HIERRO DE 2 x 1-1/8" IMPRESO EN VINILO ADHESIVO. Incluye suministro e instalación. Impresión 720 DPI; Tintas para exteriores.</v>
          </cell>
          <cell r="I2148" t="str">
            <v>UN</v>
          </cell>
          <cell r="J2148">
            <v>382737</v>
          </cell>
        </row>
        <row r="2149">
          <cell r="G2149">
            <v>11089</v>
          </cell>
          <cell r="H2149" t="str">
            <v>SELLADOR ELÁSTICO UNIVERSAL DE ALTO DESEMPEÑO (300 cc)</v>
          </cell>
          <cell r="I2149" t="str">
            <v>UN</v>
          </cell>
          <cell r="J2149">
            <v>24300</v>
          </cell>
        </row>
        <row r="2150">
          <cell r="G2150">
            <v>11091</v>
          </cell>
          <cell r="H2150" t="str">
            <v>ADITIVOS INCURSORES DE AIRE</v>
          </cell>
          <cell r="I2150" t="str">
            <v>KG</v>
          </cell>
          <cell r="J2150">
            <v>3349</v>
          </cell>
        </row>
        <row r="2151">
          <cell r="G2151">
            <v>11092</v>
          </cell>
          <cell r="H2151" t="str">
            <v>ADITIVO REDUCTOR DE AGUA</v>
          </cell>
          <cell r="I2151" t="str">
            <v>KG</v>
          </cell>
          <cell r="J2151">
            <v>8053</v>
          </cell>
        </row>
        <row r="2152">
          <cell r="G2152">
            <v>11093</v>
          </cell>
          <cell r="H2152" t="str">
            <v>ADITIVO RETARDANTE</v>
          </cell>
          <cell r="I2152" t="str">
            <v>KG</v>
          </cell>
          <cell r="J2152">
            <v>7010</v>
          </cell>
        </row>
        <row r="2153">
          <cell r="G2153">
            <v>11094</v>
          </cell>
          <cell r="H2153" t="str">
            <v>ADITIVO REDUCTOR DE AGUA Y RETARDANTE</v>
          </cell>
          <cell r="I2153" t="str">
            <v>KG</v>
          </cell>
          <cell r="J2153">
            <v>5795</v>
          </cell>
        </row>
        <row r="2154">
          <cell r="G2154">
            <v>11096</v>
          </cell>
          <cell r="H2154" t="str">
            <v>ADITIVO REDUCTOR DE AGUA DE ALTO RANGO</v>
          </cell>
          <cell r="I2154" t="str">
            <v>KG</v>
          </cell>
          <cell r="J2154">
            <v>12553</v>
          </cell>
        </row>
        <row r="2155">
          <cell r="G2155">
            <v>11097</v>
          </cell>
          <cell r="H2155" t="str">
            <v>ADITIVO REDUCTOR DE AGUA DE ALTO RANGO Y RETARDANTE</v>
          </cell>
          <cell r="I2155" t="str">
            <v>KG</v>
          </cell>
          <cell r="J2155">
            <v>12553</v>
          </cell>
        </row>
        <row r="2156">
          <cell r="G2156">
            <v>11098</v>
          </cell>
          <cell r="H2156" t="str">
            <v>ADITIVO SUPERPLASTIFICANTE Y REDUCTOR DE AGUA DE ALTO PODER</v>
          </cell>
          <cell r="I2156" t="str">
            <v>KG</v>
          </cell>
          <cell r="J2156">
            <v>12553</v>
          </cell>
        </row>
        <row r="2157">
          <cell r="G2157">
            <v>11101</v>
          </cell>
          <cell r="H2157" t="str">
            <v>PERFORACIÓN MECÁNICA POR PERCUSIÓN Y LAVADO EN SUELO BLANDO DE 0 a 10m. Incl descrip visual de estratos encontrados,lecturas de campo,tipo y prof. muestras recuperadas,datos nivel freático,SPT,Veleta</v>
          </cell>
          <cell r="I2157" t="str">
            <v>ML</v>
          </cell>
          <cell r="J2157">
            <v>78540</v>
          </cell>
        </row>
        <row r="2158">
          <cell r="G2158">
            <v>11102</v>
          </cell>
          <cell r="H2158" t="str">
            <v>PERFORACIÓN MECÁNICA POR ROTACIÓN EN ROCA DE 0 a 10m. Incl recuperación continua muestras,descrip visual estratos encontrados,lecturas de campo,tipo y prof muestras recuperadas,SPT,Veleta de campo</v>
          </cell>
          <cell r="I2158" t="str">
            <v>ML</v>
          </cell>
          <cell r="J2158">
            <v>357000</v>
          </cell>
        </row>
        <row r="2159">
          <cell r="G2159">
            <v>11103</v>
          </cell>
          <cell r="H2159" t="str">
            <v>PERFORACIÓN MECÁNICA POR ROTACIÓN EN COLUVIÓN/ALUVIÓN DE 0 a 10m. Incl recuperación continua muestras,descrip visual estrat encontrados,lecturas de campo,tipo y prof muestras recuperadas,SPT,Veleta</v>
          </cell>
          <cell r="I2159" t="str">
            <v>ML</v>
          </cell>
          <cell r="J2159">
            <v>416500</v>
          </cell>
        </row>
        <row r="2160">
          <cell r="G2160">
            <v>11106</v>
          </cell>
          <cell r="H2160" t="str">
            <v>PERFORACIÓN MECÁNICA POR ROTACIÓN EN ROCA DE 0 a 30m. Incl recuperación continua muestras,descrip visual estratos encontrados,lecturas de campo,tipo y prof muestras recuperadas,SPT,Veleta de campo</v>
          </cell>
          <cell r="I2160" t="str">
            <v>ML</v>
          </cell>
          <cell r="J2160">
            <v>380800</v>
          </cell>
        </row>
        <row r="2161">
          <cell r="G2161">
            <v>11107</v>
          </cell>
          <cell r="H2161" t="str">
            <v>PERFORACIÓN MECÁNICA POR ROTACIÓN EN COLUVIÓN/ALUVIÓN DE 0 a 30m. Incl recuperación continua muestras,descrip visual estrat encontrados,lecturas de campo,tipo y prof muestras recuperadas,SPT,Veleta</v>
          </cell>
          <cell r="I2161" t="str">
            <v>ML</v>
          </cell>
          <cell r="J2161">
            <v>606900</v>
          </cell>
        </row>
        <row r="2162">
          <cell r="G2162">
            <v>11110</v>
          </cell>
          <cell r="H2162" t="str">
            <v>PERFORACIÓN MECÁNICA POR ROTACIÓN EN ROCA DE 0 a 50m. Incl recuperación continua muestras,descrip visual estratos encontrados,lecturas de campo,tipo y prof muestras recuperadas,SPT,Veleta de campo</v>
          </cell>
          <cell r="I2162" t="str">
            <v>ML</v>
          </cell>
          <cell r="J2162">
            <v>404600</v>
          </cell>
        </row>
        <row r="2163">
          <cell r="G2163">
            <v>11114</v>
          </cell>
          <cell r="H2163" t="str">
            <v>PERFORACIÓN MECÁNICA POR ROTACIÓN EN ROCA DE 0 + 50m. Incl recuperación continua muestras,descrip visual estratos encontrados,lecturas de campo,tipo y prof muestras recuperadas,SPT,Veleta de campo</v>
          </cell>
          <cell r="I2163" t="str">
            <v>ML</v>
          </cell>
          <cell r="J2163">
            <v>428400</v>
          </cell>
        </row>
        <row r="2164">
          <cell r="G2164">
            <v>11116</v>
          </cell>
          <cell r="H2164" t="str">
            <v>ENSAYO DE CPTU HASTA 30 METROS</v>
          </cell>
          <cell r="I2164" t="str">
            <v>ML</v>
          </cell>
          <cell r="J2164">
            <v>309400</v>
          </cell>
        </row>
        <row r="2165">
          <cell r="G2165">
            <v>11117</v>
          </cell>
          <cell r="H2165" t="str">
            <v>ENSAYO DE CPTU HASTA 50 METROS</v>
          </cell>
          <cell r="I2165" t="str">
            <v>ML</v>
          </cell>
          <cell r="J2165">
            <v>333200</v>
          </cell>
        </row>
        <row r="2166">
          <cell r="G2166">
            <v>11118</v>
          </cell>
          <cell r="H2166" t="str">
            <v>ENSAYO DE CPTUS HASTA 30 METROS  (CONO SÍSMICO SCPTu)</v>
          </cell>
          <cell r="I2166" t="str">
            <v>ML</v>
          </cell>
          <cell r="J2166">
            <v>333200</v>
          </cell>
        </row>
        <row r="2167">
          <cell r="G2167">
            <v>11119</v>
          </cell>
          <cell r="H2167" t="str">
            <v>ENSAYO DE CPTUS HASTA 50 METROS  (CONO SÍSMICO SCPTu)</v>
          </cell>
          <cell r="I2167" t="str">
            <v>ML</v>
          </cell>
          <cell r="J2167">
            <v>357000</v>
          </cell>
        </row>
        <row r="2168">
          <cell r="G2168">
            <v>11120</v>
          </cell>
          <cell r="H2168" t="str">
            <v>ENSAYO DE DOWNHOLE HASTA 30 METROS (Sin perforación, ni tubería de PVC)</v>
          </cell>
          <cell r="I2168" t="str">
            <v>UN</v>
          </cell>
          <cell r="J2168">
            <v>2142000</v>
          </cell>
        </row>
        <row r="2169">
          <cell r="G2169">
            <v>11121</v>
          </cell>
          <cell r="H2169" t="str">
            <v>ENSAYO DE DOWNHOLE HASTA 50 METROS (Sin perforación, ni tubería de PVC)</v>
          </cell>
          <cell r="I2169" t="str">
            <v>UN</v>
          </cell>
          <cell r="J2169">
            <v>2856000</v>
          </cell>
        </row>
        <row r="2170">
          <cell r="G2170">
            <v>11122</v>
          </cell>
          <cell r="H2170" t="str">
            <v>SISTEMA (SONDEO) ELÉCTRICO VERTICAL (30 metros de profundidad)</v>
          </cell>
          <cell r="I2170" t="str">
            <v>UN</v>
          </cell>
          <cell r="J2170">
            <v>1428000</v>
          </cell>
        </row>
        <row r="2171">
          <cell r="G2171">
            <v>11125</v>
          </cell>
          <cell r="H2171" t="str">
            <v>CEMENTO ASFÁLTICO MODIFICADO CON POLÍMEROS TIPO III</v>
          </cell>
          <cell r="I2171" t="str">
            <v>KG</v>
          </cell>
          <cell r="J2171">
            <v>4356</v>
          </cell>
        </row>
        <row r="2172">
          <cell r="G2172">
            <v>11127</v>
          </cell>
          <cell r="H2172" t="str">
            <v>CEMENTO ASFÁLTICO MODIFICADO CON POLÍMEROS TIPO V</v>
          </cell>
          <cell r="I2172" t="str">
            <v>KG</v>
          </cell>
          <cell r="J2172">
            <v>4414</v>
          </cell>
        </row>
        <row r="2173">
          <cell r="G2173">
            <v>11135</v>
          </cell>
          <cell r="H2173" t="str">
            <v>INSTAL. Y PUESTA EN SERVICIO DE CONTROLADOR DE TRAFICO C900 EN BOGOTÁ, (Incl. transp. de controlador desde SDM hasta lugar instalación en Bogotá, M de O e IVA, No incl. suministro de Controlador</v>
          </cell>
          <cell r="I2173" t="str">
            <v>UN</v>
          </cell>
          <cell r="J2173">
            <v>4206174</v>
          </cell>
        </row>
        <row r="2174">
          <cell r="G2174">
            <v>11136</v>
          </cell>
          <cell r="H2174" t="str">
            <v>DEFENSA VIAL METÁLICA en acero laminado en frío, vigas en forma doble honda o W, parales y separadores metálicos</v>
          </cell>
          <cell r="I2174" t="str">
            <v>ML</v>
          </cell>
          <cell r="J2174">
            <v>266560</v>
          </cell>
        </row>
        <row r="2175">
          <cell r="G2175">
            <v>11137</v>
          </cell>
          <cell r="H2175" t="str">
            <v>LEVANTAMIENTO TOPOGRÁFICO A TODO COSTO. NIVEL DE COMPLEJIDAD ALTO. Incluye personal, equipos, costos operacionales, procesamiento y entrega de la información, todos los costos indirectos e IVA.</v>
          </cell>
          <cell r="I2175" t="str">
            <v>M2</v>
          </cell>
          <cell r="J2175">
            <v>1547</v>
          </cell>
        </row>
        <row r="2176">
          <cell r="G2176">
            <v>11138</v>
          </cell>
          <cell r="H2176" t="str">
            <v>LEVANTAMIENTO TOPOGRÁFICO A TODO COSTO. NIVEL DE COMPLEJIDAD MEDIO. Incluye personal, equipos, costos operacionales, procesamiento y entrega de la información, todos los costos indirectos e IVA.</v>
          </cell>
          <cell r="I2176" t="str">
            <v>M2</v>
          </cell>
          <cell r="J2176">
            <v>1131</v>
          </cell>
        </row>
        <row r="2177">
          <cell r="G2177">
            <v>11139</v>
          </cell>
          <cell r="H2177" t="str">
            <v>LEVANTAMIENTO TOPOGRÁFICO A TODO COSTO. NIVEL DE COMPLEJIDAD BAJO. Incluye personal, equipos, costos operacionales, procesamiento y entrega de la información, todos los costos indirectos e IVA.</v>
          </cell>
          <cell r="I2177" t="str">
            <v>M2</v>
          </cell>
          <cell r="J2177">
            <v>812</v>
          </cell>
        </row>
        <row r="2178">
          <cell r="G2178">
            <v>11143</v>
          </cell>
          <cell r="H2178" t="str">
            <v>ALQUILER CEPILLO TEXTURIZADOR DE 1.20 m. Con tubo en aluminio de 1.85 m.</v>
          </cell>
          <cell r="I2178" t="str">
            <v>MES</v>
          </cell>
          <cell r="J2178">
            <v>515360</v>
          </cell>
        </row>
        <row r="2179">
          <cell r="G2179">
            <v>11145</v>
          </cell>
          <cell r="H2179" t="str">
            <v>KIT SILLA YEE 250 x 200 PVC</v>
          </cell>
          <cell r="I2179" t="str">
            <v>UN</v>
          </cell>
          <cell r="J2179">
            <v>197792</v>
          </cell>
        </row>
        <row r="2180">
          <cell r="G2180">
            <v>11146</v>
          </cell>
          <cell r="H2180" t="str">
            <v>KIT SILLA YEE 315 x 200 PVC</v>
          </cell>
          <cell r="I2180" t="str">
            <v>UN</v>
          </cell>
          <cell r="J2180">
            <v>279548</v>
          </cell>
        </row>
        <row r="2181">
          <cell r="G2181">
            <v>11147</v>
          </cell>
          <cell r="H2181" t="str">
            <v>KIT SILLA YEE 400 x 200 PVC</v>
          </cell>
          <cell r="I2181" t="str">
            <v>UN</v>
          </cell>
          <cell r="J2181">
            <v>341357</v>
          </cell>
        </row>
        <row r="2182">
          <cell r="G2182">
            <v>11148</v>
          </cell>
          <cell r="H2182" t="str">
            <v>KIT SILLA YEE 450 x 200 PVC</v>
          </cell>
          <cell r="I2182" t="str">
            <v>UN</v>
          </cell>
          <cell r="J2182">
            <v>365121</v>
          </cell>
        </row>
        <row r="2183">
          <cell r="G2183">
            <v>11152</v>
          </cell>
          <cell r="H2183" t="str">
            <v>RUTEADORA PARA PAVIMENTOS - PROFUNDIDAD DE CORTE DE 30 A 50 MM</v>
          </cell>
          <cell r="I2183" t="str">
            <v>HR</v>
          </cell>
          <cell r="J2183">
            <v>8107</v>
          </cell>
        </row>
        <row r="2184">
          <cell r="G2184">
            <v>11156</v>
          </cell>
          <cell r="H2184" t="str">
            <v>ANDAMIO CERTIFICADO MULTIDIRECCIONAL, 2 TORRES CON PASARELA DE 3 M, SECCIÓN  DE 2.07 X 2.07 M, ALTURA DE ANDAMIO 4 M</v>
          </cell>
          <cell r="I2184" t="str">
            <v>DIA</v>
          </cell>
          <cell r="J2184">
            <v>34827</v>
          </cell>
        </row>
        <row r="2185">
          <cell r="G2185">
            <v>11161</v>
          </cell>
          <cell r="H2185" t="str">
            <v>TRATAMIENTO Y DISPOSICIÓN FINAL DE RESIDUOS PELIGROSOS</v>
          </cell>
          <cell r="I2185" t="str">
            <v>KG</v>
          </cell>
          <cell r="J2185">
            <v>952</v>
          </cell>
        </row>
        <row r="2186">
          <cell r="G2186">
            <v>11162</v>
          </cell>
          <cell r="H2186" t="str">
            <v>CERRAMIENTO NYLOFOR 3D PRO Altura 2.00 m Fabricada en alambre de acero galvanizado de 5mm, recubierto con pintura de Poliéster Verde, de 4.75 mm de diámetro.Concreto de 3000 psi.</v>
          </cell>
          <cell r="I2186" t="str">
            <v>KG</v>
          </cell>
          <cell r="J2186">
            <v>334406</v>
          </cell>
        </row>
        <row r="2187">
          <cell r="G2187">
            <v>11164</v>
          </cell>
          <cell r="H2187" t="str">
            <v>MANIJA EN VARILLA LISA DE 1" EN ACERO A-37 ENMANTELADO CON TUBO PVC DE 1" x 1/4" CON PLATINA DE 1 1/2" x 1/4" SOLDADA</v>
          </cell>
          <cell r="I2187" t="str">
            <v>UN</v>
          </cell>
          <cell r="J2187">
            <v>37320</v>
          </cell>
        </row>
        <row r="2188">
          <cell r="G2188">
            <v>11165</v>
          </cell>
          <cell r="H2188" t="str">
            <v>ESTOPEROLES METÁLICOS CON ESPIGO. INCLUYE SUMINISTRO E INSTALACIÓN.</v>
          </cell>
          <cell r="I2188" t="str">
            <v>UN</v>
          </cell>
          <cell r="J2188">
            <v>6025</v>
          </cell>
        </row>
        <row r="2189">
          <cell r="G2189">
            <v>11167</v>
          </cell>
          <cell r="H2189" t="str">
            <v>TALADRO ROTOPERCUTOR MAYOR A 3/4"</v>
          </cell>
          <cell r="I2189" t="str">
            <v>HR</v>
          </cell>
          <cell r="J2189">
            <v>5355</v>
          </cell>
        </row>
        <row r="2190">
          <cell r="G2190">
            <v>11169</v>
          </cell>
          <cell r="H2190" t="str">
            <v>REPARADUCTO PVC D=4" - DUCTO TELEFÓNICO</v>
          </cell>
          <cell r="I2190" t="str">
            <v>ML</v>
          </cell>
          <cell r="J2190">
            <v>91678</v>
          </cell>
        </row>
        <row r="2191">
          <cell r="G2191">
            <v>11171</v>
          </cell>
          <cell r="H2191" t="str">
            <v>CONCRETO MR45 GRAVA COMÚN ACELERADO A 3 DÍAS.</v>
          </cell>
          <cell r="I2191" t="str">
            <v>M3</v>
          </cell>
          <cell r="J2191">
            <v>656880</v>
          </cell>
        </row>
        <row r="2192">
          <cell r="G2192">
            <v>11172</v>
          </cell>
          <cell r="H2192" t="str">
            <v>CONCRETO MR50 GRAVA COMÚN ACELERADO A 3 DÍAS.</v>
          </cell>
          <cell r="I2192" t="str">
            <v>M3</v>
          </cell>
          <cell r="J2192">
            <v>662830</v>
          </cell>
        </row>
        <row r="2193">
          <cell r="G2193">
            <v>11173</v>
          </cell>
          <cell r="H2193" t="str">
            <v>PENDONES ELABORADOS  EN BANNER, CON UNA DIMENSIÓN DE 1.00 m DE ANCHO POR 1.50 m DE LARGO. IMPRESIÓN A FULL COLOR SEGÚN DISEÑOS DE OJALETES.</v>
          </cell>
          <cell r="I2193" t="str">
            <v>UN</v>
          </cell>
          <cell r="J2193">
            <v>44625</v>
          </cell>
        </row>
        <row r="2194">
          <cell r="G2194">
            <v>11175</v>
          </cell>
          <cell r="H2194" t="str">
            <v>BASTÓN LUMINOSO 5 FUNCIONES GRANDE ST -900 -1 55 x 4.5 cm RECARGABLE.</v>
          </cell>
          <cell r="I2194" t="str">
            <v>UN</v>
          </cell>
          <cell r="J2194">
            <v>49980</v>
          </cell>
        </row>
        <row r="2195">
          <cell r="G2195">
            <v>11277</v>
          </cell>
          <cell r="H2195" t="str">
            <v>TACHA REFLECTIVA UNIDIRECCIONAL BLANCA/ROJA. Incluye suministro e instalación</v>
          </cell>
          <cell r="I2195" t="str">
            <v>UN</v>
          </cell>
          <cell r="J2195">
            <v>11156</v>
          </cell>
        </row>
        <row r="2196">
          <cell r="G2196">
            <v>11278</v>
          </cell>
          <cell r="H2196" t="str">
            <v>SEÑAL VERTICAL INFORMATIVA SI-27C (70 cm x 100 cm). INCLUYE SUMINISTRO E INSTALACION.</v>
          </cell>
          <cell r="I2196" t="str">
            <v>UN</v>
          </cell>
          <cell r="J2196">
            <v>435421</v>
          </cell>
        </row>
        <row r="2197">
          <cell r="G2197">
            <v>11279</v>
          </cell>
          <cell r="H2197" t="str">
            <v>SEÑAL VERTICAL PREVENTIVA SP-47B TIPO PENTÁGONO CON FLECHA. (INCLUYE SUMINISTRO E INSTALACION).</v>
          </cell>
          <cell r="I2197" t="str">
            <v>UN</v>
          </cell>
          <cell r="J2197">
            <v>569891</v>
          </cell>
        </row>
        <row r="2198">
          <cell r="G2198">
            <v>11280</v>
          </cell>
          <cell r="H2198" t="str">
            <v>POSTE TIPO MÉNSULA T2 (2.50m) EN TUBO SCH 40 GALVANIZADO Y PINTADO.</v>
          </cell>
          <cell r="I2198" t="str">
            <v>UN</v>
          </cell>
          <cell r="J2198">
            <v>3251437</v>
          </cell>
        </row>
        <row r="2199">
          <cell r="G2199">
            <v>11291</v>
          </cell>
          <cell r="H2199" t="str">
            <v>ALQUILER EQUIPO DE PERFORACIÓN, INCLUYE  JUEGO DE BROCAS - (BARRENADORA. Incl. Trípode y elementos de perforación y extensión) Incl. OPERARIO Y COMBUSTIBLE. Incluye Stand By mínimo de 5 horas diarias.</v>
          </cell>
          <cell r="I2199" t="str">
            <v>HR</v>
          </cell>
          <cell r="J2199">
            <v>358330</v>
          </cell>
        </row>
        <row r="2200">
          <cell r="G2200">
            <v>11292</v>
          </cell>
          <cell r="H2200" t="str">
            <v>ADAPTADOR TERMINAL CAMPANA PVC D= 6"</v>
          </cell>
          <cell r="I2200" t="str">
            <v>UN</v>
          </cell>
          <cell r="J2200">
            <v>26497</v>
          </cell>
        </row>
        <row r="2201">
          <cell r="G2201">
            <v>11304</v>
          </cell>
          <cell r="H2201" t="str">
            <v>MEDICIÓN DE LA RESISTENCIA AL DESLIZAMIENTO EN ESTRUCTURA DE PAVIMENTO RÍGIDOS Y FLEXIBLES (Coeficiente de Fricción) CON CON EQUIPO DE ALTO RENDIMIENTO. Incl. movilización, toma de información, proces</v>
          </cell>
          <cell r="I2201" t="str">
            <v>Km-Car</v>
          </cell>
          <cell r="J2201">
            <v>101150</v>
          </cell>
        </row>
        <row r="2202">
          <cell r="G2202">
            <v>11305</v>
          </cell>
          <cell r="H2202"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I2202" t="str">
            <v>Km-Car</v>
          </cell>
          <cell r="J2202">
            <v>113536</v>
          </cell>
        </row>
        <row r="2203">
          <cell r="G2203">
            <v>11308</v>
          </cell>
          <cell r="H2203" t="str">
            <v>ALQUILER DE GPS DE MANO GARMIN GPSMAP Serie 64 x Día, CON ALTÍMETRO Y BRÚJULA. PANTALLA A COLOR DE 2.6"</v>
          </cell>
          <cell r="I2203" t="str">
            <v>DIA</v>
          </cell>
          <cell r="J2203">
            <v>4646</v>
          </cell>
        </row>
        <row r="2204">
          <cell r="G2204">
            <v>11328</v>
          </cell>
          <cell r="H2204" t="str">
            <v>BARRERA EPOXICA POLIAMIDA</v>
          </cell>
          <cell r="I2204" t="str">
            <v>GLN</v>
          </cell>
          <cell r="J2204">
            <v>162540</v>
          </cell>
        </row>
        <row r="2205">
          <cell r="G2205">
            <v>11329</v>
          </cell>
          <cell r="H2205" t="str">
            <v>ESMALTE POLIURETANO ACRÍLICO (AMARILLO RAL 1003)</v>
          </cell>
          <cell r="I2205" t="str">
            <v>GLN</v>
          </cell>
          <cell r="J2205">
            <v>320000</v>
          </cell>
        </row>
        <row r="2206">
          <cell r="G2206">
            <v>11330</v>
          </cell>
          <cell r="H2206" t="str">
            <v>ESMALTE POLIURETANO ACRÍLICO (NEGRO RAL 9005)</v>
          </cell>
          <cell r="I2206" t="str">
            <v>GLN</v>
          </cell>
          <cell r="J2206">
            <v>290000</v>
          </cell>
        </row>
        <row r="2207">
          <cell r="G2207">
            <v>11331</v>
          </cell>
          <cell r="H2207" t="str">
            <v>ESMALTE POLIURETANO ACRÍLICO (GRIS RAL 7045)</v>
          </cell>
          <cell r="I2207" t="str">
            <v>GLN</v>
          </cell>
          <cell r="J2207">
            <v>290000</v>
          </cell>
        </row>
        <row r="2208">
          <cell r="G2208">
            <v>11332</v>
          </cell>
          <cell r="H2208" t="str">
            <v>BARANDA DE TRES TUBOS M82</v>
          </cell>
          <cell r="I2208" t="str">
            <v>ML</v>
          </cell>
          <cell r="J2208">
            <v>232050</v>
          </cell>
        </row>
        <row r="2209">
          <cell r="G2209">
            <v>11334</v>
          </cell>
          <cell r="H2209" t="str">
            <v>CERRAMIENTO TIPO CED M72</v>
          </cell>
          <cell r="I2209" t="str">
            <v>UN</v>
          </cell>
          <cell r="J2209">
            <v>410889</v>
          </cell>
        </row>
        <row r="2210">
          <cell r="G2210">
            <v>11335</v>
          </cell>
          <cell r="H2210" t="str">
            <v>BARANDA M-80 A, CON MÓDULO FRONTAL EN MALLA ESLABONADA</v>
          </cell>
          <cell r="I2210" t="str">
            <v>UN</v>
          </cell>
          <cell r="J2210">
            <v>285600</v>
          </cell>
        </row>
        <row r="2211">
          <cell r="G2211">
            <v>11337</v>
          </cell>
          <cell r="H2211" t="str">
            <v>MACROFIBRAS SINTÉTICAS DE POLIPROPILENO</v>
          </cell>
          <cell r="I2211" t="str">
            <v>KG</v>
          </cell>
          <cell r="J2211">
            <v>25942</v>
          </cell>
        </row>
        <row r="2212">
          <cell r="G2212">
            <v>11338</v>
          </cell>
          <cell r="H2212" t="str">
            <v>MEZCLA ASFÁLTICA EN CALIENTE SEMIDENSA MS 25 CON CEMENTO ASFÁLTICO 60-70</v>
          </cell>
          <cell r="I2212" t="str">
            <v>M3</v>
          </cell>
          <cell r="J2212">
            <v>748110</v>
          </cell>
        </row>
        <row r="2213">
          <cell r="G2213">
            <v>11342</v>
          </cell>
          <cell r="H2213" t="str">
            <v>CONCRETO MR41 CON MACROFIBRAS DE POLIPROPILENO</v>
          </cell>
          <cell r="I2213" t="str">
            <v>M3</v>
          </cell>
          <cell r="J2213">
            <v>618197</v>
          </cell>
        </row>
        <row r="2214">
          <cell r="G2214">
            <v>11343</v>
          </cell>
          <cell r="H2214" t="str">
            <v>CONCRETO MR43 CON MACROFIBRAS DE POLIPROPILENO</v>
          </cell>
          <cell r="I2214" t="str">
            <v>M3</v>
          </cell>
          <cell r="J2214">
            <v>628741</v>
          </cell>
        </row>
        <row r="2215">
          <cell r="G2215">
            <v>11344</v>
          </cell>
          <cell r="H2215" t="str">
            <v>MICROFIBRAS SINTÉTICA MONOFILAMENTO DE POLIPROPILENO</v>
          </cell>
          <cell r="I2215" t="str">
            <v>KG</v>
          </cell>
          <cell r="J2215">
            <v>38871</v>
          </cell>
        </row>
        <row r="2216">
          <cell r="G2216">
            <v>11346</v>
          </cell>
          <cell r="H2216" t="str">
            <v>FONDO DE JUNTA EN ESPUMA DE POLIETILENO DE BAJA DENSIDAD D= 32 mm</v>
          </cell>
          <cell r="I2216" t="str">
            <v>ML</v>
          </cell>
          <cell r="J2216">
            <v>10674</v>
          </cell>
        </row>
        <row r="2217">
          <cell r="G2217">
            <v>11349</v>
          </cell>
          <cell r="H2217" t="str">
            <v>REHABILITACIÓN RED DE ALCANTARILLADO CON TECNOLOGÍA CIPP, CON RESINA DE GRP CURADA CON RAYOS UV, INCLUYE EQUIPOS, MATERIALES, TRANSPORTES Y PERSONAL. DIÁMETRO 8”. ESPESOR 3,00 mm. EC = 14.200 MPA.</v>
          </cell>
          <cell r="I2217" t="str">
            <v>ML</v>
          </cell>
          <cell r="J2217">
            <v>1092122</v>
          </cell>
        </row>
        <row r="2218">
          <cell r="G2218">
            <v>11350</v>
          </cell>
          <cell r="H2218" t="str">
            <v>REHABILITACIÓN RED DE ALCANTARILLADO CON TECNOLOGÍA CIPP, CON RESINA DE GRP CURADA CON RAYOS UV, INCLUYE EQUIPOS, MATERIALES, TRANSPORTES Y PERSONAL. DIÁMETRO 10”. ESPESOR 3,00 mm. EC = 14.200 MPA.</v>
          </cell>
          <cell r="I2218" t="str">
            <v>ML</v>
          </cell>
          <cell r="J2218">
            <v>1148435</v>
          </cell>
        </row>
        <row r="2219">
          <cell r="G2219">
            <v>11351</v>
          </cell>
          <cell r="H2219" t="str">
            <v>REHABILITACIÓN RED DE ALCANTARILLADO CON TECNOLOGÍA CIPP, CON RESINA DE GRP CURADA CON RAYOS UV, INCLUYE EQUIPOS, MATERIALES, TRANSPORTES Y PERSONAL. DIÁMETRO 12”. ESPESOR 3,00 mm. EC = 14.200 MPA.</v>
          </cell>
          <cell r="I2219" t="str">
            <v>ML</v>
          </cell>
          <cell r="J2219">
            <v>1268061</v>
          </cell>
        </row>
        <row r="2220">
          <cell r="G2220">
            <v>11352</v>
          </cell>
          <cell r="H2220" t="str">
            <v>REHABILITACIÓN RED DE ALCANTARILLADO CON TECNOLOGÍA CIPP, CON RESINA DE GRP CURADA CON RAYOS UV, INCLUYE EQUIPOS, MATERIALES, TRANSPORTES Y PERSONAL. DIÁMETRO 14”. ESPESOR 3,50 mm. EC = 14.200 MPA.</v>
          </cell>
          <cell r="I2220" t="str">
            <v>ML</v>
          </cell>
          <cell r="J2220">
            <v>1506815</v>
          </cell>
        </row>
        <row r="2221">
          <cell r="G2221">
            <v>11353</v>
          </cell>
          <cell r="H2221" t="str">
            <v>REHABILITACIÓN RED DE ALCANTARILLAO CON TECNOLOGÍA CIPP, CON RESINA DE GRP CURADA CON RAYOS UV, INCLUYE EQUIPOS, MATERIALES, TRANSPORTES Y PERSONAL. DIÁMETRO 16”. ESPESOR 4.20 mm. EC = 14.200 MPA.</v>
          </cell>
          <cell r="I2221" t="str">
            <v>ML</v>
          </cell>
          <cell r="J2221">
            <v>1720713</v>
          </cell>
        </row>
        <row r="2222">
          <cell r="G2222">
            <v>11354</v>
          </cell>
          <cell r="H2222" t="str">
            <v>REHABILITACIÓN RED DE ALCANTARILLADO CON TECNOLOGÍA CIPP, CON RESINA DE GRP CURADA CON RAYOS UV, INCLUYE EQUIPOS, MATERIALES, TRANSPORTES Y PERSONAL. DIÁMETRO 18”. ESPESOR 4.20 mm. EC = 14.200 MPA.</v>
          </cell>
          <cell r="I2222" t="str">
            <v>ML</v>
          </cell>
          <cell r="J2222">
            <v>1877924</v>
          </cell>
        </row>
        <row r="2223">
          <cell r="G2223">
            <v>11355</v>
          </cell>
          <cell r="H2223" t="str">
            <v>REHABILITACIÓN RED DE ALCANTARILLADO CON TECNOLOGÍA CIPP, CON RESINA DE GRP CURADA CON RAYOS UV, INCLUYE EQUIPOS, MATERIALES, TRANSPORTES Y PERSONAL. DIÁMETRO 20”. ESPESOR 4.90 mm. EC = 14.200 MPA.</v>
          </cell>
          <cell r="I2223" t="str">
            <v>ML</v>
          </cell>
          <cell r="J2223">
            <v>2306992</v>
          </cell>
        </row>
        <row r="2224">
          <cell r="G2224">
            <v>11356</v>
          </cell>
          <cell r="H2224" t="str">
            <v>REHABILITACIÓN RED DE ALCANTARILLADO CON TECNOLOGÍA CIPP, CON RESINA DE GRP CURADA CON RAYOS UV, INCLUYE EQUIPOS, MATERIALES, TRANSPORTES Y PERSONAL. DIÁMETRO 24”. ESPESOR 5.60 mm. EC = 14.200 MPA.</v>
          </cell>
          <cell r="I2224" t="str">
            <v>ML</v>
          </cell>
          <cell r="J2224">
            <v>2561579</v>
          </cell>
        </row>
        <row r="2225">
          <cell r="G2225">
            <v>11357</v>
          </cell>
          <cell r="H2225" t="str">
            <v>REHABILITACIÓN RED DE ALCANTARILLADO CON TECNOLOGÍA CIPP, CON RESINA DE GRP CURADA CON RAYOS UV, INCLUYE EQUIPOS, MATERIALES, TRANSPORTES Y PERSONAL. DIÁMETRO 27”. ESPESOR 6.30 mm. EC = 14.200 MPA.</v>
          </cell>
          <cell r="I2225" t="str">
            <v>ML</v>
          </cell>
          <cell r="J2225">
            <v>3062029</v>
          </cell>
        </row>
        <row r="2226">
          <cell r="G2226">
            <v>11358</v>
          </cell>
          <cell r="H2226" t="str">
            <v>REHABILITACIÓN RED DE ALCANTARILLADO CON TECNOLOGÍA CIPP, CON RESINA DE GRP CURADA CON RAYOS UV, INCLUYE EQUIPOS, MATERIALES, TRANSPORTES Y PERSONAL. DIÁMETRO 30”. ESPESOR 7.00 mm. EC = 14.200 MPA.</v>
          </cell>
          <cell r="I2226" t="str">
            <v>ML</v>
          </cell>
          <cell r="J2226">
            <v>3524432</v>
          </cell>
        </row>
        <row r="2227">
          <cell r="G2227">
            <v>11359</v>
          </cell>
          <cell r="H2227" t="str">
            <v>REHABILITACIÓN RED DE ALCANTARILLADO CON TECNOLOGÍA CIPP, CON RESINA DE GRP CURADA CON RAYOS UV, INCLUYE EQUIPOS, MATERIALES, TRANSPORTES Y PERSONAL. DIÁMETRO 36”. ESPESOR 9.10 mm. EC = 16.875 MPA.</v>
          </cell>
          <cell r="I2227" t="str">
            <v>ML</v>
          </cell>
          <cell r="J2227">
            <v>4633902</v>
          </cell>
        </row>
        <row r="2228">
          <cell r="G2228">
            <v>11360</v>
          </cell>
          <cell r="H2228" t="str">
            <v>REHABILITACIÓN RED DE ALCANTARILLADO CON TECNOLOGÍA CIPP, CON RESINA DE GRP CURADA CON RAYOS UV, INCLUYE EQUIPOS, MATERIALES, TRANSPORTES Y PERSONAL. DIÁMETRO 40”. ESPESOR 9.80 mm. EC = 16.875 MPA.</v>
          </cell>
          <cell r="I2228" t="str">
            <v>ML</v>
          </cell>
          <cell r="J2228">
            <v>5894965</v>
          </cell>
        </row>
        <row r="2229">
          <cell r="G2229">
            <v>11361</v>
          </cell>
          <cell r="H2229" t="str">
            <v>REHABILITACIÓN RED DE ALCANTARILLADO CON TECNOLOGÍA CIPP, CON RESINA DE GRP CURADA CON RAYOS UV, INCLUYE EQUIPOS, MATERIALES, TRANSPORTES Y PERSONAL. DIÁMETRO 42”. ESPESOR 10.50 mm. EC = 16.875 MPA.</v>
          </cell>
          <cell r="I2229" t="str">
            <v>ML</v>
          </cell>
          <cell r="J2229">
            <v>6454983</v>
          </cell>
        </row>
        <row r="2230">
          <cell r="G2230">
            <v>11362</v>
          </cell>
          <cell r="H2230" t="str">
            <v>REDUCCIÓN PVC E.L.  D= 1 1/2 x 1" (BUJE SOLDADO)</v>
          </cell>
          <cell r="I2230" t="str">
            <v>UN</v>
          </cell>
          <cell r="J2230">
            <v>4480</v>
          </cell>
        </row>
        <row r="2231">
          <cell r="G2231">
            <v>11363</v>
          </cell>
          <cell r="H2231" t="str">
            <v>INTERRUPTOR GRADO INDUSTRIAL, 20A, EN CAJA FUNCIÓN ALUMINIO 11.7X11.7X5 CM, CON TAPA Y EMPAQUE</v>
          </cell>
          <cell r="I2231" t="str">
            <v>UN</v>
          </cell>
          <cell r="J2231">
            <v>78926</v>
          </cell>
        </row>
        <row r="2232">
          <cell r="G2232">
            <v>11366</v>
          </cell>
          <cell r="H2232" t="str">
            <v>CONCRETO MR45 CON MACROFIBRAS DE POLIPROPILENO</v>
          </cell>
          <cell r="I2232" t="str">
            <v>M3</v>
          </cell>
          <cell r="J2232">
            <v>634013</v>
          </cell>
        </row>
        <row r="2233">
          <cell r="G2233">
            <v>11367</v>
          </cell>
          <cell r="H2233" t="str">
            <v>AUTOIMPRIMANTE EPÓXICO TOLERANTE DE SUPERFICIE</v>
          </cell>
          <cell r="I2233" t="str">
            <v>GLN</v>
          </cell>
          <cell r="J2233">
            <v>156615</v>
          </cell>
        </row>
        <row r="2234">
          <cell r="G2234">
            <v>11368</v>
          </cell>
          <cell r="H2234" t="str">
            <v>IMPRIMANTE EPÓXICO TOLERANTE DE SUPERFICIE</v>
          </cell>
          <cell r="I2234" t="str">
            <v>GLN</v>
          </cell>
          <cell r="J2234">
            <v>173605</v>
          </cell>
        </row>
        <row r="2235">
          <cell r="G2235">
            <v>11370</v>
          </cell>
          <cell r="H2235" t="str">
            <v>SELLO DE SILICONA TIPO SL</v>
          </cell>
          <cell r="I2235" t="str">
            <v>GLN</v>
          </cell>
          <cell r="J2235">
            <v>374713</v>
          </cell>
        </row>
        <row r="2236">
          <cell r="G2236">
            <v>11379</v>
          </cell>
          <cell r="H2236" t="str">
            <v>CINTURÓN DE CIERRE Ø24" e=1/4"</v>
          </cell>
          <cell r="I2236" t="str">
            <v>UN</v>
          </cell>
          <cell r="J2236">
            <v>702449</v>
          </cell>
        </row>
        <row r="2237">
          <cell r="G2237">
            <v>11381</v>
          </cell>
          <cell r="H2237" t="str">
            <v>NIPLE HD Ø4" BRIDA B16.5 x LISO Long. 816 mm. CON PASAMURO z=665mm</v>
          </cell>
          <cell r="I2237" t="str">
            <v>UN</v>
          </cell>
          <cell r="J2237">
            <v>656981</v>
          </cell>
        </row>
        <row r="2238">
          <cell r="G2238">
            <v>11382</v>
          </cell>
          <cell r="H2238" t="str">
            <v>NIPLE HD Ø4" BRIDA B16.5 x LISO Long. 1274 mm. CON PASAMURO z=824mm</v>
          </cell>
          <cell r="I2238" t="str">
            <v>UN</v>
          </cell>
          <cell r="J2238">
            <v>918783</v>
          </cell>
        </row>
        <row r="2239">
          <cell r="G2239">
            <v>11384</v>
          </cell>
          <cell r="H2239" t="str">
            <v>NIPLE HD Ø4" BRIDA B16.5 x LISO Long. 500 mm. CON PASAMURO z=310mm</v>
          </cell>
          <cell r="I2239" t="str">
            <v>UN</v>
          </cell>
          <cell r="J2239">
            <v>476350</v>
          </cell>
        </row>
        <row r="2240">
          <cell r="G2240">
            <v>11385</v>
          </cell>
          <cell r="H2240" t="str">
            <v>NIPLE HD Ø4" BRIDA B16.5 x LISO Long. 1020 mm. CON PASAMURO z=820mm</v>
          </cell>
          <cell r="I2240" t="str">
            <v>UN</v>
          </cell>
          <cell r="J2240">
            <v>773592</v>
          </cell>
        </row>
        <row r="2241">
          <cell r="G2241">
            <v>11388</v>
          </cell>
          <cell r="H2241" t="str">
            <v>PIEZA ESPECIAL CCP Ø24" LISOxLISO CL300 LONGITUD 4000mm CON (1) SALIDA VERTICAL SOBRE LOMO DE Ø3" LONGITUD 200mm DE LA CAJA EXTERNA DEL TUBO A BRIDA B.16.5  Y (2) RUANAS PASAMURO Ø24" e=1' HA SOLDADAS</v>
          </cell>
          <cell r="I2241" t="str">
            <v>UN</v>
          </cell>
          <cell r="J2241">
            <v>10675357</v>
          </cell>
        </row>
        <row r="2242">
          <cell r="G2242">
            <v>11391</v>
          </cell>
          <cell r="H2242" t="str">
            <v>PIEZA ESPECIAL CCP Ø18" CL300 TIPO NIPLE LISO-BRIDA LONGITUD= 2300mm, (1) RUANA PASAMURO Ø18" HA e=1" SOLDADA A DISTANCIA z=0.85m (1) AMPLIACIÓN Ø18"A Ø24" LONGITUD=450mm SOLDADA A 1150mm DE LA BRIDA</v>
          </cell>
          <cell r="I2242" t="str">
            <v>UN</v>
          </cell>
          <cell r="J2242">
            <v>12113815</v>
          </cell>
        </row>
        <row r="2243">
          <cell r="G2243">
            <v>11408</v>
          </cell>
          <cell r="H2243" t="str">
            <v>TUBERIA HG Ø1 1/2"</v>
          </cell>
          <cell r="I2243" t="str">
            <v>ML</v>
          </cell>
          <cell r="J2243">
            <v>40270</v>
          </cell>
        </row>
        <row r="2244">
          <cell r="G2244">
            <v>11409</v>
          </cell>
          <cell r="H2244" t="str">
            <v>UNION DE DESMONTAJE AUTOPORTANTE HD Ø4" BRIDA B16.5</v>
          </cell>
          <cell r="I2244" t="str">
            <v>UN</v>
          </cell>
          <cell r="J2244">
            <v>953884</v>
          </cell>
        </row>
        <row r="2245">
          <cell r="G2245">
            <v>11424</v>
          </cell>
          <cell r="H2245" t="str">
            <v>CODO EN ACERO F 18" ENTRE 5° Y 22½° JUNTA ESPIGO / CAMPANA CON EMPAQUE DE CAUCHO, CON REVESTIMIENTO INTERIOR Y RECUBRIMIENTO EXTERIOR EN MORTERO DE CEMENTO. L=0,4 X 0,4M. PRESIÓN DE TRABAJO HASTA = 25</v>
          </cell>
          <cell r="I2245" t="str">
            <v>UN</v>
          </cell>
          <cell r="J2245">
            <v>2879905</v>
          </cell>
        </row>
        <row r="2246">
          <cell r="G2246">
            <v>11425</v>
          </cell>
          <cell r="H2246" t="str">
            <v>CODO EN ACERO F 18" ENTRE 22½° Y 45° JUNTA ESPIGO / CAMPANA CON EMPAQUE DE CAUCHO, CON REVESTIMIENTO INTERIOR Y RECUBRIMIENTO EXTERIOR EN MORTERO DE CEMENTO. L=0,60 X 0,60M. PRESIÓN DE TRABAJO HASTA =</v>
          </cell>
          <cell r="I2246" t="str">
            <v>UN</v>
          </cell>
          <cell r="J2246">
            <v>3685435</v>
          </cell>
        </row>
        <row r="2247">
          <cell r="G2247">
            <v>11426</v>
          </cell>
          <cell r="H2247" t="str">
            <v>CODO EN ACERO F 18" ENTRE 45° Y 67½° JUNTA ESPIGO / CAMPANA CON EMPAQUE DE CAUCHO, CON REVESTIMIENTO INTERIOR Y RECUBRIMIENTO EXTERIOR EN MORTERO DE CEMENTO. L=0,90 X 0,90M. PRESIÓN DE TRABAJO HASTA =</v>
          </cell>
          <cell r="I2247" t="str">
            <v>UN</v>
          </cell>
          <cell r="J2247">
            <v>4688548</v>
          </cell>
        </row>
        <row r="2248">
          <cell r="G2248">
            <v>11427</v>
          </cell>
          <cell r="H2248" t="str">
            <v>CODO EN ACERO F 18" ENTRE 45° Y 67½° JUNTA ESPIGO / CAMPANA CON EMPAQUE DE CAUCHO, CON REVESTIMIENTO INTERIOR Y RECUBRIMIENTO EXTERIOR EN MORTERO DE CEMENTO. L=1,35 X 1,35M. PRESIÓN DE TRABAJO HASTA =</v>
          </cell>
          <cell r="I2248" t="str">
            <v>UN</v>
          </cell>
          <cell r="J2248">
            <v>5626821</v>
          </cell>
        </row>
        <row r="2249">
          <cell r="G2249">
            <v>11428</v>
          </cell>
          <cell r="H2249" t="str">
            <v>TUBO EN ACERO F 20" CON UNIONES ESPIGO / CAMPANA CON EMPAQUE DE CAUCHO, CON REVESTIMIENTO INTERIOR Y RECUBRIMIENTO EXTERIOR EN MORTERO DE CEMENTO. FABRICADO DE CONFORMIDAD CON LA NORMA AWWA C 200 A PA</v>
          </cell>
          <cell r="I2249" t="str">
            <v>ML</v>
          </cell>
          <cell r="J2249">
            <v>1179859</v>
          </cell>
        </row>
        <row r="2250">
          <cell r="G2250">
            <v>11429</v>
          </cell>
          <cell r="H2250" t="str">
            <v>CODO EN ACERO F 20" ENTRE 5° Y 22½° JUNTA ESPIGO / CAMPANA CON EMPAQUE DE CAUCHO, CON REVESTIMIENTO INTERIOR Y RECUBRIMIENTO EXTERIOR EN MORTERO DE CEMENTO. L=0,4 X 0,4M. PRESIÓN DE TRABAJO HASTA = 25</v>
          </cell>
          <cell r="I2250" t="str">
            <v>UN</v>
          </cell>
          <cell r="J2250">
            <v>3209128</v>
          </cell>
        </row>
        <row r="2251">
          <cell r="G2251">
            <v>11430</v>
          </cell>
          <cell r="H2251" t="str">
            <v>CODO EN ACERO F 20" ENTRE 22½° Y 45° JUNTA ESPIGO / CAMPANA CON EMPAQUE DE CAUCHO, CON REVESTIMIENTO INTERIOR Y RECUBRIMIENTO EXTERIOR EN MORTERO DE CEMENTO. L=0,65 X 0,65M. PRESIÓN DE TRABAJO = 250 P</v>
          </cell>
          <cell r="I2251" t="str">
            <v>UN</v>
          </cell>
          <cell r="J2251">
            <v>4271074</v>
          </cell>
        </row>
        <row r="2252">
          <cell r="G2252">
            <v>11431</v>
          </cell>
          <cell r="H2252" t="str">
            <v>TUBO EN ACERO F 24" CON UNIONES ESPIGO / CAMPANA CON EMPAQUE DE CAUCHO, CON REVESTIMIENTO INTERIOR Y RECUBRIMIENTO EXTERIOR EN MORTERO DE CEMENTO. FABRICADO DE CONFORMIDAD CON LA NORMA AWWA C 200 A PA</v>
          </cell>
          <cell r="I2252" t="str">
            <v>ML</v>
          </cell>
          <cell r="J2252">
            <v>1373519</v>
          </cell>
        </row>
        <row r="2253">
          <cell r="G2253">
            <v>11432</v>
          </cell>
          <cell r="H2253" t="str">
            <v>CODO EN ACERO F 24" ENTRE 5° Y 22½° JUNTA ESPIGO / CAMPANA CON EMPAQUE DE CAUCHO, CON REVESTIMIENTO INTERIOR Y RECUBRIMIENTO EXTERIOR EN MORTERO DE CEMENTO. L=0,45 X 0,45M. PRESIÓN DE TRABAJO HASTA =</v>
          </cell>
          <cell r="I2253" t="str">
            <v>UN</v>
          </cell>
          <cell r="J2253">
            <v>4058783</v>
          </cell>
        </row>
        <row r="2254">
          <cell r="G2254">
            <v>11433</v>
          </cell>
          <cell r="H2254" t="str">
            <v>CODO EN ACERO F 24" ENTRE 22½° Y 45° JUNTA ESPIGO / CAMPANA CON EMPAQUE DE CAUCHO, CON REVESTIMIENTO INTERIOR Y RECUBRIMIENTO EXTERIOR EN MORTERO DE CEMENTO. L=0,80 X 0,80M. PRESIÓN DE TRABAJO = 250 P</v>
          </cell>
          <cell r="I2254" t="str">
            <v>UN</v>
          </cell>
          <cell r="J2254">
            <v>5668127</v>
          </cell>
        </row>
        <row r="2255">
          <cell r="G2255">
            <v>11434</v>
          </cell>
          <cell r="H2255" t="str">
            <v>CODO EN ACERO F 24" ENTRE 45° Y 67½° JUNTA ESPIGO / CAMPANA CON EMPAQUE DE CAUCHO, CON REVESTIMIENTO INTERIOR Y RECUBRIMIENTO EXTERIOR EN MORTERO DE CEMENTO. L=1,20 X 1,20M. PRESIÓN DE TRABAJO = 250 P</v>
          </cell>
          <cell r="I2255" t="str">
            <v>UN</v>
          </cell>
          <cell r="J2255">
            <v>7361843</v>
          </cell>
        </row>
        <row r="2256">
          <cell r="G2256">
            <v>11435</v>
          </cell>
          <cell r="H2256" t="str">
            <v>CANAL DE DRENAJE MONOLÍTICO EN CONCRETO POLIMÉRICO PD 150V, CLASE D400, COLOR NATURAL, H=27cm, A=20cm, Long=100cm, (Incluye rejilla)</v>
          </cell>
          <cell r="I2256" t="str">
            <v>ML</v>
          </cell>
          <cell r="J2256">
            <v>507693</v>
          </cell>
        </row>
        <row r="2257">
          <cell r="G2257">
            <v>11436</v>
          </cell>
          <cell r="H2257" t="str">
            <v>CANAL DE INSPECCION MONOLÍTICO EN CONCRETO POLIMÉRICO DE DRENAJE PD 150V, CLASE D400, COLOR NATURAL, H=27cm, A=20cm, Long=50cm, (Incluye rejilla)</v>
          </cell>
          <cell r="I2257" t="str">
            <v>UN</v>
          </cell>
          <cell r="J2257">
            <v>507693</v>
          </cell>
        </row>
        <row r="2258">
          <cell r="G2258">
            <v>11437</v>
          </cell>
          <cell r="H2258" t="str">
            <v>SUMIDERO PARA CANAL DE DRENAJE MONOLÍTICO EN CONCRETO POLIMÉRICO PD 150V, CLASE D400, COLOR NATURAL, CON REJA DE FUNDICIÓN, H=57,5cm, A=18cm, Long=50cm (Incluye rejilla)</v>
          </cell>
          <cell r="I2258" t="str">
            <v>UN</v>
          </cell>
          <cell r="J2258">
            <v>741132</v>
          </cell>
        </row>
        <row r="2259">
          <cell r="G2259">
            <v>11438</v>
          </cell>
          <cell r="H2259" t="str">
            <v>CANAL DE DRENAJE MONOLÍTICO EN CONCRETO POLIMÉRICO RD 200V, CLASE F900, COLOR NATURAL, H=53cm, A=26cm, Long=100cm (Incluye rejilla)</v>
          </cell>
          <cell r="I2259" t="str">
            <v>ML</v>
          </cell>
          <cell r="J2259">
            <v>990304</v>
          </cell>
        </row>
        <row r="2260">
          <cell r="G2260">
            <v>11439</v>
          </cell>
          <cell r="H2260" t="str">
            <v>CANAL DE INSPECCION DE DRENAJE MONOLÍTICO EN CONCRETO POLIMÉRICO RD 200V, CLASE F900, COLOR NATURAL, H=53cm, A=26cm, Long=66cm (Incluye rejilla)</v>
          </cell>
          <cell r="I2260" t="str">
            <v>UN</v>
          </cell>
          <cell r="J2260">
            <v>1173340</v>
          </cell>
        </row>
        <row r="2261">
          <cell r="G2261">
            <v>11442</v>
          </cell>
          <cell r="H2261" t="str">
            <v>PENNISETUM (Incluye 16 unidades por M2)</v>
          </cell>
          <cell r="I2261" t="str">
            <v>M2</v>
          </cell>
          <cell r="J2261">
            <v>55000</v>
          </cell>
        </row>
        <row r="2262">
          <cell r="G2262">
            <v>11443</v>
          </cell>
          <cell r="H2262" t="str">
            <v>LIRIOPE (Incluye 16 unidades por M2)</v>
          </cell>
          <cell r="I2262" t="str">
            <v>M2</v>
          </cell>
          <cell r="J2262">
            <v>49500</v>
          </cell>
        </row>
        <row r="2263">
          <cell r="G2263">
            <v>11444</v>
          </cell>
          <cell r="H2263" t="str">
            <v>CLAVEL CHINO (Incluye 16 unidades por M2)</v>
          </cell>
          <cell r="I2263" t="str">
            <v>M2</v>
          </cell>
          <cell r="J2263">
            <v>26500</v>
          </cell>
        </row>
        <row r="2264">
          <cell r="G2264">
            <v>11446</v>
          </cell>
          <cell r="H2264" t="str">
            <v>PRUEBA DE CARGA ESTÁTICA Y DINÁMICA PARA PUENTE PEATONAL EN ESTRUCTURA METÁLICA Y CONCRETO REFORZADO. (Incl. logística, equipos y personal para toma información, procesamiento y entrega informe final.</v>
          </cell>
          <cell r="I2264" t="str">
            <v>UN</v>
          </cell>
          <cell r="J2264">
            <v>32130000</v>
          </cell>
        </row>
        <row r="2265">
          <cell r="G2265">
            <v>11447</v>
          </cell>
          <cell r="H2265" t="str">
            <v>PISO EN PORCELANATO COLOR GRIS OSCURO TIPO BARI PLUS, ACABADO PULIDO, FORMATO 0,60cmx0,60cm LÍNEA CONVENCIONAL.</v>
          </cell>
          <cell r="I2265" t="str">
            <v>M2</v>
          </cell>
          <cell r="J2265">
            <v>62237</v>
          </cell>
        </row>
        <row r="2266">
          <cell r="G2266">
            <v>11448</v>
          </cell>
          <cell r="H2266" t="str">
            <v>PINO ROMERON H=1.5m (Incluye tutor con manguera y alambre)</v>
          </cell>
          <cell r="I2266" t="str">
            <v>UN</v>
          </cell>
          <cell r="J2266">
            <v>132000</v>
          </cell>
        </row>
        <row r="2267">
          <cell r="G2267">
            <v>11449</v>
          </cell>
          <cell r="H2267" t="str">
            <v>CHALECO SENCILLO EN DRIL SIN LOGO DOS BOLSILLOS</v>
          </cell>
          <cell r="I2267" t="str">
            <v>UN</v>
          </cell>
          <cell r="J2267">
            <v>34510</v>
          </cell>
        </row>
        <row r="2268">
          <cell r="G2268">
            <v>11450</v>
          </cell>
          <cell r="H2268" t="str">
            <v>CHALECO REFLECTIVO EN TELA</v>
          </cell>
          <cell r="I2268" t="str">
            <v>UN</v>
          </cell>
          <cell r="J2268">
            <v>12971</v>
          </cell>
        </row>
        <row r="2269">
          <cell r="G2269">
            <v>11451</v>
          </cell>
          <cell r="H2269" t="str">
            <v>CARTUCHO RESPIRADOR P-100 VAPORES ORGÁNICOS</v>
          </cell>
          <cell r="I2269" t="str">
            <v>UN</v>
          </cell>
          <cell r="J2269">
            <v>20230</v>
          </cell>
        </row>
        <row r="2270">
          <cell r="G2270">
            <v>11452</v>
          </cell>
          <cell r="H2270" t="str">
            <v>GUANTE SOLDADOR</v>
          </cell>
          <cell r="I2270" t="str">
            <v>PAR</v>
          </cell>
          <cell r="J2270">
            <v>27251</v>
          </cell>
        </row>
        <row r="2271">
          <cell r="G2271">
            <v>11453</v>
          </cell>
          <cell r="H2271" t="str">
            <v>DESCENDEDOR ANTICAIDA</v>
          </cell>
          <cell r="I2271" t="str">
            <v>PAR</v>
          </cell>
          <cell r="J2271">
            <v>747677</v>
          </cell>
        </row>
        <row r="2272">
          <cell r="G2272">
            <v>11454</v>
          </cell>
          <cell r="H2272" t="str">
            <v>EXÁMEN DE APTITUD PSICOFÍSICA PARA TRABAJO EN ALTURA (Incluye perfíl lipídico, glicemia pre y post.)</v>
          </cell>
          <cell r="I2272" t="str">
            <v>UN</v>
          </cell>
          <cell r="J2272">
            <v>70000</v>
          </cell>
        </row>
        <row r="2273">
          <cell r="G2273">
            <v>11455</v>
          </cell>
          <cell r="H2273"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I2273" t="str">
            <v>Pto.3R</v>
          </cell>
          <cell r="J2273">
            <v>23800</v>
          </cell>
        </row>
        <row r="2274">
          <cell r="G2274">
            <v>11456</v>
          </cell>
          <cell r="H2274"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I2274" t="str">
            <v>Pto.3R</v>
          </cell>
          <cell r="J2274">
            <v>29750</v>
          </cell>
        </row>
        <row r="2275">
          <cell r="G2275">
            <v>11457</v>
          </cell>
          <cell r="H2275" t="str">
            <v>TOMA DE DEFLEXIONES CON EQUIPO DEFLECTÓMETRO DE IMPACTO (LWD) EN ESTRUCTURA DE PAVIMENTO. Incluye movilización, toma de información, procesamiento y entrega de resultados. Norma técnica: ASTM E2583.</v>
          </cell>
          <cell r="I2275" t="str">
            <v>PUNTO</v>
          </cell>
          <cell r="J2275">
            <v>37846</v>
          </cell>
        </row>
        <row r="2276">
          <cell r="G2276">
            <v>11458</v>
          </cell>
          <cell r="H2276"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I2276" t="str">
            <v>Km-Car</v>
          </cell>
          <cell r="J2276">
            <v>72663</v>
          </cell>
        </row>
        <row r="2277">
          <cell r="G2277">
            <v>11459</v>
          </cell>
          <cell r="H2277"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I2277" t="str">
            <v>Km-Car</v>
          </cell>
          <cell r="J2277">
            <v>65759</v>
          </cell>
        </row>
        <row r="2278">
          <cell r="G2278">
            <v>11460</v>
          </cell>
          <cell r="H2278"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I2278" t="str">
            <v>Km-Car</v>
          </cell>
          <cell r="J2278">
            <v>108994</v>
          </cell>
        </row>
        <row r="2279">
          <cell r="G2279">
            <v>11461</v>
          </cell>
          <cell r="H2279"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I2279" t="str">
            <v>Km-Car</v>
          </cell>
          <cell r="J2279">
            <v>142800</v>
          </cell>
        </row>
        <row r="2280">
          <cell r="G2280">
            <v>11462</v>
          </cell>
          <cell r="H2280"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I2280" t="str">
            <v>Km-Car</v>
          </cell>
          <cell r="J2280">
            <v>133821</v>
          </cell>
        </row>
        <row r="2281">
          <cell r="G2281">
            <v>11463</v>
          </cell>
          <cell r="H2281"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I2281" t="str">
            <v>Km-Car</v>
          </cell>
          <cell r="J2281">
            <v>160650</v>
          </cell>
        </row>
        <row r="2282">
          <cell r="G2282">
            <v>11464</v>
          </cell>
          <cell r="H2282"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I2282" t="str">
            <v>Km-Car</v>
          </cell>
          <cell r="J2282">
            <v>258944</v>
          </cell>
        </row>
        <row r="2283">
          <cell r="G2283">
            <v>11465</v>
          </cell>
          <cell r="H2283"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I2283" t="str">
            <v>Km-Car</v>
          </cell>
          <cell r="J2283">
            <v>187604</v>
          </cell>
        </row>
        <row r="2284">
          <cell r="G2284">
            <v>11466</v>
          </cell>
          <cell r="H2284"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I2284" t="str">
            <v>Km-Car</v>
          </cell>
          <cell r="J2284">
            <v>164707</v>
          </cell>
        </row>
        <row r="2285">
          <cell r="G2285">
            <v>11467</v>
          </cell>
          <cell r="H2285" t="str">
            <v>DETERMINACIÓN DE ESPESORES EN ESTRUCTURA DE PAVIMENTO CON EQUIPO GEORRADAR, EQUIPADO MÍNIMO CON DOS ANTENAS DE OPERACIÓN, CON FRECUENCIAS: LA PRIMERA COMO MÍNIMO 1000 MHZ Y LA SEGUNDA ENTRE 300 Y 600. Norma técnica: ASTM D4748.</v>
          </cell>
          <cell r="I2285" t="str">
            <v>Km-Car</v>
          </cell>
          <cell r="J2285">
            <v>197540</v>
          </cell>
        </row>
        <row r="2286">
          <cell r="G2286">
            <v>11468</v>
          </cell>
          <cell r="H2286" t="str">
            <v>MEDICIÓN DE LA RESISTENCIA AL DESLIZAMIENTO EN ESTRUCTURA DE PAVIMENTO CON DISPOSITIVO DE RUEDA PARCIALMENTE BLOQUEADA CON GRADO DE DESLIZAMIENTO FIJO. Incluye movilización y carro escolta del equipo. Norma técnica: ASTM E2340 ASTM E274 ASTM F408 ASTM E1551.</v>
          </cell>
          <cell r="I2286" t="str">
            <v>Km-Car</v>
          </cell>
          <cell r="J2286">
            <v>297500</v>
          </cell>
        </row>
        <row r="2287">
          <cell r="G2287">
            <v>11470</v>
          </cell>
          <cell r="H2287" t="str">
            <v>MEDICIÓN DE PERFIL TRANSVERSAL EN ESTRUCTURA DE PAVIMENTO CON PERFILÓMETRO LASER Y DETERMINACIÓN DE LA IRREGULARIDAD SUPERFICIAL (AHUELLAMIENTO). Incluye movilización y carro escolta del equipo y toma</v>
          </cell>
          <cell r="I2287" t="str">
            <v>Km-Car</v>
          </cell>
          <cell r="J2287">
            <v>73780</v>
          </cell>
        </row>
        <row r="2288">
          <cell r="G2288">
            <v>11471</v>
          </cell>
          <cell r="H2288" t="str">
            <v>MEDICIÓN DE PERFIL DE MACROTEXTURA EN ESTRUCTURA DE  PAVIMENTO CON PERFILÓMETRO LASER Y DETERMINACIÓN DE LA PROFUNDIDAD MEDIA DEL PERFIL (MDP). Incluye movilización y carro escolta del equipo y toma d. Norma técnica: ASTM E1845.</v>
          </cell>
          <cell r="I2288" t="str">
            <v>Km-Car</v>
          </cell>
          <cell r="J2288">
            <v>83300</v>
          </cell>
        </row>
        <row r="2289">
          <cell r="G2289">
            <v>11472</v>
          </cell>
          <cell r="H2289"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I2289" t="str">
            <v>Km-Car</v>
          </cell>
          <cell r="J2289">
            <v>79280</v>
          </cell>
        </row>
        <row r="2290">
          <cell r="G2290">
            <v>11473</v>
          </cell>
          <cell r="H2290" t="str">
            <v>ALQUILER  DE DEFLECTÓMETRO DE IMPACTO (FWD/HWD). Incluye movilización y carro escolta del equipo y toma de información, procesamiento y entrega de resultados. Norma técnica: INV E – 798 - 13 ASTM D4694 INV E – 797 - 13 ASTM D4695 ASTM D5858.</v>
          </cell>
          <cell r="I2290" t="str">
            <v>JR</v>
          </cell>
          <cell r="J2290">
            <v>3570000</v>
          </cell>
        </row>
        <row r="2291">
          <cell r="G2291">
            <v>11474</v>
          </cell>
          <cell r="H2291" t="str">
            <v>ALQUILER  DE DEFLECTÓMETRO DE IMPACTO (LWD). Incluye movilización y toma de información, procesamiento y entrega de resultados. Norma técnica: ASTM E2583.</v>
          </cell>
          <cell r="I2291" t="str">
            <v>JR</v>
          </cell>
          <cell r="J2291">
            <v>2798880</v>
          </cell>
        </row>
        <row r="2292">
          <cell r="G2292">
            <v>11477</v>
          </cell>
          <cell r="H2292" t="str">
            <v>ENSAYO RADIOGRÁFICO. Norma técnica: ASTM E94.</v>
          </cell>
          <cell r="I2292" t="str">
            <v>DIA</v>
          </cell>
          <cell r="J2292">
            <v>1071000</v>
          </cell>
        </row>
        <row r="2293">
          <cell r="G2293">
            <v>11481</v>
          </cell>
          <cell r="H2293" t="str">
            <v>EVALUACIÓN DEL GRADO DE LIMPIEZA MANUAL. Norma técnica: SSPC-SP2.</v>
          </cell>
          <cell r="I2293" t="str">
            <v>DIA</v>
          </cell>
          <cell r="J2293">
            <v>595000</v>
          </cell>
        </row>
        <row r="2294">
          <cell r="G2294">
            <v>11482</v>
          </cell>
          <cell r="H2294" t="str">
            <v>EVALUACIÓN DEL GRADO DE LIMPIEZA MANUAL Y MECÁNICA. Norma técnica: SSPC-SP3.</v>
          </cell>
          <cell r="I2294" t="str">
            <v>DIA</v>
          </cell>
          <cell r="J2294">
            <v>595000</v>
          </cell>
        </row>
        <row r="2295">
          <cell r="G2295">
            <v>11483</v>
          </cell>
          <cell r="H2295" t="str">
            <v>EVALUACIÓN DEL GRADO DE LIMPIEZA POR CHORRO ABRASIVO A GRADO METAL BLANCO BASADO EN EL PATRÓN SSPC - VIS1. Norma técnica: SSPC-SP5 SSPC-SP7.</v>
          </cell>
          <cell r="I2295" t="str">
            <v>DIA</v>
          </cell>
          <cell r="J2295">
            <v>595000</v>
          </cell>
        </row>
        <row r="2296">
          <cell r="G2296">
            <v>11484</v>
          </cell>
          <cell r="H2296" t="str">
            <v>EVALUACIÓN DEL GRADO DE RUGOSIDAD DEL RECUBRIMIENTO. Norma técnica: NTC 3951  ASTM D4417.</v>
          </cell>
          <cell r="I2296" t="str">
            <v>DIA</v>
          </cell>
          <cell r="J2296">
            <v>595000</v>
          </cell>
        </row>
        <row r="2297">
          <cell r="G2297">
            <v>11485</v>
          </cell>
          <cell r="H2297" t="str">
            <v>EVALUACIÓN DE CONDICIONES AMBIENTALES (EN EL MOMENTO DE LA APLICACIÓN DEL RECUBRIMIENTO). Norma técnica: NTC 3951  ASTM E337.</v>
          </cell>
          <cell r="I2297" t="str">
            <v>DIA</v>
          </cell>
          <cell r="J2297">
            <v>595000</v>
          </cell>
        </row>
        <row r="2298">
          <cell r="G2298">
            <v>11489</v>
          </cell>
          <cell r="H2298" t="str">
            <v>INSPECCIÓN VISUAL PARA EVALUACIÓN DE DEFECTOS Y DEFINICIÓN DE PROCEDIMIENTOS DE REPARACIÓN. Norma técnica: ASTM 123A/123M.</v>
          </cell>
          <cell r="I2298" t="str">
            <v>DIA</v>
          </cell>
          <cell r="J2298">
            <v>595000</v>
          </cell>
        </row>
        <row r="2299">
          <cell r="G2299">
            <v>11498</v>
          </cell>
          <cell r="H2299" t="str">
            <v>TRACCIÓN DE ACERO ESTRUCTURAL. Norma técnica: NTC 3353 - ASTM E8.</v>
          </cell>
          <cell r="I2299" t="str">
            <v>UN</v>
          </cell>
          <cell r="J2299">
            <v>154500</v>
          </cell>
        </row>
        <row r="2300">
          <cell r="G2300">
            <v>11499</v>
          </cell>
          <cell r="H2300" t="str">
            <v>TRACCIÓN DE BARRAS LISAS Y CORRUGADAS EN ACERO AL CARBONO. Norma técnica: NTC 2289 NTC 3353 ASTM A370.</v>
          </cell>
          <cell r="I2300" t="str">
            <v>UN</v>
          </cell>
          <cell r="J2300">
            <v>115000</v>
          </cell>
        </row>
        <row r="2301">
          <cell r="G2301">
            <v>11500</v>
          </cell>
          <cell r="H2301" t="str">
            <v>TRACCIÓN DE ALAMBRE DE ACERO/TORON DE ACERO. Norma técnica: NTC 2289 NTC 3353 ASTM A370.</v>
          </cell>
          <cell r="I2301" t="str">
            <v>UN</v>
          </cell>
          <cell r="J2301">
            <v>115000</v>
          </cell>
        </row>
        <row r="2302">
          <cell r="G2302">
            <v>11501</v>
          </cell>
          <cell r="H2302" t="str">
            <v>DUREZA ROCKWELL DE MATERIALES METÁLICOS (ALUMINIO). Norma técnica: ASTM E18.</v>
          </cell>
          <cell r="I2302" t="str">
            <v>UN</v>
          </cell>
          <cell r="J2302">
            <v>105000</v>
          </cell>
        </row>
        <row r="2303">
          <cell r="G2303">
            <v>11502</v>
          </cell>
          <cell r="H2303" t="str">
            <v>DETERMINACIÓN DE LA EXPANSIÓN DEL CEMENTO EN BARRAS DE MORTERO SUMERGIDAS AL AGUA. Norma técnica: NTC - 4927.</v>
          </cell>
          <cell r="I2303" t="str">
            <v>UN</v>
          </cell>
          <cell r="J2303">
            <v>623503</v>
          </cell>
        </row>
        <row r="2304">
          <cell r="G2304">
            <v>11503</v>
          </cell>
          <cell r="H2304" t="str">
            <v>DETERMINACIÓN DE LA ACTIVIDAD PUZOLÁNICA EN CEMENTOS CON PUZOLANA. Norma técnica: NTC - 1512.</v>
          </cell>
          <cell r="I2304" t="str">
            <v>UN</v>
          </cell>
          <cell r="J2304">
            <v>804202</v>
          </cell>
        </row>
        <row r="2305">
          <cell r="G2305">
            <v>11504</v>
          </cell>
          <cell r="H2305" t="str">
            <v>RESISTENCIA A LA ABRASIÓN - DESGASTE DE CONCRETO. Norma técnica: ASTM D3389 NTC-5147.</v>
          </cell>
          <cell r="I2305" t="str">
            <v>UN</v>
          </cell>
          <cell r="J2305">
            <v>991500</v>
          </cell>
        </row>
        <row r="2306">
          <cell r="G2306">
            <v>11505</v>
          </cell>
          <cell r="H2306" t="str">
            <v>FLEXIÓN DE LOSETA EN CONCRETO PRETENSADO. Norma técnica: ASTM C78 NTC 2871.</v>
          </cell>
          <cell r="I2306" t="str">
            <v>UN</v>
          </cell>
          <cell r="J2306">
            <v>465613</v>
          </cell>
        </row>
        <row r="2307">
          <cell r="G2307">
            <v>11506</v>
          </cell>
          <cell r="H2307" t="str">
            <v>PUNZONAMIENTO DE PANEL EN CONCRETO PRETENSADO. Norma técnica: PROTOCOLO PUNZONAMIENTO CONTRATO IDU-791-2017.</v>
          </cell>
          <cell r="I2307" t="str">
            <v>UN</v>
          </cell>
          <cell r="J2307">
            <v>500780</v>
          </cell>
        </row>
        <row r="2308">
          <cell r="G2308">
            <v>11507</v>
          </cell>
          <cell r="H2308" t="str">
            <v>CONTENIDO DE AIRE INCLUIDO. Norma técnica: NTC 1032.</v>
          </cell>
          <cell r="I2308" t="str">
            <v>UN</v>
          </cell>
          <cell r="J2308">
            <v>62043</v>
          </cell>
        </row>
        <row r="2309">
          <cell r="G2309">
            <v>11508</v>
          </cell>
          <cell r="H2309" t="str">
            <v>INSTRUMENTACIÓN INICIAL PARA ESTIMAR LA RESISTENCIA DEL CONCRETO POR EL MÉTODO DE LA MADUREZ. Norma técnica: NTC 3756.</v>
          </cell>
          <cell r="I2309" t="str">
            <v>UN</v>
          </cell>
          <cell r="J2309">
            <v>64421</v>
          </cell>
        </row>
        <row r="2310">
          <cell r="G2310">
            <v>11509</v>
          </cell>
          <cell r="H2310" t="str">
            <v>FLUJO LIBRE, FLUJO RESTRINGIDO Y SEGREGACIÓN EN CONCRETOS AUTOCOMPACTANTES. Norma técnica: NTC 5222.</v>
          </cell>
          <cell r="I2310" t="str">
            <v>UN</v>
          </cell>
          <cell r="J2310">
            <v>103072</v>
          </cell>
        </row>
        <row r="2311">
          <cell r="G2311">
            <v>11510</v>
          </cell>
          <cell r="H2311" t="str">
            <v>TIEMPO DE FRAGUADO DE MEZCLAS DE CONCRETO POR MEDIO DE SU RESISTENCIA A LA PENETRACIÓN. Norma técnica: NTC 890.</v>
          </cell>
          <cell r="I2311" t="str">
            <v>UN</v>
          </cell>
          <cell r="J2311">
            <v>122399</v>
          </cell>
        </row>
        <row r="2312">
          <cell r="G2312">
            <v>11511</v>
          </cell>
          <cell r="H2312" t="str">
            <v>TOMA DE LECTURAS DIARIAS PARA ESTIMAR LA RESISTENCIA DEL CONCRETO POR EL MÉTODO DE MADUREZ. Norma técnica: NTC 3756.</v>
          </cell>
          <cell r="I2312" t="str">
            <v>PTO/3M</v>
          </cell>
          <cell r="J2312">
            <v>103072</v>
          </cell>
        </row>
        <row r="2313">
          <cell r="G2313">
            <v>11512</v>
          </cell>
          <cell r="H2313" t="str">
            <v>RESISTENCIA A LA PENETRACIÓN PISTÓN DE 50 MM DE DIÁMETRO. Norma técnica: ASTM D6241.</v>
          </cell>
          <cell r="I2313" t="str">
            <v>UN</v>
          </cell>
          <cell r="J2313">
            <v>319396</v>
          </cell>
        </row>
        <row r="2314">
          <cell r="G2314">
            <v>11513</v>
          </cell>
          <cell r="H2314" t="str">
            <v>TAMAÑO DE  ABERTURA APARENTE. Norma técnica: ASTM D4751 NTC-2255-2003.</v>
          </cell>
          <cell r="I2314" t="str">
            <v>UN</v>
          </cell>
          <cell r="J2314">
            <v>188615</v>
          </cell>
        </row>
        <row r="2315">
          <cell r="G2315">
            <v>11514</v>
          </cell>
          <cell r="H2315" t="str">
            <v>ESTABILIDAD  ULTRAVIOLETA POR HR. Norma técnica: ASTM D4355.</v>
          </cell>
          <cell r="I2315" t="str">
            <v>HR</v>
          </cell>
          <cell r="J2315">
            <v>23800</v>
          </cell>
        </row>
        <row r="2316">
          <cell r="G2316">
            <v>11515</v>
          </cell>
          <cell r="H2316" t="str">
            <v>DENSIDAD DE PLÁSTICOS MEDIANTE LA TÉCNICA DE GRADIENTE DE DENSIDAD. Norma técnica: ASTM D1505.</v>
          </cell>
          <cell r="I2316" t="str">
            <v>UN</v>
          </cell>
          <cell r="J2316">
            <v>333200</v>
          </cell>
        </row>
        <row r="2317">
          <cell r="G2317">
            <v>11516</v>
          </cell>
          <cell r="H2317" t="str">
            <v>DENSIDAD Y GRAVEDAD ESPECÍFICA (DENSIDAD RELATIVA) DE PLÁSTICOS POR DESPLAZAMIENTO. Norma técnica: ASTM D792.</v>
          </cell>
          <cell r="I2317" t="str">
            <v>UN</v>
          </cell>
          <cell r="J2317">
            <v>126140</v>
          </cell>
        </row>
        <row r="2318">
          <cell r="G2318">
            <v>11517</v>
          </cell>
          <cell r="H2318" t="str">
            <v>ESPESOR NOMINAL DE LOS GEOSINTÉTICOS. Norma técnica: ASTM D5199.</v>
          </cell>
          <cell r="I2318" t="str">
            <v>UN</v>
          </cell>
          <cell r="J2318">
            <v>142800</v>
          </cell>
        </row>
        <row r="2319">
          <cell r="G2319">
            <v>11518</v>
          </cell>
          <cell r="H2319" t="str">
            <v>CONTENIDO DE CARBÓN NEGRO. Norma técnica: ASTM D1603 ASTM D4218 ISO 6964-19.</v>
          </cell>
          <cell r="I2319" t="str">
            <v>UN</v>
          </cell>
          <cell r="J2319">
            <v>333200</v>
          </cell>
        </row>
        <row r="2320">
          <cell r="G2320">
            <v>11519</v>
          </cell>
          <cell r="H2320" t="str">
            <v>PROPIEDADES DE TRACCIÓN DE POLIETILENO NO REFORZADO Y GEOMEMBRANA DE POLIPROPILENO FLEXIBLE NO REFORZADO. Norma técnica: ASTM D1603 ASTM D4218 ISO 6964-19.</v>
          </cell>
          <cell r="I2320" t="str">
            <v>UN</v>
          </cell>
          <cell r="J2320">
            <v>189210</v>
          </cell>
        </row>
        <row r="2321">
          <cell r="G2321">
            <v>11520</v>
          </cell>
          <cell r="H2321" t="str">
            <v>INTEGRIDAD DE LAS COSTURAS UTILIZADAS PARA UNIR GEOMEMBRANAS FLEXIBLES DE LÁMINAS POLIMÉRICAS. Norma técnica: ISO 13426 Método B ASTM D4437.</v>
          </cell>
          <cell r="I2321" t="str">
            <v>UN</v>
          </cell>
          <cell r="J2321">
            <v>214200</v>
          </cell>
        </row>
        <row r="2322">
          <cell r="G2322">
            <v>11521</v>
          </cell>
          <cell r="H2322" t="str">
            <v>TIEMPO DE INDUCCIÓN OXIDATIVA. Norma técnica: ASTM D3895.</v>
          </cell>
          <cell r="I2322" t="str">
            <v>UN</v>
          </cell>
          <cell r="J2322">
            <v>325500</v>
          </cell>
        </row>
        <row r="2323">
          <cell r="G2323">
            <v>11522</v>
          </cell>
          <cell r="H2323" t="str">
            <v>RESISTENCIA AL AGRIETAMIENTO AFECTACIONES MEDIOAMBIENTALES. Norma técnica: ASTM D1693.</v>
          </cell>
          <cell r="I2323" t="str">
            <v>UN</v>
          </cell>
          <cell r="J2323">
            <v>214200</v>
          </cell>
        </row>
        <row r="2324">
          <cell r="G2324">
            <v>11523</v>
          </cell>
          <cell r="H2324" t="str">
            <v>ANGULO LA FRICCIÓN CONJUNTO ARENA – PARED DE CELDA. Norma técnica: ASTM D5321.</v>
          </cell>
          <cell r="I2324" t="str">
            <v>UN</v>
          </cell>
          <cell r="J2324">
            <v>333200</v>
          </cell>
        </row>
        <row r="2325">
          <cell r="G2325">
            <v>11524</v>
          </cell>
          <cell r="H2325" t="str">
            <v>RESISTENCIA A LA TENSIÓN ÚLTIMA (VMPR). Norma técnica: ASTM D6637.</v>
          </cell>
          <cell r="I2325" t="str">
            <v>UN</v>
          </cell>
          <cell r="J2325">
            <v>178500</v>
          </cell>
        </row>
        <row r="2326">
          <cell r="G2326">
            <v>11525</v>
          </cell>
          <cell r="H2326" t="str">
            <v>ELONGACIÓN A LA ROTURA. Norma técnica: ASTM D6637.</v>
          </cell>
          <cell r="I2326" t="str">
            <v>UN</v>
          </cell>
          <cell r="J2326">
            <v>151130</v>
          </cell>
        </row>
        <row r="2327">
          <cell r="G2327">
            <v>11526</v>
          </cell>
          <cell r="H2327" t="str">
            <v>PUNTO DE FUSIÓN. Norma técnica: ASTM D276.</v>
          </cell>
          <cell r="I2327" t="str">
            <v>UN</v>
          </cell>
          <cell r="J2327">
            <v>714000</v>
          </cell>
        </row>
        <row r="2328">
          <cell r="G2328">
            <v>11528</v>
          </cell>
          <cell r="H2328" t="str">
            <v>CONTENIDO DE AGUA EN UNA EMULSIÓN ASFÁLTICA. Norma técnica: INV E – 761 - 13 ASTM D244.</v>
          </cell>
          <cell r="I2328" t="str">
            <v>UN</v>
          </cell>
          <cell r="J2328">
            <v>195160</v>
          </cell>
        </row>
        <row r="2329">
          <cell r="G2329">
            <v>11529</v>
          </cell>
          <cell r="H2329" t="str">
            <v>ESTABILIDAD DE LAS EMULSIONES ASFÁLTICAS DURANTE EL ALMACENAMIENTO. Norma técnica: INV E – 764 - 13 ASTM D 6930 NLT 140.</v>
          </cell>
          <cell r="I2329" t="str">
            <v>UN</v>
          </cell>
          <cell r="J2329">
            <v>214200</v>
          </cell>
        </row>
        <row r="2330">
          <cell r="G2330">
            <v>11531</v>
          </cell>
          <cell r="H2330" t="str">
            <v>ALARGAMIENTO HASTA LA ROTURA. Norma técnica: ASTM D412 ISO 37 NTC 444.</v>
          </cell>
          <cell r="I2330" t="str">
            <v>UN</v>
          </cell>
          <cell r="J2330">
            <v>159000</v>
          </cell>
        </row>
        <row r="2331">
          <cell r="G2331">
            <v>11532</v>
          </cell>
          <cell r="H2331" t="str">
            <v>RESISTENCIA A TRACCIÓN. Norma técnica: ASTM D412 ISO 37 NTC 444.</v>
          </cell>
          <cell r="I2331" t="str">
            <v>UN</v>
          </cell>
          <cell r="J2331">
            <v>159000</v>
          </cell>
        </row>
        <row r="2332">
          <cell r="G2332">
            <v>11533</v>
          </cell>
          <cell r="H2332" t="str">
            <v>ENSAYO DE COMPRESIÓN - MÉTODO B. Norma técnica: ASTM D395 ASTM D1149 INV E 642.</v>
          </cell>
          <cell r="I2332" t="str">
            <v>UN</v>
          </cell>
          <cell r="J2332">
            <v>505516</v>
          </cell>
        </row>
        <row r="2333">
          <cell r="G2333">
            <v>11534</v>
          </cell>
          <cell r="H2333" t="str">
            <v>RESISTENCIA AL OZONO. Norma técnica: ASTM D1149 NTC 6292.</v>
          </cell>
          <cell r="I2333" t="str">
            <v>UN</v>
          </cell>
          <cell r="J2333">
            <v>1428000</v>
          </cell>
        </row>
        <row r="2334">
          <cell r="G2334">
            <v>11535</v>
          </cell>
          <cell r="H2334" t="str">
            <v>ADHERENCIA CAUCHO - ACERO. Norma técnica: ASTM D429 INV_E 642.</v>
          </cell>
          <cell r="I2334" t="str">
            <v>UN</v>
          </cell>
          <cell r="J2334">
            <v>333200</v>
          </cell>
        </row>
        <row r="2335">
          <cell r="G2335">
            <v>11536</v>
          </cell>
          <cell r="H2335" t="str">
            <v>RESISTENCIA AL DESGARRO. Norma técnica: ASTM D624 NTC 445.</v>
          </cell>
          <cell r="I2335" t="str">
            <v>UN</v>
          </cell>
          <cell r="J2335">
            <v>119500</v>
          </cell>
        </row>
        <row r="2336">
          <cell r="G2336">
            <v>11537</v>
          </cell>
          <cell r="H2336" t="str">
            <v>DUREZA (SHORE A). Norma técnica: ASTM D2240 ISO 48 NTC 467.</v>
          </cell>
          <cell r="I2336" t="str">
            <v>UN</v>
          </cell>
          <cell r="J2336">
            <v>142800</v>
          </cell>
        </row>
        <row r="2337">
          <cell r="G2337">
            <v>11538</v>
          </cell>
          <cell r="H2337" t="str">
            <v>DETERIORO DE CAUCHO EN HORNO (70 HORAS). Norma técnica: ASTM D573 ISO48/ISO188 NTC 447.</v>
          </cell>
          <cell r="I2337" t="str">
            <v>UN</v>
          </cell>
          <cell r="J2337">
            <v>505516</v>
          </cell>
        </row>
        <row r="2338">
          <cell r="G2338">
            <v>11543</v>
          </cell>
          <cell r="H2338" t="str">
            <v>MODULO DE CORTE. Norma técnica: ASTM D4014, Sección 14 CCP-14  INV E 642.</v>
          </cell>
          <cell r="I2338" t="str">
            <v>UN</v>
          </cell>
          <cell r="J2338">
            <v>380800</v>
          </cell>
        </row>
        <row r="2339">
          <cell r="G2339">
            <v>11544</v>
          </cell>
          <cell r="H2339" t="str">
            <v>RIGIDEZ TÉRMICA INSTANTÁNEA. Norma técnica: ASTM D1043 INV E 642.</v>
          </cell>
          <cell r="I2339" t="str">
            <v>UN</v>
          </cell>
          <cell r="J2339">
            <v>452200</v>
          </cell>
        </row>
        <row r="2340">
          <cell r="G2340">
            <v>11546</v>
          </cell>
          <cell r="H2340" t="str">
            <v>CONCENTRACIÓN DE SOLIDOS/VOLUMEN. Norma técnica: ASTM D2697.</v>
          </cell>
          <cell r="I2340" t="str">
            <v>UN</v>
          </cell>
          <cell r="J2340">
            <v>124300</v>
          </cell>
        </row>
        <row r="2341">
          <cell r="G2341">
            <v>11547</v>
          </cell>
          <cell r="H2341" t="str">
            <v>VOC (COMPONENTES VOLÁTILES ORGÁNICOS). Norma técnica: ASTM D2369.</v>
          </cell>
          <cell r="I2341" t="str">
            <v>UN</v>
          </cell>
          <cell r="J2341">
            <v>110500</v>
          </cell>
        </row>
        <row r="2342">
          <cell r="G2342">
            <v>11549</v>
          </cell>
          <cell r="H2342" t="str">
            <v>COMPRESIÓN DE PLÁSTICOS RÍGIDOS. Norma técnica: ASTM D695.</v>
          </cell>
          <cell r="I2342" t="str">
            <v>UN</v>
          </cell>
          <cell r="J2342">
            <v>261705</v>
          </cell>
        </row>
        <row r="2343">
          <cell r="G2343">
            <v>11550</v>
          </cell>
          <cell r="H2343" t="str">
            <v>FLEXION DE LOSETA EN PLÁSTICO RÍGIDO. Norma técnica: NTC 663. Norma técnica: NTC 663.</v>
          </cell>
          <cell r="I2343" t="str">
            <v>UN</v>
          </cell>
          <cell r="J2343">
            <v>229299</v>
          </cell>
        </row>
        <row r="2344">
          <cell r="G2344">
            <v>11551</v>
          </cell>
          <cell r="H2344" t="str">
            <v>RESISTENCIA A LA ABRASIÓN - DESGASTE DE PLÁSTICO RÍGIDO. Norma técnica: ASTM D3389. Norma técnica: ASTM D3389.</v>
          </cell>
          <cell r="I2344" t="str">
            <v>UN</v>
          </cell>
          <cell r="J2344">
            <v>452200</v>
          </cell>
        </row>
        <row r="2345">
          <cell r="G2345">
            <v>11554</v>
          </cell>
          <cell r="H2345" t="str">
            <v>PERFILES C GR 50/GR 36 GALVANIZADO</v>
          </cell>
          <cell r="I2345" t="str">
            <v>KG</v>
          </cell>
          <cell r="J2345">
            <v>8211</v>
          </cell>
        </row>
        <row r="2346">
          <cell r="G2346">
            <v>11561</v>
          </cell>
          <cell r="H2346" t="str">
            <v>CODO 45° PVC ALCANTARILLADO D=8"</v>
          </cell>
          <cell r="I2346" t="str">
            <v>UN</v>
          </cell>
          <cell r="J2346">
            <v>193841</v>
          </cell>
        </row>
        <row r="2347">
          <cell r="G2347">
            <v>11562</v>
          </cell>
          <cell r="H2347" t="str">
            <v>TAPA CIEGA INICIO / FIN PARA CANAL DE DRENAJE MONOLÍTICO EN CONCRETO POLIMÉRICO PD 150V, CLASE D400, COLOR NATURAL, H= 27cm, A= 20cm, Long= 50cm</v>
          </cell>
          <cell r="I2347" t="str">
            <v>UN</v>
          </cell>
          <cell r="J2347">
            <v>102175</v>
          </cell>
        </row>
        <row r="2348">
          <cell r="G2348">
            <v>11563</v>
          </cell>
          <cell r="H2348" t="str">
            <v>TAPA CIEGA INICIO / FIN PARA CANAL DE INSPECCIÓN DE DRENAJE MONOLÍTICO EN CONCRETO POLIMÉRICO RD 200V, CLASE F900, COLOR NATURAL, H= 53cm, A= 26cm, Long= 66cm</v>
          </cell>
          <cell r="I2348" t="str">
            <v>UN</v>
          </cell>
          <cell r="J2348">
            <v>383651</v>
          </cell>
        </row>
        <row r="2349">
          <cell r="G2349">
            <v>11564</v>
          </cell>
          <cell r="H2349" t="str">
            <v>TRANSFORMADOR SEMISUMERGIBLE 115 KVA, 11.4 / 0.208-0.120 KV DYN5 (Suministro e instalación).</v>
          </cell>
          <cell r="I2349" t="str">
            <v>UN</v>
          </cell>
          <cell r="J2349">
            <v>20652449</v>
          </cell>
        </row>
        <row r="2350">
          <cell r="G2350">
            <v>11565</v>
          </cell>
          <cell r="H2350" t="str">
            <v>TRANSFORMADOR SEMISUMERGIBLE 150 KVA 11.4 /0.208-0.120 KV DYN5.  (Suministro e instalación)</v>
          </cell>
          <cell r="I2350" t="str">
            <v>UN</v>
          </cell>
          <cell r="J2350">
            <v>22020452</v>
          </cell>
        </row>
        <row r="2351">
          <cell r="G2351">
            <v>11566</v>
          </cell>
          <cell r="H2351" t="str">
            <v>SECCIONADOR O CAJA DE MANIOBRA DE 6 VÍAS, E-S 600, D200, SERIE 15 KV.</v>
          </cell>
          <cell r="I2351" t="str">
            <v>UN</v>
          </cell>
          <cell r="J2351">
            <v>26295218</v>
          </cell>
        </row>
        <row r="2352">
          <cell r="G2352">
            <v>11567</v>
          </cell>
          <cell r="H2352" t="str">
            <v>SECCIONADOR O CAJA DE MANIOBRA DE 4 VÍAS, E-S 600, D200, SERIE 15 KV.</v>
          </cell>
          <cell r="I2352" t="str">
            <v>UN</v>
          </cell>
          <cell r="J2352">
            <v>20981202</v>
          </cell>
        </row>
        <row r="2353">
          <cell r="G2353">
            <v>11568</v>
          </cell>
          <cell r="H2353" t="str">
            <v>BARRAJE PREFORMADO BT DE 6 SALIDAS PARA AP INCLUYE FUSIBLE DE PROTECCIÓN DE CABLE 500 AMP, NORMA CODENSA SC340. JGO x1. INCLUYE SOPORTE PARA BARRAJE JGOx2.</v>
          </cell>
          <cell r="I2353" t="str">
            <v>UN</v>
          </cell>
          <cell r="J2353">
            <v>169343</v>
          </cell>
        </row>
        <row r="2354">
          <cell r="G2354">
            <v>11569</v>
          </cell>
          <cell r="H2354" t="str">
            <v>LOSETA PREFABRICADA A20 GRIS (200x200x60mm)</v>
          </cell>
          <cell r="I2354" t="str">
            <v>M2</v>
          </cell>
          <cell r="J2354">
            <v>79237</v>
          </cell>
        </row>
        <row r="2355">
          <cell r="G2355">
            <v>11572</v>
          </cell>
          <cell r="H2355" t="str">
            <v>TUBERÍA FLEXIBLE DE ALTA DENSIDAD NEGRA. TUBO Ø6" (160mm), TUBERÍA PEAD, PE100, SDR17, DN50, PE.</v>
          </cell>
          <cell r="I2355" t="str">
            <v>ML</v>
          </cell>
          <cell r="J2355">
            <v>86400</v>
          </cell>
        </row>
        <row r="2356">
          <cell r="G2356">
            <v>11573</v>
          </cell>
          <cell r="H2356" t="str">
            <v>LOSETA PODOTACTIL EN POLIPROPILENO. ANCHO 0,40m. ACABADOS SEGÚN NORMA NTC 5610. DEC. 308/2018. INCLUYE LIMPIEZA Y ALISTAMIENTO DE SUPERFICIE. INCLUYE TODOS LOS ELEMENTOS DE COLOCACION, FIJACION Y MANO</v>
          </cell>
          <cell r="I2356" t="str">
            <v>ML</v>
          </cell>
          <cell r="J2356">
            <v>165838</v>
          </cell>
        </row>
        <row r="2357">
          <cell r="G2357">
            <v>11574</v>
          </cell>
          <cell r="H2357" t="str">
            <v>RECUBRIMIENTO PROTECTOR EPÓXICO APLICABLE EN ELEMENTOS DE CONCRETO Y METAL BAJO AGUA.</v>
          </cell>
          <cell r="I2357" t="str">
            <v>KG</v>
          </cell>
          <cell r="J2357">
            <v>121193</v>
          </cell>
        </row>
        <row r="2358">
          <cell r="G2358">
            <v>11575</v>
          </cell>
          <cell r="H2358" t="str">
            <v>INHIBIDOR DE CORROSIÓN POR IMPREGNACIÓN (FORMULACIÓN MEJORADA)</v>
          </cell>
          <cell r="I2358" t="str">
            <v>KG</v>
          </cell>
          <cell r="J2358">
            <v>50300</v>
          </cell>
        </row>
        <row r="2359">
          <cell r="G2359">
            <v>11576</v>
          </cell>
          <cell r="H2359" t="str">
            <v>LIMPIADOR PARA CONCRETO-LADRILLO</v>
          </cell>
          <cell r="I2359" t="str">
            <v>GLN</v>
          </cell>
          <cell r="J2359">
            <v>133900</v>
          </cell>
        </row>
        <row r="2360">
          <cell r="G2360">
            <v>11577</v>
          </cell>
          <cell r="H2360" t="str">
            <v>ADOQUIN DE CONCRETO A26 (200x100x60mm)</v>
          </cell>
          <cell r="I2360" t="str">
            <v>UN</v>
          </cell>
          <cell r="J2360">
            <v>1247</v>
          </cell>
        </row>
        <row r="2361">
          <cell r="G2361">
            <v>11580</v>
          </cell>
          <cell r="H2361" t="str">
            <v>LOSETA PREFABRICADA A58 (200x200x60mm)</v>
          </cell>
          <cell r="I2361" t="str">
            <v>UN</v>
          </cell>
          <cell r="J2361">
            <v>3170</v>
          </cell>
        </row>
        <row r="2362">
          <cell r="G2362">
            <v>11581</v>
          </cell>
          <cell r="H2362" t="str">
            <v>LOSETA PREFABRICADA A57 (200x200x60mm)</v>
          </cell>
          <cell r="I2362" t="str">
            <v>UN</v>
          </cell>
          <cell r="J2362">
            <v>3170</v>
          </cell>
        </row>
        <row r="2363">
          <cell r="G2363">
            <v>11586</v>
          </cell>
          <cell r="H2363" t="str">
            <v>TUBERÍA FLEXIBLE DE ALTA DENSIDAD NEGRA. TUBO Ø4" (110mm), TUBERÍA PEAD, PE100, SDR17, DN50, PE.</v>
          </cell>
          <cell r="I2363" t="str">
            <v>ML</v>
          </cell>
          <cell r="J2363">
            <v>41210</v>
          </cell>
        </row>
        <row r="2364">
          <cell r="G2364">
            <v>11587</v>
          </cell>
          <cell r="H2364" t="str">
            <v>TUBERÍA FLEXIBLE DE ALTA DENSIDAD NEGRA. TUBO Ø12" (315mm), TUBERÍA PEAD, PE100, SDR17, DN50, PE.</v>
          </cell>
          <cell r="I2364" t="str">
            <v>ML</v>
          </cell>
          <cell r="J2364">
            <v>416738</v>
          </cell>
        </row>
        <row r="2365">
          <cell r="G2365">
            <v>11588</v>
          </cell>
          <cell r="H2365" t="str">
            <v>TUBERÍA FLEXIBLE DE ALTA DENSIDAD NEGRA. TUBO Ø8" (200mm), TUBERÍA PEAD, PE100, SDR17, DN50, PE.</v>
          </cell>
          <cell r="I2365" t="str">
            <v>ML</v>
          </cell>
          <cell r="J2365">
            <v>161453</v>
          </cell>
        </row>
        <row r="2366">
          <cell r="G2366">
            <v>11589</v>
          </cell>
          <cell r="H2366" t="str">
            <v>TUBERÍA FLEXIBLE DE ALTA DENSIDAD NEGRA. TUBO Ø10" (250 mm), TUBERÍA PEAD, PE100, SDR17, DN50, PE.</v>
          </cell>
          <cell r="I2366" t="str">
            <v>ML</v>
          </cell>
          <cell r="J2366">
            <v>269431</v>
          </cell>
        </row>
        <row r="2367">
          <cell r="G2367">
            <v>11590</v>
          </cell>
          <cell r="H2367" t="str">
            <v>LUMINARIA LED 103W, 48 LED. Driver electrónico 120-227 Vac. 4.000k</v>
          </cell>
          <cell r="I2367" t="str">
            <v>UN</v>
          </cell>
          <cell r="J2367">
            <v>1053521</v>
          </cell>
        </row>
        <row r="2368">
          <cell r="G2368">
            <v>11591</v>
          </cell>
          <cell r="H2368" t="str">
            <v>LUMINARIA LED 37W, 16 LED. Driver electrónico 120-277 V.</v>
          </cell>
          <cell r="I2368" t="str">
            <v>UN</v>
          </cell>
          <cell r="J2368">
            <v>476000</v>
          </cell>
        </row>
        <row r="2369">
          <cell r="G2369">
            <v>11592</v>
          </cell>
          <cell r="H2369" t="str">
            <v>LUMINARIA LED 70W, 32 LED. Driver electrónico 120-277 Vac. 4.000k</v>
          </cell>
          <cell r="I2369" t="str">
            <v>UN</v>
          </cell>
          <cell r="J2369">
            <v>714000</v>
          </cell>
        </row>
        <row r="2370">
          <cell r="G2370">
            <v>11593</v>
          </cell>
          <cell r="H2370" t="str">
            <v>TUBERÍA EN POLIETILENO DE 1" (25mm)</v>
          </cell>
          <cell r="I2370" t="str">
            <v>ML</v>
          </cell>
          <cell r="J2370">
            <v>3690</v>
          </cell>
        </row>
        <row r="2371">
          <cell r="G2371">
            <v>11595</v>
          </cell>
          <cell r="H2371" t="str">
            <v>TRANSFORMADOR SEMISUMERGIBLE 75 KVA 11.4 /0.208-0.120 KV DYN5.</v>
          </cell>
          <cell r="I2371" t="str">
            <v>UN</v>
          </cell>
          <cell r="J2371">
            <v>20248234</v>
          </cell>
        </row>
        <row r="2372">
          <cell r="G2372">
            <v>11596</v>
          </cell>
          <cell r="H2372" t="str">
            <v>TRANSFORMADOR SEMISUMERGIBLE 45 KVA 11.4 /0.208-0.120 KV DYN5.</v>
          </cell>
          <cell r="I2372" t="str">
            <v>UN</v>
          </cell>
          <cell r="J2372">
            <v>21188004</v>
          </cell>
        </row>
        <row r="2373">
          <cell r="G2373">
            <v>11597</v>
          </cell>
          <cell r="H2373" t="str">
            <v>TRANSFORMADOR SEMISUMERGIBLE 225 KVA 11.4 /0.208-0.120 KV DYN5.</v>
          </cell>
          <cell r="I2373" t="str">
            <v>UN</v>
          </cell>
          <cell r="J2373">
            <v>29737549</v>
          </cell>
        </row>
        <row r="2374">
          <cell r="G2374">
            <v>11599</v>
          </cell>
          <cell r="H2374" t="str">
            <v>CIELORASO TIPO PANEL 300 C LISO LAMINA ALUMINIO 0.70 MM O SIMILAR. INCLUYE ESTRUCTURA SOPORTE CON PORTAPANEL EN ALUZINC, PINTURA POLIESTER 1 CARA, SOPORTES, ANCLAJES Y REMATES PERIMETRALES.</v>
          </cell>
          <cell r="I2374" t="str">
            <v>M2</v>
          </cell>
          <cell r="J2374">
            <v>382829</v>
          </cell>
        </row>
        <row r="2375">
          <cell r="G2375">
            <v>11600</v>
          </cell>
          <cell r="H2375" t="str">
            <v>TAPA (REJILLA) PARA CAÑUELA A-124. Dimensiones: 600x300x100mm.</v>
          </cell>
          <cell r="I2375" t="str">
            <v>UN</v>
          </cell>
          <cell r="J2375">
            <v>41703</v>
          </cell>
        </row>
        <row r="2376">
          <cell r="G2376">
            <v>11601</v>
          </cell>
          <cell r="H2376" t="str">
            <v>HORTENSIA JUMBO - FLOR AZUL - 6 PLANTAS POR M2</v>
          </cell>
          <cell r="I2376" t="str">
            <v>M2</v>
          </cell>
          <cell r="J2376">
            <v>46500</v>
          </cell>
        </row>
        <row r="2377">
          <cell r="G2377">
            <v>11602</v>
          </cell>
          <cell r="H2377" t="str">
            <v>SEMÁFORO CUATRO MÓDULOS FIJACIÓN EN MÁSTIL. Semaforo fijo de 200 mm, Tres luces en teconologia led mueble en policarbonato de alto impacto, soportes para instalacion,alimentacion 110- 220 v</v>
          </cell>
          <cell r="I2377" t="str">
            <v>UN</v>
          </cell>
          <cell r="J2377">
            <v>5293426</v>
          </cell>
        </row>
        <row r="2378">
          <cell r="G2378">
            <v>11603</v>
          </cell>
          <cell r="H2378" t="str">
            <v>SEMÁFORO CUATRO MÓDULOS FIJACIÓN EN MÁSTIL CON FLECHA DE GIRO</v>
          </cell>
          <cell r="I2378" t="str">
            <v>UN</v>
          </cell>
          <cell r="J2378">
            <v>5093699</v>
          </cell>
        </row>
        <row r="2379">
          <cell r="G2379">
            <v>11604</v>
          </cell>
          <cell r="H2379" t="str">
            <v>CONCRETO GRAVA COMÚN 4000 PSI 28 MPa (280 Kg/cm2) CON RELACIÓN AGUA MATERIAL CEMENTANTE &lt; 0.45</v>
          </cell>
          <cell r="I2379" t="str">
            <v>M3</v>
          </cell>
          <cell r="J2379">
            <v>520030</v>
          </cell>
        </row>
        <row r="2380">
          <cell r="G2380">
            <v>11605</v>
          </cell>
          <cell r="H2380" t="str">
            <v>CONCRETO 7000 PSI 28 MPa (280 Kg/cm2) GRAVA COMÚN 5"</v>
          </cell>
          <cell r="I2380" t="str">
            <v>M3</v>
          </cell>
          <cell r="J2380">
            <v>649740</v>
          </cell>
        </row>
        <row r="2381">
          <cell r="G2381">
            <v>11606</v>
          </cell>
          <cell r="H2381" t="str">
            <v>TUBERIA METALICA CORRUGADA GALVANIZADA SEGUN NORMA ASTM A-760. DIAMETRO 108".  ESPESOR DE 2,5 mm. (INCLUYE TORNILLERIA PARA EL ARMADO DE LAS LÁMINAS ENTRE SI)</v>
          </cell>
          <cell r="I2381" t="str">
            <v>ML</v>
          </cell>
          <cell r="J2381">
            <v>2259353</v>
          </cell>
        </row>
        <row r="2382">
          <cell r="G2382">
            <v>11607</v>
          </cell>
          <cell r="H2382" t="str">
            <v>TAPÓN INFERIOR Y SUPERIOR PARA TUBERÍA INCLINÓMETRO</v>
          </cell>
          <cell r="I2382" t="str">
            <v>UN</v>
          </cell>
          <cell r="J2382">
            <v>13617</v>
          </cell>
        </row>
        <row r="2383">
          <cell r="G2383">
            <v>11608</v>
          </cell>
          <cell r="H2383" t="str">
            <v>ACOPLE PARA TUBERÍA INCLINÓMETRO</v>
          </cell>
          <cell r="I2383" t="str">
            <v>ML</v>
          </cell>
          <cell r="J2383">
            <v>22695</v>
          </cell>
        </row>
        <row r="2384">
          <cell r="G2384">
            <v>11609</v>
          </cell>
          <cell r="H2384" t="str">
            <v>PIEZOMETRO DE HILO VIBRATIL PARA PRESIÓN DE 0.30 MPA</v>
          </cell>
          <cell r="I2384" t="str">
            <v>UN</v>
          </cell>
          <cell r="J2384">
            <v>1542240</v>
          </cell>
        </row>
        <row r="2385">
          <cell r="G2385">
            <v>11610</v>
          </cell>
          <cell r="H2385" t="str">
            <v>CABLE PVC PARA PIZÓMETRO</v>
          </cell>
          <cell r="I2385" t="str">
            <v>ML</v>
          </cell>
          <cell r="J2385">
            <v>9253</v>
          </cell>
        </row>
        <row r="2386">
          <cell r="G2386">
            <v>11616</v>
          </cell>
          <cell r="H2386" t="str">
            <v>TUBERÍA PARA INCLINÓMETRO D= 70mm (Tubo de 3m)</v>
          </cell>
          <cell r="I2386" t="str">
            <v>UN</v>
          </cell>
          <cell r="J2386">
            <v>166682</v>
          </cell>
        </row>
        <row r="2387">
          <cell r="G2387">
            <v>11617</v>
          </cell>
          <cell r="H2387" t="str">
            <v>ADOQUIN DE CONCRETO A26 (200x100x60mm) AMARILLO</v>
          </cell>
          <cell r="I2387" t="str">
            <v>UN</v>
          </cell>
          <cell r="J2387">
            <v>1395</v>
          </cell>
        </row>
        <row r="2388">
          <cell r="G2388">
            <v>11618</v>
          </cell>
          <cell r="H2388" t="str">
            <v>ADOQUIN DE CONCRETO A26 (200x100x60mm) OCRE</v>
          </cell>
          <cell r="I2388" t="str">
            <v>UN</v>
          </cell>
          <cell r="J2388">
            <v>1395</v>
          </cell>
        </row>
        <row r="2389">
          <cell r="G2389">
            <v>11619</v>
          </cell>
          <cell r="H2389" t="str">
            <v>ACERO ESTRUCTURAL A709 GRADO 50. (Incluye transporte, fabricación y montaje con anticorrosivo y pintura de acabado en epóxico) (Incluye materiales, insumos, herramientas y equipos, andamios, mano de o</v>
          </cell>
          <cell r="I2389" t="str">
            <v>KG</v>
          </cell>
          <cell r="J2389">
            <v>16450</v>
          </cell>
        </row>
        <row r="2390">
          <cell r="G2390">
            <v>11620</v>
          </cell>
          <cell r="H2390" t="str">
            <v>ADOQUIN DE CONCRETO A25 (200x100x60mm) PEATONAL CHOCOLATE</v>
          </cell>
          <cell r="I2390" t="str">
            <v>UN</v>
          </cell>
          <cell r="J2390">
            <v>1395</v>
          </cell>
        </row>
        <row r="2391">
          <cell r="G2391">
            <v>11624</v>
          </cell>
          <cell r="H2391" t="str">
            <v>MUEBLE O MESA CON PUERTAS EN ACERO INOXIDABLE 1.23m x 0.60m x 0.90m</v>
          </cell>
          <cell r="I2391" t="str">
            <v>UN</v>
          </cell>
          <cell r="J2391">
            <v>3689000</v>
          </cell>
        </row>
        <row r="2392">
          <cell r="G2392">
            <v>11625</v>
          </cell>
          <cell r="H2392" t="str">
            <v>MUEBLE O MESA CON PUERTAS EN ACERO INOXIDABLE 2.65m x 0.60m x 0.90m</v>
          </cell>
          <cell r="I2392" t="str">
            <v>UN</v>
          </cell>
          <cell r="J2392">
            <v>7973000</v>
          </cell>
        </row>
        <row r="2393">
          <cell r="G2393">
            <v>11627</v>
          </cell>
          <cell r="H2393" t="str">
            <v>UNIDAD LECTORA PARA PIEZÓMETRO</v>
          </cell>
          <cell r="I2393" t="str">
            <v>UN</v>
          </cell>
          <cell r="J2393">
            <v>7491050</v>
          </cell>
        </row>
        <row r="2394">
          <cell r="G2394">
            <v>11628</v>
          </cell>
          <cell r="H2394" t="str">
            <v>MÓDULOS SONOROS (Incluye suministro e instalación)</v>
          </cell>
          <cell r="I2394" t="str">
            <v>UN</v>
          </cell>
          <cell r="J2394">
            <v>1180367</v>
          </cell>
        </row>
        <row r="2395">
          <cell r="G2395">
            <v>11629</v>
          </cell>
          <cell r="H2395" t="str">
            <v>TUBERIA EN ACERO D=36" CON UNIONES ESPIGO-CAMPANA CON EMPAQUE DE CAUCHO, CON REVESTIMIENTO INTERIOR Y RECUBRIMIENTO EXTERIOR EN MORTERO DE CEMENTO. PRESIÓN DE TRABAJO = 150 PSI</v>
          </cell>
          <cell r="I2395" t="str">
            <v>ML</v>
          </cell>
          <cell r="J2395">
            <v>3401072</v>
          </cell>
        </row>
        <row r="2396">
          <cell r="G2396">
            <v>11630</v>
          </cell>
          <cell r="H2396" t="str">
            <v>CODO EN ACERO 36" ENTRE 5° Y 22½° JUNTA ESPIGO / CAMPANA CON EMPAQUE DE CAUCHO, CON REVESTIMIENTO INTERIOR Y RECUBRIMIENTO EXTERIOR EN MORTERO DE CEMENTO. L=0,50 X 0,50M. PRESIÓN DE TRABAJO =150 PSI</v>
          </cell>
          <cell r="I2396" t="str">
            <v>UN</v>
          </cell>
          <cell r="J2396">
            <v>7510128</v>
          </cell>
        </row>
        <row r="2397">
          <cell r="G2397">
            <v>11631</v>
          </cell>
          <cell r="H2397" t="str">
            <v>CODO EN ACERO 36" ENTRE 22½° Y 45° JUNTA ESPIGO/CAMPANA CON EMPAQUE DE CAUCHO, CON REVESTIMIENTO INTERIOR Y RECUBRIMIENTO EXTERIOR EN MORTERO DE CEMENTO. L=0,80 X 0,80M. PRESIÓN DE TRABAJO =150 PSI</v>
          </cell>
          <cell r="I2397" t="str">
            <v>UN</v>
          </cell>
          <cell r="J2397">
            <v>9650338</v>
          </cell>
        </row>
        <row r="2398">
          <cell r="G2398">
            <v>11632</v>
          </cell>
          <cell r="H2398" t="str">
            <v>CODO EN ACERO 36" ENTRE 45° Y 67½°  JUNTA ESPIGO/CAMPANA CON EMPAQUE DE CAUCHO, CON REVESTIMIENTO INTERIOR Y RECUBRIMIENTO EXTERIOR EN MORTERO DE CEMENTO. L=1.20 X 1.20 M. PRESIÓN DE TRABAJO =150 PSI</v>
          </cell>
          <cell r="I2398" t="str">
            <v>UN</v>
          </cell>
          <cell r="J2398">
            <v>12252931</v>
          </cell>
        </row>
        <row r="2399">
          <cell r="G2399">
            <v>11633</v>
          </cell>
          <cell r="H2399" t="str">
            <v>CODO EN ACERO 36" ENTRE 67½° Y 90° JUNTA ESPIGO/CAMPANA CON EMPAQUE DE CAUCHO, CON REVESTIMIENTO INTERIOR Y RECUBRIMIENTO EXTERIOR EN MORTERO DE CEMENTO. L=1.65 X 1.65 M. PRESIÓN DE TRABAJO =150 PSI</v>
          </cell>
          <cell r="I2399" t="str">
            <v>UN</v>
          </cell>
          <cell r="J2399">
            <v>15086714</v>
          </cell>
        </row>
        <row r="2400">
          <cell r="G2400">
            <v>11634</v>
          </cell>
          <cell r="H2400" t="str">
            <v>REDUCCIÓN EN ACERO 36" x 24" CON EXTREMO ESPIGO Ø36" Y CAMPANA Ø24", CON REVESTIMIENTO INTERIOR Y RECUBRIMIENTO EXTERIOR EN MORTERO DE CEMENTO. L=1.45m. PRESIÓN DE TRABAJO =150 PSI</v>
          </cell>
          <cell r="I2400" t="str">
            <v>UN</v>
          </cell>
          <cell r="J2400">
            <v>6864859</v>
          </cell>
        </row>
        <row r="2401">
          <cell r="G2401">
            <v>11635</v>
          </cell>
          <cell r="H2401" t="str">
            <v>TEE EN ACERO Ø 24" x 24" CON EXTREMOS ESPIGO/CAMPANA Y BRIDA EN LA DERIVACIÓN, CON REVESTIMIENTO INTERIOR Y RECUBRIMIENTO EXTERIOR EN MORTERO CEMENTO, L=1,50x0,90m.</v>
          </cell>
          <cell r="I2401" t="str">
            <v>UN</v>
          </cell>
          <cell r="J2401">
            <v>11550975</v>
          </cell>
        </row>
        <row r="2402">
          <cell r="G2402">
            <v>11641</v>
          </cell>
          <cell r="H2402" t="str">
            <v>NIPLE EN ACERO Ø 16" EXTREMOS BRIDA/CAMPANA, CON REVESTIMIENTO INTERIOR Y EXTERIOR EN MORTERO CEMENTO. L= 1500mm. SUMINISTRO Y TRANSPORTE</v>
          </cell>
          <cell r="I2402" t="str">
            <v>UN</v>
          </cell>
          <cell r="J2402">
            <v>3382197</v>
          </cell>
        </row>
        <row r="2403">
          <cell r="G2403">
            <v>11642</v>
          </cell>
          <cell r="H2403" t="str">
            <v>NIPLE EN ACERO Ø 24" EXTREMOS ESPIGO/BRIDA,  CON REVESTIMIENTO INTERIOR Y EXTERIOR EN MORTERO CEMENTO. L= 2000mm CON SALIDA PARA VENTOSA Ø=2". SUMINISTRO Y TRANSPORTE</v>
          </cell>
          <cell r="I2403" t="str">
            <v>UN</v>
          </cell>
          <cell r="J2403">
            <v>6365060</v>
          </cell>
        </row>
        <row r="2404">
          <cell r="G2404">
            <v>11643</v>
          </cell>
          <cell r="H2404" t="str">
            <v>TUBERÍA EN ACERO Ø30" CON UNIONES ESPIGO/CAMPANA CON EMPAQUE DE CAUCHO. REVEST.INTERIOR Y RECUBR EXT. EN MORTERO CEMENTO. NORMA AWWA C200. L= 6.00m PRESIÓN TRABAJO 150 PSI. SUMINISTRO Y TRANSPORTE</v>
          </cell>
          <cell r="I2404" t="str">
            <v>ML</v>
          </cell>
          <cell r="J2404">
            <v>2181746</v>
          </cell>
        </row>
        <row r="2405">
          <cell r="G2405">
            <v>11644</v>
          </cell>
          <cell r="H2405" t="str">
            <v>CINTURÓN DE CIERRE EN ACERO Ø24" REVESTIDO CON PINTURA ANTICORROSIVA PARA EMPATES DE TUBERÍA EN WSP A CCP LINEAL. PRESIÓN TRABAJO 150 PSI.SUMINISTRO Y TRANSPORTE</v>
          </cell>
          <cell r="I2405" t="str">
            <v>UN</v>
          </cell>
          <cell r="J2405">
            <v>702449</v>
          </cell>
        </row>
        <row r="2406">
          <cell r="G2406">
            <v>11646</v>
          </cell>
          <cell r="H2406" t="str">
            <v>CODO EN ACERO D=30"  ENTRE 45° Y 67 1/2°, JUNTA ESPIGO CAMPANA CON EMPAQUE DE CAUHO, CON REVESTIMIENTO INTERIOR Y EXTERIOR EN MORTERO DE CEMENTO. L=1.00M X 1.00M. PRESIÓN DE TRABAJO 150 PSI. SUM. Y TR</v>
          </cell>
          <cell r="I2406" t="str">
            <v>UN</v>
          </cell>
          <cell r="J2406">
            <v>8741080</v>
          </cell>
        </row>
        <row r="2407">
          <cell r="G2407">
            <v>11647</v>
          </cell>
          <cell r="H2407" t="str">
            <v>REDUCCION  EN ACERO 30" x 24" CON EXTREMOS ESPIGO CAMPANA, REVEST.INTERIOR Y RECUBR EXT. EN MORTERO CEMENTO. L= 0,84m PRESIÓN TRABAJO 150 PSI. SUMINISTRO Y TRANSPORTE</v>
          </cell>
          <cell r="I2407" t="str">
            <v>UN</v>
          </cell>
          <cell r="J2407">
            <v>5561859</v>
          </cell>
        </row>
        <row r="2408">
          <cell r="G2408">
            <v>11648</v>
          </cell>
          <cell r="H2408" t="str">
            <v>SALIDA NORMAL EN ACERO F 12" CON EXTREMO BRIDADO. REVESTIMIENTOS INTERIOR Y EXTERIOR EN PINTURA EPÓXICA. L=0.15M. INSTALADA EN FÁBRICA SOBRE TUBO O ACCESORIO HASTA F 30".. SUMINISTRO Y TRANSPORTE</v>
          </cell>
          <cell r="I2408" t="str">
            <v>UN</v>
          </cell>
          <cell r="J2408">
            <v>1925474</v>
          </cell>
        </row>
        <row r="2409">
          <cell r="G2409">
            <v>11649</v>
          </cell>
          <cell r="H2409" t="str">
            <v>UNIÓN DRESSER D=30". SUMINISTRO Y TRANSPORTE</v>
          </cell>
          <cell r="I2409" t="str">
            <v>UN</v>
          </cell>
          <cell r="J2409">
            <v>4415281</v>
          </cell>
        </row>
        <row r="2410">
          <cell r="G2410">
            <v>11652</v>
          </cell>
          <cell r="H2410" t="str">
            <v>NIPLE EN ACERO Ø=30" EXTREMOS BRIDA/CAMPANA,  REVEST.INTERIOR Y RECUBR EXT. EN MORTERO CEMENTO, CON SALIDA TANGENCIAL PARA PURGA 4" L= 2500mm. SUMINISTRO Y TRANSPORTE</v>
          </cell>
          <cell r="I2410" t="str">
            <v>UN</v>
          </cell>
          <cell r="J2410">
            <v>14122570</v>
          </cell>
        </row>
        <row r="2411">
          <cell r="G2411">
            <v>11653</v>
          </cell>
          <cell r="H2411" t="str">
            <v>TEE EN ACERO Ø 30"x24" EXTREMOS ESPIGO/CAMPANA EN LA RAMA PRINCIPAL Y BRIDA EN LA DERIVACIÓN, REVEST.INTERIOR Y RECUBR EXT. EN MORTERO CEMENTO,  L= 3000mm. SUMINISTRO Y TRANSPORTE</v>
          </cell>
          <cell r="I2411" t="str">
            <v>UN</v>
          </cell>
          <cell r="J2411">
            <v>16091693</v>
          </cell>
        </row>
        <row r="2412">
          <cell r="G2412">
            <v>11655</v>
          </cell>
          <cell r="H2412" t="str">
            <v>CINTURÓN DE CIERRE EN ACERO Ø 16" REVESTIDO CON PINTURA ANTICORROSIVA. PARA EMPATES DE TUBERÍA EN WSP A CCP LINEAL. PRESIÓN DE TRABAJO 150 PSI. SUMINISTRO Y TRANSPORTE</v>
          </cell>
          <cell r="I2412" t="str">
            <v>UN</v>
          </cell>
          <cell r="J2412">
            <v>454980</v>
          </cell>
        </row>
        <row r="2413">
          <cell r="G2413">
            <v>11657</v>
          </cell>
          <cell r="H2413" t="str">
            <v>UNIÓN JUNTA DE DESMONTAJE Ø 8 (A) SUMINISTRO Y TRANSPORTE</v>
          </cell>
          <cell r="I2413" t="str">
            <v>UN</v>
          </cell>
          <cell r="J2413">
            <v>1750490</v>
          </cell>
        </row>
        <row r="2414">
          <cell r="G2414">
            <v>11659</v>
          </cell>
          <cell r="H2414" t="str">
            <v>TEE EN ACERO Ø 20" x 20" CON EXTREMOS ESPIGO/CAMPANA Y BRIDA EN LA DERIVACIÓN (ACERO). SUMINISTRO Y TRANSPORTE</v>
          </cell>
          <cell r="I2414" t="str">
            <v>UN</v>
          </cell>
          <cell r="J2414">
            <v>7019664</v>
          </cell>
        </row>
        <row r="2415">
          <cell r="G2415">
            <v>11665</v>
          </cell>
          <cell r="H2415" t="str">
            <v>UNION DRESSER D= 20" SUMINISTRO Y TRANSPORTE</v>
          </cell>
          <cell r="I2415" t="str">
            <v>UN</v>
          </cell>
          <cell r="J2415">
            <v>1254170</v>
          </cell>
        </row>
        <row r="2416">
          <cell r="G2416">
            <v>11666</v>
          </cell>
          <cell r="H2416" t="str">
            <v>VÁLVULA DE MARIPOSA Ø 20" (A) (150 PSI). SUMINISTRO Y TRANSPORTE</v>
          </cell>
          <cell r="I2416" t="str">
            <v>UN</v>
          </cell>
          <cell r="J2416">
            <v>22411666</v>
          </cell>
        </row>
        <row r="2417">
          <cell r="G2417">
            <v>11668</v>
          </cell>
          <cell r="H2417" t="str">
            <v>NIPLE EN ACERO Ø 3" CON BRIDA Y EXTREMO LISO L= 300mm, REVESTIMIENTO INTERIOR Y EXTERIOR EN PINTURA EXPOXICA. SUMINISTRO Y TRANSPORTE</v>
          </cell>
          <cell r="I2417" t="str">
            <v>UN</v>
          </cell>
          <cell r="J2417">
            <v>281911</v>
          </cell>
        </row>
        <row r="2418">
          <cell r="G2418">
            <v>11670</v>
          </cell>
          <cell r="H2418" t="str">
            <v>VÁLVULA DE COMPUERTA DE Ø 3" BRONCE T/P RED WHITE. SUMINISTRO Y TRANSPORTE</v>
          </cell>
          <cell r="I2418" t="str">
            <v>UN</v>
          </cell>
          <cell r="J2418">
            <v>1044337</v>
          </cell>
        </row>
        <row r="2419">
          <cell r="G2419">
            <v>11672</v>
          </cell>
          <cell r="H2419" t="str">
            <v>CODO EN ACERO D=20" ENTRE 45° y 67.5° JUNTA ESPIGO-CAMPANA CON EMPAQUE CAUCHO.  REVESTIMIENTO INTERIOR Y EXTERIOR EN MORTERO DE CEMENTO. L=1,00X1,00M PRESIÓN TRABAJO 150 PSI. SUMINISTRO Y TRANSPORTE</v>
          </cell>
          <cell r="I2419" t="str">
            <v>UN</v>
          </cell>
          <cell r="J2419">
            <v>5554995</v>
          </cell>
        </row>
        <row r="2420">
          <cell r="G2420">
            <v>11693</v>
          </cell>
          <cell r="H2420" t="str">
            <v>LUMINARIA  SP 80W. DRIVER ELECTRONICO 120-277VAC. 4.000K. VIDA UTIL = 100.000 HORAS. SUMINISTRO E INSTALACIÓN, NO INCLUYE CABLEADO</v>
          </cell>
          <cell r="I2420" t="str">
            <v>UN</v>
          </cell>
          <cell r="J2420">
            <v>743755</v>
          </cell>
        </row>
        <row r="2421">
          <cell r="G2421">
            <v>11699</v>
          </cell>
          <cell r="H2421" t="str">
            <v>LUMINARIA CELSA ACROLED 12W. DRIVER ELECTRONICO 120-277VAC. 4.000K. VIDA UTIL = 100.000 HORAS. SUMINISTRO E INSTALACIÓN, NO INCLUYE CABLEADO</v>
          </cell>
          <cell r="I2421" t="str">
            <v>UN</v>
          </cell>
          <cell r="J2421">
            <v>606597</v>
          </cell>
        </row>
        <row r="2422">
          <cell r="G2422">
            <v>11708</v>
          </cell>
          <cell r="H2422" t="str">
            <v>REDUCCION AC  8"x4" EXTREMO LISO</v>
          </cell>
          <cell r="I2422" t="str">
            <v>UN</v>
          </cell>
          <cell r="J2422">
            <v>262492</v>
          </cell>
        </row>
        <row r="2423">
          <cell r="G2423">
            <v>11711</v>
          </cell>
          <cell r="H2423" t="str">
            <v>TUBERIA HDPE 1.30m</v>
          </cell>
          <cell r="I2423" t="str">
            <v>ML</v>
          </cell>
          <cell r="J2423">
            <v>3559191</v>
          </cell>
        </row>
        <row r="2424">
          <cell r="G2424">
            <v>11712</v>
          </cell>
          <cell r="H2424" t="str">
            <v>TUBERIA HDPE 1.40m</v>
          </cell>
          <cell r="I2424" t="str">
            <v>ML</v>
          </cell>
          <cell r="J2424">
            <v>3885244</v>
          </cell>
        </row>
        <row r="2425">
          <cell r="G2425">
            <v>11713</v>
          </cell>
          <cell r="H2425" t="str">
            <v>TUBERIA HDPE 1.50m</v>
          </cell>
          <cell r="I2425" t="str">
            <v>ML</v>
          </cell>
          <cell r="J2425">
            <v>4391885</v>
          </cell>
        </row>
        <row r="2426">
          <cell r="G2426">
            <v>11714</v>
          </cell>
          <cell r="H2426" t="str">
            <v>GABINETE CONTRAINCENDIO T2</v>
          </cell>
          <cell r="I2426" t="str">
            <v>UN</v>
          </cell>
          <cell r="J2426">
            <v>720000</v>
          </cell>
        </row>
        <row r="2427">
          <cell r="G2427">
            <v>11715</v>
          </cell>
          <cell r="H2427" t="str">
            <v>TUBERIA HDPE 1.60m</v>
          </cell>
          <cell r="I2427" t="str">
            <v>ML</v>
          </cell>
          <cell r="J2427">
            <v>4932863</v>
          </cell>
        </row>
        <row r="2428">
          <cell r="G2428">
            <v>11716</v>
          </cell>
          <cell r="H2428" t="str">
            <v>TUBERIA HDPE 1.80m</v>
          </cell>
          <cell r="I2428" t="str">
            <v>ML</v>
          </cell>
          <cell r="J2428">
            <v>6289996</v>
          </cell>
        </row>
        <row r="2429">
          <cell r="G2429">
            <v>11717</v>
          </cell>
          <cell r="H2429" t="str">
            <v>TUBERIA HDPE 2.00m</v>
          </cell>
          <cell r="I2429" t="str">
            <v>ML</v>
          </cell>
          <cell r="J2429">
            <v>7661157</v>
          </cell>
        </row>
        <row r="2430">
          <cell r="G2430">
            <v>11718</v>
          </cell>
          <cell r="H2430" t="str">
            <v>TUBO PE100 PN16 90mm Ø3"</v>
          </cell>
          <cell r="I2430" t="str">
            <v>ML</v>
          </cell>
          <cell r="J2430">
            <v>48556</v>
          </cell>
        </row>
        <row r="2431">
          <cell r="G2431">
            <v>11719</v>
          </cell>
          <cell r="H2431" t="str">
            <v>TUBO PE100 PN16 110mm Ø4"</v>
          </cell>
          <cell r="I2431" t="str">
            <v>ML</v>
          </cell>
          <cell r="J2431">
            <v>72246</v>
          </cell>
        </row>
        <row r="2432">
          <cell r="G2432">
            <v>11720</v>
          </cell>
          <cell r="H2432" t="str">
            <v>TUBO PE100 PN10 160mm Ø6"</v>
          </cell>
          <cell r="I2432" t="str">
            <v>ML</v>
          </cell>
          <cell r="J2432">
            <v>153330</v>
          </cell>
        </row>
        <row r="2433">
          <cell r="G2433">
            <v>11721</v>
          </cell>
          <cell r="H2433" t="str">
            <v>CODO 45° PE100 PN16 110mm Ø4"</v>
          </cell>
          <cell r="I2433" t="str">
            <v>UN</v>
          </cell>
          <cell r="J2433">
            <v>157087</v>
          </cell>
        </row>
        <row r="2434">
          <cell r="G2434">
            <v>11722</v>
          </cell>
          <cell r="H2434" t="str">
            <v>CODO 45° PE100 PN16 160mm Ø6"</v>
          </cell>
          <cell r="I2434" t="str">
            <v>UN</v>
          </cell>
          <cell r="J2434">
            <v>293316</v>
          </cell>
        </row>
        <row r="2435">
          <cell r="G2435">
            <v>11723</v>
          </cell>
          <cell r="H2435" t="str">
            <v>CODO 90° PE100 PN16 160mm Ø6"</v>
          </cell>
          <cell r="I2435" t="str">
            <v>UN</v>
          </cell>
          <cell r="J2435">
            <v>406455</v>
          </cell>
        </row>
        <row r="2436">
          <cell r="G2436">
            <v>11724</v>
          </cell>
          <cell r="H2436" t="str">
            <v>CODO 45° PE100 PN16 200mm Ø8"</v>
          </cell>
          <cell r="I2436" t="str">
            <v>UN</v>
          </cell>
          <cell r="J2436">
            <v>518404</v>
          </cell>
        </row>
        <row r="2437">
          <cell r="G2437">
            <v>11727</v>
          </cell>
          <cell r="H2437" t="str">
            <v>TAPÓN PVC TIPO U.M D=12" (Suministro e Instalación)</v>
          </cell>
          <cell r="I2437" t="str">
            <v>UN</v>
          </cell>
          <cell r="J2437">
            <v>1184615</v>
          </cell>
        </row>
        <row r="2438">
          <cell r="G2438">
            <v>11728</v>
          </cell>
          <cell r="H2438" t="str">
            <v>UNIÓN PE 3"</v>
          </cell>
          <cell r="I2438" t="str">
            <v>UN</v>
          </cell>
          <cell r="J2438">
            <v>86152</v>
          </cell>
        </row>
        <row r="2439">
          <cell r="G2439">
            <v>11729</v>
          </cell>
          <cell r="H2439" t="str">
            <v>UNIÓN PE 4"</v>
          </cell>
          <cell r="I2439" t="str">
            <v>UN</v>
          </cell>
          <cell r="J2439">
            <v>103523</v>
          </cell>
        </row>
        <row r="2440">
          <cell r="G2440">
            <v>11733</v>
          </cell>
          <cell r="H2440" t="str">
            <v>GIMNASIO EXTERIOR-DOBLE SWING. SUMINISTRO E INSTALACIÓN</v>
          </cell>
          <cell r="I2440" t="str">
            <v>ML</v>
          </cell>
          <cell r="J2440">
            <v>2380000</v>
          </cell>
        </row>
        <row r="2441">
          <cell r="G2441">
            <v>11735</v>
          </cell>
          <cell r="H2441" t="str">
            <v>BRIDA LOCA POLIETILENO D= 8"</v>
          </cell>
          <cell r="I2441" t="str">
            <v>UN</v>
          </cell>
          <cell r="J2441">
            <v>213488</v>
          </cell>
        </row>
        <row r="2442">
          <cell r="G2442">
            <v>11736</v>
          </cell>
          <cell r="H2442" t="str">
            <v>PORTABRIDA POLIETILENO D= 8"</v>
          </cell>
          <cell r="I2442" t="str">
            <v>UN</v>
          </cell>
          <cell r="J2442">
            <v>200956</v>
          </cell>
        </row>
        <row r="2443">
          <cell r="G2443">
            <v>11737</v>
          </cell>
          <cell r="H2443" t="str">
            <v>UNIÓN PE 6"</v>
          </cell>
          <cell r="I2443" t="str">
            <v>UN</v>
          </cell>
          <cell r="J2443">
            <v>200473</v>
          </cell>
        </row>
        <row r="2444">
          <cell r="G2444">
            <v>11738</v>
          </cell>
          <cell r="H2444" t="str">
            <v>BRIDA LOCA POLIETILENO D= 4"</v>
          </cell>
          <cell r="I2444" t="str">
            <v>UN</v>
          </cell>
          <cell r="J2444">
            <v>89862</v>
          </cell>
        </row>
        <row r="2445">
          <cell r="G2445">
            <v>11739</v>
          </cell>
          <cell r="H2445" t="str">
            <v>PORTABRIDA POLIETILENO D= 4"</v>
          </cell>
          <cell r="I2445" t="str">
            <v>UN</v>
          </cell>
          <cell r="J2445">
            <v>62839</v>
          </cell>
        </row>
        <row r="2446">
          <cell r="G2446">
            <v>11740</v>
          </cell>
          <cell r="H2446" t="str">
            <v>TUBO METÁLICO (COLD ROLLED) CALIBRE 16 D=2 1/2" PINTURA ANTICORROSIVA Y ESMALTE POLIESTER COLOR VERDE RAL 6028</v>
          </cell>
          <cell r="I2446" t="str">
            <v>ML</v>
          </cell>
          <cell r="J2446">
            <v>68420</v>
          </cell>
        </row>
        <row r="2447">
          <cell r="G2447">
            <v>11741</v>
          </cell>
          <cell r="H2447" t="str">
            <v>MALLA METÁLICA PLASTIFICADA (0,05X0,05M) PINTURA ANTICORROSIVA Y ESMALTE POLIESTER COLOR VERDE RAL 6028</v>
          </cell>
          <cell r="I2447" t="str">
            <v>M2</v>
          </cell>
          <cell r="J2447">
            <v>40382</v>
          </cell>
        </row>
        <row r="2448">
          <cell r="G2448">
            <v>11742</v>
          </cell>
          <cell r="H2448" t="str">
            <v>GANCHO METÁLICO PARA FIJAR MALLA AL TUBO</v>
          </cell>
          <cell r="I2448" t="str">
            <v>UN</v>
          </cell>
          <cell r="J2448">
            <v>395</v>
          </cell>
        </row>
        <row r="2449">
          <cell r="G2449">
            <v>11743</v>
          </cell>
          <cell r="H2449" t="str">
            <v>NIPLE 36" ACERO CARBON EXTREMOS BRIDA/CAMPANA, CON REVESTIMIENTO INTERIOR Y RECUBRIMIENTO EXTERIOR EN MORTERO CEMENTO, CON SALIDA TANGENCIAL PARA PURGA 4" L= 2500mm. SUMINISTRO Y TRANSPORTE</v>
          </cell>
          <cell r="I2449" t="str">
            <v>UN</v>
          </cell>
          <cell r="J2449">
            <v>24000155</v>
          </cell>
        </row>
        <row r="2450">
          <cell r="G2450">
            <v>11744</v>
          </cell>
          <cell r="H2450" t="str">
            <v>TUBERIA HDPE 200mm (8")</v>
          </cell>
          <cell r="I2450" t="str">
            <v>ML</v>
          </cell>
          <cell r="J2450">
            <v>177592</v>
          </cell>
        </row>
        <row r="2451">
          <cell r="G2451">
            <v>11745</v>
          </cell>
          <cell r="H2451" t="str">
            <v>TUBERIA HDPE 250mm (10")</v>
          </cell>
          <cell r="I2451" t="str">
            <v>ML</v>
          </cell>
          <cell r="J2451">
            <v>217705</v>
          </cell>
        </row>
        <row r="2452">
          <cell r="G2452">
            <v>11746</v>
          </cell>
          <cell r="H2452" t="str">
            <v>TUBERIA HDPE 300mm (12")</v>
          </cell>
          <cell r="I2452" t="str">
            <v>ML</v>
          </cell>
          <cell r="J2452">
            <v>240894</v>
          </cell>
        </row>
        <row r="2453">
          <cell r="G2453">
            <v>11747</v>
          </cell>
          <cell r="H2453" t="str">
            <v>TUBERIA HDPE 350mm (14")</v>
          </cell>
          <cell r="I2453" t="str">
            <v>ML</v>
          </cell>
          <cell r="J2453">
            <v>264088</v>
          </cell>
        </row>
        <row r="2454">
          <cell r="G2454">
            <v>11748</v>
          </cell>
          <cell r="H2454" t="str">
            <v>TUBERIA HDPE 400mm (16")</v>
          </cell>
          <cell r="I2454" t="str">
            <v>ML</v>
          </cell>
          <cell r="J2454">
            <v>300813</v>
          </cell>
        </row>
        <row r="2455">
          <cell r="G2455">
            <v>11764</v>
          </cell>
          <cell r="H2455" t="str">
            <v>TEE PE 6"x4" (150x100mm)</v>
          </cell>
          <cell r="I2455" t="str">
            <v>UN</v>
          </cell>
          <cell r="J2455">
            <v>180810</v>
          </cell>
        </row>
        <row r="2456">
          <cell r="G2456">
            <v>11765</v>
          </cell>
          <cell r="H2456" t="str">
            <v>UNION REPARACION DESLIZANTE PVC D=1"</v>
          </cell>
          <cell r="I2456" t="str">
            <v>UN</v>
          </cell>
          <cell r="J2456">
            <v>17336</v>
          </cell>
        </row>
        <row r="2457">
          <cell r="G2457">
            <v>11766</v>
          </cell>
          <cell r="H2457" t="str">
            <v>TEE PE 8"x4" (200x100mm)</v>
          </cell>
          <cell r="I2457" t="str">
            <v>UN</v>
          </cell>
          <cell r="J2457">
            <v>534121</v>
          </cell>
        </row>
        <row r="2458">
          <cell r="G2458">
            <v>11770</v>
          </cell>
          <cell r="H2458" t="str">
            <v>BRIDA LOCA POLIETILENO D= 3"</v>
          </cell>
          <cell r="I2458" t="str">
            <v>UN</v>
          </cell>
          <cell r="J2458">
            <v>63792</v>
          </cell>
        </row>
        <row r="2459">
          <cell r="G2459">
            <v>11771</v>
          </cell>
          <cell r="H2459" t="str">
            <v>PORTABRIDA POLIETILENO D= 3"</v>
          </cell>
          <cell r="I2459" t="str">
            <v>UN</v>
          </cell>
          <cell r="J2459">
            <v>50401</v>
          </cell>
        </row>
        <row r="2460">
          <cell r="G2460">
            <v>11772</v>
          </cell>
          <cell r="H2460" t="str">
            <v>TRAGANTE CÚPULA 3" x 2" EN ALUMINIO</v>
          </cell>
          <cell r="I2460" t="str">
            <v>UN</v>
          </cell>
          <cell r="J2460">
            <v>6900</v>
          </cell>
        </row>
        <row r="2461">
          <cell r="G2461">
            <v>11774</v>
          </cell>
          <cell r="H2461" t="str">
            <v>BRIDA LOCA POLIETILENO D= 6"</v>
          </cell>
          <cell r="I2461" t="str">
            <v>UN</v>
          </cell>
          <cell r="J2461">
            <v>125635</v>
          </cell>
        </row>
        <row r="2462">
          <cell r="G2462">
            <v>11775</v>
          </cell>
          <cell r="H2462" t="str">
            <v>PORTABRIDA POLIETILENO D= 6"</v>
          </cell>
          <cell r="I2462" t="str">
            <v>UN</v>
          </cell>
          <cell r="J2462">
            <v>111545</v>
          </cell>
        </row>
        <row r="2463">
          <cell r="G2463">
            <v>11776</v>
          </cell>
          <cell r="H2463" t="str">
            <v>TEE HD EXTREMO JUNTA HIDRÁULICA 12"X12"</v>
          </cell>
          <cell r="I2463" t="str">
            <v>UN</v>
          </cell>
          <cell r="J2463">
            <v>3171519</v>
          </cell>
        </row>
        <row r="2464">
          <cell r="G2464">
            <v>11777</v>
          </cell>
          <cell r="H2464" t="str">
            <v>TAPÓN HD EXTREMO LISO D=2"</v>
          </cell>
          <cell r="I2464" t="str">
            <v>UN</v>
          </cell>
          <cell r="J2464">
            <v>57120</v>
          </cell>
        </row>
        <row r="2465">
          <cell r="G2465">
            <v>11780</v>
          </cell>
          <cell r="H2465" t="str">
            <v>TEE HD 3"</v>
          </cell>
          <cell r="I2465" t="str">
            <v>UN</v>
          </cell>
          <cell r="J2465">
            <v>249900</v>
          </cell>
        </row>
        <row r="2466">
          <cell r="G2466">
            <v>11781</v>
          </cell>
          <cell r="H2466" t="str">
            <v>CAPACETE IMC DE 6"</v>
          </cell>
          <cell r="I2466" t="str">
            <v>UN</v>
          </cell>
          <cell r="J2466">
            <v>221340</v>
          </cell>
        </row>
        <row r="2467">
          <cell r="G2467">
            <v>11783</v>
          </cell>
          <cell r="H2467" t="str">
            <v>CURVA PVC 6"</v>
          </cell>
          <cell r="I2467" t="str">
            <v>UN</v>
          </cell>
          <cell r="J2467">
            <v>123104</v>
          </cell>
        </row>
        <row r="2468">
          <cell r="G2468">
            <v>11784</v>
          </cell>
          <cell r="H2468" t="str">
            <v>TEE PVC E.L. D=1/2</v>
          </cell>
          <cell r="I2468" t="str">
            <v>UN</v>
          </cell>
          <cell r="J2468">
            <v>1040</v>
          </cell>
        </row>
        <row r="2469">
          <cell r="G2469">
            <v>11785</v>
          </cell>
          <cell r="H2469" t="str">
            <v>CINTA BANDIT 1/2"</v>
          </cell>
          <cell r="I2469" t="str">
            <v>ML</v>
          </cell>
          <cell r="J2469">
            <v>2442</v>
          </cell>
        </row>
        <row r="2470">
          <cell r="G2470">
            <v>11786</v>
          </cell>
          <cell r="H2470" t="str">
            <v>CODO 45° 1/8 CxE PVC SANITARIA D= 3"</v>
          </cell>
          <cell r="I2470" t="str">
            <v>UN</v>
          </cell>
          <cell r="J2470">
            <v>10370</v>
          </cell>
        </row>
        <row r="2471">
          <cell r="G2471">
            <v>11787</v>
          </cell>
          <cell r="H2471" t="str">
            <v>YEE PVC SANITARIA 6" x 8"</v>
          </cell>
          <cell r="I2471" t="str">
            <v>UN</v>
          </cell>
          <cell r="J2471">
            <v>284054</v>
          </cell>
        </row>
        <row r="2472">
          <cell r="G2472">
            <v>11789</v>
          </cell>
          <cell r="H2472" t="str">
            <v>TUBERIA PVC U.M. EXT CORRUGADO/INT LISO U.M. NORMA NTC 3722-1 D=60"</v>
          </cell>
          <cell r="I2472" t="str">
            <v>ML</v>
          </cell>
          <cell r="J2472">
            <v>4497322</v>
          </cell>
        </row>
        <row r="2473">
          <cell r="G2473">
            <v>11790</v>
          </cell>
          <cell r="H2473" t="str">
            <v>SOPORTE PARA TUBERÍA DIÁMETRO 3"</v>
          </cell>
          <cell r="I2473" t="str">
            <v>UN</v>
          </cell>
          <cell r="J2473">
            <v>3402</v>
          </cell>
        </row>
        <row r="2474">
          <cell r="G2474">
            <v>11794</v>
          </cell>
          <cell r="H2474" t="str">
            <v>PUNTO ECOLÓGICO COMPUESTO POR 3 CANECAS TIPO BARCELONA M-121</v>
          </cell>
          <cell r="I2474" t="str">
            <v>UN</v>
          </cell>
          <cell r="J2474">
            <v>1642200</v>
          </cell>
        </row>
        <row r="2475">
          <cell r="G2475">
            <v>11796</v>
          </cell>
          <cell r="H2475" t="str">
            <v>NIPLE EN ACERO Ø 12" CON EXTREMOS BRIDADOS, CON REVESTIMIENTO INTERIOR EN MORTERO DE CEMENTO Y RECUBRIMIENTO EXTERIOR EN PINTURA EPÓXICA. L = 2.50 m. INCLUYE UNA SALIDA TANGENCIAL EN ACERO Ø 2" CON EX</v>
          </cell>
          <cell r="I2475" t="str">
            <v>UN</v>
          </cell>
          <cell r="J2475">
            <v>4195010</v>
          </cell>
        </row>
        <row r="2476">
          <cell r="G2476">
            <v>11797</v>
          </cell>
          <cell r="H2476" t="str">
            <v>TRANSFORMADOR TIPO PEDESTAL PARA AP DE 75 KVA 11.4/0.380-0.220KV EN ACEITE VEGETAL.</v>
          </cell>
          <cell r="I2476" t="str">
            <v>UN</v>
          </cell>
          <cell r="J2476">
            <v>19384379</v>
          </cell>
        </row>
        <row r="2477">
          <cell r="G2477">
            <v>11798</v>
          </cell>
          <cell r="H2477" t="str">
            <v>CODO HD 90° EXTREMO JUNTA HIDRÁULICA D=8"</v>
          </cell>
          <cell r="I2477" t="str">
            <v>UN</v>
          </cell>
          <cell r="J2477">
            <v>571657</v>
          </cell>
        </row>
        <row r="2478">
          <cell r="G2478">
            <v>11799</v>
          </cell>
          <cell r="H2478" t="str">
            <v>TAPON HD EXTREMO JUNTA HIDRÁULICA D=8"</v>
          </cell>
          <cell r="I2478" t="str">
            <v>UN</v>
          </cell>
          <cell r="J2478">
            <v>269188</v>
          </cell>
        </row>
        <row r="2479">
          <cell r="G2479">
            <v>11800</v>
          </cell>
          <cell r="H2479" t="str">
            <v>TEE HD EXTREMO JUNTA HIDRÁULICA 8"x4"</v>
          </cell>
          <cell r="I2479" t="str">
            <v>UN</v>
          </cell>
          <cell r="J2479">
            <v>677374</v>
          </cell>
        </row>
        <row r="2480">
          <cell r="G2480">
            <v>11801</v>
          </cell>
          <cell r="H2480" t="str">
            <v>TEE HD EXTREMO JUNTA HIDRÁULICA 8"x6"</v>
          </cell>
          <cell r="I2480" t="str">
            <v>UN</v>
          </cell>
          <cell r="J2480">
            <v>708698</v>
          </cell>
        </row>
        <row r="2481">
          <cell r="G2481">
            <v>11803</v>
          </cell>
          <cell r="H2481" t="str">
            <v>VÁLVULA DE MARIPOSA D=18" EXTREMOS BRIDADOS CLASE 150 OPERACIÓN MANUAL</v>
          </cell>
          <cell r="I2481" t="str">
            <v>UN</v>
          </cell>
          <cell r="J2481">
            <v>17850000</v>
          </cell>
        </row>
        <row r="2482">
          <cell r="G2482">
            <v>11804</v>
          </cell>
          <cell r="H2482" t="str">
            <v>CODO HD 22.5° EXTREMO JUNTA HIDRÁULICA PARA PVC D= 3"</v>
          </cell>
          <cell r="I2482" t="str">
            <v>UN</v>
          </cell>
          <cell r="J2482">
            <v>164220</v>
          </cell>
        </row>
        <row r="2483">
          <cell r="G2483">
            <v>11805</v>
          </cell>
          <cell r="H2483" t="str">
            <v>CODO HD 45° EXTREMO JUNTA HIDRÁULICA PARA PVC D= 3"</v>
          </cell>
          <cell r="I2483" t="str">
            <v>UN</v>
          </cell>
          <cell r="J2483">
            <v>164220</v>
          </cell>
        </row>
        <row r="2484">
          <cell r="G2484">
            <v>11806</v>
          </cell>
          <cell r="H2484" t="str">
            <v>CODO HD 90° EXTREMO JUNTA HIDRÁULICA PARA PVC D= 3".</v>
          </cell>
          <cell r="I2484" t="str">
            <v>UN</v>
          </cell>
          <cell r="J2484">
            <v>171360</v>
          </cell>
        </row>
        <row r="2485">
          <cell r="G2485">
            <v>11807</v>
          </cell>
          <cell r="H2485" t="str">
            <v>TEE HD EXTREMO JUNTA HIDRÁULICA 6"x6"</v>
          </cell>
          <cell r="I2485" t="str">
            <v>UN</v>
          </cell>
          <cell r="J2485">
            <v>469855</v>
          </cell>
        </row>
        <row r="2486">
          <cell r="G2486">
            <v>11810</v>
          </cell>
          <cell r="H2486" t="str">
            <v>LUMINARIA LED 22.7 W, 120 V, 60 HZ (INCLUYE ACCESORIOS DE INSTALACIÓN Y FIJACIÓN, CAJA DE SALIDA, ELEMENTOS DE CONEXIÓN, DE EMPALME Y DE MONTAJE NO INCLUYE TUBERIA NI CABLEADO)</v>
          </cell>
          <cell r="I2486" t="str">
            <v>UN</v>
          </cell>
          <cell r="J2486">
            <v>252530</v>
          </cell>
        </row>
        <row r="2487">
          <cell r="G2487">
            <v>11811</v>
          </cell>
          <cell r="H2487" t="str">
            <v>LUMINARIA LED 19 W, 120 V, 60 HZ (INCLUYE ACCESORIOS DE INSTALACIÓN Y FIJACIÓN, CAJA DE SALIDA, ELEMENTOS DE CONEXIÓN, DE EMPALME Y DE MONTAJE). NO INCLUYE TUBERIA NI CABLEADO)</v>
          </cell>
          <cell r="I2487" t="str">
            <v>UN</v>
          </cell>
          <cell r="J2487">
            <v>770992</v>
          </cell>
        </row>
        <row r="2488">
          <cell r="G2488">
            <v>11812</v>
          </cell>
          <cell r="H2488" t="str">
            <v>BATERIA EXTERNA DE EMERGENCIA 120 V, 60 HZ, (PROPORCIONA ENERGÍA POR 90 MIN A LAS LUMINARIAS)</v>
          </cell>
          <cell r="I2488" t="str">
            <v>UN</v>
          </cell>
          <cell r="J2488">
            <v>518666</v>
          </cell>
        </row>
        <row r="2489">
          <cell r="G2489">
            <v>11813</v>
          </cell>
          <cell r="H2489" t="str">
            <v>BREAKER INDUSTRIAL GRADUABLE DE 40A HASTA 100A</v>
          </cell>
          <cell r="I2489" t="str">
            <v>UN</v>
          </cell>
          <cell r="J2489">
            <v>199474</v>
          </cell>
        </row>
        <row r="2490">
          <cell r="G2490">
            <v>11814</v>
          </cell>
          <cell r="H2490" t="str">
            <v>BLOQUE DE CEMENTO MACIZO 6X20X20 COLOR ARENA, CHOCOLATE O SIMILAR</v>
          </cell>
          <cell r="I2490" t="str">
            <v>UN</v>
          </cell>
          <cell r="J2490">
            <v>2792</v>
          </cell>
        </row>
        <row r="2491">
          <cell r="G2491">
            <v>11815</v>
          </cell>
          <cell r="H2491" t="str">
            <v>RECEPCIÓN DE NIDOS RESCATADOS  (MAXIMO 3 HUEVOS).</v>
          </cell>
          <cell r="I2491" t="str">
            <v>UN</v>
          </cell>
          <cell r="J2491">
            <v>48071</v>
          </cell>
        </row>
        <row r="2492">
          <cell r="G2492">
            <v>11816</v>
          </cell>
          <cell r="H2492" t="str">
            <v>GUACAL PARA TRASLADO DE FAUNA</v>
          </cell>
          <cell r="I2492" t="str">
            <v>UN</v>
          </cell>
          <cell r="J2492">
            <v>341883</v>
          </cell>
        </row>
        <row r="2493">
          <cell r="G2493">
            <v>11817</v>
          </cell>
          <cell r="H2493" t="str">
            <v>BLOQUE DE CEMENTO MACIZO 6X20X20 COLOR OCRE</v>
          </cell>
          <cell r="I2493" t="str">
            <v>UN</v>
          </cell>
          <cell r="J2493">
            <v>2792</v>
          </cell>
        </row>
        <row r="2494">
          <cell r="G2494">
            <v>11818</v>
          </cell>
          <cell r="H2494" t="str">
            <v>ELEMENTOS PARA AHUYENTAMIENTO DE AVIFAUNA</v>
          </cell>
          <cell r="I2494" t="str">
            <v>UN</v>
          </cell>
          <cell r="J2494">
            <v>1133793</v>
          </cell>
        </row>
        <row r="2495">
          <cell r="G2495">
            <v>11819</v>
          </cell>
          <cell r="H2495" t="str">
            <v>RECEPCIÓN DE AVES RESCATADAS</v>
          </cell>
          <cell r="I2495" t="str">
            <v>UN</v>
          </cell>
          <cell r="J2495">
            <v>48071</v>
          </cell>
        </row>
        <row r="2496">
          <cell r="G2496">
            <v>11820</v>
          </cell>
          <cell r="H2496" t="str">
            <v>INFORME SOBRE LAS AVES RESCATADAS</v>
          </cell>
          <cell r="I2496" t="str">
            <v>UN</v>
          </cell>
          <cell r="J2496">
            <v>122885</v>
          </cell>
        </row>
        <row r="2497">
          <cell r="G2497">
            <v>11826</v>
          </cell>
          <cell r="H2497" t="str">
            <v>CABLE MONOPOLAR DE COBRE, HF FR PARA 600 V  C.A. CALIBRE No. 12 AWG</v>
          </cell>
          <cell r="I2497" t="str">
            <v>ML</v>
          </cell>
          <cell r="J2497">
            <v>2319</v>
          </cell>
        </row>
        <row r="2498">
          <cell r="G2498">
            <v>11827</v>
          </cell>
          <cell r="H2498" t="str">
            <v>POSTE ORNAMENTAL METALICO, H=5M</v>
          </cell>
          <cell r="I2498" t="str">
            <v>UN</v>
          </cell>
          <cell r="J2498">
            <v>563141</v>
          </cell>
        </row>
        <row r="2499">
          <cell r="G2499">
            <v>11828</v>
          </cell>
          <cell r="H2499" t="str">
            <v>TAQUILLA DE PAGO TIPO 2 (Suministro e instalación)</v>
          </cell>
          <cell r="I2499" t="str">
            <v>UN</v>
          </cell>
          <cell r="J2499">
            <v>314813829</v>
          </cell>
        </row>
        <row r="2500">
          <cell r="G2500">
            <v>11830</v>
          </cell>
          <cell r="H2500" t="str">
            <v>BLOQUE DE CEMENTO MACIZO 6X20X20 COLOR MARRÓN</v>
          </cell>
          <cell r="I2500" t="str">
            <v>UN</v>
          </cell>
          <cell r="J2500">
            <v>2792</v>
          </cell>
        </row>
        <row r="2501">
          <cell r="G2501">
            <v>11831</v>
          </cell>
          <cell r="H2501" t="str">
            <v>BLOQUE DE CEMENTO MACIZO 6X20X20 COLOR GRIS NATURAL O SIMILAR</v>
          </cell>
          <cell r="I2501" t="str">
            <v>UN</v>
          </cell>
          <cell r="J2501">
            <v>2490</v>
          </cell>
        </row>
        <row r="2502">
          <cell r="G2502">
            <v>11834</v>
          </cell>
          <cell r="H2502" t="str">
            <v>AVISO PUNTO IDU 1.50m x 0.90m EN LÁMINA GALVANIZADA CAL. 24. INCLUYE SUMINISTRO E INSTALACIÓN</v>
          </cell>
          <cell r="I2502" t="str">
            <v>UN</v>
          </cell>
          <cell r="J2502">
            <v>321429</v>
          </cell>
        </row>
        <row r="2503">
          <cell r="G2503">
            <v>11835</v>
          </cell>
          <cell r="H2503" t="str">
            <v>VOLANTES TAMAÑO CARTA EN PROPALMATE 90 Gr IMPRESIÓN 4x0 TINTAS IMPRESO A UNA CARA</v>
          </cell>
          <cell r="I2503" t="str">
            <v>UN</v>
          </cell>
          <cell r="J2503">
            <v>440</v>
          </cell>
        </row>
        <row r="2504">
          <cell r="G2504">
            <v>11836</v>
          </cell>
          <cell r="H2504" t="str">
            <v>VOLANTES TAMAÑO CARTA PROPALCOTE 115 Gr IMPRESIÓN 4x4 TINTAS IMPRESO A DOBLE CARA</v>
          </cell>
          <cell r="I2504" t="str">
            <v>UN</v>
          </cell>
          <cell r="J2504">
            <v>476</v>
          </cell>
        </row>
        <row r="2505">
          <cell r="G2505">
            <v>11837</v>
          </cell>
          <cell r="H2505" t="str">
            <v>VOLANTES TAMAÑO CARTA EN PROPALCOTE 90 Gr IMPRESIÓN 4x4 TINTAS</v>
          </cell>
          <cell r="I2505" t="str">
            <v>UN</v>
          </cell>
          <cell r="J2505">
            <v>417</v>
          </cell>
        </row>
        <row r="2506">
          <cell r="G2506">
            <v>11838</v>
          </cell>
          <cell r="H2506" t="str">
            <v>VOLANTES TAMAÑO MEDIA CARTA PROPALCOTE DE 115 Gr IMPRESIÓN 4x4 TINTAS IMPRESO A DOBLE CARA</v>
          </cell>
          <cell r="I2506" t="str">
            <v>UN</v>
          </cell>
          <cell r="J2506">
            <v>233</v>
          </cell>
        </row>
        <row r="2507">
          <cell r="G2507">
            <v>11839</v>
          </cell>
          <cell r="H2507" t="str">
            <v>VOLANTES TAMAÑO MEDIA CARTA PROPALCOTE DE 90 Gr IMPRESIÓN 4x4 TINTAS IMPRESO A DOBLE CARA</v>
          </cell>
          <cell r="I2507" t="str">
            <v>UN</v>
          </cell>
          <cell r="J2507">
            <v>220</v>
          </cell>
        </row>
        <row r="2508">
          <cell r="G2508">
            <v>11840</v>
          </cell>
          <cell r="H2508" t="str">
            <v>CALENDARIOS 15 x 15 cm. 13 HOJAS. BASE SIN IMPRESIÓN. FULL COLOR PROPALCOTE DE 150 Grs. BASE CARTÓN BLANCA, ANILLADO.</v>
          </cell>
          <cell r="I2508" t="str">
            <v>UN</v>
          </cell>
          <cell r="J2508">
            <v>7221</v>
          </cell>
        </row>
        <row r="2509">
          <cell r="G2509">
            <v>11841</v>
          </cell>
          <cell r="H2509" t="str">
            <v>PIEZAS IMANTADAS 8.5 x 5.5 cm HORIZONTAL, CALIBRE DEL IMÁN 0.3 mm, PLASTIFICADO BRILLO UV. REFILADO</v>
          </cell>
          <cell r="I2509" t="str">
            <v>UN</v>
          </cell>
          <cell r="J2509">
            <v>409</v>
          </cell>
        </row>
        <row r="2510">
          <cell r="G2510">
            <v>11842</v>
          </cell>
          <cell r="H2510" t="str">
            <v>ROMPE-TRÁFICO CARTÓN CORRUGADO IMPRESO A UNA CARA EN FULL COLOR ALTA RESOLUCIÓN, FORMA RECTANGULAR TROQUELADO A SILUETA 90 x 1.80 cm</v>
          </cell>
          <cell r="I2510" t="str">
            <v>UN</v>
          </cell>
          <cell r="J2510">
            <v>452200</v>
          </cell>
        </row>
        <row r="2511">
          <cell r="G2511">
            <v>11843</v>
          </cell>
          <cell r="H2511" t="str">
            <v>CARTILLAS 10 - 15 HOJAS INTERNAS FULL COLOR TAMAÑO MEDIA CARTA</v>
          </cell>
          <cell r="I2511" t="str">
            <v>UN</v>
          </cell>
          <cell r="J2511">
            <v>2213</v>
          </cell>
        </row>
        <row r="2512">
          <cell r="G2512">
            <v>11844</v>
          </cell>
          <cell r="H2512" t="str">
            <v>PERIÓDICO PÁGINAS 8/TAMAÑO 37  28.9 cm PAPEL PERIÓDICO DE 45 Gr IMPRESIÓN A COLOR 4x4.</v>
          </cell>
          <cell r="I2512" t="str">
            <v>UN</v>
          </cell>
          <cell r="J2512">
            <v>774</v>
          </cell>
        </row>
        <row r="2513">
          <cell r="G2513">
            <v>11845</v>
          </cell>
          <cell r="H2513" t="str">
            <v>FLOOR PRINTS EN VINILO ADHESIVO RESISTENTE, IMPERMEABLES Y LAVABLES. 70 x 100 cm FULL COLOR.</v>
          </cell>
          <cell r="I2513" t="str">
            <v>UN</v>
          </cell>
          <cell r="J2513">
            <v>83300</v>
          </cell>
        </row>
        <row r="2514">
          <cell r="G2514">
            <v>11846</v>
          </cell>
          <cell r="H2514" t="str">
            <v>VINILOS ADHESIVOS DE 30 x 60 cm PARA SUPERFICIES PLANAS, CORTE REFILADO FULL COLOR BRILLANTE.</v>
          </cell>
          <cell r="I2514" t="str">
            <v>UN</v>
          </cell>
          <cell r="J2514">
            <v>41650</v>
          </cell>
        </row>
        <row r="2515">
          <cell r="G2515">
            <v>11847</v>
          </cell>
          <cell r="H2515" t="str">
            <v>TRANSFORMADOR TIPO PEDESTAL PARA AP DE 30 KVA 11.4/0.380-0.220KV EN ACEITE VEGETAL.</v>
          </cell>
          <cell r="I2515" t="str">
            <v>UN</v>
          </cell>
          <cell r="J2515">
            <v>16203823</v>
          </cell>
        </row>
        <row r="2516">
          <cell r="G2516">
            <v>11848</v>
          </cell>
          <cell r="H2516" t="str">
            <v>TRANSFORMADOR TIPO PEDESTAL PARA AP DE 45 KVA 11.4/0.380-0.220KV EN ACEITE VEGETAL.</v>
          </cell>
          <cell r="I2516" t="str">
            <v>UN</v>
          </cell>
          <cell r="J2516">
            <v>16884436</v>
          </cell>
        </row>
        <row r="2517">
          <cell r="G2517">
            <v>11849</v>
          </cell>
          <cell r="H2517" t="str">
            <v>TRANSFORMADOR TIPO PEDESTAL PARA AP DE 45 KVA 11.4/0.208-0.120KV EN ACEITE VEGETAL.</v>
          </cell>
          <cell r="I2517" t="str">
            <v>UN</v>
          </cell>
          <cell r="J2517">
            <v>5039153</v>
          </cell>
        </row>
        <row r="2518">
          <cell r="G2518">
            <v>11850</v>
          </cell>
          <cell r="H2518" t="str">
            <v>TRANSFORMADOR TIPO PEDESTAL PARA AP DE 75 KVA 11.4/0.208-0.120KV EN ACEITE VEGETAL.</v>
          </cell>
          <cell r="I2518" t="str">
            <v>UN</v>
          </cell>
          <cell r="J2518">
            <v>6943561</v>
          </cell>
        </row>
        <row r="2519">
          <cell r="G2519">
            <v>11851</v>
          </cell>
          <cell r="H2519" t="str">
            <v>TRANSFORMADOR TIPO PEDESTAL PARA AP DE 150 KVA 11.4/0.208-0.120KV EN ACEITE VEGETAL.</v>
          </cell>
          <cell r="I2519" t="str">
            <v>UN</v>
          </cell>
          <cell r="J2519">
            <v>10850541</v>
          </cell>
        </row>
        <row r="2520">
          <cell r="G2520">
            <v>11852</v>
          </cell>
          <cell r="H2520" t="str">
            <v>CABLE CONDUCTOR DE ALUMINIO REFORZADO DESNUDO, CALIBRE No. 2 AWG</v>
          </cell>
          <cell r="I2520" t="str">
            <v>ML</v>
          </cell>
          <cell r="J2520">
            <v>2000</v>
          </cell>
        </row>
        <row r="2521">
          <cell r="G2521">
            <v>11853</v>
          </cell>
          <cell r="H2521" t="str">
            <v>EMPALME DE DERIVACIÓN EN RESINA AP 839 (Empalme recto / Derivación resina)</v>
          </cell>
          <cell r="I2521" t="str">
            <v>ML</v>
          </cell>
          <cell r="J2521">
            <v>166278</v>
          </cell>
        </row>
        <row r="2522">
          <cell r="G2522">
            <v>11854</v>
          </cell>
          <cell r="H2522" t="str">
            <v>LUMINARIA LED RALED II RA02SII 16 LED 72 W</v>
          </cell>
          <cell r="I2522" t="str">
            <v>UN</v>
          </cell>
          <cell r="J2522">
            <v>1053521</v>
          </cell>
        </row>
        <row r="2523">
          <cell r="G2523">
            <v>11856</v>
          </cell>
          <cell r="H2523" t="str">
            <v>MALLA ELECTROSOLDADA S=150x150mm, Ø=8.5x8.5mm</v>
          </cell>
          <cell r="I2523" t="str">
            <v>KG</v>
          </cell>
          <cell r="J2523">
            <v>5474</v>
          </cell>
        </row>
        <row r="2524">
          <cell r="G2524">
            <v>11857</v>
          </cell>
          <cell r="H2524" t="str">
            <v>SUBESTACIÓN SUMERGIBLE NORMA CTS594 (Incl. Transporte, sumin, instal, pruebas y puesta en funcionamiento).EXCLUSIVA PARA ESPACIO PUBLICO. INCL. TRANSFORMADOR 30 KVA TRIFASICO, 11400/380-240V, 60HZ.</v>
          </cell>
          <cell r="I2524" t="str">
            <v>UN</v>
          </cell>
          <cell r="J2524">
            <v>529374376</v>
          </cell>
        </row>
        <row r="2525">
          <cell r="G2525">
            <v>11862</v>
          </cell>
          <cell r="H2525" t="str">
            <v>LUMINARIA LED RALED II 192L T2 103W</v>
          </cell>
          <cell r="I2525" t="str">
            <v>UN</v>
          </cell>
          <cell r="J2525">
            <v>1289385</v>
          </cell>
        </row>
        <row r="2526">
          <cell r="G2526">
            <v>11863</v>
          </cell>
          <cell r="H2526" t="str">
            <v>LUMINARIA LED  RALED I 64 LED . T2. 37W.</v>
          </cell>
          <cell r="I2526" t="str">
            <v>UN</v>
          </cell>
          <cell r="J2526">
            <v>927728</v>
          </cell>
        </row>
        <row r="2527">
          <cell r="G2527">
            <v>11864</v>
          </cell>
          <cell r="H2527" t="str">
            <v>CAJA METALICA PARA DERIVACION ET 925</v>
          </cell>
          <cell r="I2527" t="str">
            <v>UN</v>
          </cell>
          <cell r="J2527">
            <v>137431</v>
          </cell>
        </row>
        <row r="2528">
          <cell r="G2528">
            <v>11865</v>
          </cell>
          <cell r="H2528" t="str">
            <v>TUBERÍA DE CORAZA METÁLICA FLEXIBLE 2"</v>
          </cell>
          <cell r="I2528" t="str">
            <v>ML</v>
          </cell>
          <cell r="J2528">
            <v>19814</v>
          </cell>
        </row>
        <row r="2529">
          <cell r="G2529">
            <v>11866</v>
          </cell>
          <cell r="H2529" t="str">
            <v>TUBERÍA DE CORAZA METÁLICA FLEXIBLE 3/4"</v>
          </cell>
          <cell r="I2529" t="str">
            <v>ML</v>
          </cell>
          <cell r="J2529">
            <v>9750</v>
          </cell>
        </row>
        <row r="2530">
          <cell r="G2530">
            <v>11869</v>
          </cell>
          <cell r="H2530" t="str">
            <v>LUMINARIA LED  RALED IIRA02SII  32 LED 72W</v>
          </cell>
          <cell r="I2530" t="str">
            <v>UN</v>
          </cell>
          <cell r="J2530">
            <v>1053521</v>
          </cell>
        </row>
        <row r="2531">
          <cell r="G2531">
            <v>11870</v>
          </cell>
          <cell r="H2531" t="str">
            <v>LOSETA PREFABRICADA EN CONCRETO MACIZO LISA A20 GRIS (20x20x6cm)</v>
          </cell>
          <cell r="I2531" t="str">
            <v>UN</v>
          </cell>
          <cell r="J2531">
            <v>3166</v>
          </cell>
        </row>
        <row r="2532">
          <cell r="G2532">
            <v>11871</v>
          </cell>
          <cell r="H2532" t="str">
            <v>BORRADO SEÑALIZACIÓN VIAL TIPO FRESADO CON MÁQUINA BERTELLI O SIMILAR (M2)</v>
          </cell>
          <cell r="I2532" t="str">
            <v>M2</v>
          </cell>
          <cell r="J2532">
            <v>61880</v>
          </cell>
        </row>
        <row r="2533">
          <cell r="G2533">
            <v>11872</v>
          </cell>
          <cell r="H2533" t="str">
            <v>FLEXIÓN DE ACERO ESTRUCTURAL. Norma técnica: ASTM E290.</v>
          </cell>
          <cell r="I2533" t="str">
            <v>UN</v>
          </cell>
          <cell r="J2533">
            <v>185000</v>
          </cell>
        </row>
        <row r="2534">
          <cell r="G2534">
            <v>11873</v>
          </cell>
          <cell r="H2534" t="str">
            <v>FATIGA DE PANEL EN ALUMINIO. PROTOCOLO FATIGA CONTRATO IDU-791-2017. Norma técnica: PROTOCOLO FATIGA CONTRATO IDU-791-2017.</v>
          </cell>
          <cell r="I2534" t="str">
            <v>UN</v>
          </cell>
          <cell r="J2534">
            <v>4977488</v>
          </cell>
        </row>
        <row r="2535">
          <cell r="G2535">
            <v>11874</v>
          </cell>
          <cell r="H2535" t="str">
            <v>PUNZONAMIENTO DE PANEL EN ALUMINIO. PROTOCOLO PUNZONAMIENTO CONTRATO IDU-791-2017. Norma técnica: PROTOCOLO PUNZONAMIENTO CONTRATO IDU-791-2017.</v>
          </cell>
          <cell r="I2535" t="str">
            <v>UN</v>
          </cell>
          <cell r="J2535">
            <v>500780</v>
          </cell>
        </row>
        <row r="2536">
          <cell r="G2536">
            <v>11875</v>
          </cell>
          <cell r="H2536" t="str">
            <v>FATIGA DE PANEL EN CONCRETO PRETENSADO. Norma técnica: PROTOCOLO FATIGA CONTRATO IDU-791-2017.</v>
          </cell>
          <cell r="I2536" t="str">
            <v>UN</v>
          </cell>
          <cell r="J2536">
            <v>4977488</v>
          </cell>
        </row>
        <row r="2537">
          <cell r="G2537">
            <v>11876</v>
          </cell>
          <cell r="H2537" t="str">
            <v xml:space="preserve">FRAGILIDAD A BAJA TEMPERATURA. Norma técnica: ASTM D746 INVE 642. </v>
          </cell>
          <cell r="I2537" t="str">
            <v>UN</v>
          </cell>
          <cell r="J2537">
            <v>452200</v>
          </cell>
        </row>
        <row r="2538">
          <cell r="G2538">
            <v>11877</v>
          </cell>
          <cell r="H2538" t="str">
            <v>PORCENTAJE MINIMO DE ZINC. Norma técnica: SSPC Paint 20.</v>
          </cell>
          <cell r="I2538" t="str">
            <v>UN</v>
          </cell>
          <cell r="J2538">
            <v>142800</v>
          </cell>
        </row>
        <row r="2539">
          <cell r="G2539">
            <v>11878</v>
          </cell>
          <cell r="H2539" t="str">
            <v xml:space="preserve">PUNZONAMIENTO EN PLÁSTICO RÍGIDO. Norma técnica: ASTM D6241. </v>
          </cell>
          <cell r="I2539" t="str">
            <v>UN</v>
          </cell>
          <cell r="J2539">
            <v>452200</v>
          </cell>
        </row>
        <row r="2540">
          <cell r="G2540">
            <v>11879</v>
          </cell>
          <cell r="H2540"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I2540" t="str">
            <v>Km-Car</v>
          </cell>
          <cell r="J2540">
            <v>102209</v>
          </cell>
        </row>
        <row r="2541">
          <cell r="G2541">
            <v>11880</v>
          </cell>
          <cell r="H2541" t="str">
            <v>MÉTODOS PARA MUESTREO Y ENSAYOS DE UNIDADES DE MAMPOSTERÍA Y OTROS PRODUCTOS DE ARCILLA. COEFICIENTE DE SATURACIÓN. Norma Técnica: NTC 4017 numeral 10.4.4</v>
          </cell>
          <cell r="I2541" t="str">
            <v>UN</v>
          </cell>
          <cell r="J2541">
            <v>41888</v>
          </cell>
        </row>
        <row r="2542">
          <cell r="G2542">
            <v>11881</v>
          </cell>
          <cell r="H2542" t="str">
            <v>RESISTENCIA A LA ABRASIÓN POR CHORRO DE ARENA (SANDBLASTING). Norma Técnica: INV-425-13 ASTM C418</v>
          </cell>
          <cell r="I2542" t="str">
            <v>UN</v>
          </cell>
          <cell r="J2542">
            <v>75711</v>
          </cell>
        </row>
        <row r="2543">
          <cell r="G2543">
            <v>11882</v>
          </cell>
          <cell r="H2543" t="str">
            <v>PIEZA DE REMATE CURVA A117 PARA RAMPA TIPO C (600x400x450mm)</v>
          </cell>
          <cell r="I2543" t="str">
            <v>UN</v>
          </cell>
          <cell r="J2543">
            <v>104114</v>
          </cell>
        </row>
        <row r="2544">
          <cell r="G2544">
            <v>11883</v>
          </cell>
          <cell r="H2544" t="str">
            <v>SARDINEL ESPECIAL A116 PARA RAMPA TIPO C (600x600x350mm)</v>
          </cell>
          <cell r="I2544" t="str">
            <v>UN</v>
          </cell>
          <cell r="J2544">
            <v>121836</v>
          </cell>
        </row>
        <row r="2545">
          <cell r="G2545">
            <v>11885</v>
          </cell>
          <cell r="H2545" t="str">
            <v>PIEZA DE REMATE A115 PARA RAMPA VEHICULAR TIPO B (600x400x450mm)</v>
          </cell>
          <cell r="I2545" t="str">
            <v>UN</v>
          </cell>
          <cell r="J2545">
            <v>91481</v>
          </cell>
        </row>
        <row r="2546">
          <cell r="G2546">
            <v>11886</v>
          </cell>
          <cell r="H2546" t="str">
            <v>TEE HD EXTREMO LISO 3" x 3"</v>
          </cell>
          <cell r="I2546" t="str">
            <v>UN</v>
          </cell>
          <cell r="J2546">
            <v>191722</v>
          </cell>
        </row>
        <row r="2547">
          <cell r="G2547">
            <v>11887</v>
          </cell>
          <cell r="H2547" t="str">
            <v>KIT DE NIVELACIÓN PARA HIDRANTE DE DIÁMETRO 3", LONGITUD 300mm.</v>
          </cell>
          <cell r="I2547" t="str">
            <v>UN</v>
          </cell>
          <cell r="J2547">
            <v>320032</v>
          </cell>
        </row>
        <row r="2548">
          <cell r="G2548">
            <v>11888</v>
          </cell>
          <cell r="H2548" t="str">
            <v>SEÑAL VERTICAL PREVENTIVA SP-46B TIPO CUADRADO CON FLECHA. Lámina galvanizada Cal. 16, Ángulo de 2x14. Reflectivo diamante tipo XI, verde limón. Pintura electrostática.</v>
          </cell>
          <cell r="I2548" t="str">
            <v>UN</v>
          </cell>
          <cell r="J2548">
            <v>589050</v>
          </cell>
        </row>
        <row r="2549">
          <cell r="G2549">
            <v>11889</v>
          </cell>
          <cell r="H2549" t="str">
            <v>CANAL DE DRENAJE MONOLÍTICO EN CONCRETO POLIMÉRICO RD 100V, CLASE F900, COLOR NATURAL, H=26.5cm A=16cm, Long=100cm (Incluye rejilla).</v>
          </cell>
          <cell r="I2549" t="str">
            <v>UN</v>
          </cell>
          <cell r="J2549">
            <v>497569</v>
          </cell>
        </row>
        <row r="2550">
          <cell r="G2550">
            <v>11890</v>
          </cell>
          <cell r="H2550" t="str">
            <v>CANAL DE DRENAJE MONOLÍTICO EN CONCRETO POLIMÉRICO RD 150V, CLASE F900, COLOR NATURAL, H=28cm A=21cm, Long=100cm (Incluye rejilla).</v>
          </cell>
          <cell r="I2550" t="str">
            <v>UN</v>
          </cell>
          <cell r="J2550">
            <v>580827</v>
          </cell>
        </row>
        <row r="2551">
          <cell r="G2551">
            <v>11891</v>
          </cell>
          <cell r="H2551" t="str">
            <v>CANAL DE DRENAJE MONOLÍTICO EN CONCRETO POLIMÉRICO RD 150V, CLASE F900, COLOR NATURAL, H=38cm A=21cm, Long=100cm (Incluye rejilla).</v>
          </cell>
          <cell r="I2551" t="str">
            <v>UN</v>
          </cell>
          <cell r="J2551">
            <v>644439</v>
          </cell>
        </row>
        <row r="2552">
          <cell r="G2552">
            <v>11893</v>
          </cell>
          <cell r="H2552" t="str">
            <v>CUERDA NYLON D= 3mm</v>
          </cell>
          <cell r="I2552" t="str">
            <v>ML</v>
          </cell>
          <cell r="J2552">
            <v>559</v>
          </cell>
        </row>
        <row r="2553">
          <cell r="G2553">
            <v>11894</v>
          </cell>
          <cell r="H2553" t="str">
            <v>PERFORACIÓN HORIZONTAL PARA DUCTO DE POLIETILENO D=4", INCL. TUBERÍA (INCL. SUMINISTRO E INSTALACIÓN)</v>
          </cell>
          <cell r="I2553" t="str">
            <v>ML</v>
          </cell>
          <cell r="J2553">
            <v>287980</v>
          </cell>
        </row>
        <row r="2554">
          <cell r="G2554">
            <v>11895</v>
          </cell>
          <cell r="H2554" t="str">
            <v>VÁLVULA DE PIE ANTIGOLPE DE ARIETE - BRONCE D= 3".</v>
          </cell>
          <cell r="I2554" t="str">
            <v>UN</v>
          </cell>
          <cell r="J2554">
            <v>445250</v>
          </cell>
        </row>
        <row r="2555">
          <cell r="G2555">
            <v>11896</v>
          </cell>
          <cell r="H2555" t="str">
            <v>SOLDADURA SOLVENTE PARA CPVC (1/8 GLN)</v>
          </cell>
          <cell r="I2555" t="str">
            <v>UN</v>
          </cell>
          <cell r="J2555">
            <v>63900</v>
          </cell>
        </row>
        <row r="2556">
          <cell r="G2556">
            <v>11897</v>
          </cell>
          <cell r="H2556" t="str">
            <v>TUBERÍA CPVC DE 3/4"</v>
          </cell>
          <cell r="I2556" t="str">
            <v>ML</v>
          </cell>
          <cell r="J2556">
            <v>14130</v>
          </cell>
        </row>
        <row r="2557">
          <cell r="G2557">
            <v>11898</v>
          </cell>
          <cell r="H2557" t="str">
            <v>TUBERÍA CPVC DE 1/2"</v>
          </cell>
          <cell r="I2557" t="str">
            <v>ML</v>
          </cell>
          <cell r="J2557">
            <v>8598</v>
          </cell>
        </row>
        <row r="2558">
          <cell r="G2558">
            <v>11899</v>
          </cell>
          <cell r="H2558" t="str">
            <v>CODO 90° CPVC D=3/4"</v>
          </cell>
          <cell r="I2558" t="str">
            <v>UN</v>
          </cell>
          <cell r="J2558">
            <v>3472</v>
          </cell>
        </row>
        <row r="2559">
          <cell r="G2559">
            <v>11901</v>
          </cell>
          <cell r="H2559" t="str">
            <v>HERRAJE ANTI PÁNICO PARA PUERTA PRACTICABLE DE MADERA 2 HOJAS. Suministro e instalación.</v>
          </cell>
          <cell r="I2559" t="str">
            <v>UN</v>
          </cell>
          <cell r="J2559">
            <v>2737000</v>
          </cell>
        </row>
        <row r="2560">
          <cell r="G2560">
            <v>11902</v>
          </cell>
          <cell r="H2560" t="str">
            <v>UNIÓN UNIVERSAL PVC SOLDAR D=2"</v>
          </cell>
          <cell r="I2560" t="str">
            <v>UN</v>
          </cell>
          <cell r="J2560">
            <v>5305</v>
          </cell>
        </row>
        <row r="2561">
          <cell r="G2561">
            <v>11903</v>
          </cell>
          <cell r="H2561" t="str">
            <v>ACCESORIOS UNIÓN CPVC DE 1/2"</v>
          </cell>
          <cell r="I2561" t="str">
            <v>UN</v>
          </cell>
          <cell r="J2561">
            <v>1396</v>
          </cell>
        </row>
        <row r="2562">
          <cell r="G2562">
            <v>11904</v>
          </cell>
          <cell r="H2562" t="str">
            <v>ACCESORIOS UNIÓN CPVC DE 3/4"</v>
          </cell>
          <cell r="I2562" t="str">
            <v>UN</v>
          </cell>
          <cell r="J2562">
            <v>2059</v>
          </cell>
        </row>
        <row r="2563">
          <cell r="G2563">
            <v>11905</v>
          </cell>
          <cell r="H2563" t="str">
            <v>ACCESORIOS CODO 90° CPVC DE 1/2"</v>
          </cell>
          <cell r="I2563" t="str">
            <v>UN</v>
          </cell>
          <cell r="J2563">
            <v>1921</v>
          </cell>
        </row>
        <row r="2564">
          <cell r="G2564">
            <v>11906</v>
          </cell>
          <cell r="H2564" t="str">
            <v>ACCESORIOS TEE CPVC DE 1/2"</v>
          </cell>
          <cell r="I2564" t="str">
            <v>UN</v>
          </cell>
          <cell r="J2564">
            <v>2548</v>
          </cell>
        </row>
        <row r="2565">
          <cell r="G2565">
            <v>11907</v>
          </cell>
          <cell r="H2565" t="str">
            <v>ACCESORIOS TEE CPVC DE 3/4"</v>
          </cell>
          <cell r="I2565" t="str">
            <v>UN</v>
          </cell>
          <cell r="J2565">
            <v>4035</v>
          </cell>
        </row>
        <row r="2566">
          <cell r="G2566">
            <v>11908</v>
          </cell>
          <cell r="H2566" t="str">
            <v>ADAPTADOR HEMBRA CPVC DE 3/4"</v>
          </cell>
          <cell r="I2566" t="str">
            <v>UN</v>
          </cell>
          <cell r="J2566">
            <v>3996</v>
          </cell>
        </row>
        <row r="2567">
          <cell r="G2567">
            <v>11909</v>
          </cell>
          <cell r="H2567" t="str">
            <v>ADAPTADOR MACHO CPVC DE 3/4"</v>
          </cell>
          <cell r="I2567" t="str">
            <v>UN</v>
          </cell>
          <cell r="J2567">
            <v>2570</v>
          </cell>
        </row>
        <row r="2568">
          <cell r="G2568">
            <v>11910</v>
          </cell>
          <cell r="H2568" t="str">
            <v>CODO CALLE GALVANIZADO Ø 1/2"</v>
          </cell>
          <cell r="I2568" t="str">
            <v>UN</v>
          </cell>
          <cell r="J2568">
            <v>1303</v>
          </cell>
        </row>
        <row r="2569">
          <cell r="G2569">
            <v>11911</v>
          </cell>
          <cell r="H2569" t="str">
            <v>ADAPTADOR HEMBRA CPVC DE 1/2"</v>
          </cell>
          <cell r="I2569" t="str">
            <v>UN</v>
          </cell>
          <cell r="J2569">
            <v>3280</v>
          </cell>
        </row>
        <row r="2570">
          <cell r="G2570">
            <v>11912</v>
          </cell>
          <cell r="H2570" t="str">
            <v>NIPLE GALVANIZADO Ø 1/2" x 8 cm</v>
          </cell>
          <cell r="I2570" t="str">
            <v>UN</v>
          </cell>
          <cell r="J2570">
            <v>2199</v>
          </cell>
        </row>
        <row r="2571">
          <cell r="G2571">
            <v>11913</v>
          </cell>
          <cell r="H2571" t="str">
            <v>TAPÓN GALVANIZADO Ø 1/2"</v>
          </cell>
          <cell r="I2571" t="str">
            <v>UN</v>
          </cell>
          <cell r="J2571">
            <v>1523</v>
          </cell>
        </row>
        <row r="2572">
          <cell r="G2572">
            <v>11914</v>
          </cell>
          <cell r="H2572" t="str">
            <v>BUJE SOLDADO SANITARIA PVCS 4" x 2"</v>
          </cell>
          <cell r="I2572" t="str">
            <v>UN</v>
          </cell>
          <cell r="J2572">
            <v>8435</v>
          </cell>
        </row>
        <row r="2573">
          <cell r="G2573">
            <v>11915</v>
          </cell>
          <cell r="H2573" t="str">
            <v>BUJE SOLDADO SANITARIA PVCS 6" x 4"</v>
          </cell>
          <cell r="I2573" t="str">
            <v>UN</v>
          </cell>
          <cell r="J2573">
            <v>31731</v>
          </cell>
        </row>
        <row r="2574">
          <cell r="G2574">
            <v>11916</v>
          </cell>
          <cell r="H2574" t="str">
            <v>YEE SANITARIA PVCS REDUCIDA 6" x 4"</v>
          </cell>
          <cell r="I2574" t="str">
            <v>UN</v>
          </cell>
          <cell r="J2574">
            <v>104230</v>
          </cell>
        </row>
        <row r="2575">
          <cell r="G2575">
            <v>11917</v>
          </cell>
          <cell r="H2575" t="str">
            <v>ALFOMBRA MODULAR STRIPES MODULAR</v>
          </cell>
          <cell r="I2575" t="str">
            <v>M2</v>
          </cell>
          <cell r="J2575">
            <v>70210</v>
          </cell>
        </row>
        <row r="2576">
          <cell r="G2576">
            <v>11918</v>
          </cell>
          <cell r="H2576" t="str">
            <v>INTERRUPTORTRIPLE CONMUTABLE BLANCO</v>
          </cell>
          <cell r="I2576" t="str">
            <v>UN</v>
          </cell>
          <cell r="J2576">
            <v>9007</v>
          </cell>
        </row>
        <row r="2577">
          <cell r="G2577">
            <v>11919</v>
          </cell>
          <cell r="H2577" t="str">
            <v>PODA DE ESPECÍMENES MENORES A 5M (Incluye mano de obra)</v>
          </cell>
          <cell r="I2577" t="str">
            <v>UN</v>
          </cell>
          <cell r="J2577">
            <v>45000</v>
          </cell>
        </row>
        <row r="2578">
          <cell r="G2578">
            <v>11920</v>
          </cell>
          <cell r="H2578" t="str">
            <v>PODA RADICULAR (Incl. MdeO) Poda de raíz de especímenes de Rango 1. Incl. poda, aplicación de cicatrizante, astillado de residuos, limpieza del lugar, transporte y disposición final de residuos e info</v>
          </cell>
          <cell r="I2578" t="str">
            <v>UN</v>
          </cell>
          <cell r="J2578">
            <v>139500</v>
          </cell>
        </row>
        <row r="2579">
          <cell r="G2579">
            <v>11921</v>
          </cell>
          <cell r="H2579" t="str">
            <v>RIEGO DE ÁRBOL (Se aplica dosis de 40 litros por árbol)</v>
          </cell>
          <cell r="I2579" t="str">
            <v>UN</v>
          </cell>
          <cell r="J2579">
            <v>3000</v>
          </cell>
        </row>
        <row r="2580">
          <cell r="G2580">
            <v>11922</v>
          </cell>
          <cell r="H2580" t="str">
            <v>PODA DE ESPECÍMENES MAYORES A 5M (Incluye mano de obra)</v>
          </cell>
          <cell r="I2580" t="str">
            <v>UN</v>
          </cell>
          <cell r="J2580">
            <v>120000</v>
          </cell>
        </row>
        <row r="2581">
          <cell r="G2581">
            <v>11923</v>
          </cell>
          <cell r="H2581" t="str">
            <v>FERTILIZACIÓN EDÁFICA (Incluye mano de obra). Aplicación de 100 gramos de fertilizante por árbol.</v>
          </cell>
          <cell r="I2581" t="str">
            <v>UN</v>
          </cell>
          <cell r="J2581">
            <v>8200</v>
          </cell>
        </row>
        <row r="2582">
          <cell r="G2582">
            <v>11924</v>
          </cell>
          <cell r="H2582" t="str">
            <v>PODA RADICULAR (Incl. MdeO) Poda de raíz de especímenes de Rango . Incl. poda, aplicación de cicatrizante, astillado de residuos, limpieza del lugar, transporte y disposición final de residuos e info</v>
          </cell>
          <cell r="I2582" t="str">
            <v>UN</v>
          </cell>
          <cell r="J2582">
            <v>132000</v>
          </cell>
        </row>
        <row r="2583">
          <cell r="G2583">
            <v>11925</v>
          </cell>
          <cell r="H2583" t="str">
            <v>BORDILLO NO TRASPASABLE (Separador de Carril no rebasable) EN POLIETILENO DE ALTA DENSIDAD SIN PLOMO DE COLOR AMARILLO, SECCIONADO EN DOS UNIDADES, ALTURA MÍNIMA 15 cm, ANCHO 20 cm y LARGO 100 cm</v>
          </cell>
          <cell r="I2583" t="str">
            <v>UN</v>
          </cell>
          <cell r="J2583">
            <v>155391</v>
          </cell>
        </row>
        <row r="2584">
          <cell r="G2584">
            <v>11926</v>
          </cell>
          <cell r="H2584" t="str">
            <v>SEÑAL VERTICAL PREVENTIVA DE (60cm x 60cm) EN REFLECTIVO DE ALTA INTENSIDAD TIPO IV O SUPERIOR Y LÁMINA GALVANIZADA CAL. 16, INCLUYE PEDESTAL EN ÁNGULO</v>
          </cell>
          <cell r="I2584" t="str">
            <v>UN</v>
          </cell>
          <cell r="J2584">
            <v>430780</v>
          </cell>
        </row>
        <row r="2585">
          <cell r="G2585">
            <v>11927</v>
          </cell>
          <cell r="H2585" t="str">
            <v>SEÑAL VERTICAL PREVENTIVA DE (45cm x 45cm) EN REFLECTIVO DE ALTA INTENSIDAD TIPO IV O SUPERIOR Y LÁMINA GALVANIZADA CAL. 16, INCLUYE TUBO GALVANIZADO DE 2" DE DIÁMETRO INTERNO</v>
          </cell>
          <cell r="I2585" t="str">
            <v>UN</v>
          </cell>
          <cell r="J2585">
            <v>256265</v>
          </cell>
        </row>
        <row r="2586">
          <cell r="G2586">
            <v>11928</v>
          </cell>
          <cell r="H2586" t="str">
            <v>SEÑAL VERTICAL PREVENTIVA DE (60cm x 60cm) CON PLAQUETA (ALTO MÁXIMO DE 23cm) EN REFLECTIVO DE ALTA INTENSIDAD TIPO IV O SUPERIOR Y LÁMINA GALVANIZADA CAL. 16, INCLUYE PEDESTAL EN ÁNGULO</v>
          </cell>
          <cell r="I2586" t="str">
            <v>UN</v>
          </cell>
          <cell r="J2586">
            <v>538594</v>
          </cell>
        </row>
        <row r="2587">
          <cell r="G2587">
            <v>11929</v>
          </cell>
          <cell r="H2587" t="str">
            <v>SEÑAL VERTICAL INFORMATIVA DE (60cm x 60cm) EN REFLECTIVO DE ALTA INTENSIDAD TIPO IV O SUPERIOR Y LÁMINA GALVANIZADA CAL. 16, INCLUYE PEDESTAL EN ÁNGULO</v>
          </cell>
          <cell r="I2587" t="str">
            <v>UN</v>
          </cell>
          <cell r="J2587">
            <v>430780</v>
          </cell>
        </row>
        <row r="2588">
          <cell r="G2588">
            <v>11930</v>
          </cell>
          <cell r="H2588" t="str">
            <v>SEÑAL VERTICAL GRUPO DE REGLAMENTARIAS TIPO CIRCULO D=45cm. INCLUYE SUMINISTRO E INSTALACION.</v>
          </cell>
          <cell r="I2588" t="str">
            <v>UN</v>
          </cell>
          <cell r="J2588">
            <v>383689</v>
          </cell>
        </row>
        <row r="2589">
          <cell r="G2589">
            <v>11932</v>
          </cell>
          <cell r="H2589" t="str">
            <v>LUMINARIA YOA MAXI 72 W</v>
          </cell>
          <cell r="I2589" t="str">
            <v>UN</v>
          </cell>
          <cell r="J2589">
            <v>2478420</v>
          </cell>
        </row>
        <row r="2590">
          <cell r="G2590">
            <v>11933</v>
          </cell>
          <cell r="H2590" t="str">
            <v>SOPORTE PARA LUMINARIA YOA MAXI 72 W</v>
          </cell>
          <cell r="I2590" t="str">
            <v>UN</v>
          </cell>
          <cell r="J2590">
            <v>64842</v>
          </cell>
        </row>
        <row r="2591">
          <cell r="G2591">
            <v>11934</v>
          </cell>
          <cell r="H2591" t="str">
            <v>FOTOCELDA PARA LUMINARIA YOA MAXI 72 W</v>
          </cell>
          <cell r="I2591" t="str">
            <v>UN</v>
          </cell>
          <cell r="J2591">
            <v>17958</v>
          </cell>
        </row>
        <row r="2592">
          <cell r="G2592">
            <v>11935</v>
          </cell>
          <cell r="H2592" t="str">
            <v>POSTE EN FIBRA DE VIDRIO H=6m</v>
          </cell>
          <cell r="I2592" t="str">
            <v>UN</v>
          </cell>
          <cell r="J2592">
            <v>2122544</v>
          </cell>
        </row>
        <row r="2593">
          <cell r="G2593">
            <v>11936</v>
          </cell>
          <cell r="H2593" t="str">
            <v>TRANSFORMADOR SEMISUMERGIBLE 112,5 KVA 11,4K/208-120V</v>
          </cell>
          <cell r="I2593" t="str">
            <v>UN</v>
          </cell>
          <cell r="J2593">
            <v>21203709</v>
          </cell>
        </row>
        <row r="2594">
          <cell r="G2594">
            <v>11938</v>
          </cell>
          <cell r="H2594" t="str">
            <v>BUJE SOLDADO PRESION PVC 3"X1 1/2" (REDUCCION CONCENTRICA)</v>
          </cell>
          <cell r="I2594" t="str">
            <v>UN</v>
          </cell>
          <cell r="J2594">
            <v>14119</v>
          </cell>
        </row>
        <row r="2595">
          <cell r="G2595">
            <v>11939</v>
          </cell>
          <cell r="H2595" t="str">
            <v>BUJE SOLDADO PRESION PVC 2"X3/4"</v>
          </cell>
          <cell r="I2595" t="str">
            <v>UN</v>
          </cell>
          <cell r="J2595">
            <v>4809</v>
          </cell>
        </row>
        <row r="2596">
          <cell r="G2596">
            <v>11940</v>
          </cell>
          <cell r="H2596" t="str">
            <v>REGISTRO DE BOLA 3" PVC</v>
          </cell>
          <cell r="I2596" t="str">
            <v>UN</v>
          </cell>
          <cell r="J2596">
            <v>101261</v>
          </cell>
        </row>
        <row r="2597">
          <cell r="G2597">
            <v>11941</v>
          </cell>
          <cell r="H2597" t="str">
            <v>BUJE SOLDADO PRESION CPVC 3/4" x 1/2"</v>
          </cell>
          <cell r="I2597" t="str">
            <v>UN</v>
          </cell>
          <cell r="J2597">
            <v>1827</v>
          </cell>
        </row>
        <row r="2598">
          <cell r="G2598">
            <v>11942</v>
          </cell>
          <cell r="H2598" t="str">
            <v>TEE HD EXTREMO LISO 2"x2"</v>
          </cell>
          <cell r="I2598" t="str">
            <v>UN</v>
          </cell>
          <cell r="J2598">
            <v>140420</v>
          </cell>
        </row>
        <row r="2599">
          <cell r="G2599">
            <v>11943</v>
          </cell>
          <cell r="H2599" t="str">
            <v>REGISTRO DE BOLA 4"</v>
          </cell>
          <cell r="I2599" t="str">
            <v>UN</v>
          </cell>
          <cell r="J2599">
            <v>121900</v>
          </cell>
        </row>
        <row r="2600">
          <cell r="G2600">
            <v>11944</v>
          </cell>
          <cell r="H2600" t="str">
            <v>CODO PVC EXTREMO LISO 45ºX3/4"</v>
          </cell>
          <cell r="I2600" t="str">
            <v>UN</v>
          </cell>
          <cell r="J2600">
            <v>2069</v>
          </cell>
        </row>
        <row r="2601">
          <cell r="G2601">
            <v>11945</v>
          </cell>
          <cell r="H2601" t="str">
            <v>UNION PVC (PRESION) D=1 1/2"</v>
          </cell>
          <cell r="I2601" t="str">
            <v>UN</v>
          </cell>
          <cell r="J2601">
            <v>3238</v>
          </cell>
        </row>
        <row r="2602">
          <cell r="G2602">
            <v>11946</v>
          </cell>
          <cell r="H2602" t="str">
            <v>UNION PVC (PRESION) D=3/4"</v>
          </cell>
          <cell r="I2602" t="str">
            <v>UN</v>
          </cell>
          <cell r="J2602">
            <v>790</v>
          </cell>
        </row>
        <row r="2603">
          <cell r="G2603">
            <v>11947</v>
          </cell>
          <cell r="H2603" t="str">
            <v>BUJE SOLDADO PRESION PVC 1 1/4" x 1/2"</v>
          </cell>
          <cell r="I2603" t="str">
            <v>UN</v>
          </cell>
          <cell r="J2603">
            <v>2902</v>
          </cell>
        </row>
        <row r="2604">
          <cell r="G2604">
            <v>11948</v>
          </cell>
          <cell r="H2604" t="str">
            <v>BUJE SOLDADO PRESIÓN PVC 2" x 1 1/4"</v>
          </cell>
          <cell r="I2604" t="str">
            <v>UN</v>
          </cell>
          <cell r="J2604">
            <v>6850</v>
          </cell>
        </row>
        <row r="2605">
          <cell r="G2605">
            <v>11949</v>
          </cell>
          <cell r="H2605" t="str">
            <v>BUJE SOLDADO PRESION PVC 2" x 1"</v>
          </cell>
          <cell r="I2605" t="str">
            <v>UN</v>
          </cell>
          <cell r="J2605">
            <v>6850</v>
          </cell>
        </row>
        <row r="2606">
          <cell r="G2606">
            <v>11950</v>
          </cell>
          <cell r="H2606" t="str">
            <v>COPA REDUCIDA GALVANIZADA HD 2" x 3/4"</v>
          </cell>
          <cell r="I2606" t="str">
            <v>UN</v>
          </cell>
          <cell r="J2606">
            <v>9669</v>
          </cell>
        </row>
        <row r="2607">
          <cell r="G2607">
            <v>11951</v>
          </cell>
          <cell r="H2607" t="str">
            <v>UNIÓN BRIDA x ACOPLE UNIVERSAL 3"</v>
          </cell>
          <cell r="I2607" t="str">
            <v>UN</v>
          </cell>
          <cell r="J2607">
            <v>164220</v>
          </cell>
        </row>
        <row r="2608">
          <cell r="G2608">
            <v>11952</v>
          </cell>
          <cell r="H2608" t="str">
            <v>UNIÓN BRIDA x ACOPLE UNIVERSAL 4"</v>
          </cell>
          <cell r="I2608" t="str">
            <v>UN</v>
          </cell>
          <cell r="J2608">
            <v>179690</v>
          </cell>
        </row>
        <row r="2609">
          <cell r="G2609">
            <v>11953</v>
          </cell>
          <cell r="H2609" t="str">
            <v>JUNTA ANTIVIBRATORIA D= 4"</v>
          </cell>
          <cell r="I2609" t="str">
            <v>UN</v>
          </cell>
          <cell r="J2609">
            <v>312970</v>
          </cell>
        </row>
        <row r="2610">
          <cell r="G2610">
            <v>11954</v>
          </cell>
          <cell r="H2610" t="str">
            <v>PASAMURO ACERO INOXIDABLE D= 1 1/2" x 50cm PARA TUBO DE 1"</v>
          </cell>
          <cell r="I2610" t="str">
            <v>UN</v>
          </cell>
          <cell r="J2610">
            <v>143265</v>
          </cell>
        </row>
        <row r="2611">
          <cell r="G2611">
            <v>11955</v>
          </cell>
          <cell r="H2611" t="str">
            <v>PASAMURO ACERO INOXIDABLE D= 4" x 50cm PARA TUBO DE 3"</v>
          </cell>
          <cell r="I2611" t="str">
            <v>UN</v>
          </cell>
          <cell r="J2611">
            <v>341056</v>
          </cell>
        </row>
        <row r="2612">
          <cell r="G2612">
            <v>11956</v>
          </cell>
          <cell r="H2612" t="str">
            <v>MANÓMETRO DE PRESIÓN 0 - 200 PSI</v>
          </cell>
          <cell r="I2612" t="str">
            <v>UN</v>
          </cell>
          <cell r="J2612">
            <v>50575</v>
          </cell>
        </row>
        <row r="2613">
          <cell r="G2613">
            <v>11957</v>
          </cell>
          <cell r="H2613" t="str">
            <v>TEE REDUCIDA PVC U.M. DE 4" x 3"</v>
          </cell>
          <cell r="I2613" t="str">
            <v>UN</v>
          </cell>
          <cell r="J2613">
            <v>458132</v>
          </cell>
        </row>
        <row r="2614">
          <cell r="G2614">
            <v>11958</v>
          </cell>
          <cell r="H2614" t="str">
            <v>PASAMURO ACERO INOXIDABLE D= 2 1/2" x 50cm PARA TUBO DE 2"</v>
          </cell>
          <cell r="I2614" t="str">
            <v>UN</v>
          </cell>
          <cell r="J2614">
            <v>239488</v>
          </cell>
        </row>
        <row r="2615">
          <cell r="G2615">
            <v>11960</v>
          </cell>
          <cell r="H2615" t="str">
            <v>ADAPTADOR MACHO CPVC DE 1/2"</v>
          </cell>
          <cell r="I2615" t="str">
            <v>UN</v>
          </cell>
          <cell r="J2615">
            <v>2091</v>
          </cell>
        </row>
        <row r="2616">
          <cell r="G2616">
            <v>11961</v>
          </cell>
          <cell r="H2616" t="str">
            <v>BLOQUE No. 3</v>
          </cell>
          <cell r="I2616" t="str">
            <v>UN</v>
          </cell>
          <cell r="J2616">
            <v>950</v>
          </cell>
        </row>
        <row r="2617">
          <cell r="G2617">
            <v>11965</v>
          </cell>
          <cell r="H2617" t="str">
            <v>TRANSFORMADOR SEMISUMERGIBLE 300 KVA 11,4K/208-120V</v>
          </cell>
          <cell r="I2617" t="str">
            <v>UN</v>
          </cell>
          <cell r="J2617">
            <v>28808100</v>
          </cell>
        </row>
        <row r="2618">
          <cell r="G2618">
            <v>11966</v>
          </cell>
          <cell r="H2618" t="str">
            <v>MEZCLA ASFÁLTICA EN CALIENTE DENSA MDC19</v>
          </cell>
          <cell r="I2618" t="str">
            <v>M3</v>
          </cell>
          <cell r="J2618">
            <v>776266</v>
          </cell>
        </row>
        <row r="2619">
          <cell r="G2619">
            <v>11967</v>
          </cell>
          <cell r="H2619" t="str">
            <v>MEZCLA ASFÁLTICA EN CALIENTE DENSA MDC25</v>
          </cell>
          <cell r="I2619" t="str">
            <v>M3</v>
          </cell>
          <cell r="J2619">
            <v>758679</v>
          </cell>
        </row>
        <row r="2620">
          <cell r="G2620">
            <v>11968</v>
          </cell>
          <cell r="H2620" t="str">
            <v>BASE GRANULAR CLASE A (BGA_BG38) o (BGA_BG25)</v>
          </cell>
          <cell r="I2620" t="str">
            <v>M3</v>
          </cell>
          <cell r="J2620">
            <v>85680</v>
          </cell>
        </row>
        <row r="2621">
          <cell r="G2621">
            <v>11969</v>
          </cell>
          <cell r="H2621" t="str">
            <v>AGREGADOS RECICLADOS PARA SUBBASE GRANULAR (AR_SBG50)</v>
          </cell>
          <cell r="I2621" t="str">
            <v>M3</v>
          </cell>
          <cell r="J2621">
            <v>71400</v>
          </cell>
        </row>
        <row r="2622">
          <cell r="G2622">
            <v>11970</v>
          </cell>
          <cell r="H2622" t="str">
            <v>GEOTEXTIL TEJIDO PARA SEPARACIÓN</v>
          </cell>
          <cell r="I2622" t="str">
            <v>M2</v>
          </cell>
          <cell r="J2622">
            <v>6394</v>
          </cell>
        </row>
        <row r="2623">
          <cell r="G2623">
            <v>11972</v>
          </cell>
          <cell r="H2623" t="str">
            <v>CANAL DE DRENAJE MONOLÍTICO Y REJA EN CONCRETO POLIMÉRICO RD 150V H480 F900 (1.00 X 0.21 X 0.48) m</v>
          </cell>
          <cell r="I2623" t="str">
            <v>UN</v>
          </cell>
          <cell r="J2623">
            <v>708883</v>
          </cell>
        </row>
        <row r="2624">
          <cell r="G2624">
            <v>11973</v>
          </cell>
          <cell r="H2624" t="str">
            <v>CANAL DE DRENAJE MONOLÍTICO Y REJA EN CONCRETO POLÍMERICO PD 100V H230 D400 (1.00 X 0.15 X 0.23) m</v>
          </cell>
          <cell r="I2624" t="str">
            <v>UN</v>
          </cell>
          <cell r="J2624">
            <v>280151</v>
          </cell>
        </row>
        <row r="2625">
          <cell r="G2625">
            <v>11974</v>
          </cell>
          <cell r="H2625" t="str">
            <v>CANAL DE DRENAJE MONOLÍTICO Y REJA EN CONCRETO POLÍMERICO RD 200V H330 F900 (1.00 X 0.26 X 0.33) m</v>
          </cell>
          <cell r="I2625" t="str">
            <v>UN</v>
          </cell>
          <cell r="J2625">
            <v>796835</v>
          </cell>
        </row>
        <row r="2626">
          <cell r="G2626">
            <v>11976</v>
          </cell>
          <cell r="H2626" t="str">
            <v>EQUIPO DE ELECTROFUSIÓN DE 20 mm A 350 mm (Incluye certificado de calibración).</v>
          </cell>
          <cell r="I2626" t="str">
            <v>UN</v>
          </cell>
          <cell r="J2626">
            <v>10591000</v>
          </cell>
        </row>
        <row r="2627">
          <cell r="G2627">
            <v>11977</v>
          </cell>
          <cell r="H2627" t="str">
            <v>TAPON HD EXTREMO JUNTA HIDRÁULICA D=3"</v>
          </cell>
          <cell r="I2627" t="str">
            <v>UN</v>
          </cell>
          <cell r="J2627">
            <v>59500</v>
          </cell>
        </row>
        <row r="2628">
          <cell r="G2628">
            <v>11978</v>
          </cell>
          <cell r="H2628" t="str">
            <v>TEE HD EXTREMO JUNTA HIDRÁULICA 10"x6"</v>
          </cell>
          <cell r="I2628" t="str">
            <v>UN</v>
          </cell>
          <cell r="J2628">
            <v>1696940</v>
          </cell>
        </row>
        <row r="2629">
          <cell r="G2629">
            <v>11979</v>
          </cell>
          <cell r="H2629" t="str">
            <v>CODO HD EXTREMO JUNTA HIDRÁULICA PARA PVC 22.5ºX2"</v>
          </cell>
          <cell r="I2629" t="str">
            <v>UN</v>
          </cell>
          <cell r="J2629">
            <v>98770</v>
          </cell>
        </row>
        <row r="2630">
          <cell r="G2630">
            <v>11980</v>
          </cell>
          <cell r="H2630" t="str">
            <v>ALQUILER ENTIBADO METÁLICO TIPO CAJÓN (E1A-E1B) O DESLIZANTE (E2) SEGÚN NORMA EAAB</v>
          </cell>
          <cell r="I2630" t="str">
            <v>M2</v>
          </cell>
          <cell r="J2630">
            <v>38080</v>
          </cell>
        </row>
        <row r="2631">
          <cell r="G2631">
            <v>11981</v>
          </cell>
          <cell r="H2631" t="str">
            <v>PLANTACIÓN DE ÁRBOL CARISECO H= 1.5 m (Incl. aplicación y mezcla de sustrato, tutor, amarre y siembra. Incl. transporte y disposición final de sobrantes en sitio autorizado. Suministro y plantación).</v>
          </cell>
          <cell r="I2631" t="str">
            <v>UN</v>
          </cell>
          <cell r="J2631">
            <v>148000</v>
          </cell>
        </row>
        <row r="2632">
          <cell r="G2632">
            <v>11982</v>
          </cell>
          <cell r="H2632" t="str">
            <v>PALMA ALEJANDRA H= 1.5 m (Incluye aplicación y mezcla se sustrato, tutor, amarre y siembra. Incluye transporte y disposición final de sobrantes en sitio autorizado. Suministro y plantación)</v>
          </cell>
          <cell r="I2632" t="str">
            <v>UN</v>
          </cell>
          <cell r="J2632">
            <v>205000</v>
          </cell>
        </row>
        <row r="2633">
          <cell r="G2633">
            <v>11983</v>
          </cell>
          <cell r="H2633" t="str">
            <v>SIETECUEROS H= 1.5 m (Incluye aplicación y mezcla se sustrato, tutor, amarre y siembra. Incluye transporte y disposición final de sobrantes en sitio autorizado. Suministro y plantación)</v>
          </cell>
          <cell r="I2633" t="str">
            <v>UN</v>
          </cell>
          <cell r="J2633">
            <v>133500</v>
          </cell>
        </row>
        <row r="2634">
          <cell r="G2634">
            <v>11984</v>
          </cell>
          <cell r="H2634" t="str">
            <v>CLORURO DE CALCIO (En perlas)</v>
          </cell>
          <cell r="I2634" t="str">
            <v>KG</v>
          </cell>
          <cell r="J2634">
            <v>4446</v>
          </cell>
        </row>
        <row r="2635">
          <cell r="G2635">
            <v>11986</v>
          </cell>
          <cell r="H2635" t="str">
            <v>LOSETA PODOTACTIL EN POLIURETANO. ANCHO 0,40m. ACABADOS SEGÚN NORMA NTC 5610. DEC. 308/2018. INCLUYE LIMPIEZA Y ALISTAMIENTO DE SUPERFICIE. INCLUYE TODOS LOS ELEMENTOS DE COLOCACION, FIJACION Y MANO</v>
          </cell>
          <cell r="I2635" t="str">
            <v>ML</v>
          </cell>
          <cell r="J2635">
            <v>61895</v>
          </cell>
        </row>
        <row r="2636">
          <cell r="G2636">
            <v>11987</v>
          </cell>
          <cell r="H2636" t="str">
            <v>CUCHARO H= 1.5 m (Incluye aplicación y mezcla se sustrato, tutor, amarre y siembra. Incluye transporte y disposición final de sobrantes en sitio autorizado. Suministro y plantación).</v>
          </cell>
          <cell r="I2636" t="str">
            <v>UN</v>
          </cell>
          <cell r="J2636">
            <v>132000</v>
          </cell>
        </row>
        <row r="2637">
          <cell r="G2637">
            <v>11988</v>
          </cell>
          <cell r="H2637" t="str">
            <v>TELA PARA CERRAMIENTO 55 gr/m2, COLOR BLANCO, ANCHO = 2.10m</v>
          </cell>
          <cell r="I2637" t="str">
            <v>ML</v>
          </cell>
          <cell r="J2637">
            <v>2063</v>
          </cell>
        </row>
        <row r="2638">
          <cell r="G2638">
            <v>11989</v>
          </cell>
          <cell r="H2638" t="str">
            <v>ESPUMA DE POLIETILENO, ANCHO = 1.00 m,  ESPESOR = 5 mm</v>
          </cell>
          <cell r="I2638" t="str">
            <v>ML</v>
          </cell>
          <cell r="J2638">
            <v>4792</v>
          </cell>
        </row>
        <row r="2639">
          <cell r="G2639">
            <v>11990</v>
          </cell>
          <cell r="H2639" t="str">
            <v>HELECHO MACHO H=1.0mt  (Incluye suministro y transporte)</v>
          </cell>
          <cell r="I2639" t="str">
            <v>UN</v>
          </cell>
          <cell r="J2639">
            <v>65000</v>
          </cell>
        </row>
        <row r="2640">
          <cell r="G2640">
            <v>11991</v>
          </cell>
          <cell r="H2640" t="str">
            <v>PERFORACIÓN HORIZONTAL PARA DUCTO DE POLIETILENO D=6", INCLUYE TUBERÍA (Incluye suministro e instalación)</v>
          </cell>
          <cell r="I2640" t="str">
            <v>ML</v>
          </cell>
          <cell r="J2640">
            <v>423990</v>
          </cell>
        </row>
        <row r="2641">
          <cell r="G2641">
            <v>11992</v>
          </cell>
          <cell r="H2641" t="str">
            <v>PERFORACIÓN HORIZONTAL PARA DUCTO DE POLIETILENO D=12", INCLUYE TUBERÍA (Incluye suministro e instalación)</v>
          </cell>
          <cell r="I2641" t="str">
            <v>ML</v>
          </cell>
          <cell r="J2641">
            <v>847980</v>
          </cell>
        </row>
        <row r="2642">
          <cell r="G2642">
            <v>11993</v>
          </cell>
          <cell r="H2642" t="str">
            <v xml:space="preserve">ADAPTADOR TERMINAL CAMPANA PVC D=2" </v>
          </cell>
          <cell r="I2642" t="str">
            <v>UN</v>
          </cell>
          <cell r="J2642">
            <v>5416</v>
          </cell>
        </row>
        <row r="2643">
          <cell r="G2643">
            <v>11994</v>
          </cell>
          <cell r="H2643" t="str">
            <v>TEE 6"x6" PE100, PN 16 ELECTROFUSIÓN</v>
          </cell>
          <cell r="I2643" t="str">
            <v>UN</v>
          </cell>
          <cell r="J2643">
            <v>918775</v>
          </cell>
        </row>
        <row r="2644">
          <cell r="G2644">
            <v>11995</v>
          </cell>
          <cell r="H2644" t="str">
            <v>REDUCCIÓN CONCÉNTRICA PE100 PN16 6"X4"</v>
          </cell>
          <cell r="I2644" t="str">
            <v>UN</v>
          </cell>
          <cell r="J2644">
            <v>181831</v>
          </cell>
        </row>
        <row r="2645">
          <cell r="G2645">
            <v>11996</v>
          </cell>
          <cell r="H2645" t="str">
            <v>TAPON HD EXTREMO JUNTA HIDRÁULICA D=12"</v>
          </cell>
          <cell r="I2645" t="str">
            <v>UN</v>
          </cell>
          <cell r="J2645">
            <v>1163556</v>
          </cell>
        </row>
        <row r="2646">
          <cell r="G2646">
            <v>11997</v>
          </cell>
          <cell r="H2646" t="str">
            <v>BASE GRANULAR CLASE B (BGB_BG38) o (BGB_BG25)</v>
          </cell>
          <cell r="I2646" t="str">
            <v>M3</v>
          </cell>
          <cell r="J2646">
            <v>85680</v>
          </cell>
        </row>
        <row r="2647">
          <cell r="G2647">
            <v>11998</v>
          </cell>
          <cell r="H2647" t="str">
            <v>BARRERA DE SEGURIDAD - SEPARADOR CICLORUTA TIPO A-165 SIN ANCLAJE (0.53m x 0.60m x 1.50m) COLOR GRIS RESISTENCIA CONCRETO 28 Mpa</v>
          </cell>
          <cell r="I2647" t="str">
            <v>UN</v>
          </cell>
          <cell r="J2647">
            <v>77707</v>
          </cell>
        </row>
        <row r="2648">
          <cell r="G2648">
            <v>12002</v>
          </cell>
          <cell r="H2648" t="str">
            <v>ALCOHOL ANTISÉPTICO (ALCOHOL AL 70%). (Según Apéndice Bioseguridad Covid 19)_ Exento de IVA de forma temporal</v>
          </cell>
          <cell r="I2648" t="str">
            <v>GLN</v>
          </cell>
          <cell r="J2648">
            <v>20200</v>
          </cell>
        </row>
        <row r="2649">
          <cell r="G2649">
            <v>12003</v>
          </cell>
          <cell r="H2649" t="str">
            <v>TOALLAS DE PAPEL PARA MANOS. TIPO Z.  DOBLE HOJA. (PAQUETE 150 HOJAS)_(Según Apéndice Bioseguridad Covid 19)</v>
          </cell>
          <cell r="I2649" t="str">
            <v>UN</v>
          </cell>
          <cell r="J2649">
            <v>5300</v>
          </cell>
        </row>
        <row r="2650">
          <cell r="G2650">
            <v>12004</v>
          </cell>
          <cell r="H2650" t="str">
            <v>DISPENSADOR PLÁSTICO DE TOALLAS TIPO Z_(Según Apéndice Bioseguridad Covid 19)</v>
          </cell>
          <cell r="I2650" t="str">
            <v>UN</v>
          </cell>
          <cell r="J2650">
            <v>43650</v>
          </cell>
        </row>
        <row r="2651">
          <cell r="G2651">
            <v>12005</v>
          </cell>
          <cell r="H2651" t="str">
            <v>MESA PLÁSTICA DE 0.72m x 0.72m x 0.72m._(Según Apéndice Bioseguridad Covid 19)</v>
          </cell>
          <cell r="I2651" t="str">
            <v>UN</v>
          </cell>
          <cell r="J2651">
            <v>82950</v>
          </cell>
        </row>
        <row r="2652">
          <cell r="G2652">
            <v>12006</v>
          </cell>
          <cell r="H2652" t="str">
            <v>TERMOMETRO INFRARROJO PARA USO EN HUMANOS, LIBRE DE CONTACTO, IMPERMEABLE. (Según Apéndice Bioseguridad Covid 19)_ Exento de IVA de forma temporal</v>
          </cell>
          <cell r="I2652" t="str">
            <v>UN</v>
          </cell>
          <cell r="J2652">
            <v>110000</v>
          </cell>
        </row>
        <row r="2653">
          <cell r="G2653">
            <v>12010</v>
          </cell>
          <cell r="H2653" t="str">
            <v>JABÓN LIQUIDO PARA MANOS. (Según Apéndice Bioseguridad Covid 19)_ Exento de IVA de forma temporal</v>
          </cell>
          <cell r="I2653" t="str">
            <v>GLN</v>
          </cell>
          <cell r="J2653">
            <v>20500</v>
          </cell>
        </row>
        <row r="2654">
          <cell r="G2654">
            <v>12011</v>
          </cell>
          <cell r="H2654" t="str">
            <v>LAVAMANOS PORTÁTIL EN ACERO INOXIDABLE CON DOS TANQUES PARA AGUA LIMPIA Y RESIDUAL DE 20 LT C/U_ (Según Apéndice Bioseguridad Covid 19)</v>
          </cell>
          <cell r="I2654" t="str">
            <v>UN</v>
          </cell>
          <cell r="J2654">
            <v>1050000</v>
          </cell>
        </row>
        <row r="2655">
          <cell r="G2655">
            <v>12015</v>
          </cell>
          <cell r="H2655" t="str">
            <v>GEL ANTIBACTERIAL Antiséptico para manos sin enjuague, a base de glicerina, alcohol antiséptico al 70%, contenido máx. de agua 30%.(Según Apéndice Bioseguridad Covid 19)_ Exento IVA de forma temporal</v>
          </cell>
          <cell r="I2655" t="str">
            <v>LT</v>
          </cell>
          <cell r="J2655">
            <v>9368</v>
          </cell>
        </row>
        <row r="2656">
          <cell r="G2656">
            <v>12017</v>
          </cell>
          <cell r="H2656" t="str">
            <v>FUMIGADORA DE ESPALDA. ASPERSOR BOMBA MANUAL 20 LITROS. DESINFECCIÓN_ (Según Apéndice Bioseguridad Covid 19)</v>
          </cell>
          <cell r="I2656" t="str">
            <v>UN</v>
          </cell>
          <cell r="J2656">
            <v>149900</v>
          </cell>
        </row>
        <row r="2657">
          <cell r="G2657">
            <v>12019</v>
          </cell>
          <cell r="H2657" t="str">
            <v>BIG BAG TELA POLIPROPILENO R220 GM/2 Rollo de 100m-100cm x 100cm x 160cm Solapa/Fondo Ciego. Reata 25/30 blancos</v>
          </cell>
          <cell r="I2657" t="str">
            <v>UN</v>
          </cell>
          <cell r="J2657">
            <v>59417</v>
          </cell>
        </row>
        <row r="2658">
          <cell r="G2658">
            <v>12020</v>
          </cell>
          <cell r="H2658" t="str">
            <v>CARGUE, TRANSPORTE Y DISPOSICIÓN FINAL DE MADERA.</v>
          </cell>
          <cell r="I2658" t="str">
            <v>M3</v>
          </cell>
          <cell r="J2658">
            <v>23800</v>
          </cell>
        </row>
        <row r="2659">
          <cell r="G2659">
            <v>12021</v>
          </cell>
          <cell r="H2659" t="str">
            <v>CARGUE, TRANSPORTE Y DISPOSICIÓN FINAL DE RESIDUOS TIPO AGLOMERADO Y GUADUA.</v>
          </cell>
          <cell r="I2659" t="str">
            <v>KG</v>
          </cell>
          <cell r="J2659">
            <v>833</v>
          </cell>
        </row>
        <row r="2660">
          <cell r="G2660">
            <v>12022</v>
          </cell>
          <cell r="H2660" t="str">
            <v>OVEROL TYVEK BLANCO</v>
          </cell>
          <cell r="I2660" t="str">
            <v>UN</v>
          </cell>
          <cell r="J2660">
            <v>23205</v>
          </cell>
        </row>
        <row r="2661">
          <cell r="G2661">
            <v>12023</v>
          </cell>
          <cell r="H2661" t="str">
            <v>RESPIRADOR ELASTOMÉRICO MEDIA CARA</v>
          </cell>
          <cell r="I2661" t="str">
            <v>UN</v>
          </cell>
          <cell r="J2661">
            <v>43900</v>
          </cell>
        </row>
        <row r="2662">
          <cell r="G2662">
            <v>12024</v>
          </cell>
          <cell r="H2662" t="str">
            <v>FILTRO P-100 PARTÍCULAS S/ACEITE HUMOS METÁLICOS VAPORES</v>
          </cell>
          <cell r="I2662" t="str">
            <v>PAR</v>
          </cell>
          <cell r="J2662">
            <v>38000</v>
          </cell>
        </row>
        <row r="2663">
          <cell r="G2663">
            <v>12025</v>
          </cell>
          <cell r="H2663" t="str">
            <v>MONOGAFAS CON VENTILACIÓN DIRECTA</v>
          </cell>
          <cell r="I2663" t="str">
            <v>PAR</v>
          </cell>
          <cell r="J2663">
            <v>9300</v>
          </cell>
        </row>
        <row r="2664">
          <cell r="G2664">
            <v>12026</v>
          </cell>
          <cell r="H2664" t="str">
            <v>GORRO DESECHABLE COFIA BLANCO</v>
          </cell>
          <cell r="I2664" t="str">
            <v>UN</v>
          </cell>
          <cell r="J2664">
            <v>250</v>
          </cell>
        </row>
        <row r="2665">
          <cell r="G2665">
            <v>12027</v>
          </cell>
          <cell r="H2665" t="str">
            <v>VYNIPEL DE 50cm x 50cm CALIBRE 6</v>
          </cell>
          <cell r="I2665" t="str">
            <v>ROLLO</v>
          </cell>
          <cell r="J2665">
            <v>22000</v>
          </cell>
        </row>
        <row r="2666">
          <cell r="G2666">
            <v>12028</v>
          </cell>
          <cell r="H2666" t="str">
            <v>DISPOSICIÓN FINAL DE RESIDUOS PELIGROSOS(MATERIALES CON CARACTERÍSTICAS DE PELIGROSIDAD TÓXICA, CORROSIVO, INFLAMABLES, EXPLOSIVOS Y/O ESPECIALES (RESIDUOS APROVECHABLES MEZCLADOS, COLCHONES, SOFÁS, F</v>
          </cell>
          <cell r="I2666" t="str">
            <v>KG</v>
          </cell>
          <cell r="J2666">
            <v>1678</v>
          </cell>
        </row>
        <row r="2667">
          <cell r="G2667">
            <v>12029</v>
          </cell>
          <cell r="H2667" t="str">
            <v>PETO PVC</v>
          </cell>
          <cell r="I2667" t="str">
            <v>UN</v>
          </cell>
          <cell r="J2667">
            <v>14000</v>
          </cell>
        </row>
        <row r="2668">
          <cell r="G2668">
            <v>12030</v>
          </cell>
          <cell r="H2668" t="str">
            <v>CANECA PLÁSTICA CON TAPA 60 LTS</v>
          </cell>
          <cell r="I2668" t="str">
            <v>UN</v>
          </cell>
          <cell r="J2668">
            <v>76900</v>
          </cell>
        </row>
        <row r="2669">
          <cell r="G2669">
            <v>12031</v>
          </cell>
          <cell r="H2669" t="str">
            <v>TAPABOCAS N95 SIN FILTRO. (Según Apéndice Bioseguridad Covid 19)_ Exento de IVA de forma temporal</v>
          </cell>
          <cell r="I2669" t="str">
            <v>UN</v>
          </cell>
          <cell r="J2669">
            <v>2800</v>
          </cell>
        </row>
        <row r="2670">
          <cell r="G2670">
            <v>12038</v>
          </cell>
          <cell r="H2670" t="str">
            <v>SERVICIO ESPECIAL DE RECOLECCIÓN A PARTIR DE CAJAS DE AMPLIROLL - APYO CON MAQUINARIA. - RECOLECCIÓN POR M3 AFORO No. 1 (Incluye pajarita)</v>
          </cell>
          <cell r="I2670" t="str">
            <v>KG</v>
          </cell>
          <cell r="J2670">
            <v>45774</v>
          </cell>
        </row>
        <row r="2671">
          <cell r="G2671">
            <v>12039</v>
          </cell>
          <cell r="H2671" t="str">
            <v>TAPABOCAS DESECHABLE. (Según Apéndice Bioseguridad Covid 19)_ Exento de IVA de forma temporal</v>
          </cell>
          <cell r="I2671" t="str">
            <v>UN</v>
          </cell>
          <cell r="J2671">
            <v>300</v>
          </cell>
        </row>
        <row r="2672">
          <cell r="G2672">
            <v>12040</v>
          </cell>
          <cell r="H2672" t="str">
            <v>HIPOCLORITO - (Según Apéndice Bioseguridad Covid 19)_ Exento de IVA de forma temporal</v>
          </cell>
          <cell r="I2672" t="str">
            <v>LT</v>
          </cell>
          <cell r="J2672">
            <v>2263</v>
          </cell>
        </row>
        <row r="2673">
          <cell r="G2673">
            <v>12043</v>
          </cell>
          <cell r="H2673" t="str">
            <v>TEE PE100 PN16 12"X6"</v>
          </cell>
          <cell r="I2673" t="str">
            <v>UN</v>
          </cell>
          <cell r="J2673">
            <v>2167648</v>
          </cell>
        </row>
        <row r="2674">
          <cell r="G2674">
            <v>12045</v>
          </cell>
          <cell r="H2674" t="str">
            <v>ANGEO PLÁSTICO</v>
          </cell>
          <cell r="I2674" t="str">
            <v>M2</v>
          </cell>
          <cell r="J2674">
            <v>1348</v>
          </cell>
        </row>
        <row r="2675">
          <cell r="G2675">
            <v>12046</v>
          </cell>
          <cell r="H2675" t="str">
            <v>TRAGANTE CÚPULA CONCÉNTRICA DE 8"x 6" EN ALUMINIO</v>
          </cell>
          <cell r="I2675" t="str">
            <v>UN</v>
          </cell>
          <cell r="J2675">
            <v>99900</v>
          </cell>
        </row>
        <row r="2676">
          <cell r="G2676">
            <v>12048</v>
          </cell>
          <cell r="H2676" t="str">
            <v>ABONO ORGÁNICO COMPOST (No incluye transporte)</v>
          </cell>
          <cell r="I2676" t="str">
            <v>KG</v>
          </cell>
          <cell r="J2676">
            <v>13500</v>
          </cell>
        </row>
        <row r="2677">
          <cell r="G2677">
            <v>12049</v>
          </cell>
          <cell r="H2677" t="str">
            <v>PIEDRA POMEZ (No incluye transporte)</v>
          </cell>
          <cell r="I2677" t="str">
            <v>KG</v>
          </cell>
          <cell r="J2677">
            <v>7500</v>
          </cell>
        </row>
        <row r="2678">
          <cell r="G2678">
            <v>12050</v>
          </cell>
          <cell r="H2678" t="str">
            <v>REJA TIPO PASARELA FUNDICIÓN CLASE DE CARGA C250, Long=500 mm, H=22 mm, Ancho=323 mm</v>
          </cell>
          <cell r="I2678" t="str">
            <v>UN</v>
          </cell>
          <cell r="J2678">
            <v>422911</v>
          </cell>
        </row>
        <row r="2679">
          <cell r="G2679">
            <v>12051</v>
          </cell>
          <cell r="H2679" t="str">
            <v>TUBERÍA PVC SANITARIA D=10"</v>
          </cell>
          <cell r="I2679" t="str">
            <v>ML</v>
          </cell>
          <cell r="J2679">
            <v>187300</v>
          </cell>
        </row>
        <row r="2680">
          <cell r="G2680">
            <v>12052</v>
          </cell>
          <cell r="H2680" t="str">
            <v>TEE PVC SANITARIA D=6"</v>
          </cell>
          <cell r="I2680" t="str">
            <v>UN</v>
          </cell>
          <cell r="J2680">
            <v>195272</v>
          </cell>
        </row>
        <row r="2681">
          <cell r="G2681">
            <v>12053</v>
          </cell>
          <cell r="H2681" t="str">
            <v>CODO 22.5° CXC PVC SANITARIA D=6"</v>
          </cell>
          <cell r="I2681" t="str">
            <v>UN</v>
          </cell>
          <cell r="J2681">
            <v>170295</v>
          </cell>
        </row>
        <row r="2682">
          <cell r="G2682">
            <v>12058</v>
          </cell>
          <cell r="H2682" t="str">
            <v>LÍQUIDO INHIBIDOR PASIVADOR DE CORROSIÓN DEL CONCRETO REFORZADO</v>
          </cell>
          <cell r="I2682" t="str">
            <v>KG</v>
          </cell>
          <cell r="J2682">
            <v>5700</v>
          </cell>
        </row>
        <row r="2683">
          <cell r="G2683">
            <v>12059</v>
          </cell>
          <cell r="H2683" t="str">
            <v>VÁLVULA CHEQUE DE 2" CLASE 300.</v>
          </cell>
          <cell r="I2683" t="str">
            <v>UN</v>
          </cell>
          <cell r="J2683">
            <v>353944</v>
          </cell>
        </row>
        <row r="2684">
          <cell r="G2684">
            <v>12090</v>
          </cell>
          <cell r="H2684" t="str">
            <v>RECUBRIMIENTO EPÓXICO DE ALTA RESISTENCIA QUÍMICA INSENSIBLE A LA HUMEDAD</v>
          </cell>
          <cell r="I2684" t="str">
            <v>KG</v>
          </cell>
          <cell r="J2684">
            <v>133499</v>
          </cell>
        </row>
        <row r="2685">
          <cell r="G2685">
            <v>12091</v>
          </cell>
          <cell r="H2685" t="str">
            <v>SEPARADORES (ESPACIADOR) DE DUCTERÍA PARA 2 TUBOS DE Ø2" UNA Y DOBLE CARA</v>
          </cell>
          <cell r="I2685" t="str">
            <v>UN</v>
          </cell>
          <cell r="J2685">
            <v>8925</v>
          </cell>
        </row>
        <row r="2686">
          <cell r="G2686">
            <v>12092</v>
          </cell>
          <cell r="H2686" t="str">
            <v>SEPARADORES (ESPACIADOR) DE DUCTERÍA PARA 4 TUBOS DE Ø2" UNA Y DOBLE CARA</v>
          </cell>
          <cell r="I2686" t="str">
            <v>UN</v>
          </cell>
          <cell r="J2686">
            <v>13804</v>
          </cell>
        </row>
        <row r="2687">
          <cell r="G2687">
            <v>12093</v>
          </cell>
          <cell r="H2687" t="str">
            <v>SEPARADORES (ESPACIADOR) DE DUCTERÍA PARA 6 TUBOS DE Ø2" UNA Y DOBLE CARA</v>
          </cell>
          <cell r="I2687" t="str">
            <v>UN</v>
          </cell>
          <cell r="J2687">
            <v>19040</v>
          </cell>
        </row>
        <row r="2688">
          <cell r="G2688">
            <v>12094</v>
          </cell>
          <cell r="H2688" t="str">
            <v>SEPARADORES (ESPACIADOR) DE DUCTERÍA PARA 8 TUBOS DE Ø2" UNA Y DOBLE CARA</v>
          </cell>
          <cell r="I2688" t="str">
            <v>UN</v>
          </cell>
          <cell r="J2688">
            <v>23324</v>
          </cell>
        </row>
        <row r="2689">
          <cell r="G2689">
            <v>12095</v>
          </cell>
          <cell r="H2689" t="str">
            <v>SEPARADORES (ESPACIADOR) DE DUCTERÍA PARA 2 TUBOS DE Ø4" UNA Y DOBLE CARA</v>
          </cell>
          <cell r="I2689" t="str">
            <v>UN</v>
          </cell>
          <cell r="J2689">
            <v>9044</v>
          </cell>
        </row>
        <row r="2690">
          <cell r="G2690">
            <v>12096</v>
          </cell>
          <cell r="H2690" t="str">
            <v>SEPARADORES (ESPACIADOR) DE DUCTERÍA PARA 4 TUBOS DE Ø4" UNA Y DOBLE CARA</v>
          </cell>
          <cell r="I2690" t="str">
            <v>UN</v>
          </cell>
          <cell r="J2690">
            <v>19214</v>
          </cell>
        </row>
        <row r="2691">
          <cell r="G2691">
            <v>12097</v>
          </cell>
          <cell r="H2691" t="str">
            <v>SEPARADORES (ESPACIADOR) DE DUCTERÍA PARA 6 TUBOS DE Ø4" UNA Y DOBLE CARA</v>
          </cell>
          <cell r="I2691" t="str">
            <v>UN</v>
          </cell>
          <cell r="J2691">
            <v>26963</v>
          </cell>
        </row>
        <row r="2692">
          <cell r="G2692">
            <v>12098</v>
          </cell>
          <cell r="H2692" t="str">
            <v>SEPARADORES (ESPACIADOR) DE DUCTERÍA PARA 8 TUBOS DE Ø4" UNA Y DOBLE CARA</v>
          </cell>
          <cell r="I2692" t="str">
            <v>UN</v>
          </cell>
          <cell r="J2692">
            <v>32683</v>
          </cell>
        </row>
        <row r="2693">
          <cell r="G2693">
            <v>12225</v>
          </cell>
          <cell r="H2693" t="str">
            <v>SARDINEL DRENANTE h=255mm, Long=1m</v>
          </cell>
          <cell r="I2693" t="str">
            <v>UN</v>
          </cell>
          <cell r="J2693">
            <v>421755</v>
          </cell>
        </row>
        <row r="2694">
          <cell r="G2694">
            <v>12226</v>
          </cell>
          <cell r="H2694" t="str">
            <v>SARDINEL DE DRENAJE RD200 H=33cm Long=0,5m - INSPECCIÓN</v>
          </cell>
          <cell r="I2694" t="str">
            <v>UN</v>
          </cell>
          <cell r="J2694">
            <v>1594172</v>
          </cell>
        </row>
        <row r="2695">
          <cell r="G2695">
            <v>12227</v>
          </cell>
          <cell r="H2695" t="str">
            <v>SARDINEL DRENANTE h=255mm, Long=0,5m-INSPECCIÓN</v>
          </cell>
          <cell r="I2695" t="str">
            <v>UN</v>
          </cell>
          <cell r="J2695">
            <v>472905</v>
          </cell>
        </row>
        <row r="2696">
          <cell r="G2696">
            <v>12228</v>
          </cell>
          <cell r="H2696" t="str">
            <v>TAPA INICIO / FINAL PARA SARDINEL DRENANTE H=255mm</v>
          </cell>
          <cell r="I2696" t="str">
            <v>UN</v>
          </cell>
          <cell r="J2696">
            <v>391246</v>
          </cell>
        </row>
        <row r="2697">
          <cell r="G2697">
            <v>12229</v>
          </cell>
          <cell r="H2697" t="str">
            <v>TAPA INICIO / FINAL PARA SARDINEL DE DRENAJE RD 200 H:33</v>
          </cell>
          <cell r="I2697" t="str">
            <v>UN</v>
          </cell>
          <cell r="J2697">
            <v>412070</v>
          </cell>
        </row>
        <row r="2698">
          <cell r="G2698">
            <v>12234</v>
          </cell>
          <cell r="H2698" t="str">
            <v>BLOQUE DE CEMENTO MACIZO 4.2MPA VERDE DE 6X10X20 cm.</v>
          </cell>
          <cell r="I2698" t="str">
            <v>UN</v>
          </cell>
          <cell r="J2698">
            <v>1277</v>
          </cell>
        </row>
        <row r="2699">
          <cell r="G2699">
            <v>12235</v>
          </cell>
          <cell r="H2699" t="str">
            <v>MICROFIBRA SINTÉTICA MULTIFILAMENTO  DE POLIPROPILENO</v>
          </cell>
          <cell r="I2699" t="str">
            <v>KG</v>
          </cell>
          <cell r="J2699">
            <v>34505</v>
          </cell>
        </row>
        <row r="2700">
          <cell r="G2700">
            <v>12236</v>
          </cell>
          <cell r="H2700" t="str">
            <v>RESISTENCIA A LA TRACCIÓN DE RECUBRIMIENTOS, UTILIZANDO PROBADORES PORTÁTILES DE ADHERENCIA. Norma Técnica: NTC 3916 ASTM D4541</v>
          </cell>
          <cell r="I2700" t="str">
            <v>UN</v>
          </cell>
          <cell r="J2700">
            <v>124300</v>
          </cell>
        </row>
        <row r="2701">
          <cell r="G2701">
            <v>12237</v>
          </cell>
          <cell r="H2701" t="str">
            <v>TRACCIÓN DE LAMINA EN ALUMINIO. Norma Técnica: NTC 3353 ASTM E8</v>
          </cell>
          <cell r="I2701" t="str">
            <v>UN</v>
          </cell>
          <cell r="J2701">
            <v>115000</v>
          </cell>
        </row>
        <row r="2702">
          <cell r="G2702">
            <v>12238</v>
          </cell>
          <cell r="H2702" t="str">
            <v xml:space="preserve">FLEXIÓN DE LAMINA EN ALUMINIO. Norma Técnica: ASTM E290 </v>
          </cell>
          <cell r="I2702" t="str">
            <v>UN</v>
          </cell>
          <cell r="J2702">
            <v>120000</v>
          </cell>
        </row>
        <row r="2703">
          <cell r="G2703">
            <v>12239</v>
          </cell>
          <cell r="H2703" t="str">
            <v>SUBBASE GRANULAR PEA CLASE A - (SBG_PEA_A_50)</v>
          </cell>
          <cell r="I2703" t="str">
            <v>M3</v>
          </cell>
          <cell r="J2703">
            <v>55092</v>
          </cell>
        </row>
        <row r="2704">
          <cell r="G2704">
            <v>12240</v>
          </cell>
          <cell r="H2704" t="str">
            <v>SUBBASE GRANULAR PEA CLASE A - (SBG_PEA_A_64)</v>
          </cell>
          <cell r="I2704" t="str">
            <v>M3</v>
          </cell>
          <cell r="J2704">
            <v>65450</v>
          </cell>
        </row>
        <row r="2705">
          <cell r="G2705">
            <v>12241</v>
          </cell>
          <cell r="H2705" t="str">
            <v>SUBBASE GRANULAR PEA CLASE B - (SBG_PEA_B_50)</v>
          </cell>
          <cell r="I2705" t="str">
            <v>M3</v>
          </cell>
          <cell r="J2705">
            <v>55092</v>
          </cell>
        </row>
        <row r="2706">
          <cell r="G2706">
            <v>12242</v>
          </cell>
          <cell r="H2706" t="str">
            <v>FIBRAS METÁLICAS</v>
          </cell>
          <cell r="I2706" t="str">
            <v>KG</v>
          </cell>
          <cell r="J2706">
            <v>10115</v>
          </cell>
        </row>
        <row r="2707">
          <cell r="G2707">
            <v>12243</v>
          </cell>
          <cell r="H2707" t="str">
            <v>SUBBASE GRANULAR PEA CLASE B - (SBG_PEA_B_64)</v>
          </cell>
          <cell r="I2707" t="str">
            <v>M3</v>
          </cell>
          <cell r="J2707">
            <v>65450</v>
          </cell>
        </row>
        <row r="2708">
          <cell r="G2708">
            <v>12244</v>
          </cell>
          <cell r="H2708" t="str">
            <v>MATERIAL MARGINAL</v>
          </cell>
          <cell r="I2708" t="str">
            <v>M3</v>
          </cell>
          <cell r="J2708">
            <v>18409</v>
          </cell>
        </row>
        <row r="2709">
          <cell r="G2709">
            <v>12245</v>
          </cell>
          <cell r="H2709" t="str">
            <v>AGREGADOS RECICLADOS PARA BASE GRANULAR (AR_BG38)</v>
          </cell>
          <cell r="I2709" t="str">
            <v>M3</v>
          </cell>
          <cell r="J2709">
            <v>85680</v>
          </cell>
        </row>
        <row r="2710">
          <cell r="G2710">
            <v>12246</v>
          </cell>
          <cell r="H2710" t="str">
            <v>AGREGADOS RECICLADOS PARA BASE GRANULAR (AR_BG25)</v>
          </cell>
          <cell r="I2710" t="str">
            <v>M3</v>
          </cell>
          <cell r="J2710">
            <v>76649</v>
          </cell>
        </row>
        <row r="2711">
          <cell r="G2711">
            <v>12247</v>
          </cell>
          <cell r="H2711" t="str">
            <v>AGREGADOS RECICLADOS PARA SUBBASE GRANULAR PEA (AR_SBG_PEA50)</v>
          </cell>
          <cell r="I2711" t="str">
            <v>M3</v>
          </cell>
          <cell r="J2711">
            <v>65450</v>
          </cell>
        </row>
        <row r="2712">
          <cell r="G2712">
            <v>12248</v>
          </cell>
          <cell r="H2712" t="str">
            <v>AGREGADOS RECICLADOS PARA SUBBASE GRANULAR PEA (AR_SBG_PEA64)</v>
          </cell>
          <cell r="I2712" t="str">
            <v>M3</v>
          </cell>
          <cell r="J2712">
            <v>65450</v>
          </cell>
        </row>
        <row r="2713">
          <cell r="G2713">
            <v>12249</v>
          </cell>
          <cell r="H2713" t="str">
            <v>GRANO DE CAUCHO RECICLADO (GCR)</v>
          </cell>
          <cell r="I2713" t="str">
            <v>KG</v>
          </cell>
          <cell r="J2713">
            <v>1675</v>
          </cell>
        </row>
        <row r="2714">
          <cell r="G2714">
            <v>12250</v>
          </cell>
          <cell r="H2714" t="str">
            <v>CONCRETO AUTOCOMPACTANTE 24 Mpa (245 Kg/cm2)</v>
          </cell>
          <cell r="I2714" t="str">
            <v>M3</v>
          </cell>
          <cell r="J2714">
            <v>552160</v>
          </cell>
        </row>
        <row r="2715">
          <cell r="G2715">
            <v>12251</v>
          </cell>
          <cell r="H2715" t="str">
            <v>CONCRETO AUTOCOMPACTANTE 28 Mpa (280 Kg/cm2)</v>
          </cell>
          <cell r="I2715" t="str">
            <v>M3</v>
          </cell>
          <cell r="J2715">
            <v>564060</v>
          </cell>
        </row>
        <row r="2716">
          <cell r="G2716">
            <v>12252</v>
          </cell>
          <cell r="H2716" t="str">
            <v>CONCRETO AUTOCOMPACTANTE 44 Mpa (420 Kg/cm2)</v>
          </cell>
          <cell r="I2716" t="str">
            <v>M3</v>
          </cell>
          <cell r="J2716">
            <v>606900</v>
          </cell>
        </row>
        <row r="2717">
          <cell r="G2717">
            <v>12253</v>
          </cell>
          <cell r="H2717"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I2717" t="str">
            <v>Km-Car</v>
          </cell>
          <cell r="J2717">
            <v>146370</v>
          </cell>
        </row>
        <row r="2718">
          <cell r="G2718">
            <v>12254</v>
          </cell>
          <cell r="H2718"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I2718" t="str">
            <v>Km-Car</v>
          </cell>
          <cell r="J2718">
            <v>148750</v>
          </cell>
        </row>
        <row r="2719">
          <cell r="G2719">
            <v>12255</v>
          </cell>
          <cell r="H2719"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I2719" t="str">
            <v>Km-Car</v>
          </cell>
          <cell r="J2719">
            <v>194208</v>
          </cell>
        </row>
        <row r="2720">
          <cell r="G2720">
            <v>12256</v>
          </cell>
          <cell r="H2720"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I2720" t="str">
            <v>Km-Car</v>
          </cell>
          <cell r="J2720">
            <v>191388</v>
          </cell>
        </row>
        <row r="2721">
          <cell r="G2721">
            <v>12257</v>
          </cell>
          <cell r="H2721" t="str">
            <v>RESISTENCIA A LA COMPRESIÓN INCONFINADA DE MEZCLAS COMPACTADAS DE SUELO-CAL CON MEDICIÓN DE ESFUERZO-DEFORMACIÓN. Norma Técnica INVE 605 -13</v>
          </cell>
          <cell r="I2721" t="str">
            <v>UN</v>
          </cell>
          <cell r="J2721">
            <v>69000</v>
          </cell>
        </row>
        <row r="2722">
          <cell r="G2722">
            <v>12258</v>
          </cell>
          <cell r="H2722" t="str">
            <v>TINTAS PENETRANTES. Norma Técnica ASTM E165</v>
          </cell>
          <cell r="I2722" t="str">
            <v>DIA</v>
          </cell>
          <cell r="J2722">
            <v>909000</v>
          </cell>
        </row>
        <row r="2723">
          <cell r="G2723">
            <v>12259</v>
          </cell>
          <cell r="H2723" t="str">
            <v>PARTÍCULAS MAGNÉTICAS. Norma Técnica ASTM E709 AWS D.1.1</v>
          </cell>
          <cell r="I2723" t="str">
            <v>DIA</v>
          </cell>
          <cell r="J2723">
            <v>654500</v>
          </cell>
        </row>
        <row r="2724">
          <cell r="G2724">
            <v>12260</v>
          </cell>
          <cell r="H2724" t="str">
            <v>EVALUACIÓN DE ADHERENCIA DEL RECUBRIMIENTO APLICADO. Norma Técnica: ASTM D4541</v>
          </cell>
          <cell r="I2724" t="str">
            <v>DIA</v>
          </cell>
          <cell r="J2724">
            <v>595000</v>
          </cell>
        </row>
        <row r="2725">
          <cell r="G2725">
            <v>12261</v>
          </cell>
          <cell r="H2725" t="str">
            <v>CALIBRACIÓN DE ESPESORES DE PELÍCULA SECA. Norma Técnica. ASTM A123/123M ASTM A153/153M D7091</v>
          </cell>
          <cell r="I2725" t="str">
            <v>DIA</v>
          </cell>
          <cell r="J2725">
            <v>595000</v>
          </cell>
        </row>
        <row r="2726">
          <cell r="G2726">
            <v>12262</v>
          </cell>
          <cell r="H2726" t="str">
            <v>EVALUACIÓN DEL ESPESOR DE PELICULA DE ZINC - CALIBRACIÓN DE ESPESORES DE PELÍCULA SECA. Norma Técnica ASTM A123/123M ASTM A153/153M</v>
          </cell>
          <cell r="I2726" t="str">
            <v>DIA</v>
          </cell>
          <cell r="J2726">
            <v>618800</v>
          </cell>
        </row>
        <row r="2727">
          <cell r="G2727">
            <v>12263</v>
          </cell>
          <cell r="H2727" t="str">
            <v>VALORACIÓN DE LA CONTINUIDAD EN PELÍCULA. Norma Técnica NTC 3951 ASTM D5162</v>
          </cell>
          <cell r="I2727" t="str">
            <v>DIA</v>
          </cell>
          <cell r="J2727">
            <v>535500</v>
          </cell>
        </row>
        <row r="2728">
          <cell r="G2728">
            <v>12264</v>
          </cell>
          <cell r="H2728" t="str">
            <v>MÉTODO DE ENSAYO PARA DETERMINAR LA FINURA DEL CEMENTO HIDRÁULICO UTILIZANDO EL TAMIZ DE 45 mm (No. 325). Norma Técnica NTC 294</v>
          </cell>
          <cell r="I2728" t="str">
            <v>UN</v>
          </cell>
          <cell r="J2728">
            <v>65450</v>
          </cell>
        </row>
        <row r="2729">
          <cell r="G2729">
            <v>12265</v>
          </cell>
          <cell r="H2729" t="str">
            <v>TUBERÍA Ø4" EN HIERRO GALVANIZADO</v>
          </cell>
          <cell r="I2729" t="str">
            <v>ML</v>
          </cell>
          <cell r="J2729">
            <v>82940</v>
          </cell>
        </row>
        <row r="2730">
          <cell r="G2730">
            <v>12266</v>
          </cell>
          <cell r="H2730" t="str">
            <v>ULTRASONIDO. Norma Técnica ASTM E164  AWS D.1.1</v>
          </cell>
          <cell r="I2730" t="str">
            <v>DIA</v>
          </cell>
          <cell r="J2730">
            <v>690200</v>
          </cell>
        </row>
        <row r="2731">
          <cell r="G2731">
            <v>12267</v>
          </cell>
          <cell r="H2731" t="str">
            <v>LAVAMANOS PORTATIL DE PEDAL TIPO MANOS LIBRES.</v>
          </cell>
          <cell r="I2731" t="str">
            <v>UN</v>
          </cell>
          <cell r="J2731">
            <v>1050000</v>
          </cell>
        </row>
        <row r="2732">
          <cell r="G2732">
            <v>12268</v>
          </cell>
          <cell r="H2732" t="str">
            <v>CALIBRACION TERMOMETRO DIGITAL</v>
          </cell>
          <cell r="I2732" t="str">
            <v>UN</v>
          </cell>
          <cell r="J2732">
            <v>154700</v>
          </cell>
        </row>
        <row r="2733">
          <cell r="G2733">
            <v>12269</v>
          </cell>
          <cell r="H2733" t="str">
            <v>TERMOMETRO DIGITAL INFRAROJO PARA USO EN HUMANOS, LIBRE DE CONTACTO, IMPERMEABLE</v>
          </cell>
          <cell r="I2733" t="str">
            <v>UN</v>
          </cell>
          <cell r="J2733">
            <v>110000</v>
          </cell>
        </row>
        <row r="2734">
          <cell r="G2734">
            <v>12270</v>
          </cell>
          <cell r="H2734" t="str">
            <v>DISPENSADOR DE JABÓN LÍQUIDO O GEL ANTIBACTERIAL - ALCOHOL, CON PEDAL METÁLICO</v>
          </cell>
          <cell r="I2734" t="str">
            <v>UN</v>
          </cell>
          <cell r="J2734">
            <v>83300</v>
          </cell>
        </row>
        <row r="2735">
          <cell r="G2735">
            <v>12271</v>
          </cell>
          <cell r="H2735" t="str">
            <v>RECOLECCION, TRANSPORTE Y DISPOSICION DE RESIDUOS LÍQUIDOS PROVENIENTES DE LAVAMANOS PORTATILES. (INCLUYE EQUIPO DE SUCCIÓN)</v>
          </cell>
          <cell r="I2735" t="str">
            <v>M3</v>
          </cell>
          <cell r="J2735">
            <v>297500</v>
          </cell>
        </row>
        <row r="2736">
          <cell r="G2736">
            <v>12272</v>
          </cell>
          <cell r="H2736" t="str">
            <v>BOTIQUIN TIPO B DOTADO PORTATIL</v>
          </cell>
          <cell r="I2736" t="str">
            <v>UN</v>
          </cell>
          <cell r="J2736">
            <v>339900</v>
          </cell>
        </row>
        <row r="2737">
          <cell r="G2737">
            <v>12276</v>
          </cell>
          <cell r="H2737" t="str">
            <v>Detección y Georreferenciación con equipos GPR (Radares de penetración terrestre) y de detección EM de tuberías enterradas bajo superficie - Incluye Equipos GNSS, Transporte, Mano de obra, informe, radargrama, planos y demás costos asociados a la actividad.</v>
          </cell>
          <cell r="I2737" t="str">
            <v>M2</v>
          </cell>
          <cell r="J2737">
            <v>5730</v>
          </cell>
        </row>
        <row r="2738">
          <cell r="G2738">
            <v>12277</v>
          </cell>
          <cell r="H2738" t="str">
            <v>AFOROS DE TRANSITO (MOTORIZADOS Y NO MOTORIZADOS) A PARTIR DE CAPTURA DE VIDEO. Incluye digitación y entrega de base de datos en archivo Excel. Captura día hábil y no hábil, con sus respectivos movimientos. Incluye todos los costos directos e indirectos</v>
          </cell>
          <cell r="I2738" t="str">
            <v>HR</v>
          </cell>
          <cell r="J2738">
            <v>251285</v>
          </cell>
        </row>
        <row r="2739">
          <cell r="G2739">
            <v>12278</v>
          </cell>
          <cell r="H2739" t="str">
            <v>Proyecto Av.Boyacá desde la AC 170 hasta la AC 183: LOSETA PREFABRICADA A51 (20x40x6cm) COLOR OCRE</v>
          </cell>
          <cell r="I2739" t="str">
            <v>M2</v>
          </cell>
          <cell r="J2739">
            <v>32474</v>
          </cell>
        </row>
        <row r="2740">
          <cell r="G2740">
            <v>12279</v>
          </cell>
          <cell r="H2740" t="str">
            <v>Proyecto Av.Boyacá desde la AC 170 hasta la AC 183: LOSETA PREFABRICADA A51 (20x40x6cm) COLOR ARENA</v>
          </cell>
          <cell r="I2740" t="str">
            <v>M2</v>
          </cell>
          <cell r="J2740">
            <v>32474</v>
          </cell>
        </row>
        <row r="2741">
          <cell r="G2741">
            <v>12280</v>
          </cell>
          <cell r="H2741" t="str">
            <v>Proyecto Av.Boyacá desde la AC 170 hasta la AC 183: LOSETA PREFABRICADA A51 (20x40x6cm) COLOR GRIS</v>
          </cell>
          <cell r="I2741" t="str">
            <v>M2</v>
          </cell>
          <cell r="J2741">
            <v>30213</v>
          </cell>
        </row>
        <row r="2742">
          <cell r="G2742">
            <v>12281</v>
          </cell>
          <cell r="H2742" t="str">
            <v>Proyecto Av.Boyacá desde la AC 170 hasta la AC 183: LOSETA PREFABRICADA A55 TACTIL ALERTA (40x40x6cm) COLOR AMARILLO</v>
          </cell>
          <cell r="I2742" t="str">
            <v>M2</v>
          </cell>
          <cell r="J2742">
            <v>46667</v>
          </cell>
        </row>
        <row r="2743">
          <cell r="G2743">
            <v>12282</v>
          </cell>
          <cell r="H2743" t="str">
            <v>Proyecto Av.Boyacá desde la AC 170 hasta la AC 183: GEOBLOQUE DE POLIESTIRENO EXPANDIDO  EPS DENSIDAD 29 a 30 Kg/m3</v>
          </cell>
          <cell r="I2743" t="str">
            <v>M3</v>
          </cell>
          <cell r="J2743">
            <v>535500</v>
          </cell>
        </row>
        <row r="2744">
          <cell r="G2744">
            <v>12283</v>
          </cell>
          <cell r="H2744" t="str">
            <v>Proyecto Av.Boyacá desde la AC 170 hasta la AC 183: COLLAR DERIVACIÓN DE 8" x 1"</v>
          </cell>
          <cell r="I2744" t="str">
            <v>UN</v>
          </cell>
          <cell r="J2744">
            <v>60036</v>
          </cell>
        </row>
        <row r="2745">
          <cell r="G2745">
            <v>12284</v>
          </cell>
          <cell r="H2745" t="str">
            <v>Proyecto Av.Boyacá desde la AC 170 hasta la AC 183_CAMARA PREFABRICADA PZ8  RECTA DIAMETRO INTERNO: 1.10m , ESPESOR DE PARED: 0.126 , INCLUYE AROTAPA Y TAPA</v>
          </cell>
          <cell r="I2745" t="str">
            <v>UN</v>
          </cell>
          <cell r="J2745">
            <v>9503816</v>
          </cell>
        </row>
        <row r="2746">
          <cell r="G2746">
            <v>12285</v>
          </cell>
          <cell r="H2746" t="str">
            <v>Proyecto Av.Boyacá desde la AC 170 hasta la AC 183: CAMARA PZ10 PREFABRICADA RECTA DIAMETRO INTERNO: 1.20m , ESPESOR DE PARED: 0.136 , INCLUYE AROTAPA Y TAPA</v>
          </cell>
          <cell r="I2746" t="str">
            <v>UN</v>
          </cell>
          <cell r="J2746">
            <v>10002712</v>
          </cell>
        </row>
        <row r="2747">
          <cell r="G2747">
            <v>12286</v>
          </cell>
          <cell r="H2747" t="str">
            <v>Proyecto Av.Boyacá desde la AC 170 hasta la AC 183: POSTE EN MADERA ESTRUCTURAL INMUNIZADA (EUCALIPTO) DIAMETRO 17 A 20cm</v>
          </cell>
          <cell r="I2747" t="str">
            <v>ML</v>
          </cell>
          <cell r="J2747">
            <v>68544</v>
          </cell>
        </row>
        <row r="2748">
          <cell r="G2748">
            <v>12287</v>
          </cell>
          <cell r="H2748" t="str">
            <v>Proyecto Intersección a Desnivel Autopista Sur (NQS) con Av. Bosa: SEÑAL INFORMATIVA SI-28, TABLERO 85.01cm x 26.00cm REFLECTIVO ALTA INTENSIDAD, PEDESTAL EN ÁNGULO DE 2"x2"x1/4" H= 2.60m EN PINTURA ELECTROSTÁTICA. (Incluye Suministro e Instalación).</v>
          </cell>
          <cell r="I2748" t="str">
            <v>UN</v>
          </cell>
          <cell r="J2748">
            <v>417896</v>
          </cell>
        </row>
        <row r="2749">
          <cell r="G2749">
            <v>12288</v>
          </cell>
          <cell r="H2749" t="str">
            <v>Proyecto Intersección a Desnivel Autopista Sur (NQS) con Av. Bosa: JUNTA DE DILATACIÓN ELASTOMÉRICA 230 MOVIMIENTO 230mm+/-115mm MODULOS 1.83 m</v>
          </cell>
          <cell r="I2749" t="str">
            <v>ML</v>
          </cell>
          <cell r="J2749">
            <v>3683191</v>
          </cell>
        </row>
        <row r="2750">
          <cell r="G2750">
            <v>12289</v>
          </cell>
          <cell r="H2750" t="str">
            <v>Proyecto Intersección a Desnivel Autopista Sur (NQS) con Av. Bosa: CEMENTO ASFÁLTICO 60-70</v>
          </cell>
          <cell r="I2750" t="str">
            <v>KG</v>
          </cell>
          <cell r="J2750">
            <v>1753</v>
          </cell>
        </row>
        <row r="2751">
          <cell r="G2751">
            <v>12290</v>
          </cell>
          <cell r="H2751" t="str">
            <v>Proyecto Intersección a Desnivel Autopista Sur (NQS) con Av. Bosa: TUBERÍA HD, ACUEDUCTO, PN 16, D=300 MM - 12"</v>
          </cell>
          <cell r="I2751" t="str">
            <v>ML</v>
          </cell>
          <cell r="J2751">
            <v>46433</v>
          </cell>
        </row>
        <row r="2752">
          <cell r="G2752">
            <v>12291</v>
          </cell>
          <cell r="H2752" t="str">
            <v>Proyecto Intersección a Desnivel Autopista Sur (NQS) con Av. Bosa: TUBERÍA HD, ACUEDUCTO, PN 16, D=150 MM - 6"</v>
          </cell>
          <cell r="I2752" t="str">
            <v>ML</v>
          </cell>
          <cell r="J2752">
            <v>20895</v>
          </cell>
        </row>
        <row r="2753">
          <cell r="G2753">
            <v>12292</v>
          </cell>
          <cell r="H2753" t="str">
            <v>Proyecto Intersección a Desnivel Autopista Sur (NQS) con Av. Bosa: TUBERÍA HD, ACUEDUCTO, PN 16, D=100 MM - 4"</v>
          </cell>
          <cell r="I2753" t="str">
            <v>ML</v>
          </cell>
          <cell r="J2753">
            <v>16040</v>
          </cell>
        </row>
        <row r="2754">
          <cell r="G2754">
            <v>12293</v>
          </cell>
          <cell r="H2754" t="str">
            <v>Proyecto Intersección a Desnivel Autopista Sur (NQS) con Av. Bosa: TUBERÍA HD, ACUEDUCTO, PN 16, D=200 mm - 8"</v>
          </cell>
          <cell r="I2754" t="str">
            <v>ML</v>
          </cell>
          <cell r="J2754">
            <v>27016</v>
          </cell>
        </row>
        <row r="2755">
          <cell r="G2755">
            <v>12294</v>
          </cell>
          <cell r="H2755" t="str">
            <v>Proyecto Intersección a Desnivel Autopista Sur (NQS) con Av. Bosa: TUBERÍA HD, ACUEDUCTO, PN 16, D=400 MM - 14"</v>
          </cell>
          <cell r="I2755" t="str">
            <v>ML</v>
          </cell>
          <cell r="J2755">
            <v>55930</v>
          </cell>
        </row>
        <row r="2756">
          <cell r="G2756">
            <v>12295</v>
          </cell>
          <cell r="H2756" t="str">
            <v>Proyecto Intersección a Desnivel Autopista Sur (NQS) con Av. Bosa: CENIZA</v>
          </cell>
          <cell r="I2756" t="str">
            <v>M3</v>
          </cell>
          <cell r="J2756">
            <v>46270</v>
          </cell>
        </row>
        <row r="2757">
          <cell r="G2757">
            <v>12296</v>
          </cell>
          <cell r="H2757" t="str">
            <v>Proyecto Intersección a Desnivel Autopista Sur (NQS) con Av. Bosa: JUNTA DE DILATACIÓN ELASTOMÉRICA 160 MOVIMIENTO 160mm+/-80mm MODULOS 2 m</v>
          </cell>
          <cell r="I2757" t="str">
            <v>ML</v>
          </cell>
          <cell r="J2757">
            <v>2562006</v>
          </cell>
        </row>
        <row r="2758">
          <cell r="G2758">
            <v>12297</v>
          </cell>
          <cell r="H2758" t="str">
            <v>Proyecto Intersección a Desnivel Autopista Sur (NQS) con Av. Bosa: BASE BG TIPO A ESTABILIZADA CON ASFALTO EN CALIENTE (ASFALTO 5% 80-100)_ENTREGADO EN PLANTA</v>
          </cell>
          <cell r="I2758" t="str">
            <v>M3</v>
          </cell>
          <cell r="J2758">
            <v>432261</v>
          </cell>
        </row>
        <row r="2759">
          <cell r="G2759">
            <v>12298</v>
          </cell>
          <cell r="H2759" t="str">
            <v>Proyecto Intersección a Desnivel Autopista Sur (NQS) con Av. Bosa: TAPA DE SEGURIDAD Ø0.60m SEGÚN NP-013 EAAB (TAPAS PARA ACUEDUCTO ANEXO NP-013-8 ANEXO H)</v>
          </cell>
          <cell r="I2759" t="str">
            <v>UN</v>
          </cell>
          <cell r="J2759">
            <v>2370480</v>
          </cell>
        </row>
        <row r="2760">
          <cell r="G2760">
            <v>12299</v>
          </cell>
          <cell r="H2760" t="str">
            <v>Proyecto Intersección a Desnivel Autopista Sur (NQS) con Av. Bosa: TANQUE + TAPA FILTRO ANAEROBICO 2000 LT NEGRO/TAPA ROJA</v>
          </cell>
          <cell r="I2760" t="str">
            <v>UN</v>
          </cell>
          <cell r="J2760">
            <v>1630879</v>
          </cell>
        </row>
        <row r="2761">
          <cell r="G2761">
            <v>12300</v>
          </cell>
          <cell r="H2761" t="str">
            <v>Proyecto Intersección a Desnivel Autopista Sur (NQS) con Av. Bosa: CODO 90° BRIDADO, D 3" (DN80), ASTM A126, GALVANIZADO ASTM A123, GR. 65-45-12 CONEXIONES BRIDADAS ASME B16.42, RF, CLASE 150 LB</v>
          </cell>
          <cell r="I2761" t="str">
            <v>UN</v>
          </cell>
          <cell r="J2761">
            <v>273532</v>
          </cell>
        </row>
        <row r="2762">
          <cell r="G2762">
            <v>12301</v>
          </cell>
          <cell r="H2762"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I2762" t="str">
            <v>ML</v>
          </cell>
          <cell r="J2762">
            <v>1612019</v>
          </cell>
        </row>
        <row r="2763">
          <cell r="G2763">
            <v>12302</v>
          </cell>
          <cell r="H2763" t="str">
            <v>Proyecto Intersección a Desnivel Autopista Sur (NQS) con Av. Bosa: AISLADOR SÍSMICO CON NÚCLEO DE PLOMO (DIÁMETRO 1.20 m, DESPLAZAMIENTO MÁXIMO 150 mm Y CARGA AXIAL MÁXIMA 10000 kN).  INCLUYE ENSAYO DE CALIDAD LRB AL 20%</v>
          </cell>
          <cell r="I2763" t="str">
            <v>UN</v>
          </cell>
          <cell r="J2763">
            <v>97620644</v>
          </cell>
        </row>
        <row r="2764">
          <cell r="G2764">
            <v>12303</v>
          </cell>
          <cell r="H2764" t="str">
            <v>Proyecto Intersección a Desnivel Autopista Sur (NQS) con Av. Bosa: CEMENTO EXPANSIVO</v>
          </cell>
          <cell r="I2764" t="str">
            <v>KG</v>
          </cell>
          <cell r="J2764">
            <v>4250</v>
          </cell>
        </row>
        <row r="2765">
          <cell r="G2765">
            <v>12304</v>
          </cell>
          <cell r="H2765" t="str">
            <v>Proyecto Intersección a Desnivel Autopista Sur (NQS) con Av. Bosa: ROBLE AUSTRALIANO H=1.5 (Incluye siembra, tierra, abono, transporte y tutor)</v>
          </cell>
          <cell r="I2765" t="str">
            <v>UN</v>
          </cell>
          <cell r="J2765">
            <v>74899</v>
          </cell>
        </row>
        <row r="2766">
          <cell r="G2766">
            <v>12305</v>
          </cell>
          <cell r="H2766" t="str">
            <v>Proyecto Intersección a Desnivel Autopista Sur (NQS) con Av. Bosa: CAUCHO TEQUENDAMA H=1.5 (Incluye siembra, tierra, abono, transporte y tutor)</v>
          </cell>
          <cell r="I2766" t="str">
            <v>UN</v>
          </cell>
          <cell r="J2766">
            <v>49365</v>
          </cell>
        </row>
        <row r="2767">
          <cell r="G2767">
            <v>12306</v>
          </cell>
          <cell r="H2767"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I2767" t="str">
            <v>ML</v>
          </cell>
          <cell r="J2767">
            <v>733561</v>
          </cell>
        </row>
        <row r="2768">
          <cell r="G2768">
            <v>12307</v>
          </cell>
          <cell r="H2768" t="str">
            <v>Proyecto Intersección a Desnivel Autopista Sur (NQS) con Av. Bosa: Cinturón de Cierre en Acero φ16" revestido con Pintura Anticorrosiva. L=0,30m. Fabricado a partir de Lámina ASTM A 36 de Espesor 6mm. Presión de Trabajo = 150 psi.</v>
          </cell>
          <cell r="I2768" t="str">
            <v>UN</v>
          </cell>
          <cell r="J2768">
            <v>307766</v>
          </cell>
        </row>
        <row r="2769">
          <cell r="G2769">
            <v>12308</v>
          </cell>
          <cell r="H2769"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I2769" t="str">
            <v>UN</v>
          </cell>
          <cell r="J2769">
            <v>3726821</v>
          </cell>
        </row>
        <row r="2770">
          <cell r="G2770">
            <v>12309</v>
          </cell>
          <cell r="H2770" t="str">
            <v>Proyecto Intersección a Desnivel Autopista Sur (NQS) con Av. Bosa: Cinturón de Cierre en Acero φ 24" revestido con Pintura Anticorrosiva. L=0,30m. Fabricado apartir de Lámina ASTM A 36 de Espesor 6mm. Presión de Trabajo = 150 psi.</v>
          </cell>
          <cell r="I2770" t="str">
            <v>UN</v>
          </cell>
          <cell r="J2770">
            <v>484809</v>
          </cell>
        </row>
        <row r="2771">
          <cell r="G2771">
            <v>12310</v>
          </cell>
          <cell r="H2771" t="str">
            <v>Proyecto Intersección a Desnivel Autopista Sur (NQS) con Av. Bosa: Cinturón de Cierre en Acero φ36" revestido con Pintura Anticorrosiva. L=0,30m. Fabricado apartir de Lámina ASTM A 36 de Espesor 6mm. Presión de Trabajo = 150 psi.</v>
          </cell>
          <cell r="I2771" t="str">
            <v>UN</v>
          </cell>
          <cell r="J2771">
            <v>659152</v>
          </cell>
        </row>
        <row r="2772">
          <cell r="G2772">
            <v>12311</v>
          </cell>
          <cell r="H2772"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I2772" t="str">
            <v>UN</v>
          </cell>
          <cell r="J2772">
            <v>11763854</v>
          </cell>
        </row>
        <row r="2773">
          <cell r="G2773">
            <v>12312</v>
          </cell>
          <cell r="H2773"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I2773" t="str">
            <v>UN</v>
          </cell>
          <cell r="J2773">
            <v>18008308</v>
          </cell>
        </row>
        <row r="2774">
          <cell r="G2774">
            <v>12313</v>
          </cell>
          <cell r="H2774"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I2774" t="str">
            <v>UN</v>
          </cell>
          <cell r="J2774">
            <v>540313</v>
          </cell>
        </row>
        <row r="2775">
          <cell r="G2775">
            <v>12314</v>
          </cell>
          <cell r="H2775" t="str">
            <v>Proyecto Intersección a Desnivel Autopista Sur (NQS) con Av. Bosa: Compensador de dilatación de goma DN-400 con cuerpo en EPDM y refuerzo de nylon; con bridas giratorias zincadas en acero carbono taladradas según ASA 150 lbs. L= 130 mm.</v>
          </cell>
          <cell r="I2775" t="str">
            <v>UN</v>
          </cell>
          <cell r="J2775">
            <v>4769936</v>
          </cell>
        </row>
        <row r="2776">
          <cell r="G2776">
            <v>12315</v>
          </cell>
          <cell r="H2776"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I2776" t="str">
            <v>UN</v>
          </cell>
          <cell r="J2776">
            <v>1904083</v>
          </cell>
        </row>
        <row r="2777">
          <cell r="G2777">
            <v>12316</v>
          </cell>
          <cell r="H2777" t="str">
            <v>Proyecto Intersección a Desnivel Autopista Sur (NQS) con Av. Bosa: ROBLE AUSTRALIANO H-1.5 (Incluye siembra, tierra, abono, transporte y tutor)</v>
          </cell>
          <cell r="I2777" t="str">
            <v>UN</v>
          </cell>
          <cell r="J2777">
            <v>74899</v>
          </cell>
        </row>
        <row r="2778">
          <cell r="G2778">
            <v>12317</v>
          </cell>
          <cell r="H2778" t="str">
            <v>Proyecto Intersección a Desnivel Autopista Sur (NQS) con Av. Bosa: CAUCHO TEQUENDAMA H- 1.5 (Incluye siembra, tierra, abono, transporte y tutor)</v>
          </cell>
          <cell r="I2778" t="str">
            <v>UN</v>
          </cell>
          <cell r="J2778">
            <v>49365</v>
          </cell>
        </row>
        <row r="2779">
          <cell r="G2779">
            <v>12318</v>
          </cell>
          <cell r="H2779" t="str">
            <v>Proyecto Intersección a Desnivel Autopista Sur (NQS) con Av. Bosa: VÁLVULA DE MARIPOSA Ø 16"A BRIDA - BRIDA (A) (150 PSI)</v>
          </cell>
          <cell r="I2779" t="str">
            <v>UN</v>
          </cell>
          <cell r="J2779">
            <v>4144916</v>
          </cell>
        </row>
        <row r="2780">
          <cell r="G2780">
            <v>12319</v>
          </cell>
          <cell r="H2780" t="str">
            <v>BARRENO MANUAL HASTA 10M.  Incluye descripcion visual de estratos encontrados, lecturas de campo, SPT, Veleta, tipo y prof. muestras recuperadas, datos nivel freático</v>
          </cell>
          <cell r="I2780" t="str">
            <v>ML</v>
          </cell>
          <cell r="J2780">
            <v>101745</v>
          </cell>
        </row>
        <row r="2781">
          <cell r="G2781">
            <v>12320</v>
          </cell>
          <cell r="H2781" t="str">
            <v>PERFORACION MECANICA EN SUELO BLANDO DE 0 a 30m. Incluye descripción visual de estratos encontrados, lecturas de campo, SPT, Veleta, tipo y profundidad de las muestras recuperadas, datos nivel freático, muestras inalteradas en tubo Shelby y/o muestreador de pistón</v>
          </cell>
          <cell r="I2781" t="str">
            <v>ML</v>
          </cell>
          <cell r="J2781">
            <v>214200</v>
          </cell>
        </row>
        <row r="2782">
          <cell r="G2782">
            <v>12321</v>
          </cell>
          <cell r="H2782" t="str">
            <v>PERFORACION MECANICA EN SUELO BLANDO DE 0 a 50m. Incluye descripción visual de estratos encontrados, lecturas de campo, SPT, Veleta, tipo y profundidad de las muestras recuperadas, datos nivel freático, muestras inalteradas en tubo Shelby y/o muestreador de pistón</v>
          </cell>
          <cell r="I2782" t="str">
            <v>ML</v>
          </cell>
          <cell r="J2782">
            <v>267750</v>
          </cell>
        </row>
        <row r="2783">
          <cell r="G2783">
            <v>12322</v>
          </cell>
          <cell r="H2783"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I2783" t="str">
            <v>ML</v>
          </cell>
          <cell r="J2783">
            <v>214200</v>
          </cell>
        </row>
        <row r="2784">
          <cell r="G2784">
            <v>12323</v>
          </cell>
          <cell r="H2784" t="str">
            <v>PERFORACION MECANICA EN SUELO DURO DE 0 a 10m.Incl recuperación continua muestras, descrip visual estratos encontrados, lecturas de campo, SPT, Veleta, tipo y profundidad de las muestras recuperadas, muestras inalteradas en tubo Shelby y/o muestreador de pistón.</v>
          </cell>
          <cell r="I2784" t="str">
            <v>ML</v>
          </cell>
          <cell r="J2784">
            <v>166600</v>
          </cell>
        </row>
        <row r="2785">
          <cell r="G2785">
            <v>12324</v>
          </cell>
          <cell r="H2785"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I2785" t="str">
            <v>ML</v>
          </cell>
          <cell r="J2785">
            <v>196350</v>
          </cell>
        </row>
        <row r="2786">
          <cell r="G2786">
            <v>12325</v>
          </cell>
          <cell r="H2786"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I2786" t="str">
            <v>ML</v>
          </cell>
          <cell r="J2786">
            <v>238000</v>
          </cell>
        </row>
        <row r="2787">
          <cell r="G2787">
            <v>12326</v>
          </cell>
          <cell r="H2787" t="str">
            <v>PERFORACION MECANICA EN SUELO DURO mayor de 50m.Incl recuperación continua muestras, descrip visual estratos encontrados, lecturas de campo, SPT, Veleta, tipo y profundidad de las muestras recuperadas, muestras inalteradas en tubo Shelby y/o muestreador de pistón.</v>
          </cell>
          <cell r="I2787" t="str">
            <v>ML</v>
          </cell>
          <cell r="J2787">
            <v>357000</v>
          </cell>
        </row>
        <row r="2788">
          <cell r="G2788">
            <v>12327</v>
          </cell>
          <cell r="H2788" t="str">
            <v>PERFORACION MECANICA EN COLUVIÓN/ALUVIÓN DE 0 a 50m. Incluye recuperación continua muestras, descrip visual estratos encontrados, lecturas de campo, SPT, Veleta, tipo y profundidad de las muestras recuperadas</v>
          </cell>
          <cell r="I2788" t="str">
            <v>ML</v>
          </cell>
          <cell r="J2788">
            <v>535500</v>
          </cell>
        </row>
        <row r="2789">
          <cell r="G2789">
            <v>12328</v>
          </cell>
          <cell r="H2789" t="str">
            <v>PERFORACION MECANICA EN COLUVIÓN/ALUVIÓN mayor de 50m. Incluye recuperación continua muestras, descrip visual estratos encontrados, lecturas de campo, SPT, Veleta, tipo y profundidad de las muestras recuperadas</v>
          </cell>
          <cell r="I2789" t="str">
            <v>ML</v>
          </cell>
          <cell r="J2789">
            <v>499800</v>
          </cell>
        </row>
        <row r="2790">
          <cell r="G2790">
            <v>12329</v>
          </cell>
          <cell r="H2790" t="str">
            <v>ENSAYO DE REFRACCIÓN SISMICA</v>
          </cell>
          <cell r="I2790" t="str">
            <v>UN</v>
          </cell>
          <cell r="J2790">
            <v>2975000</v>
          </cell>
        </row>
        <row r="2791">
          <cell r="G2791">
            <v>12330</v>
          </cell>
          <cell r="H2791" t="str">
            <v xml:space="preserve">ENSAYO REMI (Refraction Microtremors) </v>
          </cell>
          <cell r="I2791" t="str">
            <v>UN</v>
          </cell>
          <cell r="J2791">
            <v>2975000</v>
          </cell>
        </row>
        <row r="2792">
          <cell r="G2792">
            <v>12331</v>
          </cell>
          <cell r="H2792" t="str">
            <v>ENSAYO MASW (Multichanel Analysis of Surface Waves). Determinación espesores estratos y velocidad de onda de corte</v>
          </cell>
          <cell r="I2792" t="str">
            <v>UN</v>
          </cell>
          <cell r="J2792">
            <v>4760000</v>
          </cell>
        </row>
        <row r="2793">
          <cell r="G2793">
            <v>12332</v>
          </cell>
          <cell r="H2793" t="str">
            <v>ENSAYO DE COLUMNA RESONANTE</v>
          </cell>
          <cell r="I2793" t="str">
            <v>UN</v>
          </cell>
          <cell r="J2793">
            <v>1123600</v>
          </cell>
        </row>
        <row r="2794">
          <cell r="G2794">
            <v>12333</v>
          </cell>
          <cell r="H2794" t="str">
            <v>ENSAYO TRIAXIAL CICLICO</v>
          </cell>
          <cell r="I2794" t="str">
            <v>UN</v>
          </cell>
          <cell r="J2794">
            <v>1328250</v>
          </cell>
        </row>
        <row r="2795">
          <cell r="G2795">
            <v>12334</v>
          </cell>
          <cell r="H2795" t="str">
            <v>ENSAYO Piezoelectric Bender Element</v>
          </cell>
          <cell r="I2795" t="str">
            <v>UN</v>
          </cell>
          <cell r="J2795">
            <v>343000</v>
          </cell>
        </row>
        <row r="2796">
          <cell r="G2796">
            <v>12335</v>
          </cell>
          <cell r="H2796" t="str">
            <v>EXPANSIÓN CONTROLADA EN CONSOLIDOMETRO</v>
          </cell>
          <cell r="I2796" t="str">
            <v>UN</v>
          </cell>
          <cell r="J2796">
            <v>198000</v>
          </cell>
        </row>
        <row r="2797">
          <cell r="G2797">
            <v>12336</v>
          </cell>
          <cell r="H2797" t="str">
            <v>ENSAYO DE VELETA DE LABORATORIO</v>
          </cell>
          <cell r="I2797" t="str">
            <v>UN</v>
          </cell>
          <cell r="J2797">
            <v>49385</v>
          </cell>
        </row>
        <row r="2798">
          <cell r="G2798">
            <v>12337</v>
          </cell>
          <cell r="H2798" t="str">
            <v>PIEZOMETRO DE CABEZA ABIERTA TIPO CASAGRANDE, para medición de las fluctuaciones del nivel freático</v>
          </cell>
          <cell r="I2798" t="str">
            <v>ML</v>
          </cell>
          <cell r="J2798">
            <v>297500</v>
          </cell>
        </row>
        <row r="2799">
          <cell r="G2799">
            <v>12338</v>
          </cell>
          <cell r="H2799" t="str">
            <v>GEORADAR(GPR)- Ground Penetrating Radar. Señal electromagnética de alta frecuencia, barrido con antena. Detección de redes</v>
          </cell>
          <cell r="I2799" t="str">
            <v>UN</v>
          </cell>
          <cell r="J2799">
            <v>5355000</v>
          </cell>
        </row>
        <row r="2800">
          <cell r="G2800">
            <v>12339</v>
          </cell>
          <cell r="H2800" t="str">
            <v>Estudios y Diseños proyectos de Valorización: APIQUE MANUAL HASTA 1.50m DE 0.50m X 0.50m - (Relleno y adecuación del sitio - incluye transporte.)</v>
          </cell>
          <cell r="I2800" t="str">
            <v>UN</v>
          </cell>
          <cell r="J2800">
            <v>297500</v>
          </cell>
        </row>
        <row r="2801">
          <cell r="G2801">
            <v>12340</v>
          </cell>
          <cell r="H2801" t="str">
            <v>Estudios y Diseños proyectos de Valorización: APIQUE MANUAL EN ZONA DURA DE 0,65m x 0,65m x1,5m (Incluye demolición, excavación, recuperación de muestras alteradas e inalteradas, reparación con base granular y mezcla en frío e=0,10m) - Horario Nocturno</v>
          </cell>
          <cell r="I2801" t="str">
            <v>UN</v>
          </cell>
          <cell r="J2801">
            <v>678577</v>
          </cell>
        </row>
        <row r="2802">
          <cell r="G2802">
            <v>12341</v>
          </cell>
          <cell r="H2802" t="str">
            <v>MARCO Y TAPA PARA CAJA DE INSPECCION CODENSA CS290</v>
          </cell>
          <cell r="I2802" t="str">
            <v>UN</v>
          </cell>
          <cell r="J2802">
            <v>3519860</v>
          </cell>
        </row>
        <row r="2803">
          <cell r="G2803">
            <v>12342</v>
          </cell>
          <cell r="H2803" t="str">
            <v>PROYECTO CONSTRUCCIÓN DE LA AVENIDA BOYACÁ (AK 72) CÁMARA GRP P271 TIPO II (0°) DN ENTRADA 2000 DN SALIDA 2000 (BL1+BL2=2250 MM) DN CHIMENEA  1200 (H=1550 MM), INCLUYE ESCALERA Y ACCESORIOS, NO INCLUYE TRANSPORTE NI TUBERÍA. SUMINISTRO</v>
          </cell>
          <cell r="I2803" t="str">
            <v>UN</v>
          </cell>
          <cell r="J2803">
            <v>30681868</v>
          </cell>
        </row>
        <row r="2804">
          <cell r="G2804">
            <v>12343</v>
          </cell>
          <cell r="H2804" t="str">
            <v>PROYECTO CONSTRUCCIÓN DE LA AVENIDA BOYACÁ (AK 72) CÁMARA GRP P2 TIPO II (1°-30°) DN ENTRADA 2000 DN SALIDA 2000 (BL1+BL2=3200 MM) DN CHIMENEA  1200 (H=1550 MM), INCLUYE ESCALERA Y ACCESORIOS, NO  INCLUYE TRANSPORTE NI TUBERÍA. SUMINISTRO.</v>
          </cell>
          <cell r="I2804" t="str">
            <v>UN</v>
          </cell>
          <cell r="J2804">
            <v>37512370</v>
          </cell>
        </row>
        <row r="2805">
          <cell r="G2805">
            <v>12344</v>
          </cell>
          <cell r="H2805" t="str">
            <v>PROYECTO CONSTRUCCIÓN DE LA AVENIDA BOYACÁ (AK 72) CÁMARA GRP P70 TIPO II (31°-60°) DN ENTRADA 2000 DN SALIDA 2000 (BL1+BL2=3800 MM) DN CHIMENEA  1200 (H=1550 MM), INCLUYE ESCALERA Y ACCESORIOS, NO INCLUYE TRANSPORTE NI TUBERÍA. SUMINISTRO</v>
          </cell>
          <cell r="I2805" t="str">
            <v>UN</v>
          </cell>
          <cell r="J2805">
            <v>41716584</v>
          </cell>
        </row>
        <row r="2806">
          <cell r="G2806">
            <v>12345</v>
          </cell>
          <cell r="H2806" t="str">
            <v>ALQUILER SOPLETE GAS 2,5 CM BOQUILLA DIÁMETRO CON GATILLO QUEMADOR DISCOVER</v>
          </cell>
          <cell r="I2806" t="str">
            <v>UN/DIA</v>
          </cell>
          <cell r="J2806">
            <v>10863</v>
          </cell>
        </row>
        <row r="2807">
          <cell r="G2807">
            <v>12346</v>
          </cell>
          <cell r="H2807" t="str">
            <v>RECARGA DE CILINDRO DE GAS 40 LB</v>
          </cell>
          <cell r="I2807" t="str">
            <v>UN</v>
          </cell>
          <cell r="J2807">
            <v>81635</v>
          </cell>
        </row>
        <row r="2808">
          <cell r="G2808">
            <v>12347</v>
          </cell>
          <cell r="H2808" t="str">
            <v>MANTO ASFÁLTICO IMPERMEABILIZANTE HDPE + FP 250</v>
          </cell>
          <cell r="I2808" t="str">
            <v>ROLLO</v>
          </cell>
          <cell r="J2808">
            <v>285576</v>
          </cell>
        </row>
        <row r="2809">
          <cell r="G2809">
            <v>12348</v>
          </cell>
          <cell r="H2809" t="str">
            <v>EMULSIÓN ASFÁLTICA IMPERMEABILIZANTE ED-9 - Impermeabilización y reparación de humedad. (Tambor de 55 galones)</v>
          </cell>
          <cell r="I2809" t="str">
            <v>GLN</v>
          </cell>
          <cell r="J2809">
            <v>642600</v>
          </cell>
        </row>
        <row r="2810">
          <cell r="G2810">
            <v>12349</v>
          </cell>
          <cell r="H2810" t="str">
            <v>COPA T11 4X2 PULG GRAMOS 24 DESBASTE CARBONO</v>
          </cell>
          <cell r="I2810" t="str">
            <v>UN</v>
          </cell>
          <cell r="J2810">
            <v>45432</v>
          </cell>
        </row>
        <row r="2811">
          <cell r="G2811">
            <v>12350</v>
          </cell>
          <cell r="H2811" t="str">
            <v>ANDAMIO CERTIFICADO MULTIDIRECCIONAL, 1 TORRE, SECCIÓN  DE 1.4 X 1.4 M, ALTURA DE ANDAMIO 3 M</v>
          </cell>
          <cell r="I2811" t="str">
            <v>DIA</v>
          </cell>
          <cell r="J2811">
            <v>15765</v>
          </cell>
        </row>
        <row r="2812">
          <cell r="G2812">
            <v>12351</v>
          </cell>
          <cell r="H2812" t="str">
            <v>TEJIDO DE FIBRA DE CARBONO PARA REFORZAMIENTO ESTRUCTURAL. Rollo de 50cm x 100M</v>
          </cell>
          <cell r="I2812" t="str">
            <v>ROLLO</v>
          </cell>
          <cell r="J2812">
            <v>12252126</v>
          </cell>
        </row>
        <row r="2813">
          <cell r="G2813">
            <v>12352</v>
          </cell>
          <cell r="H2813" t="str">
            <v>MORTERO SIN CONTRACCIÓN PARA ANCLAJES Y RELLENOS DE PRECISIÓN</v>
          </cell>
          <cell r="I2813" t="str">
            <v>BULTO</v>
          </cell>
          <cell r="J2813">
            <v>150900</v>
          </cell>
        </row>
        <row r="2814">
          <cell r="G2814">
            <v>12353</v>
          </cell>
          <cell r="H2814" t="str">
            <v>APOYO ELASTOMÉRICO D60 400MM X 69MM CON 5 PLATINAS DE REFUERZO INTERNO</v>
          </cell>
          <cell r="I2814" t="str">
            <v>UN</v>
          </cell>
          <cell r="J2814">
            <v>963900</v>
          </cell>
        </row>
        <row r="2815">
          <cell r="G2815">
            <v>12355</v>
          </cell>
          <cell r="H2815" t="str">
            <v>ANDAMIO CERTIFICADO MULTIDIRECCIONAL, 1 TORRE, SECCIÓN  DE 1.4 X 1.4 M, ALTURA DE ANDAMIO 4 M</v>
          </cell>
          <cell r="I2815" t="str">
            <v>DIA</v>
          </cell>
          <cell r="J2815">
            <v>22003</v>
          </cell>
        </row>
        <row r="2816">
          <cell r="G2816">
            <v>12356</v>
          </cell>
          <cell r="H2816" t="str">
            <v>LÁMINA HR 8mm x 20"A588 GR B/A709 GR 50/W</v>
          </cell>
          <cell r="I2816" t="str">
            <v>KG</v>
          </cell>
          <cell r="J2816">
            <v>12149</v>
          </cell>
        </row>
        <row r="2817">
          <cell r="G2817">
            <v>12357</v>
          </cell>
          <cell r="H2817" t="str">
            <v>BOTIQUIN TIPO A DOTADO PORTATIL</v>
          </cell>
          <cell r="I2817" t="str">
            <v>UN</v>
          </cell>
          <cell r="J2817">
            <v>88000</v>
          </cell>
        </row>
        <row r="2818">
          <cell r="G2818">
            <v>12358</v>
          </cell>
          <cell r="H2818" t="str">
            <v xml:space="preserve">APOYOS DE NEOPRENO DE 500mm x 400mm x 50mm Dureza 60. Con refuerzo de 2 láminas de 1/4" </v>
          </cell>
          <cell r="I2818" t="str">
            <v>UN</v>
          </cell>
          <cell r="J2818">
            <v>702100</v>
          </cell>
        </row>
        <row r="2819">
          <cell r="G2819">
            <v>12359</v>
          </cell>
          <cell r="H2819" t="str">
            <v>Ejecución de las obras y actividades complementarias para el reforzamiento estructural de puentes vehiculares en Bogotá D.C. Grupo C - VÁLVULA TIPO MARIPOSA DOBLE EXCENTRICIDAD SIN ACTUADOR 150PSI DE Ø20"</v>
          </cell>
          <cell r="I2819" t="str">
            <v>UN</v>
          </cell>
          <cell r="J2819">
            <v>27206489</v>
          </cell>
        </row>
        <row r="2820">
          <cell r="G2820">
            <v>12360</v>
          </cell>
          <cell r="H2820"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I2820" t="str">
            <v>UN</v>
          </cell>
          <cell r="J2820">
            <v>6580224</v>
          </cell>
        </row>
        <row r="2821">
          <cell r="G2821">
            <v>12361</v>
          </cell>
          <cell r="H2821"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I2821" t="str">
            <v>UN</v>
          </cell>
          <cell r="J2821">
            <v>4401453</v>
          </cell>
        </row>
        <row r="2822">
          <cell r="G2822">
            <v>12362</v>
          </cell>
          <cell r="H2822" t="str">
            <v>Ejecución de las obras y actividades complementarias para el reforzamiento estructural de puentes vehiculares en Bogotá D.C. Grupo C: IZAJE DE VIGA PARA REEMPLAZO DE APOYOS DE NEOPRENO, CON SISTEMA HIDRÁULICO SINCRÓNICO</v>
          </cell>
          <cell r="I2822" t="str">
            <v>UN</v>
          </cell>
          <cell r="J2822">
            <v>4076000</v>
          </cell>
        </row>
        <row r="2823">
          <cell r="G2823">
            <v>12363</v>
          </cell>
          <cell r="H2823" t="str">
            <v>Pretil metálico PMH-13</v>
          </cell>
          <cell r="I2823" t="str">
            <v>ML</v>
          </cell>
          <cell r="J2823">
            <v>1551649</v>
          </cell>
        </row>
        <row r="2824">
          <cell r="G2824">
            <v>12364</v>
          </cell>
          <cell r="H2824" t="str">
            <v>REFORZAMIENTO PUENTES VEHICULARES SOBRE LA AV CIUDAD DE QUITO Y CENTENARIO -CTO 1436 DE 2017, SIKADUR - 35 Hi_Mod LV</v>
          </cell>
          <cell r="I2824" t="str">
            <v>KG</v>
          </cell>
          <cell r="J2824">
            <v>173712</v>
          </cell>
        </row>
        <row r="2825">
          <cell r="G2825">
            <v>12365</v>
          </cell>
          <cell r="H2825" t="str">
            <v>REFORZAMIENTO PUENTES VEHICULARES SOBRE LA AV CIUDAD DE QUITO Y CENTENARIO -CTO 1436 DE 2017, SIKACOLOR 555W</v>
          </cell>
          <cell r="I2825" t="str">
            <v>KG</v>
          </cell>
          <cell r="J2825">
            <v>40425</v>
          </cell>
        </row>
        <row r="2826">
          <cell r="G2826">
            <v>12366</v>
          </cell>
          <cell r="H2826"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I2826" t="str">
            <v>ML</v>
          </cell>
          <cell r="J2826">
            <v>1793167</v>
          </cell>
        </row>
        <row r="2827">
          <cell r="G2827">
            <v>12367</v>
          </cell>
          <cell r="H2827"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I2827" t="str">
            <v>ML</v>
          </cell>
          <cell r="J2827">
            <v>2069383</v>
          </cell>
        </row>
        <row r="2828">
          <cell r="G2828">
            <v>12368</v>
          </cell>
          <cell r="H2828" t="str">
            <v>REFORZAMIENTO PUENTES VEHICULARES SOBRE LA AV CIUDAD DE QUITO Y CENTENARIO -CTO 1436 DE 2017, CESPEDONES</v>
          </cell>
          <cell r="I2828" t="str">
            <v>M2</v>
          </cell>
          <cell r="J2828">
            <v>3100</v>
          </cell>
        </row>
        <row r="2829">
          <cell r="G2829">
            <v>12369</v>
          </cell>
          <cell r="H2829" t="str">
            <v>REFORZAMIENTO PUENTES VEHICULARES SOBRE LA AV CIUDAD DE QUITO Y CENTENARIO -CTO 1436 DE 2017, TORONES POSTENSADOS PARA REFORZAMIENTO EXTERNO DE 1/2" TENSIONADO 16,9 TON. SUMINISTRO E INSTALACIÓN, TENSIONAMIENTO, MANO DE OBRA, EQUIPOS EN GENERAL.</v>
          </cell>
          <cell r="I2829" t="str">
            <v>ML</v>
          </cell>
          <cell r="J2829">
            <v>17816</v>
          </cell>
        </row>
        <row r="2830">
          <cell r="G2830">
            <v>12370</v>
          </cell>
          <cell r="H2830" t="str">
            <v>REFORZAMIENTO PUENTES VEHICULARES SOBRE LA AV CIUDAD DE QUITO Y CENTENARIO -CTO 1436 DE 2017, TORON Ø 5/8" ADHERIDO ASTM 416, GRADO 270K, baja relación (vigas nuevas)</v>
          </cell>
          <cell r="I2830" t="str">
            <v>ML</v>
          </cell>
          <cell r="J2830">
            <v>11545</v>
          </cell>
        </row>
        <row r="2831">
          <cell r="G2831">
            <v>12371</v>
          </cell>
          <cell r="H2831" t="str">
            <v>REFORZAMIENTO PUENTES VEHICULARES SOBRE LA AV CIUDAD DE QUITO Y CENTENARIO -CTO 1436 DE 2017, TEE HD EXTREMO LISO 20" x 20" (500X500mm)</v>
          </cell>
          <cell r="I2831" t="str">
            <v>UN</v>
          </cell>
          <cell r="J2831">
            <v>8449000</v>
          </cell>
        </row>
        <row r="2832">
          <cell r="G2832">
            <v>12372</v>
          </cell>
          <cell r="H2832" t="str">
            <v>REFORZAMIENTO PUENTES VEHICULARES SOBRE LA AV CIUDAD DE QUITO Y CENTENARIO -CTO 1436 DE 2017, VALVULA PURGA D = 4"</v>
          </cell>
          <cell r="I2832" t="str">
            <v>UN</v>
          </cell>
          <cell r="J2832">
            <v>912580</v>
          </cell>
        </row>
        <row r="2833">
          <cell r="G2833">
            <v>12373</v>
          </cell>
          <cell r="H2833" t="str">
            <v>CONCRETO MR45 (350 Kg/cm2) ACELERADO 7 DÍAS</v>
          </cell>
          <cell r="I2833" t="str">
            <v>M3</v>
          </cell>
          <cell r="J2833">
            <v>618800</v>
          </cell>
        </row>
        <row r="2834">
          <cell r="G2834">
            <v>12374</v>
          </cell>
          <cell r="H2834" t="str">
            <v>MORTERO IMPERMEABLE PARA REPARACIONES ESTRUCTURALES MODIFICADO CON RESINA ACRÍLICA DE DOS COMPONENTES</v>
          </cell>
          <cell r="I2834" t="str">
            <v>KG</v>
          </cell>
          <cell r="J2834">
            <v>8613</v>
          </cell>
        </row>
        <row r="2835">
          <cell r="G2835">
            <v>12375</v>
          </cell>
          <cell r="H2835" t="str">
            <v>CODO EN ACERO Ø24" ENTRE 67 1/2° Y 90° JUNTA ESPIGO Y CAMPANA, CON EMPAQUE DE CAUCHO, CON REVEST.INT. Y RECUBR. EXT. EN MORTERO DE CEMENTO. L= 1.65m x 1.65m</v>
          </cell>
          <cell r="I2835" t="str">
            <v>UN</v>
          </cell>
          <cell r="J2835">
            <v>8994957</v>
          </cell>
        </row>
        <row r="2836">
          <cell r="G2836">
            <v>12376</v>
          </cell>
          <cell r="H2836" t="str">
            <v>TAPON DE ACERO 16" SOLDADO</v>
          </cell>
          <cell r="I2836" t="str">
            <v>UN</v>
          </cell>
          <cell r="J2836">
            <v>442014</v>
          </cell>
        </row>
        <row r="2837">
          <cell r="G2837">
            <v>12377</v>
          </cell>
          <cell r="H2837" t="str">
            <v>REDUCCIÓN EN ACERO Ø 20" x 16" CON ESPIGO Ø 20" Y CAMPANA Ø 16, REVESTIDA INTERIOR Y EXTERIOR CON MORTERO CEMENTO. L= 0.58m PRESIÓN DE TRABAJO= 150 PSI</v>
          </cell>
          <cell r="I2837" t="str">
            <v>UN</v>
          </cell>
          <cell r="J2837">
            <v>2935020</v>
          </cell>
        </row>
        <row r="2838">
          <cell r="G2838">
            <v>12378</v>
          </cell>
          <cell r="H2838" t="str">
            <v>Proyecto factibilidad, estudios y diseños para la construcción de los puntos inestables de la vía Bogotá - La Calera: CONCRETO CELULAR DE 1500 psi 28 días. Incluye servicio de Autobomba</v>
          </cell>
          <cell r="I2838" t="str">
            <v>M3</v>
          </cell>
          <cell r="J2838">
            <v>403609</v>
          </cell>
        </row>
        <row r="2839">
          <cell r="G2839">
            <v>12379</v>
          </cell>
          <cell r="H2839"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I2839" t="str">
            <v>GLB</v>
          </cell>
          <cell r="J2839">
            <v>53265610</v>
          </cell>
        </row>
        <row r="2840">
          <cell r="G2840">
            <v>12380</v>
          </cell>
          <cell r="H2840"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I2840" t="str">
            <v>UN</v>
          </cell>
          <cell r="J2840">
            <v>279888</v>
          </cell>
        </row>
        <row r="2841">
          <cell r="G2841">
            <v>12381</v>
          </cell>
          <cell r="H2841" t="str">
            <v>MEZCLA ASFÁLTICA EN CALIENTE TIPO MS 20 CON ADICIÓN DE FIBRA SINTÉTICA DE ALTA RESISTENCIA (ARAMIDA Y POLIOLEFINA). ENTREGADA EN PLANTA</v>
          </cell>
          <cell r="I2841" t="str">
            <v>M3</v>
          </cell>
          <cell r="J2841">
            <v>618464</v>
          </cell>
        </row>
        <row r="2842">
          <cell r="G2842">
            <v>12382</v>
          </cell>
          <cell r="H2842" t="str">
            <v>MICROFIBRA DE POLIPROPILENO PARA CONCRETO Y MORTERO CON PLASTIFICANTE EN POLVO</v>
          </cell>
          <cell r="I2842" t="str">
            <v>KG</v>
          </cell>
          <cell r="J2842">
            <v>29833</v>
          </cell>
        </row>
        <row r="2843">
          <cell r="G2843">
            <v>12383</v>
          </cell>
          <cell r="H2843" t="str">
            <v>JUNTA DE DILATACIÓN ELASTOMÉRICA 160 MOVIMIENTO 160mm+/-80mm</v>
          </cell>
          <cell r="I2843" t="str">
            <v>ML</v>
          </cell>
          <cell r="J2843">
            <v>1148350</v>
          </cell>
        </row>
        <row r="2844">
          <cell r="G2844">
            <v>12384</v>
          </cell>
          <cell r="H2844" t="str">
            <v>JUNTA DE DILATACIÓN ELASTOMÉRICA 230 MOVIMIENTO 230mm+/-115mm</v>
          </cell>
          <cell r="I2844" t="str">
            <v>ML</v>
          </cell>
          <cell r="J2844">
            <v>2679126</v>
          </cell>
        </row>
        <row r="2845">
          <cell r="G2845">
            <v>12386</v>
          </cell>
          <cell r="H2845"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I2845" t="str">
            <v>ML</v>
          </cell>
          <cell r="J2845">
            <v>2298790</v>
          </cell>
        </row>
        <row r="2846">
          <cell r="G2846">
            <v>12387</v>
          </cell>
          <cell r="H2846" t="str">
            <v>Ampliacion puente vehicular calle 153 por Autonorte - Ecomuro 40x40x20 cm Mamposteria</v>
          </cell>
          <cell r="I2846" t="str">
            <v>UN</v>
          </cell>
          <cell r="J2846">
            <v>10115</v>
          </cell>
        </row>
        <row r="2847">
          <cell r="G2847">
            <v>12388</v>
          </cell>
          <cell r="H2847" t="str">
            <v>Ampliacion puente vehicular calle 153 por Autonorte - Lamina súper T formaleta 1200 x 1600 x 15 mm</v>
          </cell>
          <cell r="I2847" t="str">
            <v>M2</v>
          </cell>
          <cell r="J2847">
            <v>22427</v>
          </cell>
        </row>
        <row r="2848">
          <cell r="G2848">
            <v>12389</v>
          </cell>
          <cell r="H2848" t="str">
            <v>Ampliacion puente vehicular calle 153 por Autonorte - Pruebas PIT a pilotes de 0.50-0.60m de diámetro</v>
          </cell>
          <cell r="I2848" t="str">
            <v>UN</v>
          </cell>
          <cell r="J2848">
            <v>160844</v>
          </cell>
        </row>
        <row r="2849">
          <cell r="G2849">
            <v>12390</v>
          </cell>
          <cell r="H2849" t="str">
            <v xml:space="preserve">Conteo cualitativo y cuantitativo de fitolitos en las muestras de suelo, interpretando y reconstruyendo el contexto arqueobótanico. </v>
          </cell>
          <cell r="I2849" t="str">
            <v>UN</v>
          </cell>
          <cell r="J2849">
            <v>1885000</v>
          </cell>
        </row>
        <row r="2850">
          <cell r="G2850">
            <v>12391</v>
          </cell>
          <cell r="H2850" t="str">
            <v>Datación por Carbono 14 y extracción de colageno oseo.</v>
          </cell>
          <cell r="I2850" t="str">
            <v>UN</v>
          </cell>
          <cell r="J2850">
            <v>2942431</v>
          </cell>
        </row>
        <row r="2851">
          <cell r="G2851">
            <v>12392</v>
          </cell>
          <cell r="H2851" t="str">
            <v>Transporte aereo , entrega más rapida, de una muestra de 5 kg, desde la ciudad de Bogota hasta Ciudad de Mexico</v>
          </cell>
          <cell r="I2851" t="str">
            <v>UN</v>
          </cell>
          <cell r="J2851">
            <v>1133965</v>
          </cell>
        </row>
        <row r="2852">
          <cell r="G2852">
            <v>12393</v>
          </cell>
          <cell r="H2852" t="str">
            <v>Elaboración, digitalización y descripción de sección delgada de fragmento ceramica.</v>
          </cell>
          <cell r="I2852" t="str">
            <v>MUESTRA</v>
          </cell>
          <cell r="J2852">
            <v>1106700</v>
          </cell>
        </row>
        <row r="2853">
          <cell r="G2853">
            <v>12394</v>
          </cell>
          <cell r="H2853" t="str">
            <v xml:space="preserve">Prueba de carga estatica en Pilote  hasta 100 Ton. ASTM D1143-07. Incluye Transporte de Equipos </v>
          </cell>
          <cell r="I2853" t="str">
            <v>UN</v>
          </cell>
          <cell r="J2853">
            <v>15291500</v>
          </cell>
        </row>
        <row r="2854">
          <cell r="G2854">
            <v>12396</v>
          </cell>
          <cell r="H2854" t="str">
            <v>Analisis Bioantropologico de  restos oseos humanos, cuarteta basica , informe y base de datos detallada. (Incluye limpieza y registro fotografico).</v>
          </cell>
          <cell r="I2854" t="str">
            <v>UN</v>
          </cell>
          <cell r="J2854">
            <v>1605888</v>
          </cell>
        </row>
        <row r="2855">
          <cell r="G2855">
            <v>12397</v>
          </cell>
          <cell r="H2855" t="str">
            <v>ASFALTO 60/70</v>
          </cell>
          <cell r="I2855" t="str">
            <v>M3</v>
          </cell>
          <cell r="J2855">
            <v>1753</v>
          </cell>
        </row>
        <row r="2856">
          <cell r="G2856">
            <v>12398</v>
          </cell>
          <cell r="H2856" t="str">
            <v>SUMINISTRO REFUERZO BARRA TITÁN 73-35, INCLUYE ACOPLES Y BROCA DE PERFORACIÓN</v>
          </cell>
          <cell r="I2856" t="str">
            <v>ML</v>
          </cell>
          <cell r="J2856">
            <v>576576</v>
          </cell>
        </row>
        <row r="2857">
          <cell r="G2857">
            <v>12399</v>
          </cell>
          <cell r="H2857" t="str">
            <v>TUBERÍA ESTRUCTURAL METÁLICA ASTM A-500 GRADO C PARA ENCAMISADO. DIÁMETRO EXTERIOR 220 MM Y ESPESOR DE PARED 8 mm</v>
          </cell>
          <cell r="I2857" t="str">
            <v>ML</v>
          </cell>
          <cell r="J2857">
            <v>380334</v>
          </cell>
        </row>
        <row r="2858">
          <cell r="G2858">
            <v>12400</v>
          </cell>
          <cell r="H2858" t="str">
            <v>Ejecución de Obras y actividades complementarias para el reforzamiento estructural de puentes vehiculares en Bogotá D.C. , EJECUCIÓN DE MICROPILOTES, INCLUYE PERFORACIÓN, LLENADO E INYECCIÓN HASTA 100 KG DE CEMENTO E INSTALACIÓN DE REFUERZO</v>
          </cell>
          <cell r="I2858" t="str">
            <v>ML</v>
          </cell>
          <cell r="J2858">
            <v>295270</v>
          </cell>
        </row>
        <row r="2859">
          <cell r="G2859">
            <v>12401</v>
          </cell>
          <cell r="H2859"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I2859" t="str">
            <v>UN</v>
          </cell>
          <cell r="J2859">
            <v>13875400</v>
          </cell>
        </row>
        <row r="2860">
          <cell r="G2860">
            <v>12402</v>
          </cell>
          <cell r="H2860"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I2860" t="str">
            <v>UN</v>
          </cell>
          <cell r="J2860">
            <v>4401453</v>
          </cell>
        </row>
        <row r="2861">
          <cell r="G2861">
            <v>12403</v>
          </cell>
          <cell r="H2861"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I2861" t="str">
            <v>UN</v>
          </cell>
          <cell r="J2861">
            <v>4684435</v>
          </cell>
        </row>
        <row r="2862">
          <cell r="G2862">
            <v>12404</v>
          </cell>
          <cell r="H2862" t="str">
            <v>FIBRA DE CARBONO UNIDIRECCIONAL DE ALTA RESISTENCIA. Rollos de 50 m2 / (Ancho: 0.50 m x Largo: 100 m) Peso por m2: 300 g.</v>
          </cell>
          <cell r="I2862" t="str">
            <v>ML</v>
          </cell>
          <cell r="J2862">
            <v>129185</v>
          </cell>
        </row>
        <row r="2863">
          <cell r="G2863">
            <v>12405</v>
          </cell>
          <cell r="H2863" t="str">
            <v>RESINA  DE IMPREGNACIÓN DE ALTO MÓDULO Y ALTA RESISTENCIA</v>
          </cell>
          <cell r="I2863" t="str">
            <v>KG</v>
          </cell>
          <cell r="J2863">
            <v>156538</v>
          </cell>
        </row>
        <row r="2864">
          <cell r="G2864">
            <v>12406</v>
          </cell>
          <cell r="H2864" t="str">
            <v>Ejecución de Obras y actividades complementarias para el reforzamiento estructural de puentes vehiculares en Bogotá D.C. , GEOBLOQUE EN POLIESTIRENO EXPANDIDO Densidad 30 Kg/M3 MEDIDAS 3,07m x 1,30m x 0,53m (2,12 M3).</v>
          </cell>
          <cell r="I2864" t="str">
            <v>M3</v>
          </cell>
          <cell r="J2864">
            <v>552160</v>
          </cell>
        </row>
        <row r="2865">
          <cell r="G2865">
            <v>12407</v>
          </cell>
          <cell r="H2865"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I2865" t="str">
            <v>UN</v>
          </cell>
          <cell r="J2865">
            <v>88298</v>
          </cell>
        </row>
        <row r="2866">
          <cell r="G2866">
            <v>12408</v>
          </cell>
          <cell r="H2866"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I2866" t="str">
            <v>UN</v>
          </cell>
          <cell r="J2866">
            <v>10056</v>
          </cell>
        </row>
        <row r="2867">
          <cell r="G2867">
            <v>12410</v>
          </cell>
          <cell r="H2867" t="str">
            <v>Ampliacion puente vehicular calle 153 por Autonorte - Prueba de carga para puente vehicular.  Incluye nivelación de precisión e informe.  No incluye señalización, vigilancia, permisos, cargas necesarias para la prueba ni el pesaje de las cargas.</v>
          </cell>
          <cell r="I2867" t="str">
            <v>UN</v>
          </cell>
          <cell r="J2867">
            <v>94129089</v>
          </cell>
        </row>
        <row r="2868">
          <cell r="G2868">
            <v>12411</v>
          </cell>
          <cell r="H2868" t="str">
            <v>Ampliacion puente vehicular calle 153 por Autonorte - Prueba dinámica PDA (dirección, instrumentación, toma de señales, análisis CAPWAP e informe)</v>
          </cell>
          <cell r="I2868" t="str">
            <v>UN</v>
          </cell>
          <cell r="J2868">
            <v>5355000</v>
          </cell>
        </row>
        <row r="2869">
          <cell r="G2869">
            <v>12412</v>
          </cell>
          <cell r="H2869" t="str">
            <v>Ampliacion puente vehicular calle 153 por Autonorte - CENIZA VOLANTE</v>
          </cell>
          <cell r="I2869" t="str">
            <v>M3</v>
          </cell>
          <cell r="J2869">
            <v>48195</v>
          </cell>
        </row>
        <row r="2870">
          <cell r="G2870">
            <v>12413</v>
          </cell>
          <cell r="H2870" t="str">
            <v>Ampliacion puente vehicular calle 153 por Autonorte - BASE ESTABILIZADA CON ASFALTO EN CALIENTE MGEA-A ENTREGADA EN PLANTA</v>
          </cell>
          <cell r="I2870" t="str">
            <v>M3</v>
          </cell>
          <cell r="J2870">
            <v>362950</v>
          </cell>
        </row>
        <row r="2871">
          <cell r="G2871">
            <v>12414</v>
          </cell>
          <cell r="H2871" t="str">
            <v>CONSTRUCCIÓN, TRANSPORTE Y SUMINISTRO DE BICICLETERO EN TUBO METÁLICO AGUA NEGRA DE 1 1/4" x 2,5 mm DESARROLLO 2,50m PLATINA DE ANCLAJE DE 4" x 4" x 1/4" TORNILLOS EXPANSIVO DE 3 1/4" x 1/4", PINTURA ELECTROSTÁTICA</v>
          </cell>
          <cell r="I2871" t="str">
            <v>UN</v>
          </cell>
          <cell r="J2871">
            <v>95903</v>
          </cell>
        </row>
        <row r="2872">
          <cell r="G2872">
            <v>12415</v>
          </cell>
          <cell r="H2872" t="str">
            <v>SUMINISTRO DE BICICLETERO EN TUBO DE 1 1/2” CAL 3mm. ACERO INOXIDABLE, TERMINACIÓN COLOR NATURAL</v>
          </cell>
          <cell r="I2872" t="str">
            <v>UN</v>
          </cell>
          <cell r="J2872">
            <v>261800</v>
          </cell>
        </row>
        <row r="2873">
          <cell r="G2873">
            <v>12416</v>
          </cell>
          <cell r="H2873"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I2873" t="str">
            <v>M2</v>
          </cell>
          <cell r="J2873">
            <v>20</v>
          </cell>
        </row>
        <row r="2874">
          <cell r="G2874">
            <v>12417</v>
          </cell>
          <cell r="H2874"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I2874" t="str">
            <v>M2</v>
          </cell>
          <cell r="J2874">
            <v>99</v>
          </cell>
        </row>
        <row r="2875">
          <cell r="G2875">
            <v>12418</v>
          </cell>
          <cell r="H2875"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I2875" t="str">
            <v>UN</v>
          </cell>
          <cell r="J2875">
            <v>12078500</v>
          </cell>
        </row>
        <row r="2876">
          <cell r="G2876">
            <v>12419</v>
          </cell>
          <cell r="H2876"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I2876" t="str">
            <v>UN</v>
          </cell>
          <cell r="J2876">
            <v>11387917</v>
          </cell>
        </row>
        <row r="2877">
          <cell r="G2877">
            <v>12420</v>
          </cell>
          <cell r="H2877" t="str">
            <v>Estudios y diseños de diagnostico estructural y actualización Sísmica puentes contrato IDU 1574. Monitoreo de Piezómetro de Hilo Vibrátil (Incluye visita e informe semanal y alerta cuando la presión sea superior a 6t/m2)</v>
          </cell>
          <cell r="I2877" t="str">
            <v>VISITA</v>
          </cell>
          <cell r="J2877">
            <v>297500</v>
          </cell>
        </row>
        <row r="2878">
          <cell r="G2878">
            <v>12421</v>
          </cell>
          <cell r="H2878"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I2878" t="str">
            <v>VISITA</v>
          </cell>
          <cell r="J2878">
            <v>218575</v>
          </cell>
        </row>
        <row r="2879">
          <cell r="G2879">
            <v>12422</v>
          </cell>
          <cell r="H2879" t="str">
            <v>AMPLIACION PUENTE VEHICULAR CALLE 153 POR AUTONORTE - ADITIVO PARA PUENTE DE ADHERENCIA DE CONCRETO FRESCO A ENDURECIDO</v>
          </cell>
          <cell r="I2879" t="str">
            <v>UN</v>
          </cell>
          <cell r="J2879">
            <v>85855</v>
          </cell>
        </row>
        <row r="2880">
          <cell r="G2880">
            <v>12423</v>
          </cell>
          <cell r="H2880" t="str">
            <v>AMPLIACION PUENTE VEHICULAR CALLE 153 POR AUTONORTE - SUMINISTRO E INSTALACION JUNTA DE DILATACIÓN MOVIMIENTO TOTAL 180mm (+/-90mm)</v>
          </cell>
          <cell r="I2880" t="str">
            <v>UN</v>
          </cell>
          <cell r="J2880">
            <v>3129450</v>
          </cell>
        </row>
        <row r="2881">
          <cell r="G2881">
            <v>12424</v>
          </cell>
          <cell r="H2881" t="str">
            <v>AMPLIACION PUENTE VEHICULAR CALLE 153 POR AUTONORTE - INCLINOMETRO EN TERRENO L=20 METROS (INCLUYE PERFORACION, SUMINISTRO E INSTALACION)</v>
          </cell>
          <cell r="I2881" t="str">
            <v>UN</v>
          </cell>
          <cell r="J2881">
            <v>4848333</v>
          </cell>
        </row>
        <row r="2882">
          <cell r="G2882">
            <v>12425</v>
          </cell>
          <cell r="H2882" t="str">
            <v>AMPLIACION PUENTE VEHICULAR CALLE 153 POR AUTONORTE - PIEZOMETROS DE TUBO ABIERTO TIPO CASAGRANDE L=20 METROS (INCLUYE PERFORACION, SUMINISTRO)</v>
          </cell>
          <cell r="I2882" t="str">
            <v>UN/MES</v>
          </cell>
          <cell r="J2882">
            <v>2796315</v>
          </cell>
        </row>
        <row r="2883">
          <cell r="G2883">
            <v>12426</v>
          </cell>
          <cell r="H2883" t="str">
            <v>AMPLIACION PUENTE VEHICULAR CALLE 153 POR AUTONORTE - EXTENSOMETROS FIJOS DE VARILLA DE 20 METROS CON PUNTO DE LECTURA MANUAL Y UNA SOLA POSICION (INCLUYE PERFORACION, LECTURA E INFORME; NO INCLUYE TOPOGRAFIA)</v>
          </cell>
          <cell r="I2883" t="str">
            <v>UN</v>
          </cell>
          <cell r="J2883">
            <v>5055603</v>
          </cell>
        </row>
        <row r="2884">
          <cell r="G2884">
            <v>12428</v>
          </cell>
          <cell r="H2884" t="str">
            <v>FUMIGADORA DE ESPALDA. ASPERSOR BOMBA MANUAL 20 LITROS. DESINFECCIÓN._(Según Apéndice Bioseguridad Covid 19_V1 y V2)</v>
          </cell>
          <cell r="I2884" t="str">
            <v>UN</v>
          </cell>
          <cell r="J2884">
            <v>79748</v>
          </cell>
        </row>
        <row r="2885">
          <cell r="G2885">
            <v>12429</v>
          </cell>
          <cell r="H2885" t="str">
            <v>TAPABOCAS N95 SIN FILTRO._(Según Apéndice Bioseguridad Covid 19_V1 y V2)</v>
          </cell>
          <cell r="I2885" t="str">
            <v>UN</v>
          </cell>
          <cell r="J2885">
            <v>2800</v>
          </cell>
        </row>
        <row r="2886">
          <cell r="G2886">
            <v>12430</v>
          </cell>
          <cell r="H2886" t="str">
            <v>GEL ANTIBACTERIAL Antiséptico para manos sin enjuague, a base de glicerina, alcohol antiséptico al 70%, contenido máx. de agua 30%._(Según Apéndice Bioseguridad Covid 19_V1 y V2)</v>
          </cell>
          <cell r="I2886" t="str">
            <v>LT</v>
          </cell>
          <cell r="J2886">
            <v>9368</v>
          </cell>
        </row>
        <row r="2887">
          <cell r="G2887">
            <v>12431</v>
          </cell>
          <cell r="H2887" t="str">
            <v>BOLSA PARA BASURA TIPO INDUSTRIAL NEGRA DE 60 x 90 Cm CALIBRE 2 (PAQUETE DE 30 UNIDADES)_(Según Apéndice Bioseguridad Covid 19_V2)</v>
          </cell>
          <cell r="I2887" t="str">
            <v>UN</v>
          </cell>
          <cell r="J2887">
            <v>10042</v>
          </cell>
        </row>
        <row r="2888">
          <cell r="G2888">
            <v>12432</v>
          </cell>
          <cell r="H2888" t="str">
            <v>RECOLECCION, TRANSPORTE Y DISPOSICION DE RESIDUOS LÍQUIDOS PROVENIENTES DE LAVAMANOS PORTATILES. (INCLUYE EQUIPO DE SUCCIÓN)_(Según Apéndice Bioseguridad Covid 19_V2)</v>
          </cell>
          <cell r="I2888" t="str">
            <v>M3</v>
          </cell>
          <cell r="J2888">
            <v>250000</v>
          </cell>
        </row>
        <row r="2889">
          <cell r="G2889">
            <v>12434</v>
          </cell>
          <cell r="H2889" t="str">
            <v>HIPOCLORITO AL 5%._(Según Apéndice Bioseguridad Covid 19_V1 y V2)</v>
          </cell>
          <cell r="I2889" t="str">
            <v>LT</v>
          </cell>
          <cell r="J2889">
            <v>1902</v>
          </cell>
        </row>
        <row r="2890">
          <cell r="G2890">
            <v>12435</v>
          </cell>
          <cell r="H2890" t="str">
            <v>BOTIQUÍN TIPO A DOTADO PORTÁTIL_(Según Apéndice Bioseguridad Covid 19_V2)</v>
          </cell>
          <cell r="I2890" t="str">
            <v>UN</v>
          </cell>
          <cell r="J2890">
            <v>88000</v>
          </cell>
        </row>
        <row r="2891">
          <cell r="G2891">
            <v>12436</v>
          </cell>
          <cell r="H2891" t="str">
            <v>JABÓN LIQUIDO PARA MANOS._(Según Apéndice Bioseguridad Covid 19_V1 y V2)</v>
          </cell>
          <cell r="I2891" t="str">
            <v>GLN</v>
          </cell>
          <cell r="J2891">
            <v>20500</v>
          </cell>
        </row>
        <row r="2892">
          <cell r="G2892">
            <v>12437</v>
          </cell>
          <cell r="H2892" t="str">
            <v>RESPIRADOR ELASTOMÉRICO MEDIA CARA_(Según Apéndice Bioseguridad Covid 19)</v>
          </cell>
          <cell r="I2892" t="str">
            <v>UN</v>
          </cell>
          <cell r="J2892">
            <v>36891</v>
          </cell>
        </row>
        <row r="2893">
          <cell r="G2893">
            <v>12438</v>
          </cell>
          <cell r="H2893" t="str">
            <v>BOTIQUÍN TIPO B DOTADO PORTÁTIL_(Según Apéndice Bioseguridad Covid 19_V1)</v>
          </cell>
          <cell r="I2893" t="str">
            <v>UN</v>
          </cell>
          <cell r="J2893">
            <v>339900</v>
          </cell>
        </row>
        <row r="2894">
          <cell r="G2894">
            <v>12439</v>
          </cell>
          <cell r="H2894" t="str">
            <v>LAVAMANOS PORTÁTIL EN ACERO INOXIDABLE CON DOS TANQUES PARA AGUA LIMPIA Y RESIDUAL DE 20 LT C/U. _(Según Apéndice Bioseguridad Covid 19_V1)</v>
          </cell>
          <cell r="I2894" t="str">
            <v>UN</v>
          </cell>
          <cell r="J2894">
            <v>882353</v>
          </cell>
        </row>
        <row r="2895">
          <cell r="G2895">
            <v>12440</v>
          </cell>
          <cell r="H2895" t="str">
            <v>CALIBRACION TERMOMETRO DIGITAL_(Según Apéndice Bioseguridad Covid 19_V2)</v>
          </cell>
          <cell r="I2895" t="str">
            <v>UN</v>
          </cell>
          <cell r="J2895">
            <v>154700</v>
          </cell>
        </row>
        <row r="2896">
          <cell r="G2896">
            <v>12441</v>
          </cell>
          <cell r="H2896" t="str">
            <v>CAMILLA EN FIBRA CON ARNÉS - INMOVILIZADOR Y SEÑAL ._(Según Apéndice Bioseguridad Covid 19_V1 y V2)</v>
          </cell>
          <cell r="I2896" t="str">
            <v>UN</v>
          </cell>
          <cell r="J2896">
            <v>126050</v>
          </cell>
        </row>
        <row r="2897">
          <cell r="G2897">
            <v>12442</v>
          </cell>
          <cell r="H2897" t="str">
            <v>CANECA PLÁSTICA CON TAPA 60 LTS_(Según Apéndice Bioseguridad Covid 19_V1 y V2)</v>
          </cell>
          <cell r="I2897" t="str">
            <v>UN</v>
          </cell>
          <cell r="J2897">
            <v>64622</v>
          </cell>
        </row>
        <row r="2898">
          <cell r="G2898">
            <v>12443</v>
          </cell>
          <cell r="H2898" t="str">
            <v>CARPA VESTIER 2.0m x 2.0m TECHO Y ESTRUCTURA CON LATERALES EN LONA._(Según Apéndice Bioseguridad Covid 19_V1 y V2)</v>
          </cell>
          <cell r="I2898" t="str">
            <v>UN</v>
          </cell>
          <cell r="J2898">
            <v>1050000</v>
          </cell>
        </row>
        <row r="2899">
          <cell r="G2899">
            <v>12444</v>
          </cell>
          <cell r="H2899" t="str">
            <v>CARROTANQUE IRRIGADOR DE AGUA-VIAJE._(Según Apéndice Bioseguridad Covid 19_V1 y V2)</v>
          </cell>
          <cell r="I2899" t="str">
            <v>VIAJE</v>
          </cell>
          <cell r="J2899">
            <v>210000</v>
          </cell>
        </row>
        <row r="2900">
          <cell r="G2900">
            <v>12445</v>
          </cell>
          <cell r="H2900" t="str">
            <v>CHALECO REFLECTIVO EN TELA._(Según Apéndice Bioseguridad Covid 19_V1 y V2)</v>
          </cell>
          <cell r="I2900" t="str">
            <v>UN</v>
          </cell>
          <cell r="J2900">
            <v>10900</v>
          </cell>
        </row>
        <row r="2901">
          <cell r="G2901">
            <v>12446</v>
          </cell>
          <cell r="H2901" t="str">
            <v>TERMOMETRO DIGITAL INFRAROJO PARA USO EN HUMANOS, LIBRE DE CONTACTO, IMPERMEABLE_(Según Apéndice Bioseguridad Covid 19_V2)</v>
          </cell>
          <cell r="I2901" t="str">
            <v>UN</v>
          </cell>
          <cell r="J2901">
            <v>110000</v>
          </cell>
        </row>
        <row r="2902">
          <cell r="G2902">
            <v>12447</v>
          </cell>
          <cell r="H2902" t="str">
            <v>TERMOMETRO INFRARROJO PARA USO EN HUMANOS, LIBRE DE CONTACTO, IMPERMEABLE._(Según Apéndice Bioseguridad Covid 19_V1)</v>
          </cell>
          <cell r="I2902" t="str">
            <v>UN</v>
          </cell>
          <cell r="J2902">
            <v>110000</v>
          </cell>
        </row>
        <row r="2903">
          <cell r="G2903">
            <v>12448</v>
          </cell>
          <cell r="H2903" t="str">
            <v>TOALLAS DE PAPEL PARA MANOS. TIPO Z. DOBLE HOJA. (PAQUETE 150 HOJAS)_(Según Apéndice Bioseguridad Covid 19_V1 y V2)</v>
          </cell>
          <cell r="I2903" t="str">
            <v>UN</v>
          </cell>
          <cell r="J2903">
            <v>4454</v>
          </cell>
        </row>
        <row r="2904">
          <cell r="G2904">
            <v>12450</v>
          </cell>
          <cell r="H2904" t="str">
            <v>PETO PVC - (Según Apéndice Bioseguridad Covid 19)</v>
          </cell>
          <cell r="I2904" t="str">
            <v>UN</v>
          </cell>
          <cell r="J2904">
            <v>11765</v>
          </cell>
        </row>
        <row r="2905">
          <cell r="G2905">
            <v>12451</v>
          </cell>
          <cell r="H2905" t="str">
            <v>MONOGAFAS CON VENTILACIÓN DIRECTA _(Según Apéndice Bioseguridad Covid 19)</v>
          </cell>
          <cell r="I2905" t="str">
            <v>PAR</v>
          </cell>
          <cell r="J2905">
            <v>7815</v>
          </cell>
        </row>
        <row r="2906">
          <cell r="G2906">
            <v>12452</v>
          </cell>
          <cell r="H2906" t="str">
            <v>APISONADOR MECÁNICO (CANGURO O SALTARÍN) - GOLPES POR MINUTO DE 585 A 808 - INCLUYE COMBUSTIBLE</v>
          </cell>
          <cell r="I2906" t="str">
            <v>DIA</v>
          </cell>
          <cell r="J2906">
            <v>79405</v>
          </cell>
        </row>
        <row r="2907">
          <cell r="G2907">
            <v>12453</v>
          </cell>
          <cell r="H2907" t="str">
            <v>VYNIPEL DE 50cm x 50cm CALIBRE 6 - (Según apéndice de Bioseguridad Covid 19)</v>
          </cell>
          <cell r="I2907" t="str">
            <v>ROLLO</v>
          </cell>
          <cell r="J2907">
            <v>18487</v>
          </cell>
        </row>
        <row r="2908">
          <cell r="G2908">
            <v>12454</v>
          </cell>
          <cell r="H2908" t="str">
            <v>MINICARGADOR CON MARTILLO HIDRÁULICO - GOLPES POR MINUTO DEL MARTILLO DE 700 A 944 - INCLUYE OPERARIO Y COMBUSTIBLE</v>
          </cell>
          <cell r="I2908" t="str">
            <v>HR</v>
          </cell>
          <cell r="J2908">
            <v>142937</v>
          </cell>
        </row>
        <row r="2909">
          <cell r="G2909">
            <v>12455</v>
          </cell>
          <cell r="H2909" t="str">
            <v>MOTOSOLDADOR - CORRIENTE DE SOLDADURA MÁXIMA DE 195 A 600 AMPERIOS - INCLUYE COMBUSTIBLE</v>
          </cell>
          <cell r="I2909" t="str">
            <v>DIA</v>
          </cell>
          <cell r="J2909">
            <v>118741</v>
          </cell>
        </row>
        <row r="2910">
          <cell r="G2910">
            <v>12456</v>
          </cell>
          <cell r="H2910" t="str">
            <v>LAVAMANOS PORTATIL DE PEDAL TIPO MANOS LIBRES._(Según Apéndice Bioseguridad Covid 19_V2)</v>
          </cell>
          <cell r="I2910" t="str">
            <v>UN</v>
          </cell>
          <cell r="J2910">
            <v>882353</v>
          </cell>
        </row>
        <row r="2911">
          <cell r="G2911">
            <v>12457</v>
          </cell>
          <cell r="H2911" t="str">
            <v>BIG BAG TELA POLIPROPILENO R220 GM/2 Rollo de 100m-100cm x 100cm x 160cm Solapa/Fondo Ciego. Reata 25/30 blancos (Según Apéndice Bioseguridad Covid 19)</v>
          </cell>
          <cell r="I2911" t="str">
            <v>UN</v>
          </cell>
          <cell r="J2911">
            <v>49930</v>
          </cell>
        </row>
        <row r="2912">
          <cell r="G2912">
            <v>12458</v>
          </cell>
          <cell r="H2912" t="str">
            <v>ROTOMARTILLO DEMOLEDOR - POTENCIA DE 1400 A 1600 WATTS</v>
          </cell>
          <cell r="I2912" t="str">
            <v>HR</v>
          </cell>
          <cell r="J2912">
            <v>10500</v>
          </cell>
        </row>
        <row r="2913">
          <cell r="G2913">
            <v>12459</v>
          </cell>
          <cell r="H2913" t="str">
            <v>BARREDORA MECÁNICA DE TIPO ROTATORIO AUTOPROPULSADA - VOLUMEN DE LA TOLVA DE 2 A 2.5 METROS CÚBICOS.</v>
          </cell>
          <cell r="I2913" t="str">
            <v>MES</v>
          </cell>
          <cell r="J2913">
            <v>55597552</v>
          </cell>
        </row>
        <row r="2914">
          <cell r="G2914">
            <v>12460</v>
          </cell>
          <cell r="H2914" t="str">
            <v>BULLDOZER MEDIANO - MASA DE 18 A 24 TONELADAS - INCLUYE OPERARIO Y COMBUSTIBLE</v>
          </cell>
          <cell r="I2914" t="str">
            <v>HR</v>
          </cell>
          <cell r="J2914">
            <v>255834</v>
          </cell>
        </row>
        <row r="2915">
          <cell r="G2915">
            <v>12461</v>
          </cell>
          <cell r="H2915" t="str">
            <v>CARGADOR FRONTAL - MASA DE 10 A 18 TONELADAS - VOLUMEN DEL BALDE DE 1.7 A 3.1 METROS CÚBICOS - INCLUYE OPERARIO Y COMBUSTIBLE</v>
          </cell>
          <cell r="I2915" t="str">
            <v>HR</v>
          </cell>
          <cell r="J2915">
            <v>266665</v>
          </cell>
        </row>
        <row r="2916">
          <cell r="G2916">
            <v>12462</v>
          </cell>
          <cell r="H2916" t="str">
            <v>VIBROCOMPACTADOR MIXTO (RODILLO + NEUMÁTICOS) MASA 2 A 3 TONELADAS - INCLUYE OPERARIO Y COMBUSTIBLE.</v>
          </cell>
          <cell r="I2916" t="str">
            <v>HR</v>
          </cell>
          <cell r="J2916">
            <v>174558</v>
          </cell>
        </row>
        <row r="2917">
          <cell r="G2917">
            <v>12463</v>
          </cell>
          <cell r="H2917" t="str">
            <v>CONCRETO DE TEMPERATURA CONTROLADA 44 MPa (420 Kg/cm2). Norma tecnica ET-2018 - 100</v>
          </cell>
          <cell r="I2917" t="str">
            <v>M3</v>
          </cell>
          <cell r="J2917">
            <v>585480</v>
          </cell>
        </row>
        <row r="2918">
          <cell r="G2918">
            <v>12464</v>
          </cell>
          <cell r="H2918" t="str">
            <v>CONCRETO DE TEMPERATURA CONTROLADA 28. Norma Tecnica ET-2018 - 99</v>
          </cell>
          <cell r="I2918" t="str">
            <v>M3</v>
          </cell>
          <cell r="J2918">
            <v>520030</v>
          </cell>
        </row>
        <row r="2919">
          <cell r="G2919">
            <v>12465</v>
          </cell>
          <cell r="H2919" t="str">
            <v>CONCRETO DE TEMPERATURA CONTROLADA 24 . Norma Tecnica ET-2018 - 98</v>
          </cell>
          <cell r="I2919" t="str">
            <v>M3</v>
          </cell>
          <cell r="J2919">
            <v>508130</v>
          </cell>
        </row>
        <row r="2920">
          <cell r="G2920">
            <v>12466</v>
          </cell>
          <cell r="H2920" t="str">
            <v>SUBBASE GRANULAR CLASE B  - SBG50 (SBGB_SBG50). Norma Tecnica ET-2018 - 122</v>
          </cell>
          <cell r="I2920" t="str">
            <v>M3</v>
          </cell>
          <cell r="J2920">
            <v>71400</v>
          </cell>
        </row>
        <row r="2921">
          <cell r="G2921">
            <v>12467</v>
          </cell>
          <cell r="H2921" t="str">
            <v>SUBBASE GRANULAR CLASE A  - SBG50 (SBGA_SBG50). Norma Tecnica ET-2018 - 123</v>
          </cell>
          <cell r="I2921" t="str">
            <v>M3</v>
          </cell>
          <cell r="J2921">
            <v>71400</v>
          </cell>
        </row>
        <row r="2922">
          <cell r="G2922">
            <v>12468</v>
          </cell>
          <cell r="H2922" t="str">
            <v>DETERMINACIÓN DE RESISTENCIA A HONGOS. Norma Técnica: ASTM G21</v>
          </cell>
          <cell r="I2922" t="str">
            <v>UN</v>
          </cell>
          <cell r="J2922">
            <v>1071000</v>
          </cell>
        </row>
        <row r="2923">
          <cell r="G2923">
            <v>12469</v>
          </cell>
          <cell r="H2923" t="str">
            <v>EFICIENCIA EN LA SOLDADURA. Norma Técnica: GRI-GS-13</v>
          </cell>
          <cell r="I2923" t="str">
            <v>UN</v>
          </cell>
          <cell r="J2923">
            <v>333200</v>
          </cell>
        </row>
        <row r="2924">
          <cell r="G2924">
            <v>12470</v>
          </cell>
          <cell r="H2924" t="str">
            <v>RESISTENCIA DE UNIONES O NODOS. Norma técnica: ASTM D7737 GRI GG2</v>
          </cell>
          <cell r="I2924" t="str">
            <v>UN</v>
          </cell>
          <cell r="J2924">
            <v>333200</v>
          </cell>
        </row>
        <row r="2925">
          <cell r="G2925">
            <v>12471</v>
          </cell>
          <cell r="H2925" t="str">
            <v>PRUEBA DE SANIDAD REALIZADA EN LABORATORIO (INCLUYE PROBETAS). Norma técnica: AWS D.1.1</v>
          </cell>
          <cell r="I2925" t="str">
            <v>UN</v>
          </cell>
          <cell r="J2925">
            <v>987585</v>
          </cell>
        </row>
        <row r="2926">
          <cell r="G2926">
            <v>12472</v>
          </cell>
          <cell r="H2926" t="str">
            <v>DESGASTE DE LAMINA EN ALUMINIO. Norma técnica: ASTM D3389</v>
          </cell>
          <cell r="I2926" t="str">
            <v>UN</v>
          </cell>
          <cell r="J2926">
            <v>991500</v>
          </cell>
        </row>
        <row r="2927">
          <cell r="G2927">
            <v>12473</v>
          </cell>
          <cell r="H2927" t="str">
            <v>DISPOSICIÓN FINAL DE RESIDUOS PELIGROSOS(MATERIALES CON CARACTERÍSTICAS DE PELIGROSIDAD TÓXICA, CORROSIVO, INFLAMABLES, EXPLOSIVOS Y/O ESPECIALES (RESIDUOS APROVECHABLES MEZCLADOS, COLCHONES, SOFÁS, F_(Según Apéndice Bioseguridad Covid 19)</v>
          </cell>
          <cell r="I2927" t="str">
            <v>KG</v>
          </cell>
          <cell r="J2927">
            <v>1411</v>
          </cell>
        </row>
        <row r="2928">
          <cell r="G2928">
            <v>12474</v>
          </cell>
          <cell r="H2928" t="str">
            <v>EFECTOS DEL CALOR Y DEL AIRE SOBRE EL ASFALTO EN LÁMINA DELGADA. Norma técnica: INVE 721-13</v>
          </cell>
          <cell r="I2928" t="str">
            <v>UN</v>
          </cell>
          <cell r="J2928">
            <v>535500</v>
          </cell>
        </row>
        <row r="2929">
          <cell r="G2929">
            <v>12475</v>
          </cell>
          <cell r="H2929" t="str">
            <v>ANÁLISIS VOLUMÉTRICO DE MEZCLAS ASFÁLTICAS COMPACTADAS EN CALIENTE. Norma técnica: INVE 799-13</v>
          </cell>
          <cell r="I2929" t="str">
            <v>UN</v>
          </cell>
          <cell r="J2929">
            <v>117810</v>
          </cell>
        </row>
        <row r="2930">
          <cell r="G2930">
            <v>12476</v>
          </cell>
          <cell r="H2930" t="str">
            <v>MÉTODO DE PRUEBA ESTÁNDAR PARA SODIO EN AGUA POR ESPECTROFOTOMETRÍA DE ABSORCIÓN ATÓMICA. Norma técnica: ASTM D4191</v>
          </cell>
          <cell r="I2930" t="str">
            <v>UN</v>
          </cell>
          <cell r="J2930">
            <v>28560</v>
          </cell>
        </row>
        <row r="2931">
          <cell r="G2931">
            <v>12477</v>
          </cell>
          <cell r="H2931" t="str">
            <v>MÉTODO DE PRUEBA ESTÁNDAR PARA POTASIO EN AGUA POR ESPECTROFOTOMETRÍA DE ABSORCIÓN ATÓMICA. Norma técnica: ASTM D4192</v>
          </cell>
          <cell r="I2931" t="str">
            <v>UN</v>
          </cell>
          <cell r="J2931">
            <v>28560</v>
          </cell>
        </row>
        <row r="2932">
          <cell r="G2932">
            <v>12478</v>
          </cell>
          <cell r="H2932" t="str">
            <v>MÉTODOS DE PRUEBA ESTÁNDAR PARA IONES DE CLORURO EN AGUA. Norma técnica: ASTM D512</v>
          </cell>
          <cell r="I2932" t="str">
            <v>UN</v>
          </cell>
          <cell r="J2932">
            <v>10948</v>
          </cell>
        </row>
        <row r="2933">
          <cell r="G2933">
            <v>12479</v>
          </cell>
          <cell r="H2933" t="str">
            <v>FILTRO P-100 PARTÍCULAS S/ACEITE HUMOS METÁLICOS VAPORES_(Según Apéndice Bioseguridad Covid 19)</v>
          </cell>
          <cell r="I2933" t="str">
            <v>PAR</v>
          </cell>
          <cell r="J2933">
            <v>31933</v>
          </cell>
        </row>
        <row r="2934">
          <cell r="G2934">
            <v>12480</v>
          </cell>
          <cell r="H2934" t="str">
            <v>MÉTODO DE PRUEBA ESTÁNDAR PARA IONES SULFATO EN AGUA. Norma técnica: ASTM D516</v>
          </cell>
          <cell r="I2934" t="str">
            <v>UN</v>
          </cell>
          <cell r="J2934">
            <v>16398</v>
          </cell>
        </row>
        <row r="2935">
          <cell r="G2935">
            <v>12481</v>
          </cell>
          <cell r="H2935" t="str">
            <v>ESPESOR DE LA PELÍCULA DE ASFALTO EN MEZCLAS BITUMINOSAS. Norma técnica: INVE 741-13</v>
          </cell>
          <cell r="I2935" t="str">
            <v>UN</v>
          </cell>
          <cell r="J2935">
            <v>119000</v>
          </cell>
        </row>
        <row r="2936">
          <cell r="G2936">
            <v>12482</v>
          </cell>
          <cell r="H2936" t="str">
            <v>GORRO DESECHABLE COFIA BLANCO_(Según Apéndice Bioseguridad Covid 19)</v>
          </cell>
          <cell r="I2936" t="str">
            <v>UN</v>
          </cell>
          <cell r="J2936">
            <v>210</v>
          </cell>
        </row>
        <row r="2937">
          <cell r="G2937">
            <v>12483</v>
          </cell>
          <cell r="H2937" t="str">
            <v>FORMALETA CONCRETO AUTOCOMPACTANTE</v>
          </cell>
          <cell r="I2937" t="str">
            <v>DIA</v>
          </cell>
          <cell r="J2937">
            <v>863</v>
          </cell>
        </row>
        <row r="2938">
          <cell r="G2938">
            <v>12484</v>
          </cell>
          <cell r="H2938" t="str">
            <v>FORMALETA CONCRETO MASIVO</v>
          </cell>
          <cell r="I2938" t="str">
            <v>DIA</v>
          </cell>
          <cell r="J2938">
            <v>863</v>
          </cell>
        </row>
        <row r="2939">
          <cell r="G2939">
            <v>12485</v>
          </cell>
          <cell r="H2939" t="str">
            <v>TELEHANDLER - CARGA MÁXIMA DE 4 A 5 TONELADAS - INCLUYE OPERARIO Y COMBUSTIBLE</v>
          </cell>
          <cell r="I2939" t="str">
            <v>HR</v>
          </cell>
          <cell r="J2939">
            <v>231155</v>
          </cell>
        </row>
        <row r="2940">
          <cell r="G2940">
            <v>12486</v>
          </cell>
          <cell r="H2940" t="str">
            <v>FORMALETAS DESLIZANTES</v>
          </cell>
          <cell r="I2940" t="str">
            <v>DIA</v>
          </cell>
          <cell r="J2940">
            <v>876</v>
          </cell>
        </row>
        <row r="2941">
          <cell r="G2941">
            <v>12487</v>
          </cell>
          <cell r="H2941" t="str">
            <v>ADOQUIN RECTANGULAR RANURADO EN CONCRETO A28 200mm x 100mm. CARTILLA-003</v>
          </cell>
          <cell r="I2941" t="str">
            <v>UN</v>
          </cell>
          <cell r="J2941">
            <v>1679</v>
          </cell>
        </row>
        <row r="2942">
          <cell r="G2942">
            <v>12488</v>
          </cell>
          <cell r="H2942" t="str">
            <v>COMPACTADOR VIBRATORIO MONOCILÍNDRICO MANUAL (BENITIN) - POTENCIA DE 4.8 A 5.9 HP - INCLUYE OPERARIO Y COMBUSTIBLE</v>
          </cell>
          <cell r="I2942" t="str">
            <v>DIA</v>
          </cell>
          <cell r="J2942">
            <v>154187</v>
          </cell>
        </row>
        <row r="2943">
          <cell r="G2943">
            <v>12489</v>
          </cell>
          <cell r="H2943" t="str">
            <v>ADOQUIN TIPO I EN ARCILLA A29 210 mm x 145 mm.  CARTILLA-004</v>
          </cell>
          <cell r="I2943" t="str">
            <v>UN</v>
          </cell>
          <cell r="J2943">
            <v>800</v>
          </cell>
        </row>
        <row r="2944">
          <cell r="G2944">
            <v>12490</v>
          </cell>
          <cell r="H2944" t="str">
            <v>PISOS DE ESCALERA EN MATERIAL SINTÉTICO (e= 25mm), EN PUENTES PEATONALES PROTOTIPO PARA BOGOTÁ D.C. Norma Tecnica ET-2018 - 118</v>
          </cell>
          <cell r="I2944" t="str">
            <v>M2</v>
          </cell>
          <cell r="J2944">
            <v>1240282</v>
          </cell>
        </row>
        <row r="2945">
          <cell r="G2945">
            <v>12491</v>
          </cell>
          <cell r="H2945" t="str">
            <v>COMPACTADOR VIBRATORIO BICILÍNDRICO MANUAL (BENITIN) - POTENCIA DE 7.5 A 8.6 HP - INCLUYE OPERARIO Y COMBUSTIBLE</v>
          </cell>
          <cell r="I2945" t="str">
            <v>DIA</v>
          </cell>
          <cell r="J2945">
            <v>312245</v>
          </cell>
        </row>
        <row r="2946">
          <cell r="G2946">
            <v>12492</v>
          </cell>
          <cell r="H2946" t="str">
            <v>EXCAVADORA MEDIANA SOBRE ORUGAS - MASA DE 18,5 A 23 TONELADAS - INCLUYE OPERARIO Y COMBUSTIBLE</v>
          </cell>
          <cell r="I2946" t="str">
            <v>HR</v>
          </cell>
          <cell r="J2946">
            <v>275559</v>
          </cell>
        </row>
        <row r="2947">
          <cell r="G2947">
            <v>12493</v>
          </cell>
          <cell r="H2947" t="str">
            <v>EXCAVADORA GRANDE SOBRE ORUGAS  - MASA DE 33 A 37 TONELADAS - INCLUYE OPERARIO Y COMBUSTIBLE</v>
          </cell>
          <cell r="I2947" t="str">
            <v>HR</v>
          </cell>
          <cell r="J2947">
            <v>288594</v>
          </cell>
        </row>
        <row r="2948">
          <cell r="G2948">
            <v>12494</v>
          </cell>
          <cell r="H2948" t="str">
            <v>EXCAVADORA PEQUEÑA SOBRE ORUGAS - MASA DE 13 A 17 TONELADAS - INCLUYE OPERARIO Y COMBUSTIBLE</v>
          </cell>
          <cell r="I2948" t="str">
            <v>HR</v>
          </cell>
          <cell r="J2948">
            <v>219169</v>
          </cell>
        </row>
        <row r="2949">
          <cell r="G2949">
            <v>12495</v>
          </cell>
          <cell r="H2949" t="str">
            <v>MINIEXCAVADORA SOBRE ORUGAS -  MASA DE 4 A 5 TONELADAS - INCLUYE OPERARIO Y COMBUSTIBLE</v>
          </cell>
          <cell r="I2949" t="str">
            <v>HR</v>
          </cell>
          <cell r="J2949">
            <v>76850</v>
          </cell>
        </row>
        <row r="2950">
          <cell r="G2950">
            <v>12496</v>
          </cell>
          <cell r="H2950" t="str">
            <v>TAPABOCAS DESECHABLE. _(Según Apéndice Bioseguridad Covid 19_V1 y V2)</v>
          </cell>
          <cell r="I2950" t="str">
            <v>UN</v>
          </cell>
          <cell r="J2950">
            <v>300</v>
          </cell>
        </row>
        <row r="2951">
          <cell r="G2951">
            <v>12497</v>
          </cell>
          <cell r="H2951" t="str">
            <v>DISPENSADOR DE JABÓN LÍQUIDO O GEL ANTIBACTERIAL - ALCOHOL, CON PEDAL METÁLICO_(Según Apéndice Bioseguridad Covid 19_V2)</v>
          </cell>
          <cell r="I2951" t="str">
            <v>UN</v>
          </cell>
          <cell r="J2951">
            <v>70000</v>
          </cell>
        </row>
        <row r="2952">
          <cell r="G2952">
            <v>12498</v>
          </cell>
          <cell r="H2952" t="str">
            <v>ALCOHOL ANTISÉPTICO (ALCOHOL AL 70%)._(Según Apéndice Bioseguridad Covid 19_V1 y V2)</v>
          </cell>
          <cell r="I2952" t="str">
            <v>GLN</v>
          </cell>
          <cell r="J2952">
            <v>20200</v>
          </cell>
        </row>
        <row r="2953">
          <cell r="G2953">
            <v>12499</v>
          </cell>
          <cell r="H2953" t="str">
            <v>DISPENSADOR DE JABÓN METÁLICO DE 1 LT_(Según Apéndice Bioseguridad Covid 19_V1)</v>
          </cell>
          <cell r="I2953" t="str">
            <v>UN</v>
          </cell>
          <cell r="J2953">
            <v>83950</v>
          </cell>
        </row>
        <row r="2954">
          <cell r="G2954">
            <v>12500</v>
          </cell>
          <cell r="H2954" t="str">
            <v>AGUA._(Según Apéndice Bioseguridad Covid 19_V1 y V2)</v>
          </cell>
          <cell r="I2954" t="str">
            <v>LT</v>
          </cell>
          <cell r="J2954">
            <v>21</v>
          </cell>
        </row>
        <row r="2955">
          <cell r="G2955">
            <v>12501</v>
          </cell>
          <cell r="H2955" t="str">
            <v>CHALECO SENCILLO EN DRIL SIN LOGO DOS BOLSILLOS._(Según Apéndice Bioseguridad Covid 19_V1 y V2)</v>
          </cell>
          <cell r="I2955" t="str">
            <v>UN</v>
          </cell>
          <cell r="J2955">
            <v>29000</v>
          </cell>
        </row>
        <row r="2956">
          <cell r="G2956">
            <v>12502</v>
          </cell>
          <cell r="H2956" t="str">
            <v>MASCARILLA DESECHABLE_(Según Apéndice Bioseguridad Covid 19_V1 y V2)</v>
          </cell>
          <cell r="I2956" t="str">
            <v>UN</v>
          </cell>
          <cell r="J2956">
            <v>620</v>
          </cell>
        </row>
        <row r="2957">
          <cell r="G2957">
            <v>12503</v>
          </cell>
          <cell r="H2957" t="str">
            <v>MESA PLÁSTICA DE 0.72m x 0.72m x 0.72m._(Según Apéndice Bioseguridad Covid 19_V1 y V2)</v>
          </cell>
          <cell r="I2957" t="str">
            <v>UN</v>
          </cell>
          <cell r="J2957">
            <v>69706</v>
          </cell>
        </row>
        <row r="2958">
          <cell r="G2958">
            <v>12504</v>
          </cell>
          <cell r="H2958" t="str">
            <v>SILLA PLÁSTICA SIN BRAZOS._(Según Apéndice Bioseguridad Covid 19_V1 y V2)</v>
          </cell>
          <cell r="I2958" t="str">
            <v>UN</v>
          </cell>
          <cell r="J2958">
            <v>19766</v>
          </cell>
        </row>
        <row r="2959">
          <cell r="G2959">
            <v>12505</v>
          </cell>
          <cell r="H2959" t="str">
            <v>DISPENSADOR PLÁSTICO DE TOALLAS TIPO Z_(Según Apéndice Bioseguridad Covid 19_V1 y V2)</v>
          </cell>
          <cell r="I2959" t="str">
            <v>UN</v>
          </cell>
          <cell r="J2959">
            <v>36681</v>
          </cell>
        </row>
        <row r="2960">
          <cell r="G2960">
            <v>12506</v>
          </cell>
          <cell r="H2960" t="str">
            <v>OVEROL EN DRILL DOS PIEZAS, CAMISA Y PANTALÓN._(Según Apéndice Bioseguridad Covid 19_V1 y V2)</v>
          </cell>
          <cell r="I2960" t="str">
            <v>UN</v>
          </cell>
          <cell r="J2960">
            <v>37395</v>
          </cell>
        </row>
        <row r="2961">
          <cell r="G2961">
            <v>12507</v>
          </cell>
          <cell r="H2961" t="str">
            <v>BAÑO TIPO FLUSHING - ALQUILER MANTENIMIENTO Y ASEO DE BAÑOS PORTÁTILES VIP MENSUAL_(Según Apéndice Bioseguridad Covid 19_V1 y V2)</v>
          </cell>
          <cell r="I2961" t="str">
            <v>UN/MES</v>
          </cell>
          <cell r="J2961">
            <v>452200</v>
          </cell>
        </row>
        <row r="2962">
          <cell r="G2962">
            <v>12508</v>
          </cell>
          <cell r="H2962" t="str">
            <v>OVEROL TYVEK BLANCO._(Según Apéndice Bioseguridad Covid 19_V1 y V2)</v>
          </cell>
          <cell r="I2962" t="str">
            <v>UN</v>
          </cell>
          <cell r="J2962">
            <v>19500</v>
          </cell>
        </row>
        <row r="2963">
          <cell r="G2963">
            <v>12509</v>
          </cell>
          <cell r="H2963" t="str">
            <v>ENTIBADO CONTINUO EN CAJONES DE ACERO (E1A - E1B), PROFUNDIDAD DE EXCAVACIÓN: H &lt;= 3.00 M</v>
          </cell>
          <cell r="I2963" t="str">
            <v>M2/MES</v>
          </cell>
          <cell r="J2963">
            <v>135660</v>
          </cell>
        </row>
        <row r="2964">
          <cell r="G2964">
            <v>12510</v>
          </cell>
          <cell r="H2964" t="str">
            <v>ALQUILER ENTIBADO DESLIZANTE E2, RANGO PROFUNDIDAD DE EXCAVACIÓN: 4.8 M &lt; H &lt;= 7.20 M</v>
          </cell>
          <cell r="I2964" t="str">
            <v>M2/MES</v>
          </cell>
          <cell r="J2964">
            <v>149940</v>
          </cell>
        </row>
        <row r="2965">
          <cell r="G2965">
            <v>12511</v>
          </cell>
          <cell r="H2965" t="str">
            <v>MALLA TEXTIL EN POLIESTER DE 2,8m X 7,0m CON SUBLIMACIÓN EN EL TOTAL DE LA SUPERFICIE Y REFUERZO EXTERNO EN REATA PARA TENSAR, Y OJALES EN REATA CADA 75cm, INCLUYE TRANSPORTE</v>
          </cell>
          <cell r="I2965" t="str">
            <v>UN</v>
          </cell>
          <cell r="J2965">
            <v>1018851</v>
          </cell>
        </row>
        <row r="2966">
          <cell r="G2966">
            <v>12512</v>
          </cell>
          <cell r="H2966" t="str">
            <v>FUMIGADORA DE ESPALDA. ASPERSOR BOMBA MANUAL 20 LITROS. DESINFECCIÓN._(Según Apéndice Bioseguridad Covid 19_V3)</v>
          </cell>
          <cell r="I2966" t="str">
            <v>UN</v>
          </cell>
          <cell r="J2966">
            <v>79748</v>
          </cell>
        </row>
        <row r="2967">
          <cell r="G2967">
            <v>12513</v>
          </cell>
          <cell r="H2967" t="str">
            <v>HIPOCLORITO AL 5%._(Según Apéndice Bioseguridad Covid 19_V3)</v>
          </cell>
          <cell r="I2967" t="str">
            <v>LT</v>
          </cell>
          <cell r="J2967">
            <v>1902</v>
          </cell>
        </row>
        <row r="2968">
          <cell r="G2968">
            <v>12514</v>
          </cell>
          <cell r="H2968" t="str">
            <v>JABÓN LIQUIDO PARA MANOS._(Según Apéndice Bioseguridad Covid 19_V3)</v>
          </cell>
          <cell r="I2968" t="str">
            <v>GLN</v>
          </cell>
          <cell r="J2968">
            <v>20500</v>
          </cell>
        </row>
        <row r="2969">
          <cell r="G2969">
            <v>12515</v>
          </cell>
          <cell r="H2969" t="str">
            <v>CARROTANQUE IRRIGADOR DE AGUA-VIAJE._(Según Apéndice Bioseguridad Covid 19_V3)</v>
          </cell>
          <cell r="I2969" t="str">
            <v>VIAJE</v>
          </cell>
          <cell r="J2969">
            <v>210000</v>
          </cell>
        </row>
        <row r="2970">
          <cell r="G2970">
            <v>12516</v>
          </cell>
          <cell r="H2970" t="str">
            <v>CHALECO REFLECTIVO EN TELA._(Según Apéndice Bioseguridad Covid 19_V3)</v>
          </cell>
          <cell r="I2970" t="str">
            <v>UN</v>
          </cell>
          <cell r="J2970">
            <v>10900</v>
          </cell>
        </row>
        <row r="2971">
          <cell r="G2971">
            <v>12517</v>
          </cell>
          <cell r="H2971" t="str">
            <v>TOALLAS DE PAPEL PARA MANOS. TIPO Z. DOBLE HOJA. (PAQUETE 150 HOJAS._(Según Apéndice Bioseguridad Covid 19_V3)</v>
          </cell>
          <cell r="I2971" t="str">
            <v>UN</v>
          </cell>
          <cell r="J2971">
            <v>4454</v>
          </cell>
        </row>
        <row r="2972">
          <cell r="G2972">
            <v>12518</v>
          </cell>
          <cell r="H2972" t="str">
            <v>LAVAMANOS PORTATIL DE PEDAL TIPO MANOS LIBRES._(Según Apéndice Bioseguridad Covid 19_V3)</v>
          </cell>
          <cell r="I2972" t="str">
            <v>UN</v>
          </cell>
          <cell r="J2972">
            <v>882353</v>
          </cell>
        </row>
        <row r="2973">
          <cell r="G2973">
            <v>12519</v>
          </cell>
          <cell r="H2973" t="str">
            <v>RECOLECCION, TRANSPORTE Y DISPOSICION DE RESIDUOS LÍQUIDOS PROVENIENTES DE LAVAMANOS PORTATILES. (INCLUYE EQUIPO DE SUCCIÓN)_(Según Apéndice Bioseguridad Covid 19_V3)</v>
          </cell>
          <cell r="I2973" t="str">
            <v>M3</v>
          </cell>
          <cell r="J2973">
            <v>250000</v>
          </cell>
        </row>
        <row r="2974">
          <cell r="G2974">
            <v>12520</v>
          </cell>
          <cell r="H2974" t="str">
            <v>TAPABOCAS DESECHABLE._(Según Apéndice Bioseguridad Covid 19_V3)</v>
          </cell>
          <cell r="I2974" t="str">
            <v>UN</v>
          </cell>
          <cell r="J2974">
            <v>300</v>
          </cell>
        </row>
        <row r="2975">
          <cell r="G2975">
            <v>12521</v>
          </cell>
          <cell r="H2975" t="str">
            <v>MASCARILLA DESECHABLE._(Según Apéndice Bioseguridad Covid 19_V3)</v>
          </cell>
          <cell r="I2975" t="str">
            <v>UN</v>
          </cell>
          <cell r="J2975">
            <v>620</v>
          </cell>
        </row>
        <row r="2976">
          <cell r="G2976">
            <v>12522</v>
          </cell>
          <cell r="H2976" t="str">
            <v>DISPENSADOR PLÁSTICO DE TOALLAS TIPO Z._(Según Apéndice Bioseguridad Covid 19_V3)</v>
          </cell>
          <cell r="I2976" t="str">
            <v>UN</v>
          </cell>
          <cell r="J2976">
            <v>36681</v>
          </cell>
        </row>
        <row r="2977">
          <cell r="G2977">
            <v>12523</v>
          </cell>
          <cell r="H2977" t="str">
            <v>OVEROL EN DRILL DOS PIEZAS, CAMISA Y PANTALÓN._(Según Apéndice Bioseguridad Covid 19_V3)</v>
          </cell>
          <cell r="I2977" t="str">
            <v>UN</v>
          </cell>
          <cell r="J2977">
            <v>37395</v>
          </cell>
        </row>
        <row r="2978">
          <cell r="G2978">
            <v>12524</v>
          </cell>
          <cell r="H2978" t="str">
            <v>ALCOHOL GLICERINADO 70%._(Según Apéndice Bioseguridad Covid 19_V3)</v>
          </cell>
          <cell r="I2978" t="str">
            <v>LT</v>
          </cell>
          <cell r="J2978">
            <v>8218</v>
          </cell>
        </row>
        <row r="2979">
          <cell r="G2979">
            <v>12525</v>
          </cell>
          <cell r="H2979" t="str">
            <v>DISPENSADOR DE JABÓN LÍQUIDO O ALCOHOL GLICERINADO, CON PEDAL METÁLICO._(Según Apéndice Bioseguridad Covid 19_V3)</v>
          </cell>
          <cell r="I2979" t="str">
            <v>UN</v>
          </cell>
          <cell r="J2979">
            <v>70000</v>
          </cell>
        </row>
        <row r="2980">
          <cell r="G2980">
            <v>12526</v>
          </cell>
          <cell r="H2980" t="str">
            <v>AGUA (Según Apéndice Bioseguridad Covid 19_V3)</v>
          </cell>
          <cell r="I2980" t="str">
            <v>LT</v>
          </cell>
          <cell r="J2980">
            <v>21</v>
          </cell>
        </row>
        <row r="2981">
          <cell r="G2981">
            <v>12529</v>
          </cell>
          <cell r="H2981" t="str">
            <v>CICLOPARQUEADERO PORTAL SUR Y PORTAL SUBA - SUMINISTRO Y PLANTACION DE ARBOL, ESPECIE MANO DE OSO H=1.5M. INCLUYE SIEMBRA, TIERRA, ABONO, TUTOR Y TRANSPORTE</v>
          </cell>
          <cell r="I2981" t="str">
            <v>UN</v>
          </cell>
          <cell r="J2981">
            <v>200000</v>
          </cell>
        </row>
        <row r="2982">
          <cell r="G2982">
            <v>12530</v>
          </cell>
          <cell r="H2982" t="str">
            <v>CICLOPARQUEADERO PORTAL SUR Y PORTAL SUBA - JUEGO DE FERULAS INMOVILIZADORAS CARTON PLAST ADULTO POR UNIDAD CON CORREAS DE SUJECION Y CIERRE EN VELCRO (INCLUYE VELCRO, CINCO PIEZAS, PIERNA, TOBILLO, BRAZO, MUÑECA Y CUELLO)</v>
          </cell>
          <cell r="I2982" t="str">
            <v>UN</v>
          </cell>
          <cell r="J2982">
            <v>17010</v>
          </cell>
        </row>
        <row r="2983">
          <cell r="G2983">
            <v>12531</v>
          </cell>
          <cell r="H2983"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I2983" t="str">
            <v>UN</v>
          </cell>
          <cell r="J2983">
            <v>6189637</v>
          </cell>
        </row>
        <row r="2984">
          <cell r="G2984">
            <v>12532</v>
          </cell>
          <cell r="H2984"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I2984" t="str">
            <v>UN</v>
          </cell>
          <cell r="J2984">
            <v>10001027</v>
          </cell>
        </row>
        <row r="2985">
          <cell r="G2985">
            <v>12533</v>
          </cell>
          <cell r="H2985" t="str">
            <v>CICLOPARQUEADERO PORTAL SUR Y PORTAL SUBA - CORTAFUEGO HORIZONTAL PUSH CON CERRADURA EXTERIOR</v>
          </cell>
          <cell r="I2985" t="str">
            <v>UN</v>
          </cell>
          <cell r="J2985">
            <v>574900</v>
          </cell>
        </row>
        <row r="2986">
          <cell r="G2986">
            <v>12534</v>
          </cell>
          <cell r="H2986" t="str">
            <v>CICLOPARQUEADERO PORTAL SUR Y PORTAL SUBA - CERRADURA BOWERY COLLIN POMO CROMO MATE</v>
          </cell>
          <cell r="I2986" t="str">
            <v>UN</v>
          </cell>
          <cell r="J2986">
            <v>45423</v>
          </cell>
        </row>
        <row r="2987">
          <cell r="G2987">
            <v>12535</v>
          </cell>
          <cell r="H2987" t="str">
            <v>CICLOPARQUEADERO PORTAL SUR Y PORTAL SUBA - ALFAJIA 16 CMS MATE (D1) 6 MTS</v>
          </cell>
          <cell r="I2987" t="str">
            <v>ML</v>
          </cell>
          <cell r="J2987">
            <v>18453</v>
          </cell>
        </row>
        <row r="2988">
          <cell r="G2988">
            <v>12536</v>
          </cell>
          <cell r="H2988" t="str">
            <v>CICLOPARQUEADERO PORTAL SUR Y PORTAL SUBA - DUPLICADOR VERTICAL DE PARQUEO PARA BICICLETAS</v>
          </cell>
          <cell r="I2988" t="str">
            <v>UN</v>
          </cell>
          <cell r="J2988">
            <v>2165800</v>
          </cell>
        </row>
        <row r="2989">
          <cell r="G2989">
            <v>12537</v>
          </cell>
          <cell r="H2989" t="str">
            <v>CICLOPARQUEADERO PORTAL SUR Y PORTAL SUBA - TUBO EMT DE 1/2"</v>
          </cell>
          <cell r="I2989" t="str">
            <v>UN</v>
          </cell>
          <cell r="J2989">
            <v>17000</v>
          </cell>
        </row>
        <row r="2990">
          <cell r="G2990">
            <v>12538</v>
          </cell>
          <cell r="H2990" t="str">
            <v>CICLOPARQUEADERO PORTAL SUR Y PORTAL SUBA - TERMINAL EMT DE 1/2"</v>
          </cell>
          <cell r="I2990" t="str">
            <v>UN</v>
          </cell>
          <cell r="J2990">
            <v>1006</v>
          </cell>
        </row>
        <row r="2991">
          <cell r="G2991">
            <v>12539</v>
          </cell>
          <cell r="H2991" t="str">
            <v>CICLOPARQUEADERO PORTAL SUR Y PORTAL SUBA - UNION EMT 1/2"</v>
          </cell>
          <cell r="I2991" t="str">
            <v>UN</v>
          </cell>
          <cell r="J2991">
            <v>1006</v>
          </cell>
        </row>
        <row r="2992">
          <cell r="G2992">
            <v>12540</v>
          </cell>
          <cell r="H2992" t="str">
            <v>CICLOPARQUEADERO PORTAL SUR Y PORTAL SUBA - SOPORTE PARA TUBO DE 1/2"</v>
          </cell>
          <cell r="I2992" t="str">
            <v>UN</v>
          </cell>
          <cell r="J2992">
            <v>357</v>
          </cell>
        </row>
        <row r="2993">
          <cell r="G2993">
            <v>12541</v>
          </cell>
          <cell r="H2993" t="str">
            <v>CICLOPARQUEADERO PORTAL SUR Y PORTAL SUBA - CONECTOR DE RESORTE</v>
          </cell>
          <cell r="I2993" t="str">
            <v>UN</v>
          </cell>
          <cell r="J2993">
            <v>480</v>
          </cell>
        </row>
        <row r="2994">
          <cell r="G2994">
            <v>12542</v>
          </cell>
          <cell r="H2994" t="str">
            <v>CICLOPARQUEADERO PORTAL SUR Y PORTAL SUBA - EXTRACTOR</v>
          </cell>
          <cell r="I2994" t="str">
            <v>UN</v>
          </cell>
          <cell r="J2994">
            <v>41650</v>
          </cell>
        </row>
        <row r="2995">
          <cell r="G2995">
            <v>12543</v>
          </cell>
          <cell r="H2995" t="str">
            <v xml:space="preserve">CICLOPARQUEADERO PORTAL SUR Y PORTAL SUBA - CAJA METALICA DE PASO 20CM X 20CM X 10CM </v>
          </cell>
          <cell r="I2995" t="str">
            <v>UN</v>
          </cell>
          <cell r="J2995">
            <v>22677</v>
          </cell>
        </row>
        <row r="2996">
          <cell r="G2996">
            <v>12544</v>
          </cell>
          <cell r="H2996" t="str">
            <v>CICLOPARQUEADERO PORTAL SUR Y PORTAL SUBA - TELERRUPTOR MONOPOLAR 16A</v>
          </cell>
          <cell r="I2996" t="str">
            <v>UN</v>
          </cell>
          <cell r="J2996">
            <v>17255</v>
          </cell>
        </row>
        <row r="2997">
          <cell r="G2997">
            <v>12545</v>
          </cell>
          <cell r="H2997" t="str">
            <v>CICLOPARQUEADERO PORTAL SUR Y PORTAL SUBA - LAMPARA ROTATIVA LED ROJA 110/220VAC</v>
          </cell>
          <cell r="I2997" t="str">
            <v>UN</v>
          </cell>
          <cell r="J2997">
            <v>118550</v>
          </cell>
        </row>
        <row r="2998">
          <cell r="G2998">
            <v>12546</v>
          </cell>
          <cell r="H2998" t="str">
            <v>CICLOPARQUEADERO PORTAL SUR Y PORTAL SUBA - REGLETA PLÁSTICA CONEXIÓN 15A</v>
          </cell>
          <cell r="I2998" t="str">
            <v>UN</v>
          </cell>
          <cell r="J2998">
            <v>6490</v>
          </cell>
        </row>
        <row r="2999">
          <cell r="G2999">
            <v>12547</v>
          </cell>
          <cell r="H2999" t="str">
            <v>CICLOPARQUEADERO PORTAL SUR Y PORTAL SUBA - SUICHE METÁLICO PULSADOR MOMENTÁNEO DE 12MM PARA EXTERIOR CON ILUMINACIÓN VERDE 12-24V</v>
          </cell>
          <cell r="I2999" t="str">
            <v>UN</v>
          </cell>
          <cell r="J2999">
            <v>6545</v>
          </cell>
        </row>
        <row r="3000">
          <cell r="G3000">
            <v>12548</v>
          </cell>
          <cell r="H3000" t="str">
            <v>CICLOPARQUEADERO PORTAL SUR Y PORTAL SUBA - BREAKER INDUSTRIAL TRIFASICO 100A</v>
          </cell>
          <cell r="I3000" t="str">
            <v>UN</v>
          </cell>
          <cell r="J3000">
            <v>130000</v>
          </cell>
        </row>
        <row r="3001">
          <cell r="G3001">
            <v>12549</v>
          </cell>
          <cell r="H3001" t="str">
            <v>CICLOPARQUEADERO PORTAL SUR Y PORTAL SUBA - CAJA PASO 40X40X20 C20</v>
          </cell>
          <cell r="I3001" t="str">
            <v>UN</v>
          </cell>
          <cell r="J3001">
            <v>81396</v>
          </cell>
        </row>
        <row r="3002">
          <cell r="G3002">
            <v>12550</v>
          </cell>
          <cell r="H3002" t="str">
            <v>CICLOPARQUEADERO PORTAL SUR Y PORTAL SUBA - INSPECCIÓN REGLAMENTARIA RETIE CICLOPARQUEADERO PORTAL SUR</v>
          </cell>
          <cell r="I3002" t="str">
            <v>UN</v>
          </cell>
          <cell r="J3002">
            <v>2499000</v>
          </cell>
        </row>
        <row r="3003">
          <cell r="G3003">
            <v>12551</v>
          </cell>
          <cell r="H3003" t="str">
            <v xml:space="preserve">CICLOPARQUEADERO PORTAL SUR Y PORTAL SUBA - INSPECCION RETILAP INTERNAS BASICAS CICLOPARQUEADERO </v>
          </cell>
          <cell r="I3003" t="str">
            <v>UN</v>
          </cell>
          <cell r="J3003">
            <v>1904000</v>
          </cell>
        </row>
        <row r="3004">
          <cell r="G3004">
            <v>12552</v>
          </cell>
          <cell r="H3004" t="str">
            <v xml:space="preserve">CICLOPARQUEADERO PORTAL SUR Y PORTAL SUBA - INSPECCION RETIE USO FINAL BASICAS CICLOPARQUEADERO </v>
          </cell>
          <cell r="I3004" t="str">
            <v>UN</v>
          </cell>
          <cell r="J3004">
            <v>1904000</v>
          </cell>
        </row>
        <row r="3005">
          <cell r="G3005">
            <v>12553</v>
          </cell>
          <cell r="H3005" t="str">
            <v>CICLOPARQUEADERO PORTAL SUR Y PORTAL SUBA - LAMPARA LED HERMETICA 50W LUZ BLANCA 100-277V5300</v>
          </cell>
          <cell r="I3005" t="str">
            <v>UN</v>
          </cell>
          <cell r="J3005">
            <v>157900</v>
          </cell>
        </row>
        <row r="3006">
          <cell r="G3006">
            <v>12554</v>
          </cell>
          <cell r="H3006" t="str">
            <v>CICLOPARQUEADERO PORTAL SUR Y PORTAL SUBA - PANEL LED DE INCRUSTAR 12W</v>
          </cell>
          <cell r="I3006" t="str">
            <v>UN</v>
          </cell>
          <cell r="J3006">
            <v>15000</v>
          </cell>
        </row>
        <row r="3007">
          <cell r="G3007">
            <v>12555</v>
          </cell>
          <cell r="H3007" t="str">
            <v>CICLOPARQUEADERO PORTAL SUR Y PORTAL SUBA - LUMINARIA EMERGENCIA 4W</v>
          </cell>
          <cell r="I3007" t="str">
            <v>UN</v>
          </cell>
          <cell r="J3007">
            <v>81432</v>
          </cell>
        </row>
        <row r="3008">
          <cell r="G3008">
            <v>12556</v>
          </cell>
          <cell r="H3008" t="str">
            <v>CICLOPARQUEADERO PORTAL SUR Y PORTAL SUBA - SOPORTE PARA TUBERIA DE 3/4"</v>
          </cell>
          <cell r="I3008" t="str">
            <v>UN</v>
          </cell>
          <cell r="J3008">
            <v>300</v>
          </cell>
        </row>
        <row r="3009">
          <cell r="G3009">
            <v>12557</v>
          </cell>
          <cell r="H3009" t="str">
            <v>CICLOPARQUEADERO PORTAL SUR Y PORTAL SUBA - PATCH PANEL 24 CAT 6A (ENSAMBLE HERRAJE + JACK) AMP</v>
          </cell>
          <cell r="I3009" t="str">
            <v>UN</v>
          </cell>
          <cell r="J3009">
            <v>380098</v>
          </cell>
        </row>
        <row r="3010">
          <cell r="G3010">
            <v>12558</v>
          </cell>
          <cell r="H3010" t="str">
            <v>CICLOPARQUEADERO PORTAL SUR Y PORTAL SUBA - CAJA PASO 15X15X10</v>
          </cell>
          <cell r="I3010" t="str">
            <v>UN</v>
          </cell>
          <cell r="J3010">
            <v>17993</v>
          </cell>
        </row>
        <row r="3011">
          <cell r="G3011">
            <v>12559</v>
          </cell>
          <cell r="H3011" t="str">
            <v>CICLOPARQUEADERO PORTAL SUR Y PORTAL SUBA - CAJA DE PASO DE 10X15X7 CM</v>
          </cell>
          <cell r="I3011" t="str">
            <v>UN</v>
          </cell>
          <cell r="J3011">
            <v>12400</v>
          </cell>
        </row>
        <row r="3012">
          <cell r="G3012">
            <v>12560</v>
          </cell>
          <cell r="H3012" t="str">
            <v>CICLOPARQUEADERO PORTAL SUR Y PORTAL SUBA - MULTITOMA PARA RACK 8 SALIDAS</v>
          </cell>
          <cell r="I3012" t="str">
            <v>UN</v>
          </cell>
          <cell r="J3012">
            <v>55000</v>
          </cell>
        </row>
        <row r="3013">
          <cell r="G3013">
            <v>12561</v>
          </cell>
          <cell r="H3013" t="str">
            <v>CICLOPARQUEADERO PORTAL SUR Y PORTAL SUBA - DERECHOS DE CONEXIÓN VANTI - INCLUYE MEDIDOR G16 (25M3/H)</v>
          </cell>
          <cell r="I3013" t="str">
            <v>UN</v>
          </cell>
          <cell r="J3013">
            <v>2597034</v>
          </cell>
        </row>
        <row r="3014">
          <cell r="G3014">
            <v>12562</v>
          </cell>
          <cell r="H3014" t="str">
            <v>CICLOPARQUEADERO PORTAL SUR Y PORTAL SUBA - TERMINAL PVC DE 1/2"</v>
          </cell>
          <cell r="I3014" t="str">
            <v>UN</v>
          </cell>
          <cell r="J3014">
            <v>298</v>
          </cell>
        </row>
        <row r="3015">
          <cell r="G3015">
            <v>12564</v>
          </cell>
          <cell r="H3015" t="str">
            <v xml:space="preserve"> PATIO ZONAL EL GACO: ADAPTADOR HEMBRA EN COBRE DE 1/2"</v>
          </cell>
          <cell r="I3015" t="str">
            <v>UN</v>
          </cell>
          <cell r="J3015">
            <v>3700</v>
          </cell>
        </row>
        <row r="3016">
          <cell r="G3016">
            <v>12565</v>
          </cell>
          <cell r="H3016" t="str">
            <v>PATIO ZONAL EL GACO: SELLANTE GAS DE FUERZA MEDIA</v>
          </cell>
          <cell r="I3016" t="str">
            <v>UN</v>
          </cell>
          <cell r="J3016">
            <v>6600</v>
          </cell>
        </row>
        <row r="3017">
          <cell r="G3017">
            <v>12566</v>
          </cell>
          <cell r="H3017" t="str">
            <v xml:space="preserve"> PATIO ZONAL EL GACO: SOLDADURA DE PLATA</v>
          </cell>
          <cell r="I3017" t="str">
            <v>UN</v>
          </cell>
          <cell r="J3017">
            <v>1401</v>
          </cell>
        </row>
        <row r="3018">
          <cell r="G3018">
            <v>12567</v>
          </cell>
          <cell r="H3018" t="str">
            <v xml:space="preserve"> PATIO ZONAL EL GACO: CONDUFLEX PLÁSTICO DE 3/4"</v>
          </cell>
          <cell r="I3018" t="str">
            <v>ML</v>
          </cell>
          <cell r="J3018">
            <v>2300</v>
          </cell>
        </row>
        <row r="3019">
          <cell r="G3019">
            <v>12568</v>
          </cell>
          <cell r="H3019" t="str">
            <v>PATIO ZONAL EL GACO: CONDUFLEX PLÁSTICO DE 1/2"</v>
          </cell>
          <cell r="I3019" t="str">
            <v>ML</v>
          </cell>
          <cell r="J3019">
            <v>1334</v>
          </cell>
        </row>
        <row r="3020">
          <cell r="G3020">
            <v>12569</v>
          </cell>
          <cell r="H3020" t="str">
            <v xml:space="preserve"> PATIO ZONAL EL GACO: ARBUSTO TIPO SIETE CUEROS/NAZARENO DE ALTURA 60-70CM</v>
          </cell>
          <cell r="I3020" t="str">
            <v>UN</v>
          </cell>
          <cell r="J3020">
            <v>29750</v>
          </cell>
        </row>
        <row r="3021">
          <cell r="G3021">
            <v>12570</v>
          </cell>
          <cell r="H3021" t="str">
            <v xml:space="preserve"> PATIO ZONAL EL GACO: LADRILLO BLOQUE ESTRUCTURAL NO. 12  ( 39 X 19 X 12)CM. (MATERIAL PUESTO EN OBRA)</v>
          </cell>
          <cell r="I3021" t="str">
            <v>UN</v>
          </cell>
          <cell r="J3021">
            <v>2011</v>
          </cell>
        </row>
        <row r="3022">
          <cell r="G3022">
            <v>12571</v>
          </cell>
          <cell r="H3022" t="str">
            <v xml:space="preserve"> PATIO ZONAL EL GACO: MORTERO SECO 40 KG (PARA AFINADO SIMPLE)</v>
          </cell>
          <cell r="I3022" t="str">
            <v>KG</v>
          </cell>
          <cell r="J3022">
            <v>388</v>
          </cell>
        </row>
        <row r="3023">
          <cell r="G3023">
            <v>12572</v>
          </cell>
          <cell r="H3023" t="str">
            <v xml:space="preserve"> PATIO ZONAL EL GACO: LUMINARIA LED EMERGENCIA R12 x 1.6W</v>
          </cell>
          <cell r="I3023" t="str">
            <v>UN</v>
          </cell>
          <cell r="J3023">
            <v>95179</v>
          </cell>
        </row>
        <row r="3024">
          <cell r="G3024">
            <v>12573</v>
          </cell>
          <cell r="H3024" t="str">
            <v xml:space="preserve"> PATIO ZONAL EL GACO: SILICONA ANTIHONGOS TRANSPARENTE </v>
          </cell>
          <cell r="I3024" t="str">
            <v>UN</v>
          </cell>
          <cell r="J3024">
            <v>10900</v>
          </cell>
        </row>
        <row r="3025">
          <cell r="G3025">
            <v>12574</v>
          </cell>
          <cell r="H3025" t="str">
            <v xml:space="preserve"> PATIO ZONAL EL GACO: CINTA AISLANTE 19mm</v>
          </cell>
          <cell r="I3025" t="str">
            <v>ML</v>
          </cell>
          <cell r="J3025">
            <v>895</v>
          </cell>
        </row>
        <row r="3026">
          <cell r="G3026">
            <v>12575</v>
          </cell>
          <cell r="H3026" t="str">
            <v>PATIO ZONAL EL GACO - TUBERIA ACERO SCH40 1 1/4"</v>
          </cell>
          <cell r="I3026" t="str">
            <v>ML</v>
          </cell>
          <cell r="J3026">
            <v>39626</v>
          </cell>
        </row>
        <row r="3027">
          <cell r="G3027">
            <v>12576</v>
          </cell>
          <cell r="H3027" t="str">
            <v xml:space="preserve"> PATIO ZONAL EL GACO: LUMINARIA LED HERMETICA 50W DL		</v>
          </cell>
          <cell r="I3027" t="str">
            <v>UN</v>
          </cell>
          <cell r="J3027">
            <v>132999</v>
          </cell>
        </row>
        <row r="3028">
          <cell r="G3028">
            <v>12577</v>
          </cell>
          <cell r="H3028" t="str">
            <v>PATIO ZONAL EL GACO - TUBERIA ACERO SCH40 2 1/2"</v>
          </cell>
          <cell r="I3028" t="str">
            <v>ML</v>
          </cell>
          <cell r="J3028">
            <v>81852</v>
          </cell>
        </row>
        <row r="3029">
          <cell r="G3029">
            <v>12578</v>
          </cell>
          <cell r="H3029" t="str">
            <v>PATIO ZONAL EL GACO - TUBERIA PVC C-900 DR-18 Ø=4", PRESIÓN DE TRABAJO=235 PSI.</v>
          </cell>
          <cell r="I3029" t="str">
            <v>ML</v>
          </cell>
          <cell r="J3029">
            <v>95315</v>
          </cell>
        </row>
        <row r="3030">
          <cell r="G3030">
            <v>12579</v>
          </cell>
          <cell r="H3030" t="str">
            <v>PATIO ZONAL EL GACO - TUBERIA PVC C-900 DR-18 Ø=6", PRESIÓN DE TRABAJO=235 PSI.</v>
          </cell>
          <cell r="I3030" t="str">
            <v>ML</v>
          </cell>
          <cell r="J3030">
            <v>205498</v>
          </cell>
        </row>
        <row r="3031">
          <cell r="G3031">
            <v>12580</v>
          </cell>
          <cell r="H3031" t="str">
            <v xml:space="preserve"> PATIO ZONAL EL GACO: TORNILLO CHAZO PUNTILLA 1/4"</v>
          </cell>
          <cell r="I3031" t="str">
            <v>UN</v>
          </cell>
          <cell r="J3031">
            <v>118</v>
          </cell>
        </row>
        <row r="3032">
          <cell r="G3032">
            <v>12581</v>
          </cell>
          <cell r="H3032" t="str">
            <v>PATIO ZONAL EL GACO - TEE HD EXTREMO JUNTA MECANICA 6"x6"x6", PARA PVC C-900.</v>
          </cell>
          <cell r="I3032" t="str">
            <v>UN</v>
          </cell>
          <cell r="J3032">
            <v>772629</v>
          </cell>
        </row>
        <row r="3033">
          <cell r="G3033">
            <v>12582</v>
          </cell>
          <cell r="H3033" t="str">
            <v xml:space="preserve"> PATIO ZONAL EL GACO: LISTÓN ESPARTA MULTICOLOR CARA UNICA 15 x 45 CM</v>
          </cell>
          <cell r="I3033" t="str">
            <v>UN</v>
          </cell>
          <cell r="J3033">
            <v>7800</v>
          </cell>
        </row>
        <row r="3034">
          <cell r="G3034">
            <v>12583</v>
          </cell>
          <cell r="H3034" t="str">
            <v>PATIO ZONAL EL GACO - TEE HD EXTREMO JUNTA MECANICA REDUCIDA 6"X6"X4", PARA PVC C-900.</v>
          </cell>
          <cell r="I3034" t="str">
            <v>UN</v>
          </cell>
          <cell r="J3034">
            <v>589050</v>
          </cell>
        </row>
        <row r="3035">
          <cell r="G3035">
            <v>12584</v>
          </cell>
          <cell r="H3035" t="str">
            <v>PATIO ZONAL EL GACO - TEE HD EXTREMO JUNTA MECANICA 4"X4"X4", PARA PVC C-900.</v>
          </cell>
          <cell r="I3035" t="str">
            <v>UN</v>
          </cell>
          <cell r="J3035">
            <v>425636</v>
          </cell>
        </row>
        <row r="3036">
          <cell r="G3036">
            <v>12585</v>
          </cell>
          <cell r="H3036" t="str">
            <v>PATIO ZONAL EL GACO - CODO HD EXTREMO JUNTA MECANICA  90°X6"</v>
          </cell>
          <cell r="I3036" t="str">
            <v>UN</v>
          </cell>
          <cell r="J3036">
            <v>531930</v>
          </cell>
        </row>
        <row r="3037">
          <cell r="G3037">
            <v>12586</v>
          </cell>
          <cell r="H3037" t="str">
            <v>PATIO ZONAL EL GACO - CODO HD EXTREMO JUNTA MECANICA 90°X4"</v>
          </cell>
          <cell r="I3037" t="str">
            <v>UN</v>
          </cell>
          <cell r="J3037">
            <v>372470</v>
          </cell>
        </row>
        <row r="3038">
          <cell r="G3038">
            <v>12587</v>
          </cell>
          <cell r="H3038" t="str">
            <v>PATIO ZONAL EL GACO - CODO HD EXTREMO JUNTA MECANICA 45°X6"</v>
          </cell>
          <cell r="I3038" t="str">
            <v>UN</v>
          </cell>
          <cell r="J3038">
            <v>355810</v>
          </cell>
        </row>
        <row r="3039">
          <cell r="G3039">
            <v>12588</v>
          </cell>
          <cell r="H3039" t="str">
            <v xml:space="preserve"> PATIO ZONAL EL GACO: LED REFLECTOR JETA 50W DL</v>
          </cell>
          <cell r="I3039" t="str">
            <v>UN</v>
          </cell>
          <cell r="J3039">
            <v>52000</v>
          </cell>
        </row>
        <row r="3040">
          <cell r="G3040">
            <v>12589</v>
          </cell>
          <cell r="H3040" t="str">
            <v>PATIO ZONAL EL GACO - REDUCCIÓN HD EXTREMO JUNTA MECANICA  Ø6"X4"</v>
          </cell>
          <cell r="I3040" t="str">
            <v>UN</v>
          </cell>
          <cell r="J3040">
            <v>177533</v>
          </cell>
        </row>
        <row r="3041">
          <cell r="G3041">
            <v>12590</v>
          </cell>
          <cell r="H3041" t="str">
            <v xml:space="preserve"> PATIO ZONAL EL GACO: PEGANTE PEGACOR MAX BLANCO</v>
          </cell>
          <cell r="I3041" t="str">
            <v>KG</v>
          </cell>
          <cell r="J3041">
            <v>2956</v>
          </cell>
        </row>
        <row r="3042">
          <cell r="G3042">
            <v>12591</v>
          </cell>
          <cell r="H3042" t="str">
            <v>PATIO ZONAL EL GACO - BRIDA RANURADA Ø4"</v>
          </cell>
          <cell r="I3042" t="str">
            <v>UN</v>
          </cell>
          <cell r="J3042">
            <v>82586</v>
          </cell>
        </row>
        <row r="3043">
          <cell r="G3043">
            <v>12592</v>
          </cell>
          <cell r="H3043" t="str">
            <v xml:space="preserve"> PATIO ZONAL EL GACO: PISO EN PORCELANATO BELFORT MIEL 24X120 CM</v>
          </cell>
          <cell r="I3043" t="str">
            <v>M2</v>
          </cell>
          <cell r="J3043">
            <v>80900</v>
          </cell>
        </row>
        <row r="3044">
          <cell r="G3044">
            <v>12593</v>
          </cell>
          <cell r="H3044" t="str">
            <v>PATIO ZONAL EL GACO - BRIDA RANURADA Ø6"</v>
          </cell>
          <cell r="I3044" t="str">
            <v>UN</v>
          </cell>
          <cell r="J3044">
            <v>80802</v>
          </cell>
        </row>
        <row r="3045">
          <cell r="G3045">
            <v>12594</v>
          </cell>
          <cell r="H3045" t="str">
            <v>PATIO ZONAL EL GACO - JUEGO EMPAQUES Y TORNILLERIA PARA BRIDA 4"</v>
          </cell>
          <cell r="I3045" t="str">
            <v>UN</v>
          </cell>
          <cell r="J3045">
            <v>31699</v>
          </cell>
        </row>
        <row r="3046">
          <cell r="G3046">
            <v>12595</v>
          </cell>
          <cell r="H3046" t="str">
            <v xml:space="preserve"> PATIO ZONAL EL GACO: VENTANA TIPO V-02 EN ALUMINIO MATE, VIDRIO TEMPLADO DE SEGURIDAD TRANSPARENTE 6MM, DE 60X100CM (Incluye suministro e instalación)</v>
          </cell>
          <cell r="I3046" t="str">
            <v>UN</v>
          </cell>
          <cell r="J3046">
            <v>278832</v>
          </cell>
        </row>
        <row r="3047">
          <cell r="G3047">
            <v>12596</v>
          </cell>
          <cell r="H3047" t="str">
            <v>PATIO ZONAL EL GACO - JUEGO EMPAQUES Y TORNILLERIA PARA BRIDA 6"</v>
          </cell>
          <cell r="I3047" t="str">
            <v>UN</v>
          </cell>
          <cell r="J3047">
            <v>34998</v>
          </cell>
        </row>
        <row r="3048">
          <cell r="G3048">
            <v>12597</v>
          </cell>
          <cell r="H3048" t="str">
            <v>PATIO ZONAL EL GACO - TAPÓN RANURADO Ø4"</v>
          </cell>
          <cell r="I3048" t="str">
            <v>UN</v>
          </cell>
          <cell r="J3048">
            <v>10353</v>
          </cell>
        </row>
        <row r="3049">
          <cell r="G3049">
            <v>12598</v>
          </cell>
          <cell r="H3049" t="str">
            <v>PATIO ZONAL EL GACO - TAPÓN RANURADO Ø6"</v>
          </cell>
          <cell r="I3049" t="str">
            <v>UN</v>
          </cell>
          <cell r="J3049">
            <v>29036</v>
          </cell>
        </row>
        <row r="3050">
          <cell r="G3050">
            <v>12599</v>
          </cell>
          <cell r="H3050" t="str">
            <v>PATIO ZONAL EL GACO - RESTRICTOR HEXAGONAL HD TUF GRIP Ø6"</v>
          </cell>
          <cell r="I3050" t="str">
            <v>UN</v>
          </cell>
          <cell r="J3050">
            <v>311931</v>
          </cell>
        </row>
        <row r="3051">
          <cell r="G3051">
            <v>12600</v>
          </cell>
          <cell r="H3051" t="str">
            <v>PATIO ZONAL EL GACO: VENTANA TIPO V-03 EN ALUMINIO MATE, VIDRIO TEMPLADO DE SEGURIDAD TRANSPARENTE 6MM, DE 220x100CM (Incluye suministro e instalación)</v>
          </cell>
          <cell r="I3051" t="str">
            <v>UN</v>
          </cell>
          <cell r="J3051">
            <v>1079345</v>
          </cell>
        </row>
        <row r="3052">
          <cell r="G3052">
            <v>12601</v>
          </cell>
          <cell r="H3052" t="str">
            <v>PATIO ZONAL EL GACO - RESTRICTOR HEXAGONAL HD TUF GRIP Ø4"</v>
          </cell>
          <cell r="I3052" t="str">
            <v>UN</v>
          </cell>
          <cell r="J3052">
            <v>261800</v>
          </cell>
        </row>
        <row r="3053">
          <cell r="G3053">
            <v>12602</v>
          </cell>
          <cell r="H3053" t="str">
            <v xml:space="preserve"> PATIO ZONAL EL GACO: LED HIGH BAY 200W DL GC015</v>
          </cell>
          <cell r="I3053" t="str">
            <v>UN</v>
          </cell>
          <cell r="J3053">
            <v>436031</v>
          </cell>
        </row>
        <row r="3054">
          <cell r="G3054">
            <v>12603</v>
          </cell>
          <cell r="H3054" t="str">
            <v>PATIO ZONAL EL GACO - KIT ADAPTADOR TRANSICIÓN HD 4200 Ø6"</v>
          </cell>
          <cell r="I3054" t="str">
            <v>UN</v>
          </cell>
          <cell r="J3054">
            <v>579557</v>
          </cell>
        </row>
        <row r="3055">
          <cell r="G3055">
            <v>12604</v>
          </cell>
          <cell r="H3055" t="str">
            <v>PATIO ZONAL EL GACO - KIT ADAPTADOR TRANSICIÓN HD 4200 Ø4"</v>
          </cell>
          <cell r="I3055" t="str">
            <v>UN</v>
          </cell>
          <cell r="J3055">
            <v>478380</v>
          </cell>
        </row>
        <row r="3056">
          <cell r="G3056">
            <v>12605</v>
          </cell>
          <cell r="H3056" t="str">
            <v>PATIO ZONAL EL GACO - RESTRICTOR HIERRO DÚCTIL SERIE 400 C-900 Ø6"</v>
          </cell>
          <cell r="I3056" t="str">
            <v>UN</v>
          </cell>
          <cell r="J3056">
            <v>327250</v>
          </cell>
        </row>
        <row r="3057">
          <cell r="G3057">
            <v>12606</v>
          </cell>
          <cell r="H3057" t="str">
            <v>PATIO ZONAL EL GACO - RESTRICTOR HIERRO DÚCTIL SERIE 400 C-900 Ø4"</v>
          </cell>
          <cell r="I3057" t="str">
            <v>UN</v>
          </cell>
          <cell r="J3057">
            <v>261800</v>
          </cell>
        </row>
        <row r="3058">
          <cell r="G3058">
            <v>12607</v>
          </cell>
          <cell r="H3058" t="str">
            <v>PATIO ZONAL EL GACO - VÁLVULA ANGULAR 2 1/2″ H/M ROSCADA 300 PSI BRONCE UL/FM</v>
          </cell>
          <cell r="I3058" t="str">
            <v>UN</v>
          </cell>
          <cell r="J3058">
            <v>294525</v>
          </cell>
        </row>
        <row r="3059">
          <cell r="G3059">
            <v>12608</v>
          </cell>
          <cell r="H3059" t="str">
            <v>PATIO ZONAL EL GACO - ACOPLE RIGIDO RANURADO 1-¼"</v>
          </cell>
          <cell r="I3059" t="str">
            <v>UN</v>
          </cell>
          <cell r="J3059">
            <v>11582</v>
          </cell>
        </row>
        <row r="3060">
          <cell r="G3060">
            <v>12609</v>
          </cell>
          <cell r="H3060" t="str">
            <v>PATIO ZONAL EL GACO - ACOPLE RIGIDO RANURADO 1-½"</v>
          </cell>
          <cell r="I3060" t="str">
            <v>UN</v>
          </cell>
          <cell r="J3060">
            <v>10710</v>
          </cell>
        </row>
        <row r="3061">
          <cell r="G3061">
            <v>12610</v>
          </cell>
          <cell r="H3061" t="str">
            <v>PATIO ZONAL EL GACO - ACOPLE RIGIDO RANURADO 2"</v>
          </cell>
          <cell r="I3061" t="str">
            <v>UN</v>
          </cell>
          <cell r="J3061">
            <v>11543</v>
          </cell>
        </row>
        <row r="3062">
          <cell r="G3062">
            <v>12611</v>
          </cell>
          <cell r="H3062" t="str">
            <v>PATIO ZONAL EL GACO - ACOPLE RIGIDO RANURADO 2-1/2"</v>
          </cell>
          <cell r="I3062" t="str">
            <v>UN</v>
          </cell>
          <cell r="J3062">
            <v>12733</v>
          </cell>
        </row>
        <row r="3063">
          <cell r="G3063">
            <v>12612</v>
          </cell>
          <cell r="H3063" t="str">
            <v>PATIO ZONAL EL GACO - ACOPLE RIGIDO RANURADO 3"</v>
          </cell>
          <cell r="I3063" t="str">
            <v>UN</v>
          </cell>
          <cell r="J3063">
            <v>14399</v>
          </cell>
        </row>
        <row r="3064">
          <cell r="G3064">
            <v>12613</v>
          </cell>
          <cell r="H3064" t="str">
            <v>PATIO ZONAL EL GACO - ACOPLE RIGIDO RANURADO 4"</v>
          </cell>
          <cell r="I3064" t="str">
            <v>UN</v>
          </cell>
          <cell r="J3064">
            <v>24106</v>
          </cell>
        </row>
        <row r="3065">
          <cell r="G3065">
            <v>12614</v>
          </cell>
          <cell r="H3065" t="str">
            <v>PATIO ZONAL EL GACO - MANÓMETRO GLICERINA CUBIERTA DE 2 1/2", 0 A 300 PSI Ø1/4"</v>
          </cell>
          <cell r="I3065" t="str">
            <v>UN</v>
          </cell>
          <cell r="J3065">
            <v>61880</v>
          </cell>
        </row>
        <row r="3066">
          <cell r="G3066">
            <v>12615</v>
          </cell>
          <cell r="H3066" t="str">
            <v>PATIO ZONAL EL GACO - ROCIADOR PENDIENTE, ORIFICIO 3/4", TEMPERATURA 165° F, BRONZE Ø 3/4" - K=8,0</v>
          </cell>
          <cell r="I3066" t="str">
            <v>UN</v>
          </cell>
          <cell r="J3066">
            <v>37891</v>
          </cell>
        </row>
        <row r="3067">
          <cell r="G3067">
            <v>12616</v>
          </cell>
          <cell r="H3067" t="str">
            <v>PATIO ZONAL EL GACO - ABRAZADERA TIPO PERA UL/FM 1"</v>
          </cell>
          <cell r="I3067" t="str">
            <v>UN</v>
          </cell>
          <cell r="J3067">
            <v>1607</v>
          </cell>
        </row>
        <row r="3068">
          <cell r="G3068">
            <v>12617</v>
          </cell>
          <cell r="H3068" t="str">
            <v xml:space="preserve"> PATIO ZONAL EL GACO: PLANTA ELÉCTRICA 400 kW CON CABINA. Voltaje 220 V. </v>
          </cell>
          <cell r="I3068" t="str">
            <v>UN</v>
          </cell>
          <cell r="J3068">
            <v>193970000</v>
          </cell>
        </row>
        <row r="3069">
          <cell r="G3069">
            <v>12618</v>
          </cell>
          <cell r="H3069" t="str">
            <v>PATIO ZONAL EL GACO - SOPORTES COLGANTES UL/FM 1-1/4"</v>
          </cell>
          <cell r="I3069" t="str">
            <v>UN</v>
          </cell>
          <cell r="J3069">
            <v>1726</v>
          </cell>
        </row>
        <row r="3070">
          <cell r="G3070">
            <v>12619</v>
          </cell>
          <cell r="H3070" t="str">
            <v>PATIO ZONAL EL GACO - SOPORTES COLGANTES UL/FM 1-1/2"</v>
          </cell>
          <cell r="I3070" t="str">
            <v>UN</v>
          </cell>
          <cell r="J3070">
            <v>1845</v>
          </cell>
        </row>
        <row r="3071">
          <cell r="G3071">
            <v>12620</v>
          </cell>
          <cell r="H3071" t="str">
            <v>PATIO ZONAL EL GACO - SOPORTES COLGANTES UL/FM 2"</v>
          </cell>
          <cell r="I3071" t="str">
            <v>UN</v>
          </cell>
          <cell r="J3071">
            <v>1964</v>
          </cell>
        </row>
        <row r="3072">
          <cell r="G3072">
            <v>12621</v>
          </cell>
          <cell r="H3072" t="str">
            <v>PATIO ZONAL EL GACO - SOPORTES COLGANTES UL/FM 3"</v>
          </cell>
          <cell r="I3072" t="str">
            <v>UN</v>
          </cell>
          <cell r="J3072">
            <v>3451</v>
          </cell>
        </row>
        <row r="3073">
          <cell r="G3073">
            <v>12622</v>
          </cell>
          <cell r="H3073" t="str">
            <v>PATIO ZONAL EL GACO - SOPORTES COLGANTES UL/FM 4"</v>
          </cell>
          <cell r="I3073" t="str">
            <v>UN</v>
          </cell>
          <cell r="J3073">
            <v>4701</v>
          </cell>
        </row>
        <row r="3074">
          <cell r="G3074">
            <v>12623</v>
          </cell>
          <cell r="H3074" t="str">
            <v>PATIO ZONAL EL GACO - SOPORTE ANTISÍSMICO 4 VÍAS</v>
          </cell>
          <cell r="I3074" t="str">
            <v>UN</v>
          </cell>
          <cell r="J3074">
            <v>39556</v>
          </cell>
        </row>
        <row r="3075">
          <cell r="G3075">
            <v>12624</v>
          </cell>
          <cell r="H3075" t="str">
            <v>PATIO ZONAL EL GACO - TEE 3" PVC (INCLUYE SUMINISTRO E INSTALACION)</v>
          </cell>
          <cell r="I3075" t="str">
            <v>UN</v>
          </cell>
          <cell r="J3075">
            <v>58800</v>
          </cell>
        </row>
        <row r="3076">
          <cell r="G3076">
            <v>12625</v>
          </cell>
          <cell r="H3076" t="str">
            <v>PATIO ZONAL EL GACO - SOPORTE AUTO-AJUSTABLE</v>
          </cell>
          <cell r="I3076" t="str">
            <v>UN</v>
          </cell>
          <cell r="J3076">
            <v>944</v>
          </cell>
        </row>
        <row r="3077">
          <cell r="G3077">
            <v>12626</v>
          </cell>
          <cell r="H3077" t="str">
            <v>PATIO ZONAL EL GACO - CHEQUE RANURADO Ø2"</v>
          </cell>
          <cell r="I3077" t="str">
            <v>UN</v>
          </cell>
          <cell r="J3077">
            <v>215033</v>
          </cell>
        </row>
        <row r="3078">
          <cell r="G3078">
            <v>12627</v>
          </cell>
          <cell r="H3078" t="str">
            <v>PATIO ZONAL EL GACO - VÁLVULA MARIPOSA Ø2"</v>
          </cell>
          <cell r="I3078" t="str">
            <v>UN</v>
          </cell>
          <cell r="J3078">
            <v>372463</v>
          </cell>
        </row>
        <row r="3079">
          <cell r="G3079">
            <v>12628</v>
          </cell>
          <cell r="H3079" t="str">
            <v>PATIO ZONAL EL GACO - CHEQUE RANURADO Ø2½"</v>
          </cell>
          <cell r="I3079" t="str">
            <v>UN</v>
          </cell>
          <cell r="J3079">
            <v>202678</v>
          </cell>
        </row>
        <row r="3080">
          <cell r="G3080">
            <v>12629</v>
          </cell>
          <cell r="H3080" t="str">
            <v>PATIO ZONAL EL GACO - CHEQUE RANURADO Ø3"</v>
          </cell>
          <cell r="I3080" t="str">
            <v>UN</v>
          </cell>
          <cell r="J3080">
            <v>234276</v>
          </cell>
        </row>
        <row r="3081">
          <cell r="G3081">
            <v>12630</v>
          </cell>
          <cell r="H3081" t="str">
            <v>PATIO ZONAL EL GACO - CHEQUE RANURADO Ø4"</v>
          </cell>
          <cell r="I3081" t="str">
            <v>UN</v>
          </cell>
          <cell r="J3081">
            <v>335104</v>
          </cell>
        </row>
        <row r="3082">
          <cell r="G3082">
            <v>12631</v>
          </cell>
          <cell r="H3082" t="str">
            <v>PATIO ZONAL EL GACO - VÁLVULA MARIPOSA Ø1½"</v>
          </cell>
          <cell r="I3082" t="str">
            <v>UN</v>
          </cell>
          <cell r="J3082">
            <v>292264</v>
          </cell>
        </row>
        <row r="3083">
          <cell r="G3083">
            <v>12632</v>
          </cell>
          <cell r="H3083" t="str">
            <v>PATIO ZONAL EL GACO - TEE 4" PVC (INCLUYE SUMINISTRO E INSTALACION)</v>
          </cell>
          <cell r="I3083" t="str">
            <v>UN</v>
          </cell>
          <cell r="J3083">
            <v>128000</v>
          </cell>
        </row>
        <row r="3084">
          <cell r="G3084">
            <v>12633</v>
          </cell>
          <cell r="H3084" t="str">
            <v>PATIO ZONAL EL GACO - CODO PVCP 90° 3/4"  (INCLUYE SUMINISTRO E INSTALACION)</v>
          </cell>
          <cell r="I3084" t="str">
            <v>UN</v>
          </cell>
          <cell r="J3084">
            <v>950</v>
          </cell>
        </row>
        <row r="3085">
          <cell r="G3085">
            <v>12634</v>
          </cell>
          <cell r="H3085" t="str">
            <v>PATIO ZONAL EL GACO - CODO PVCP 45° 1 1/4"  (INCLUYE SUMINISTRO E INSTALACION)</v>
          </cell>
          <cell r="I3085" t="str">
            <v>UN</v>
          </cell>
          <cell r="J3085">
            <v>5400</v>
          </cell>
        </row>
        <row r="3086">
          <cell r="G3086">
            <v>12635</v>
          </cell>
          <cell r="H3086" t="str">
            <v>PATIO ZONAL EL GACO - LUMINARIA LED PANEL SQ 40W DL 100-277V</v>
          </cell>
          <cell r="I3086" t="str">
            <v>UN</v>
          </cell>
          <cell r="J3086">
            <v>87204</v>
          </cell>
        </row>
        <row r="3087">
          <cell r="G3087">
            <v>12636</v>
          </cell>
          <cell r="H3087" t="str">
            <v>PATIO ZONAL EL GACO - LUMINARIA LED LINEAL COMERCIAL 40W DL UNV</v>
          </cell>
          <cell r="I3087" t="str">
            <v>UN</v>
          </cell>
          <cell r="J3087">
            <v>100374</v>
          </cell>
        </row>
        <row r="3088">
          <cell r="G3088">
            <v>12637</v>
          </cell>
          <cell r="H3088" t="str">
            <v xml:space="preserve"> PATIO ZONAL EL GACO: PANEL LED REDONDO 18 W LUZ BLANCA FRÍA 1080 LUMENES DE INCRUSTAR</v>
          </cell>
          <cell r="I3088" t="str">
            <v>UN</v>
          </cell>
          <cell r="J3088">
            <v>10800</v>
          </cell>
        </row>
        <row r="3089">
          <cell r="G3089">
            <v>12638</v>
          </cell>
          <cell r="H3089" t="str">
            <v>PATIO ZONAL EL GACO - TUBO DE COBRE 3/4"</v>
          </cell>
          <cell r="I3089" t="str">
            <v>ML</v>
          </cell>
          <cell r="J3089">
            <v>31817</v>
          </cell>
        </row>
        <row r="3090">
          <cell r="G3090">
            <v>12639</v>
          </cell>
          <cell r="H3090" t="str">
            <v xml:space="preserve">  PATIO ZONAL EL GACO: CABLE CU THHN No 10AWG</v>
          </cell>
          <cell r="I3090" t="str">
            <v>ML</v>
          </cell>
          <cell r="J3090">
            <v>2900</v>
          </cell>
        </row>
        <row r="3091">
          <cell r="G3091">
            <v>12640</v>
          </cell>
          <cell r="H3091" t="str">
            <v>PATIO ZONAL EL GACO - REGISTRO BOLA 3/4" PVC (INCLUYE SUMINISTRO E INSTALACION)</v>
          </cell>
          <cell r="I3091" t="str">
            <v>UN</v>
          </cell>
          <cell r="J3091">
            <v>11290</v>
          </cell>
        </row>
        <row r="3092">
          <cell r="G3092">
            <v>12641</v>
          </cell>
          <cell r="H3092" t="str">
            <v>PATIO ZONAL EL GACO - REGISTRO BOLA 1 1/2" PVC (INCLUYE SUMINISTRO E INSTALACION)</v>
          </cell>
          <cell r="I3092" t="str">
            <v>UN</v>
          </cell>
          <cell r="J3092">
            <v>26490</v>
          </cell>
        </row>
        <row r="3093">
          <cell r="G3093">
            <v>12642</v>
          </cell>
          <cell r="H3093" t="str">
            <v>PATIO ZONAL EL GACO - REGISTRO BOLA 2" PVC (INCLUYE SUMINISTRO E INSTALACION)</v>
          </cell>
          <cell r="I3093" t="str">
            <v>UN</v>
          </cell>
          <cell r="J3093">
            <v>36790</v>
          </cell>
        </row>
        <row r="3094">
          <cell r="G3094">
            <v>12643</v>
          </cell>
          <cell r="H3094" t="str">
            <v>PATIO ZONAL EL GACO - TEE 2 1/2" PVC (INCLUYE SUMINISTRO E INSTALACION)</v>
          </cell>
          <cell r="I3094" t="str">
            <v>UN</v>
          </cell>
          <cell r="J3094">
            <v>36800</v>
          </cell>
        </row>
        <row r="3095">
          <cell r="G3095">
            <v>12644</v>
          </cell>
          <cell r="H3095" t="str">
            <v xml:space="preserve">PATIO ZONAL EL GACO - GEOMEMBRANA LISA HDPE 40 MILS. </v>
          </cell>
          <cell r="I3095" t="str">
            <v>M2</v>
          </cell>
          <cell r="J3095">
            <v>13685</v>
          </cell>
        </row>
        <row r="3096">
          <cell r="G3096">
            <v>12645</v>
          </cell>
          <cell r="H3096" t="str">
            <v>PATIO ZONAL EL GACO - ACCESORIOS RANURADOS 150 LBS 1"</v>
          </cell>
          <cell r="I3096" t="str">
            <v>UN</v>
          </cell>
          <cell r="J3096">
            <v>4300</v>
          </cell>
        </row>
        <row r="3097">
          <cell r="G3097">
            <v>12646</v>
          </cell>
          <cell r="H3097" t="str">
            <v>PATIO ZONAL EL GACO - ACCESORIO RANURADO 1¼"</v>
          </cell>
          <cell r="I3097" t="str">
            <v>UN</v>
          </cell>
          <cell r="J3097">
            <v>6951</v>
          </cell>
        </row>
        <row r="3098">
          <cell r="G3098">
            <v>12647</v>
          </cell>
          <cell r="H3098" t="str">
            <v xml:space="preserve">  PATIO ZONAL EL GACO: LED PANEL RD 24W DL</v>
          </cell>
          <cell r="I3098" t="str">
            <v>UN</v>
          </cell>
          <cell r="J3098">
            <v>29117</v>
          </cell>
        </row>
        <row r="3099">
          <cell r="G3099">
            <v>12648</v>
          </cell>
          <cell r="H3099" t="str">
            <v xml:space="preserve">  PATIO ZONAL EL GACO: CODO CU 90° 3/4" </v>
          </cell>
          <cell r="I3099" t="str">
            <v>UN</v>
          </cell>
          <cell r="J3099">
            <v>4100</v>
          </cell>
        </row>
        <row r="3100">
          <cell r="G3100">
            <v>12649</v>
          </cell>
          <cell r="H3100" t="str">
            <v>PATIO ZONAL EL GACO - ACCESORIO RANURADO 1½"</v>
          </cell>
          <cell r="I3100" t="str">
            <v>UN</v>
          </cell>
          <cell r="J3100">
            <v>8100</v>
          </cell>
        </row>
        <row r="3101">
          <cell r="G3101">
            <v>12650</v>
          </cell>
          <cell r="H3101" t="str">
            <v xml:space="preserve">  PATIO ZONAL EL GACO: TUBERIA COBRE DE 1/2"	</v>
          </cell>
          <cell r="I3101" t="str">
            <v>ML</v>
          </cell>
          <cell r="J3101">
            <v>21933</v>
          </cell>
        </row>
        <row r="3102">
          <cell r="G3102">
            <v>12651</v>
          </cell>
          <cell r="H3102" t="str">
            <v>PATIO ZONAL EL GACO - ACCESORIO RANURADO 2"</v>
          </cell>
          <cell r="I3102" t="str">
            <v>UN</v>
          </cell>
          <cell r="J3102">
            <v>11500</v>
          </cell>
        </row>
        <row r="3103">
          <cell r="G3103">
            <v>12652</v>
          </cell>
          <cell r="H3103" t="str">
            <v>PATIO ZONAL EL GACO - PLUG TELEFONICO CONECTOR RJ 11</v>
          </cell>
          <cell r="I3103" t="str">
            <v>UN</v>
          </cell>
          <cell r="J3103">
            <v>100</v>
          </cell>
        </row>
        <row r="3104">
          <cell r="G3104">
            <v>12653</v>
          </cell>
          <cell r="H3104" t="str">
            <v xml:space="preserve">  PATIO ZONAL EL GACO: CODO 90° EN ACERO GALVANIZADO 1"</v>
          </cell>
          <cell r="I3104" t="str">
            <v>UN</v>
          </cell>
          <cell r="J3104">
            <v>4436</v>
          </cell>
        </row>
        <row r="3105">
          <cell r="G3105">
            <v>12654</v>
          </cell>
          <cell r="H3105" t="str">
            <v>PATIO ZONAL EL GACO - GABINETE 60 CM X 60 CM X 60 CM</v>
          </cell>
          <cell r="I3105" t="str">
            <v>UN</v>
          </cell>
          <cell r="J3105">
            <v>268966</v>
          </cell>
        </row>
        <row r="3106">
          <cell r="G3106">
            <v>12655</v>
          </cell>
          <cell r="H3106" t="str">
            <v>PATIO ZONAL EL GACO - GABINETE 60 CM X 60 CM X 210 CM</v>
          </cell>
          <cell r="I3106" t="str">
            <v>UN</v>
          </cell>
          <cell r="J3106">
            <v>777500</v>
          </cell>
        </row>
        <row r="3107">
          <cell r="G3107">
            <v>12656</v>
          </cell>
          <cell r="H3107" t="str">
            <v>PATIO ZONAL EL GACO - PATCH PANEL 24 PUNTOS</v>
          </cell>
          <cell r="I3107" t="str">
            <v>UN</v>
          </cell>
          <cell r="J3107">
            <v>179900</v>
          </cell>
        </row>
        <row r="3108">
          <cell r="G3108">
            <v>12657</v>
          </cell>
          <cell r="H3108" t="str">
            <v>PATIO ZONAL EL GACO - PATCHCORD CAT 6</v>
          </cell>
          <cell r="I3108" t="str">
            <v>ML</v>
          </cell>
          <cell r="J3108">
            <v>3200</v>
          </cell>
        </row>
        <row r="3109">
          <cell r="G3109">
            <v>12658</v>
          </cell>
          <cell r="H3109" t="str">
            <v xml:space="preserve"> PATIO ZONAL EL GACO - TABLERO TRIFÁSICO 3F-5H DE 12 CIRCUITOS</v>
          </cell>
          <cell r="I3109" t="str">
            <v>UN</v>
          </cell>
          <cell r="J3109">
            <v>240000</v>
          </cell>
        </row>
        <row r="3110">
          <cell r="G3110">
            <v>12659</v>
          </cell>
          <cell r="H3110" t="str">
            <v>PATIO ZONAL EL GACO - TABLERO TRIFÁSICO 3F-5H DE 36 CIRCUITOS</v>
          </cell>
          <cell r="I3110" t="str">
            <v>UN</v>
          </cell>
          <cell r="J3110">
            <v>340000</v>
          </cell>
        </row>
        <row r="3111">
          <cell r="G3111">
            <v>12660</v>
          </cell>
          <cell r="H3111" t="str">
            <v>PATIO ZONAL EL GACO - BREAKER ENCHUFABLE 2X20A</v>
          </cell>
          <cell r="I3111" t="str">
            <v>UN</v>
          </cell>
          <cell r="J3111">
            <v>24499</v>
          </cell>
        </row>
        <row r="3112">
          <cell r="G3112">
            <v>12661</v>
          </cell>
          <cell r="H3112" t="str">
            <v>PATIO ZONAL EL GACO - BREAKER ENCHUFABLE 3X20A</v>
          </cell>
          <cell r="I3112" t="str">
            <v>UN</v>
          </cell>
          <cell r="J3112">
            <v>45000</v>
          </cell>
        </row>
        <row r="3113">
          <cell r="G3113">
            <v>12662</v>
          </cell>
          <cell r="H3113" t="str">
            <v>PATIO ZONAL EL GACO - FACE PLATE SENCILLO</v>
          </cell>
          <cell r="I3113" t="str">
            <v>UN</v>
          </cell>
          <cell r="J3113">
            <v>2654</v>
          </cell>
        </row>
        <row r="3114">
          <cell r="G3114">
            <v>12663</v>
          </cell>
          <cell r="H3114" t="str">
            <v xml:space="preserve">  PATIO ZONAL EL GACO: VÁLVULA BOLA 3/4" PARA GAS</v>
          </cell>
          <cell r="I3114" t="str">
            <v>UN</v>
          </cell>
          <cell r="J3114">
            <v>12505</v>
          </cell>
        </row>
        <row r="3115">
          <cell r="G3115">
            <v>12664</v>
          </cell>
          <cell r="H3115" t="str">
            <v xml:space="preserve">  PATIO ZONAL EL GACO: REDUCCIÓN COBRE DE 3/4" A 1/2"		</v>
          </cell>
          <cell r="I3115" t="str">
            <v>UN</v>
          </cell>
          <cell r="J3115">
            <v>2500</v>
          </cell>
        </row>
        <row r="3116">
          <cell r="G3116">
            <v>12665</v>
          </cell>
          <cell r="H3116" t="str">
            <v xml:space="preserve">  PATIO ZONAL EL GACO: CODO CU 90° 1/2" </v>
          </cell>
          <cell r="I3116" t="str">
            <v>UN</v>
          </cell>
          <cell r="J3116">
            <v>1600</v>
          </cell>
        </row>
        <row r="3117">
          <cell r="G3117">
            <v>12666</v>
          </cell>
          <cell r="H3117" t="str">
            <v xml:space="preserve">  PATIO ZONAL EL GACO: ADAPTADOR MACHO COBRE DE 1/2"</v>
          </cell>
          <cell r="I3117" t="str">
            <v>UN</v>
          </cell>
          <cell r="J3117">
            <v>2500</v>
          </cell>
        </row>
        <row r="3118">
          <cell r="G3118">
            <v>12668</v>
          </cell>
          <cell r="H3118" t="str">
            <v>PISO EN POLIPROPILENO DE ALTO IMPACTO PARA PUENTES PEATONALES Y ESTACIONES DE TRANSMILENIO, e=25MM. INCLUYE TRANSPORTE.</v>
          </cell>
          <cell r="I3118" t="str">
            <v>M2</v>
          </cell>
          <cell r="J3118">
            <v>912891</v>
          </cell>
        </row>
        <row r="3119">
          <cell r="G3119">
            <v>12669</v>
          </cell>
          <cell r="H3119" t="str">
            <v>PISO EN POLIPROPILENO DE ALTO IMPACTO PARA ESCALERA DE PUENTES PEATONALES, ANCHO 38cm e=2cm. INCLUYE TRANSPORTE.</v>
          </cell>
          <cell r="I3119" t="str">
            <v>ML</v>
          </cell>
          <cell r="J3119">
            <v>510157</v>
          </cell>
        </row>
        <row r="3120">
          <cell r="G3120">
            <v>12670</v>
          </cell>
          <cell r="H3120" t="str">
            <v xml:space="preserve">SOPORTE DE ANCLAJE EN POLIPROPILENO DE ALTO IMPACTO PARA ESCALERA DE PUENTES PEATONALES, LARGO:34CM, ANCHO:4,5CM Y e:2,5CM.INCLUYE TRANSPORTE. </v>
          </cell>
          <cell r="I3120" t="str">
            <v>ML</v>
          </cell>
          <cell r="J3120">
            <v>145436</v>
          </cell>
        </row>
        <row r="3121">
          <cell r="G3121">
            <v>12671</v>
          </cell>
          <cell r="H3121" t="str">
            <v>PATIO ZONAL EL GACO: RELLENO CON CENIZA - ESCORIA DE ALTO HORNO.</v>
          </cell>
          <cell r="I3121" t="str">
            <v>M3</v>
          </cell>
          <cell r="J3121">
            <v>12000</v>
          </cell>
        </row>
        <row r="3122">
          <cell r="G3122">
            <v>12672</v>
          </cell>
          <cell r="H3122" t="str">
            <v>PATIO ZONAL EL GACO:TRANSPORTE DE CENIZA - ESCORIA DE ALTO HORNO.</v>
          </cell>
          <cell r="I3122" t="str">
            <v>M3</v>
          </cell>
          <cell r="J3122">
            <v>15000</v>
          </cell>
        </row>
        <row r="3123">
          <cell r="G3123">
            <v>12673</v>
          </cell>
          <cell r="H3123" t="str">
            <v xml:space="preserve">PATIO ZONAL EL GACO: Tubería en acero SCH 40 1"		</v>
          </cell>
          <cell r="I3123" t="str">
            <v>ML</v>
          </cell>
          <cell r="J3123">
            <v>27568</v>
          </cell>
        </row>
        <row r="3124">
          <cell r="G3124">
            <v>12674</v>
          </cell>
          <cell r="H3124" t="str">
            <v>PATIO ZONAL EL GACO:  REDUCCCION DE COPA GALVANIZADA DE 1" A 3/4"</v>
          </cell>
          <cell r="I3124" t="str">
            <v>UN</v>
          </cell>
          <cell r="J3124">
            <v>3190</v>
          </cell>
        </row>
        <row r="3125">
          <cell r="G3125">
            <v>12675</v>
          </cell>
          <cell r="H3125" t="str">
            <v>PATIO ZONAL EL GACO:  Cheque ranurado Ø 1 1/2"</v>
          </cell>
          <cell r="I3125" t="str">
            <v>UN</v>
          </cell>
          <cell r="J3125">
            <v>254541</v>
          </cell>
        </row>
        <row r="3126">
          <cell r="G3126">
            <v>12676</v>
          </cell>
          <cell r="H3126" t="str">
            <v>PATIO ZONAL EL GACO:  Sensor de flujo Ø1½" (Reducción ranurada 2" a 1 1/2")</v>
          </cell>
          <cell r="I3126" t="str">
            <v>UN</v>
          </cell>
          <cell r="J3126">
            <v>8900</v>
          </cell>
        </row>
        <row r="3127">
          <cell r="G3127">
            <v>12677</v>
          </cell>
          <cell r="H3127" t="str">
            <v>PATIO ZONAL EL GACO:  BANDEJA PORTACABLE TIPO MALLA DE 40 CM DE ANCHO</v>
          </cell>
          <cell r="I3127" t="str">
            <v>ML</v>
          </cell>
          <cell r="J3127">
            <v>31066</v>
          </cell>
        </row>
        <row r="3128">
          <cell r="G3128">
            <v>12678</v>
          </cell>
          <cell r="H3128" t="str">
            <v>PATIO ZONAL EL GACO:  Cable aislado cobre 3x12 Trenzado Fase Azul</v>
          </cell>
          <cell r="I3128" t="str">
            <v>ML</v>
          </cell>
          <cell r="J3128">
            <v>6600</v>
          </cell>
        </row>
        <row r="3129">
          <cell r="G3129">
            <v>12679</v>
          </cell>
          <cell r="H3129" t="str">
            <v>PATIO ZONAL EL GACO:  Adaptador cambio de sección para canal de drenaje a sumidero fabricado en polietileno, de sección oval. Longitud total 800 mm, altura exterior 895 mm y ancho exterior 765 mm. Peso: 15,8 kg.</v>
          </cell>
          <cell r="I3129" t="str">
            <v>UN</v>
          </cell>
          <cell r="J3129">
            <v>3276296</v>
          </cell>
        </row>
        <row r="3130">
          <cell r="G3130">
            <v>12680</v>
          </cell>
          <cell r="H3130" t="str">
            <v>PATIO ZONAL EL GACO:  Cable aislado cobre 3x12 Trenzado Fase Roja</v>
          </cell>
          <cell r="I3130" t="str">
            <v>ML</v>
          </cell>
          <cell r="J3130">
            <v>6600</v>
          </cell>
        </row>
        <row r="3131">
          <cell r="G3131">
            <v>12681</v>
          </cell>
          <cell r="H3131" t="str">
            <v>PATIO ZONAL EL GACO: Cuerpo Base (Polipropileno) para Tanque para regulación de flujos pluviales (150 m3) 19,20x4,80</v>
          </cell>
          <cell r="I3131" t="str">
            <v>UN</v>
          </cell>
          <cell r="J3131">
            <v>483712</v>
          </cell>
        </row>
        <row r="3132">
          <cell r="G3132">
            <v>12682</v>
          </cell>
          <cell r="H3132" t="str">
            <v>PATIO ZONAL EL GACO:  Luminaria Led GDS 63.2W</v>
          </cell>
          <cell r="I3132" t="str">
            <v>UN</v>
          </cell>
          <cell r="J3132">
            <v>326695</v>
          </cell>
        </row>
        <row r="3133">
          <cell r="G3133">
            <v>12683</v>
          </cell>
          <cell r="H3133" t="str">
            <v>PATIO ZONAL EL GACO:  CABLE XLPE 15 KV 240 MM No.2 AL</v>
          </cell>
          <cell r="I3133" t="str">
            <v>ML</v>
          </cell>
          <cell r="J3133">
            <v>7833</v>
          </cell>
        </row>
        <row r="3134">
          <cell r="G3134">
            <v>12684</v>
          </cell>
          <cell r="H3134" t="str">
            <v>PATIO ZONAL EL GACO:  CABLE XLPE 35 KV 240 MM No.2 AL</v>
          </cell>
          <cell r="I3134" t="str">
            <v>ML</v>
          </cell>
          <cell r="J3134">
            <v>52500</v>
          </cell>
        </row>
        <row r="3135">
          <cell r="G3135">
            <v>12685</v>
          </cell>
          <cell r="H3135" t="str">
            <v>PATIO ZONAL EL GACO:  NIPLE DE 5cm EN ACERO GALVANIZADO DE 1"</v>
          </cell>
          <cell r="I3135" t="str">
            <v>UN</v>
          </cell>
          <cell r="J3135">
            <v>3500</v>
          </cell>
        </row>
        <row r="3136">
          <cell r="G3136">
            <v>12686</v>
          </cell>
          <cell r="H3136" t="str">
            <v>PATIO ZONAL EL GACO:  UNIÓN EN ACERO GALVANIZADO DE 1"</v>
          </cell>
          <cell r="I3136" t="str">
            <v>UN</v>
          </cell>
          <cell r="J3136">
            <v>2900</v>
          </cell>
        </row>
        <row r="3137">
          <cell r="G3137">
            <v>12687</v>
          </cell>
          <cell r="H3137" t="str">
            <v>PATIO ZONAL EL GACO:  UNIÓN EN COBRE DE 3/4"</v>
          </cell>
          <cell r="I3137" t="str">
            <v>UN</v>
          </cell>
          <cell r="J3137">
            <v>1601</v>
          </cell>
        </row>
        <row r="3138">
          <cell r="G3138">
            <v>12688</v>
          </cell>
          <cell r="H3138" t="str">
            <v>PATIO ZONAL EL GACO:  GEOTEXTIL TEJIDO TR6000 HF</v>
          </cell>
          <cell r="I3138" t="str">
            <v>M2</v>
          </cell>
          <cell r="J3138">
            <v>18753</v>
          </cell>
        </row>
        <row r="3139">
          <cell r="G3139">
            <v>12689</v>
          </cell>
          <cell r="H3139" t="str">
            <v>PATIO ZONAL EL GACO:  EQUIPO EYECTOR CON SWITCH FLOTADOR Y TABLERO ELÉCTRICO</v>
          </cell>
          <cell r="I3139" t="str">
            <v>GLB</v>
          </cell>
          <cell r="J3139">
            <v>2226490</v>
          </cell>
        </row>
        <row r="3140">
          <cell r="G3140">
            <v>12690</v>
          </cell>
          <cell r="H3140" t="str">
            <v>PATIO ZONAL EL GACO:  EQUIPO DE PRESIÓN CON TABLERO ELÉCTRICO, TANQUE HIDROACUMULADOR Y ACCESORIOS.</v>
          </cell>
          <cell r="I3140" t="str">
            <v>GLB</v>
          </cell>
          <cell r="J3140">
            <v>11578700</v>
          </cell>
        </row>
        <row r="3141">
          <cell r="G3141">
            <v>12691</v>
          </cell>
          <cell r="H3141" t="str">
            <v>PATIO ZONAL EL GACO:  EQUIPO DE BOMBEO PARA RCI (BOMBA DIESEL, MOTOR DIESEL, TABLERO CONTROLADOR, MOTOBOMBA JOCKEY Y ACCESORIOS)</v>
          </cell>
          <cell r="I3141" t="str">
            <v>UN</v>
          </cell>
          <cell r="J3141">
            <v>172357815</v>
          </cell>
        </row>
        <row r="3142">
          <cell r="G3142">
            <v>12692</v>
          </cell>
          <cell r="H3142" t="str">
            <v>PATIO ZONAL EL GACO:  Organizador de cables para RACK 80x80 2RU.</v>
          </cell>
          <cell r="I3142" t="str">
            <v>UN</v>
          </cell>
          <cell r="J3142">
            <v>57715</v>
          </cell>
        </row>
        <row r="3143">
          <cell r="G3143">
            <v>12693</v>
          </cell>
          <cell r="H3143" t="str">
            <v xml:space="preserve">PATIO ZONAL EL GACO: Pared pieza lateral (Polipropileno) para Tanque para regulación de flujos pluviales (150 m3) 19,20x4,80 </v>
          </cell>
          <cell r="I3143" t="str">
            <v>UN</v>
          </cell>
          <cell r="J3143">
            <v>160560</v>
          </cell>
        </row>
        <row r="3144">
          <cell r="G3144">
            <v>12694</v>
          </cell>
          <cell r="H3144" t="str">
            <v xml:space="preserve">PATIO ZONAL EL GACO: Tapas de columnas para Tanque para regulación de flujos pluviales (150 m3) 19,20x4,80 </v>
          </cell>
          <cell r="I3144" t="str">
            <v>UN</v>
          </cell>
          <cell r="J3144">
            <v>45729</v>
          </cell>
        </row>
        <row r="3145">
          <cell r="G3145">
            <v>12695</v>
          </cell>
          <cell r="H3145" t="str">
            <v xml:space="preserve">PATIO ZONAL EL GACO: Conectores para Tanque para regulación de flujos pluviales (150 m3) 19,20x4,80 </v>
          </cell>
          <cell r="I3145" t="str">
            <v>UN</v>
          </cell>
          <cell r="J3145">
            <v>7830</v>
          </cell>
        </row>
        <row r="3146">
          <cell r="G3146">
            <v>12696</v>
          </cell>
          <cell r="H3146" t="str">
            <v xml:space="preserve">PATIO ZONAL EL GACO: Placa de acceso para Tanque para regulación de flujos pluviales (150 m3) 19,20x4,80 </v>
          </cell>
          <cell r="I3146" t="str">
            <v>UN</v>
          </cell>
          <cell r="J3146">
            <v>235759</v>
          </cell>
        </row>
        <row r="3147">
          <cell r="G3147">
            <v>12697</v>
          </cell>
          <cell r="H3147" t="str">
            <v>PATIO ZONAL EL GACO: Elemento de inspección para Tanque para regulación de flujos pluviales (150 m3) 19,20x4,80</v>
          </cell>
          <cell r="I3147" t="str">
            <v>UN</v>
          </cell>
          <cell r="J3147">
            <v>404652</v>
          </cell>
        </row>
        <row r="3148">
          <cell r="G3148">
            <v>12698</v>
          </cell>
          <cell r="H3148" t="str">
            <v xml:space="preserve">PATIO ZONAL EL GACO: Tapa de fundición Ø 450mm tapa hierro dúctil para Tanque para regulación de flujos pluviales (150 m3) 19,20x4,80 </v>
          </cell>
          <cell r="I3148" t="str">
            <v>UN</v>
          </cell>
          <cell r="J3148">
            <v>1957207</v>
          </cell>
        </row>
        <row r="3149">
          <cell r="G3149">
            <v>12699</v>
          </cell>
          <cell r="H3149" t="str">
            <v>PATIO ZONAL EL GACO - JUEGO DE PRE MOLDEADOS TIPO EXTERIOR PARA CABLE XLPE 15KVA 240 MM2</v>
          </cell>
          <cell r="I3149" t="str">
            <v>JGO</v>
          </cell>
          <cell r="J3149">
            <v>134784</v>
          </cell>
        </row>
        <row r="3150">
          <cell r="G3150">
            <v>12700</v>
          </cell>
          <cell r="H3150" t="str">
            <v>PATIO ZONAL EL GACO - CABLE XLPE 15 KV 240MM2 AL</v>
          </cell>
          <cell r="I3150" t="str">
            <v>ML</v>
          </cell>
          <cell r="J3150">
            <v>7833</v>
          </cell>
        </row>
        <row r="3151">
          <cell r="G3151">
            <v>12701</v>
          </cell>
          <cell r="H3151" t="str">
            <v>PATIO ZONAL EL GACO - REDUCCCION DE COPA GALVANIZADA DE 1" A 3/4"</v>
          </cell>
          <cell r="I3151" t="str">
            <v>UN</v>
          </cell>
          <cell r="J3151">
            <v>3190</v>
          </cell>
        </row>
        <row r="3152">
          <cell r="G3152">
            <v>12702</v>
          </cell>
          <cell r="H3152" t="str">
            <v xml:space="preserve">PATIO ZONAL EL GACO - TEE EN COBRE DE 3/4" </v>
          </cell>
          <cell r="I3152" t="str">
            <v>UN</v>
          </cell>
          <cell r="J3152">
            <v>4401</v>
          </cell>
        </row>
        <row r="3153">
          <cell r="G3153">
            <v>12703</v>
          </cell>
          <cell r="H3153" t="str">
            <v>PATIO ZONAL EL GACO - ADAPTADOR MACHO EN COBRE DE 3/4"</v>
          </cell>
          <cell r="I3153" t="str">
            <v>UN</v>
          </cell>
          <cell r="J3153">
            <v>3800</v>
          </cell>
        </row>
        <row r="3154">
          <cell r="G3154">
            <v>12704</v>
          </cell>
          <cell r="H3154" t="str">
            <v>PATIO ZONAL EL GACO - PORCELANATO PARED PARA GRES NAVIA ACERO COLOR GRIS SIMILAR O EQUIVALENTE</v>
          </cell>
          <cell r="I3154" t="str">
            <v>M2</v>
          </cell>
          <cell r="J3154">
            <v>46500</v>
          </cell>
        </row>
        <row r="3155">
          <cell r="G3155">
            <v>12705</v>
          </cell>
          <cell r="H3155" t="str">
            <v>PATIO ZONAL EL GACO - PISO EN PORCELANATO ADOBERY COLOR WENGUE SIMILAR O EQUIVALENTE</v>
          </cell>
          <cell r="I3155" t="str">
            <v>M2</v>
          </cell>
          <cell r="J3155">
            <v>89900</v>
          </cell>
        </row>
        <row r="3156">
          <cell r="G3156">
            <v>12706</v>
          </cell>
          <cell r="H3156" t="str">
            <v xml:space="preserve">PATIO ZONAL EL GACO - POCETA EN ACERO INOXIDABLE </v>
          </cell>
          <cell r="I3156" t="str">
            <v>UN</v>
          </cell>
          <cell r="J3156">
            <v>66901</v>
          </cell>
        </row>
        <row r="3157">
          <cell r="G3157">
            <v>12707</v>
          </cell>
          <cell r="H3157"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I3157" t="str">
            <v>ML</v>
          </cell>
          <cell r="J3157">
            <v>763618</v>
          </cell>
        </row>
        <row r="3158">
          <cell r="G3158">
            <v>12708</v>
          </cell>
          <cell r="H3158" t="str">
            <v>PATIO ZONAL EL GACO - TEJA EN METACRILATO TRANSPARENTE DE 1,5 CM DE GROSOR</v>
          </cell>
          <cell r="I3158" t="str">
            <v>M2</v>
          </cell>
          <cell r="J3158">
            <v>19933</v>
          </cell>
        </row>
        <row r="3159">
          <cell r="G3159">
            <v>12709</v>
          </cell>
          <cell r="H3159" t="str">
            <v>PATIO ZONAL EL GACO: Tapa inicio ciega de hormigón polímero, para canales RD200V 0.0. Longitud de 84 mm, altura exterior de 330 mm y ancho exterior de 260 mm. Peso: 9 kg.</v>
          </cell>
          <cell r="I3159" t="str">
            <v>UN</v>
          </cell>
          <cell r="J3159">
            <v>314051</v>
          </cell>
        </row>
        <row r="3160">
          <cell r="G3160">
            <v>12710</v>
          </cell>
          <cell r="H3160" t="str">
            <v>PATIO ZONAL EL GACO - CABALLETE PARA TEJA</v>
          </cell>
          <cell r="I3160" t="str">
            <v>UN</v>
          </cell>
          <cell r="J3160">
            <v>55900</v>
          </cell>
        </row>
        <row r="3161">
          <cell r="G3161">
            <v>12711</v>
          </cell>
          <cell r="H3161" t="str">
            <v>PATIO ZONAL EL GACO: Tapa final ciega de hormigón polímero, para canales RD200V 0.0. Longitud de 70 mm, altura exterior de 330 mm y ancho exterior de 260 mm.</v>
          </cell>
          <cell r="I3161" t="str">
            <v>UN</v>
          </cell>
          <cell r="J3161">
            <v>344127</v>
          </cell>
        </row>
        <row r="3162">
          <cell r="G3162">
            <v>12712</v>
          </cell>
          <cell r="H3162"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I3162" t="str">
            <v>ML</v>
          </cell>
          <cell r="J3162">
            <v>1418425</v>
          </cell>
        </row>
        <row r="3163">
          <cell r="G3163">
            <v>12713</v>
          </cell>
          <cell r="H3163" t="str">
            <v>PATIO ZONAL EL GACO - MANTO PERMANENTE TRM 500</v>
          </cell>
          <cell r="I3163" t="str">
            <v>M2</v>
          </cell>
          <cell r="J3163">
            <v>11863</v>
          </cell>
        </row>
        <row r="3164">
          <cell r="G3164">
            <v>12714</v>
          </cell>
          <cell r="H3164" t="str">
            <v>PATIO ZONAL EL GACO - BANDEJA PORTAEQUIPOS 370 MM</v>
          </cell>
          <cell r="I3164" t="str">
            <v>UN</v>
          </cell>
          <cell r="J3164">
            <v>37001</v>
          </cell>
        </row>
        <row r="3165">
          <cell r="G3165">
            <v>12715</v>
          </cell>
          <cell r="H3165" t="str">
            <v>PATIO ZONAL EL GACO: Reja Passarela FF F400 50 cm S300 (incluye Marco)</v>
          </cell>
          <cell r="I3165" t="str">
            <v>ML</v>
          </cell>
          <cell r="J3165">
            <v>719405</v>
          </cell>
        </row>
        <row r="3166">
          <cell r="G3166">
            <v>12716</v>
          </cell>
          <cell r="H3166" t="str">
            <v>PATIO ZONAL EL GACO - BANDEJA DE FIBRA OPTICA 24 PUERTOS</v>
          </cell>
          <cell r="I3166" t="str">
            <v>UN</v>
          </cell>
          <cell r="J3166">
            <v>379029</v>
          </cell>
        </row>
        <row r="3167">
          <cell r="G3167">
            <v>12717</v>
          </cell>
          <cell r="H3167" t="str">
            <v>PATIO ZONAL EL GACO - CONECTORES LC</v>
          </cell>
          <cell r="I3167" t="str">
            <v>UN</v>
          </cell>
          <cell r="J3167">
            <v>72508</v>
          </cell>
        </row>
        <row r="3168">
          <cell r="G3168">
            <v>12718</v>
          </cell>
          <cell r="H3168" t="str">
            <v>PATIO ZONAL EL GACO - ADAPTADOR MACHO EN BRONCE O COBRE DE 1"</v>
          </cell>
          <cell r="I3168" t="str">
            <v>UN</v>
          </cell>
          <cell r="J3168">
            <v>6300</v>
          </cell>
        </row>
        <row r="3169">
          <cell r="G3169">
            <v>12719</v>
          </cell>
          <cell r="H3169" t="str">
            <v>VENTANA TIPO V-01  PIVOTE VERTICAL,  EN ALUMINIO, VIDRIO TEMPLADO DE SEGURIDAD INCOLORO 6MM,  CON BASCULANTE Y DEMAS ELEMENTOS PARA SU NORMAL FUNCIONAMIENTO. MEDIDA 100x 220CM (Incluye suministro en instalacion)</v>
          </cell>
          <cell r="I3169" t="str">
            <v>UN</v>
          </cell>
          <cell r="J3169">
            <v>833000</v>
          </cell>
        </row>
        <row r="3170">
          <cell r="G3170">
            <v>12720</v>
          </cell>
          <cell r="H3170" t="str">
            <v>PUERTA TIPO P-03 EN ALUMINIO CON VIDRIO, DE SEGURIDAD INCOLORO DE 6MM. Y DEMAS ELEMENTOS PARA SU NORMAL FUNCIONAMIENTO. MEDIDA 80x220 CM. (Incluye suministro e Instalacion)</v>
          </cell>
          <cell r="I3170" t="str">
            <v>UN</v>
          </cell>
          <cell r="J3170">
            <v>1130500</v>
          </cell>
        </row>
        <row r="3171">
          <cell r="G3171">
            <v>12721</v>
          </cell>
          <cell r="H3171" t="str">
            <v>PATIO ZONAL EL GACO - TEE HD RANURADA UL/HM 2½"</v>
          </cell>
          <cell r="I3171" t="str">
            <v>UN</v>
          </cell>
          <cell r="J3171">
            <v>20610</v>
          </cell>
        </row>
        <row r="3172">
          <cell r="G3172">
            <v>12722</v>
          </cell>
          <cell r="H3172" t="str">
            <v>PATIO ZONAL EL GACO - CODO HD RANURADO UL/HM 3"</v>
          </cell>
          <cell r="I3172" t="str">
            <v>UN</v>
          </cell>
          <cell r="J3172">
            <v>17612</v>
          </cell>
        </row>
        <row r="3173">
          <cell r="G3173">
            <v>12723</v>
          </cell>
          <cell r="H3173" t="str">
            <v>PATIO ZONAL EL GACO - SEMICODO HD RANURADO UL/HM  4"</v>
          </cell>
          <cell r="I3173" t="str">
            <v>UN</v>
          </cell>
          <cell r="J3173">
            <v>24930</v>
          </cell>
        </row>
        <row r="3174">
          <cell r="G3174">
            <v>12724</v>
          </cell>
          <cell r="H3174" t="str">
            <v>PATIO ZONAL EL GACO - Canal de drenaje Q max Neo 300 (1 m) por componentes ,1 cuerpo parte inferior, 1 cuerpo parte superior,2 rejillas en acero galvanizado Q flow. Incluye Guia de instalacion</v>
          </cell>
          <cell r="I3174" t="str">
            <v>ML</v>
          </cell>
          <cell r="J3174">
            <v>857221</v>
          </cell>
        </row>
        <row r="3175">
          <cell r="G3175">
            <v>12725</v>
          </cell>
          <cell r="H3175" t="str">
            <v xml:space="preserve">PATIO ZONAL EL GACO - Soporte pernado para instalacion para QMAX NEO 300 </v>
          </cell>
          <cell r="I3175" t="str">
            <v>UN</v>
          </cell>
          <cell r="J3175">
            <v>40086</v>
          </cell>
        </row>
        <row r="3176">
          <cell r="G3176">
            <v>12726</v>
          </cell>
          <cell r="H3176"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I3176" t="str">
            <v>UN</v>
          </cell>
          <cell r="J3176">
            <v>3085184</v>
          </cell>
        </row>
        <row r="3177">
          <cell r="G3177">
            <v>12727</v>
          </cell>
          <cell r="H3177"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I3177" t="str">
            <v>UN</v>
          </cell>
          <cell r="J3177">
            <v>58372262</v>
          </cell>
        </row>
        <row r="3178">
          <cell r="G3178">
            <v>12728</v>
          </cell>
          <cell r="H3178" t="str">
            <v xml:space="preserve">PATIO ZONAL EL GACO: Sep Hidro Ent. Oleopator G NST NS10 para Tanque Separador de Hidrocarburos		</v>
          </cell>
          <cell r="I3178" t="str">
            <v>UN</v>
          </cell>
          <cell r="J3178">
            <v>23849536</v>
          </cell>
        </row>
        <row r="3179">
          <cell r="G3179">
            <v>12729</v>
          </cell>
          <cell r="H3179" t="str">
            <v xml:space="preserve">PATIO ZONAL EL GACO - TOP SECTION D400 550-1130 PARA SEP DE HIDROCARBUROS </v>
          </cell>
          <cell r="I3179" t="str">
            <v>UN</v>
          </cell>
          <cell r="J3179">
            <v>9377457</v>
          </cell>
        </row>
        <row r="3180">
          <cell r="G3180">
            <v>12730</v>
          </cell>
          <cell r="H3180"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I3180" t="str">
            <v>UN</v>
          </cell>
          <cell r="J3180">
            <v>70696840</v>
          </cell>
        </row>
        <row r="3181">
          <cell r="G3181">
            <v>12731</v>
          </cell>
          <cell r="H3181"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I3181" t="str">
            <v>UN</v>
          </cell>
          <cell r="J3181">
            <v>36347945</v>
          </cell>
        </row>
        <row r="3182">
          <cell r="G3182">
            <v>12732</v>
          </cell>
          <cell r="H3182"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I3182" t="str">
            <v>ML</v>
          </cell>
          <cell r="J3182">
            <v>4273578</v>
          </cell>
        </row>
        <row r="3183">
          <cell r="G3183">
            <v>12733</v>
          </cell>
          <cell r="H3183"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I3183" t="str">
            <v>UN</v>
          </cell>
          <cell r="J3183">
            <v>7477321</v>
          </cell>
        </row>
        <row r="3184">
          <cell r="G3184">
            <v>12734</v>
          </cell>
          <cell r="H3184" t="str">
            <v>PATIO ZONAL EL GACO - Adaptador cambio de sección para canal de drenaje QMAX 550 a sumidero fabricado en polietileno, de sección oval. Longitud total 800 mm, altura exterior 740 mm y ancho exterior 665 mm. Peso: 11,8 kg.</v>
          </cell>
          <cell r="I3184" t="str">
            <v>UN</v>
          </cell>
          <cell r="J3184">
            <v>2938611</v>
          </cell>
        </row>
        <row r="3185">
          <cell r="G3185">
            <v>12735</v>
          </cell>
          <cell r="H3185" t="str">
            <v>PATIO ZONAL EL GACO: Top section capacidad de Carga D400 para Tanque Separador de Hidrocarburos</v>
          </cell>
          <cell r="I3185" t="str">
            <v>UN</v>
          </cell>
          <cell r="J3185">
            <v>6108402</v>
          </cell>
        </row>
        <row r="3186">
          <cell r="G3186">
            <v>12736</v>
          </cell>
          <cell r="H3186"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I3186" t="str">
            <v>ML</v>
          </cell>
          <cell r="J3186">
            <v>5341516</v>
          </cell>
        </row>
        <row r="3187">
          <cell r="G3187">
            <v>12737</v>
          </cell>
          <cell r="H3187" t="str">
            <v>PATIO ZONAL EL GACO: Tanque filtración Stormclean TF600 GRP Vertical</v>
          </cell>
          <cell r="I3187" t="str">
            <v>UN</v>
          </cell>
          <cell r="J3187">
            <v>55243314</v>
          </cell>
        </row>
        <row r="3188">
          <cell r="G3188">
            <v>12738</v>
          </cell>
          <cell r="H3188" t="str">
            <v>PATIO ZONAL EL GACO: Jack RJ-45 para incrustar categoría 6</v>
          </cell>
          <cell r="I3188" t="str">
            <v>UN</v>
          </cell>
          <cell r="J3188">
            <v>10900</v>
          </cell>
        </row>
        <row r="3189">
          <cell r="G3189">
            <v>12739</v>
          </cell>
          <cell r="H3189" t="str">
            <v xml:space="preserve">PATIO ZONAL EL GACO: KIT FAN OUT SC/LC PARA FIBRA MULTIMODO OM3	L=1m	</v>
          </cell>
          <cell r="I3189" t="str">
            <v>UN</v>
          </cell>
          <cell r="J3189">
            <v>15910</v>
          </cell>
        </row>
        <row r="3190">
          <cell r="G3190">
            <v>12740</v>
          </cell>
          <cell r="H3190" t="str">
            <v>PATIO ZONAL EL GACO: PDU VERTICAL PARA RACK</v>
          </cell>
          <cell r="I3190" t="str">
            <v>UN</v>
          </cell>
          <cell r="J3190">
            <v>295748</v>
          </cell>
        </row>
        <row r="3191">
          <cell r="G3191">
            <v>12741</v>
          </cell>
          <cell r="H3191" t="str">
            <v xml:space="preserve">PATIO ZONAL EL GACO: PATCH CORD DE FIBRA ÓPTICA SC/LC L=2m	</v>
          </cell>
          <cell r="I3191" t="str">
            <v>UN</v>
          </cell>
          <cell r="J3191">
            <v>29000</v>
          </cell>
        </row>
        <row r="3192">
          <cell r="G3192">
            <v>12742</v>
          </cell>
          <cell r="H3192" t="str">
            <v xml:space="preserve"> PATIO ZONAL EL GACO: Terminal Premoldeada Tipo Interior para 15 KV 2-250 KCM</v>
          </cell>
          <cell r="I3192" t="str">
            <v>ML</v>
          </cell>
          <cell r="J3192">
            <v>97899</v>
          </cell>
        </row>
        <row r="3193">
          <cell r="G3193">
            <v>12744</v>
          </cell>
          <cell r="H319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I3193" t="str">
            <v>ML</v>
          </cell>
          <cell r="J3193">
            <v>743387</v>
          </cell>
        </row>
        <row r="3194">
          <cell r="G3194">
            <v>12745</v>
          </cell>
          <cell r="H319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I3194" t="str">
            <v>ML</v>
          </cell>
          <cell r="J3194">
            <v>743387</v>
          </cell>
        </row>
        <row r="3195">
          <cell r="G3195">
            <v>12746</v>
          </cell>
          <cell r="H319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I3195" t="str">
            <v>ML</v>
          </cell>
          <cell r="J3195">
            <v>810188</v>
          </cell>
        </row>
        <row r="3196">
          <cell r="G3196">
            <v>12747</v>
          </cell>
          <cell r="H319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I3196" t="str">
            <v>ML</v>
          </cell>
          <cell r="J3196">
            <v>1373519</v>
          </cell>
        </row>
        <row r="3197">
          <cell r="G3197">
            <v>12748</v>
          </cell>
          <cell r="H3197"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I3197" t="str">
            <v>ML</v>
          </cell>
          <cell r="J3197">
            <v>2165567</v>
          </cell>
        </row>
        <row r="3198">
          <cell r="G3198">
            <v>12749</v>
          </cell>
          <cell r="H3198" t="str">
            <v>PATIO ZONAL EL GACO: DRENES VERTICALES TIPO MECHA CON PERFORACION</v>
          </cell>
          <cell r="I3198" t="str">
            <v>ML</v>
          </cell>
          <cell r="J3198">
            <v>7448</v>
          </cell>
        </row>
        <row r="3199">
          <cell r="G3199">
            <v>12750</v>
          </cell>
          <cell r="H3199" t="str">
            <v>PATIO ZONAL EL GACO: Niples pasa-muros acero inoxidable ranurados 6" de 60cm de longitud-</v>
          </cell>
          <cell r="I3199" t="str">
            <v>UN</v>
          </cell>
          <cell r="J3199">
            <v>553000</v>
          </cell>
        </row>
        <row r="3200">
          <cell r="G3200">
            <v>12751</v>
          </cell>
          <cell r="H3200" t="str">
            <v>PATIO ZONAL EL GACO:  MOVILIZACIÓN Y LA DESMOVILIZACIÓN DE EQUIPOS PARA PERFORACION DE DRENES TIPO MECHA</v>
          </cell>
          <cell r="I3200" t="str">
            <v>UN</v>
          </cell>
          <cell r="J3200">
            <v>20687</v>
          </cell>
        </row>
        <row r="3201">
          <cell r="G3201">
            <v>12752</v>
          </cell>
          <cell r="H3201" t="str">
            <v>PATIO ZONAL EL GACO:  Niples pasa-muros acero inoxidable ranurados 1" de 60cm de longitud</v>
          </cell>
          <cell r="I3201" t="str">
            <v>UN</v>
          </cell>
          <cell r="J3201">
            <v>79001</v>
          </cell>
        </row>
        <row r="3202">
          <cell r="G3202">
            <v>12753</v>
          </cell>
          <cell r="H3202" t="str">
            <v>PATIO ZONAL EL GACO:  Niples pasa-muros acero inoxidable ranurados 1 1/4" de 60cm de longitud</v>
          </cell>
          <cell r="I3202" t="str">
            <v>UN</v>
          </cell>
          <cell r="J3202">
            <v>101000</v>
          </cell>
        </row>
        <row r="3203">
          <cell r="G3203">
            <v>12754</v>
          </cell>
          <cell r="H3203" t="str">
            <v>PATIO ZONAL EL GACO:  Válvula mariposa Ø2½"</v>
          </cell>
          <cell r="I3203" t="str">
            <v>UN</v>
          </cell>
          <cell r="J3203">
            <v>505036</v>
          </cell>
        </row>
        <row r="3204">
          <cell r="G3204">
            <v>12755</v>
          </cell>
          <cell r="H3204" t="str">
            <v>PATIO ZONAL EL GACO:  Válvula mariposa Ø3"</v>
          </cell>
          <cell r="I3204" t="str">
            <v>UN</v>
          </cell>
          <cell r="J3204">
            <v>526337</v>
          </cell>
        </row>
        <row r="3205">
          <cell r="G3205">
            <v>12756</v>
          </cell>
          <cell r="H3205" t="str">
            <v>PATIO ZONAL EL GACO:  Válvula mariposa Ø4"</v>
          </cell>
          <cell r="I3205" t="str">
            <v>UN</v>
          </cell>
          <cell r="J3205">
            <v>587027</v>
          </cell>
        </row>
        <row r="3206">
          <cell r="G3206">
            <v>12757</v>
          </cell>
          <cell r="H3206" t="str">
            <v>PATIO ZONAL EL GACO:  Sensor de flujo Ø2"</v>
          </cell>
          <cell r="I3206" t="str">
            <v>UN</v>
          </cell>
          <cell r="J3206">
            <v>433755</v>
          </cell>
        </row>
        <row r="3207">
          <cell r="G3207">
            <v>12758</v>
          </cell>
          <cell r="H3207" t="str">
            <v>PATIO ZONAL EL GACO:  Sensor de flujo Ø2½"</v>
          </cell>
          <cell r="I3207" t="str">
            <v>UN</v>
          </cell>
          <cell r="J3207">
            <v>405266</v>
          </cell>
        </row>
        <row r="3208">
          <cell r="G3208">
            <v>12759</v>
          </cell>
          <cell r="H3208" t="str">
            <v>PATIO ZONAL EL GACO:  Sensor de flujo Ø3"</v>
          </cell>
          <cell r="I3208" t="str">
            <v>UN</v>
          </cell>
          <cell r="J3208">
            <v>474572</v>
          </cell>
        </row>
        <row r="3209">
          <cell r="G3209">
            <v>12760</v>
          </cell>
          <cell r="H3209" t="str">
            <v>PATIO ZONAL EL GACO:  Sensor de flujo Ø4"</v>
          </cell>
          <cell r="I3209" t="str">
            <v>UN</v>
          </cell>
          <cell r="J3209">
            <v>433755</v>
          </cell>
        </row>
        <row r="3210">
          <cell r="G3210">
            <v>12761</v>
          </cell>
          <cell r="H3210" t="str">
            <v>PATIO ZONAL EL GACO:  Válvula desaireadora Ø ¾"</v>
          </cell>
          <cell r="I3210" t="str">
            <v>UN</v>
          </cell>
          <cell r="J3210">
            <v>375647</v>
          </cell>
        </row>
        <row r="3211">
          <cell r="G3211">
            <v>12762</v>
          </cell>
          <cell r="H3211" t="str">
            <v>PATIO ZONAL EL GACO:  Válvula desaireadora Ø 1"</v>
          </cell>
          <cell r="I3211" t="str">
            <v>UN</v>
          </cell>
          <cell r="J3211">
            <v>452200</v>
          </cell>
        </row>
        <row r="3212">
          <cell r="G3212">
            <v>12763</v>
          </cell>
          <cell r="H3212" t="str">
            <v>PATIO ZONAL EL GACO:  Válvula OS&amp;Y Flanchada 4" Supervisada</v>
          </cell>
          <cell r="I3212" t="str">
            <v>UN</v>
          </cell>
          <cell r="J3212">
            <v>1024352</v>
          </cell>
        </row>
        <row r="3213">
          <cell r="G3213">
            <v>12764</v>
          </cell>
          <cell r="H3213" t="str">
            <v>PATIO ZONAL EL GACO:  Válvula OS&amp;Y Flanchada 6" Supervisada</v>
          </cell>
          <cell r="I3213" t="str">
            <v>UN</v>
          </cell>
          <cell r="J3213">
            <v>2236009</v>
          </cell>
        </row>
        <row r="3214">
          <cell r="G3214">
            <v>12765</v>
          </cell>
          <cell r="H3214" t="str">
            <v>PATIO ZONAL EL GACO:  GABINETE RACK AÉREO DE 13 UR GABINETE RACK AÉREO TIPO 1 UR de alto 16 x ancho 40 x fondo 40cm</v>
          </cell>
          <cell r="I3214" t="str">
            <v>UN</v>
          </cell>
          <cell r="J3214">
            <v>67594</v>
          </cell>
        </row>
        <row r="3215">
          <cell r="G3215">
            <v>12766</v>
          </cell>
          <cell r="H3215" t="str">
            <v>PATIO ZONAL EL GACO:  Niples pasa-muros acero inoxidable ranurados 1 1/2" de 60cm de longitud</v>
          </cell>
          <cell r="I3215" t="str">
            <v>UN</v>
          </cell>
          <cell r="J3215">
            <v>116000</v>
          </cell>
        </row>
        <row r="3216">
          <cell r="G3216">
            <v>12767</v>
          </cell>
          <cell r="H3216" t="str">
            <v>PATIO ZONAL EL GACO:  Niples pasa-muros acero inoxidable ranurados 2" de 60cm de longitud</v>
          </cell>
          <cell r="I3216" t="str">
            <v>UN</v>
          </cell>
          <cell r="J3216">
            <v>138000</v>
          </cell>
        </row>
        <row r="3217">
          <cell r="G3217">
            <v>12768</v>
          </cell>
          <cell r="H3217" t="str">
            <v>PATIO ZONAL EL GACO:  Ajardinamiento tipo cerca viva con plantas trepadoras</v>
          </cell>
          <cell r="I3217" t="str">
            <v>M2</v>
          </cell>
          <cell r="J3217">
            <v>11603</v>
          </cell>
        </row>
        <row r="3218">
          <cell r="G3218">
            <v>12769</v>
          </cell>
          <cell r="H3218" t="str">
            <v>PATIO ZONAL EL GACO:  ASCENSOR HIDRÁULICO (SIN CUARTO DE MAQUINAS) CON PUERTAS AUTOMÁTICAS. Incluye Suministro, transporte e Instalación</v>
          </cell>
          <cell r="I3218" t="str">
            <v>GLB</v>
          </cell>
          <cell r="J3218">
            <v>77350000</v>
          </cell>
        </row>
        <row r="3219">
          <cell r="G3219">
            <v>12770</v>
          </cell>
          <cell r="H3219"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I3219" t="str">
            <v>UN</v>
          </cell>
          <cell r="J3219">
            <v>206661</v>
          </cell>
        </row>
        <row r="3220">
          <cell r="G3220">
            <v>12771</v>
          </cell>
          <cell r="H3220" t="str">
            <v>PATIO ZONAL EL GACO:  SILICONA ANTIHONGOS TRANSPARENTE</v>
          </cell>
          <cell r="I3220" t="str">
            <v>UN</v>
          </cell>
          <cell r="J3220">
            <v>12900</v>
          </cell>
        </row>
        <row r="3221">
          <cell r="G3221">
            <v>12772</v>
          </cell>
          <cell r="H3221" t="str">
            <v>PATIO ZONAL EL GACO:  TORNILLO CHAZO PUNTILLA 1/4"</v>
          </cell>
          <cell r="I3221" t="str">
            <v>UN</v>
          </cell>
          <cell r="J3221">
            <v>118</v>
          </cell>
        </row>
        <row r="3222">
          <cell r="G3222">
            <v>12773</v>
          </cell>
          <cell r="H3222"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I3222" t="str">
            <v>M2</v>
          </cell>
          <cell r="J3222">
            <v>658391</v>
          </cell>
        </row>
        <row r="3223">
          <cell r="G3223">
            <v>12774</v>
          </cell>
          <cell r="H3223" t="str">
            <v>PATIO ZONAL EL GACO:  Niples pasa-muros acero inoxidable ranurados 2 1/2" de 60cm de longitud</v>
          </cell>
          <cell r="I3223" t="str">
            <v>UN</v>
          </cell>
          <cell r="J3223">
            <v>207500</v>
          </cell>
        </row>
        <row r="3224">
          <cell r="G3224">
            <v>12775</v>
          </cell>
          <cell r="H3224" t="str">
            <v>PATIO ZONAL EL GACO:  Niples pasa-muros acero inoxidable ranurados 3" de 60cm de longitud</v>
          </cell>
          <cell r="I3224" t="str">
            <v>UN</v>
          </cell>
          <cell r="J3224">
            <v>255000</v>
          </cell>
        </row>
        <row r="3225">
          <cell r="G3225">
            <v>12776</v>
          </cell>
          <cell r="H3225" t="str">
            <v>PATIO ZONAL EL GACO:  Niples pasa-muros acero inoxidable ranurados 4" de 60cm de longitud</v>
          </cell>
          <cell r="I3225" t="str">
            <v>UN</v>
          </cell>
          <cell r="J3225">
            <v>341000</v>
          </cell>
        </row>
        <row r="3226">
          <cell r="G3226">
            <v>12778</v>
          </cell>
          <cell r="H3226"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I3226" t="str">
            <v>ML</v>
          </cell>
          <cell r="J3226">
            <v>2048267</v>
          </cell>
        </row>
        <row r="3227">
          <cell r="G3227">
            <v>12781</v>
          </cell>
          <cell r="H3227" t="str">
            <v>ALQUILER DE VEHICULO: CAMPERO, PICK-UP, CAMIONETA, CAMION O SIMILAR DE 1300cc A 2000cc DE CILINDRADA, MODELO 2018 A 2015. 80% DE LA TARIFA ESTABLECIDA. INCLUYE TODOS LOS COSTOS DE OPERACIÓN Y MANTENIMIENTO EXCEPTO EL SALARIO DEL CONDUCTOR.</v>
          </cell>
          <cell r="I3227" t="str">
            <v>DIA</v>
          </cell>
          <cell r="J3227">
            <v>190000</v>
          </cell>
        </row>
        <row r="3228">
          <cell r="G3228">
            <v>12782</v>
          </cell>
          <cell r="H3228" t="str">
            <v>ALQUILER DE VEHICULO MES: CAMPERO, PICK-UP, CAMIONETA, CAMION O SIMILAR DE 1300cc A 2000cc DE CILINDRADA, MODELO 2018 A 2015. 80% DE LA TARIFA ESTABLECIDA. INCLUYE TODOS LOS COSTOS DE OPERACIÓN Y MANTENIMIENTO EXCEPTO EL SALARIO DEL CONDUCTOR.</v>
          </cell>
          <cell r="I3228" t="str">
            <v>MES</v>
          </cell>
          <cell r="J3228">
            <v>5791000</v>
          </cell>
        </row>
        <row r="3229">
          <cell r="G3229">
            <v>12783</v>
          </cell>
          <cell r="H3229" t="str">
            <v>ALQUILER DE VEHICULO: CAMPERO, PICK-UP, CAMIONETA, CAMION O SIMILAR MAYOR A 2000cc DE CILINDRADA, MODELO 2018 A 2015. 80% DE LA TARIFA ESTABLECIDA. INCLUYE TODOS LOS COSTOS DE OPERACIÓN Y MANTENIMIENTO EXCEPTO EL SALARIO DEL CONDUCTOR.</v>
          </cell>
          <cell r="I3229" t="str">
            <v>DIA</v>
          </cell>
          <cell r="J3229">
            <v>274000</v>
          </cell>
        </row>
        <row r="3230">
          <cell r="G3230">
            <v>12784</v>
          </cell>
          <cell r="H3230" t="str">
            <v>ALQUILER DE VEHICULO MES: CAMPERO, PICK-UP, CAMIONETA, CAMION O SIMILAR MAYOR A 2000cc DE CILINDRADA, MODELO 2018 A 2015. 80% DE LA TARIFA ESTABLECIDA. INCLUYE TODOS LOS COSTOS DE OPERACIÓN Y MANTENIMIENTO EXCEPTO EL SALARIO DEL CONDUCTOR.</v>
          </cell>
          <cell r="I3230" t="str">
            <v>MES</v>
          </cell>
          <cell r="J3230">
            <v>8306000</v>
          </cell>
        </row>
        <row r="3231">
          <cell r="G3231">
            <v>12785</v>
          </cell>
          <cell r="H3231" t="str">
            <v>ALQUILER DE VEHICULO: CAMPERO, PICK-UP, CAMIONETA, CAMION O SIMILAR MAYOR A 2000cc DE CILINDRADA, MODELO 2014 A 2011. 75% DE LA TARIFA ESTABLECIDA. INCLUYE TODOS LOS COSTOS DE OPERACIÓN Y MANTENIMIENTO EXCEPTO EL SALARIO DEL CONDUCTOR.</v>
          </cell>
          <cell r="I3231" t="str">
            <v>DIA</v>
          </cell>
          <cell r="J3231">
            <v>261000</v>
          </cell>
        </row>
        <row r="3232">
          <cell r="G3232">
            <v>12786</v>
          </cell>
          <cell r="H3232" t="str">
            <v>ALQUILER DE VEHICULO MES: CAMPERO, PICK-UP, CAMIONETA, CAMION O SIMILAR MAYOR A 2000cc DE CILINDRADA, MODELO 2014 A 2011. 75% DE LA TARIFA ESTABLECIDA. INCLUYE TODOS LOS COSTOS DE OPERACIÓN Y MANTENIMIENTO EXCEPTO EL SALARIO DEL CONDUCTOR.</v>
          </cell>
          <cell r="I3232" t="str">
            <v>MES</v>
          </cell>
          <cell r="J3232">
            <v>7785000</v>
          </cell>
        </row>
        <row r="3233">
          <cell r="G3233">
            <v>12787</v>
          </cell>
          <cell r="H3233" t="str">
            <v>ALQUILER DE VEHICULO: CAMPERO, PICK-UP, CAMIONETA, CAMION O SIMILAR CON CAPACIDAD DE CARGA DE 3 TON O MAS, MODELO 2018 A 2015. 80% DE LA TARIFA ESTABLECIDA. INCLUYE TODOS LOS COSTOS DE OPERACIÓN Y MANTENIMIENTO EXCEPTO EL SALARIO DEL CONDUCTOR.</v>
          </cell>
          <cell r="I3233" t="str">
            <v>DIA</v>
          </cell>
          <cell r="J3233">
            <v>377000</v>
          </cell>
        </row>
        <row r="3234">
          <cell r="G3234">
            <v>12788</v>
          </cell>
          <cell r="H3234" t="str">
            <v>ALQUILER DE VEHICULO MES: CAMPERO, PICK-UP, CAMIONETA, CAMION O SIMILAR CON CAPACIDAD DE CARGA DE 3 TON O MAS, MODELO 2018 A 2015. 80% DE LA TARIFA ESTABLECIDA. INCLUYE TODOS LOS COSTOS DE OPERACIÓN Y MANTENIMIENTO EXCEPTO EL SALARIO DEL CONDUCTOR.</v>
          </cell>
          <cell r="I3234" t="str">
            <v>MES</v>
          </cell>
          <cell r="J3234">
            <v>11297000</v>
          </cell>
        </row>
        <row r="3235">
          <cell r="G3235">
            <v>12789</v>
          </cell>
          <cell r="H3235" t="str">
            <v>RECUPERACIÓN DEL ESPACIO PÚBLICO SOBRE LOS PREDIOS REMANENTES DEL IDU. GRUPOS 1 Y 2. VIGENCIA 2022 - M-13-A / BANCA RECTANGULAR / LARGA CON M-11-A ADOSADO.</v>
          </cell>
          <cell r="I3235" t="str">
            <v>UN</v>
          </cell>
          <cell r="J3235">
            <v>3260065</v>
          </cell>
        </row>
        <row r="3236">
          <cell r="G3236">
            <v>12790</v>
          </cell>
          <cell r="H3236" t="str">
            <v>RECUPERACIÓN DEL ESPACIO PÚBLICO SOBRE LOS PREDIOS REMANENTES DEL IDU. GRUPOS 1 Y 2. VIGENCIA 2022 - M-13-A / BANCA RECTANGULAR / MEDIANA CON M-11-A ADOSADO.</v>
          </cell>
          <cell r="I3236" t="str">
            <v>UN</v>
          </cell>
          <cell r="J3236">
            <v>1584961</v>
          </cell>
        </row>
        <row r="3237">
          <cell r="G3237">
            <v>12791</v>
          </cell>
          <cell r="H3237" t="str">
            <v>RECUPERACIÓN DEL ESPACIO PÚBLICO SOBRE LOS PREDIOS REMANENTES DEL IDU. GRUPOS 1 Y 2. VIGENCIA 2022 - M-30-A / ALCORQUE CUADRADO / EN U.</v>
          </cell>
          <cell r="I3237" t="str">
            <v>UN</v>
          </cell>
          <cell r="J3237">
            <v>1019711</v>
          </cell>
        </row>
        <row r="3238">
          <cell r="G3238">
            <v>12792</v>
          </cell>
          <cell r="H3238" t="str">
            <v>RECUPERACIÓN DEL ESPACIO PÚBLICO SOBRE LOS PREDIOS REMANENTES DEL IDU. GRUPOS 1 Y 2. VIGENCIA 2022 - M-16-A / BOLARDO ESFERA / 40 CM.</v>
          </cell>
          <cell r="I3238" t="str">
            <v>UN</v>
          </cell>
          <cell r="J3238">
            <v>492041</v>
          </cell>
        </row>
        <row r="3239">
          <cell r="G3239">
            <v>12793</v>
          </cell>
          <cell r="H3239"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I3239" t="str">
            <v>UN</v>
          </cell>
          <cell r="J3239">
            <v>20632458</v>
          </cell>
        </row>
        <row r="3240">
          <cell r="G3240">
            <v>12794</v>
          </cell>
          <cell r="H3240" t="str">
            <v>RECUPERACIÓN DEL ESPACIO PÚBLICO SOBRE LOS PREDIOS REMANENTES DEL IDU. GRUPOS 1 Y 2. VIGENCIA 2022 - Transporte e instalación de mobiliario importado (juego infantil).</v>
          </cell>
          <cell r="I3240" t="str">
            <v>UN</v>
          </cell>
          <cell r="J3240">
            <v>3500000</v>
          </cell>
        </row>
        <row r="3241">
          <cell r="G3241">
            <v>12795</v>
          </cell>
          <cell r="H3241"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I3241" t="str">
            <v>UN</v>
          </cell>
          <cell r="J3241">
            <v>56373904</v>
          </cell>
        </row>
        <row r="3242">
          <cell r="G3242">
            <v>12796</v>
          </cell>
          <cell r="H3242" t="str">
            <v>RECUPERACIÓN DEL ESPACIO PÚBLICO SOBRE LOS PREDIOS REMANENTES DEL IDU. GRUPOS 1 Y 2. VIGENCIA 2022 - Gimnasio al aire libre tipo BIOSALUDABLE "Caminador - Patinador aéreo"  (Garantía de 1 año).</v>
          </cell>
          <cell r="I3242" t="str">
            <v>UN</v>
          </cell>
          <cell r="J3242">
            <v>1754511</v>
          </cell>
        </row>
        <row r="3243">
          <cell r="G3243">
            <v>12797</v>
          </cell>
          <cell r="H3243" t="str">
            <v>RECUPERACIÓN DEL ESPACIO PÚBLICO SOBRE LOS PREDIOS REMANENTES DEL IDU. GRUPOS 1 Y 2. VIGENCIA 2022 - Transporte Gimnasio al aire libre.</v>
          </cell>
          <cell r="I3243" t="str">
            <v>UN</v>
          </cell>
          <cell r="J3243">
            <v>47506</v>
          </cell>
        </row>
        <row r="3244">
          <cell r="G3244">
            <v>12798</v>
          </cell>
          <cell r="H3244" t="str">
            <v>RECUPERACIÓN DEL ESPACIO PÚBLICO SOBRE LOS PREDIOS REMANENTES DEL IDU. GRUPOS 1 Y 2. VIGENCIA 2022 -  Armado y anclaje de equipo al aire libre (no incluye fundición del dado en concreto).</v>
          </cell>
          <cell r="I3244" t="str">
            <v>UN</v>
          </cell>
          <cell r="J3244">
            <v>151425</v>
          </cell>
        </row>
        <row r="3245">
          <cell r="G3245">
            <v>12799</v>
          </cell>
          <cell r="H3245" t="str">
            <v>RECUPERACIÓN DEL ESPACIO PÚBLICO SOBRE LOS PREDIOS REMANENTES DEL IDU. GRUPOS 1 Y 2. VIGENCIA 2022 - Gimnasio al aire libre tipo BIOSALUDABLE "Doble swinger -Surf" (Garantía de 1 año).</v>
          </cell>
          <cell r="I3245" t="str">
            <v>UN</v>
          </cell>
          <cell r="J3245">
            <v>1621257</v>
          </cell>
        </row>
        <row r="3246">
          <cell r="G3246">
            <v>12800</v>
          </cell>
          <cell r="H3246" t="str">
            <v>RECUPERACIÓN DEL ESPACIO PÚBLICO SOBRE LOS PREDIOS REMANENTES DEL IDU. GRUPOS 1 Y 2. VIGENCIA 2022 - Gimnasio al aire libre tipo BIOSALUDABLE "Elíptica - Esquí Sky" (Garantía de 1 año).</v>
          </cell>
          <cell r="I3246" t="str">
            <v>UN</v>
          </cell>
          <cell r="J3246">
            <v>1832243</v>
          </cell>
        </row>
        <row r="3247">
          <cell r="G3247">
            <v>12801</v>
          </cell>
          <cell r="H3247" t="str">
            <v>RECUPERACIÓN DEL ESPACIO PÚBLICO SOBRE LOS PREDIOS REMANENTES DEL IDU. GRUPOS 1 Y 2. VIGENCIA 2022 - Gimnasio al aire libre tipo PLUS "Bicicleta Recumbent". (Garantía de 1 año).</v>
          </cell>
          <cell r="I3247" t="str">
            <v>UN</v>
          </cell>
          <cell r="J3247">
            <v>4744650</v>
          </cell>
        </row>
        <row r="3248">
          <cell r="G3248">
            <v>12802</v>
          </cell>
          <cell r="H3248" t="str">
            <v>RECUPERACIÓN DEL ESPACIO PÚBLICO SOBRE LOS PREDIOS REMANENTES DEL IDU. GRUPOS 1 Y 2. VIGENCIA 2022 - Armado y anclaje de equipo al aire libre (no incluye fundición del dado en concreto).</v>
          </cell>
          <cell r="I3248" t="str">
            <v>UN</v>
          </cell>
          <cell r="J3248">
            <v>161520</v>
          </cell>
        </row>
        <row r="3249">
          <cell r="G3249">
            <v>12803</v>
          </cell>
          <cell r="H3249" t="str">
            <v>RECUPERACIÓN DEL ESPACIO PÚBLICO SOBRE LOS PREDIOS REMANENTES DEL IDU. GRUPOS 1 Y 2. VIGENCIA 2022 - Gimnasio al aire libre tipo BIOSALUDABLE "Pectoral Sentado Doble" (Garantía de 1 año).</v>
          </cell>
          <cell r="I3249" t="str">
            <v>UN</v>
          </cell>
          <cell r="J3249">
            <v>2927550</v>
          </cell>
        </row>
        <row r="3250">
          <cell r="G3250">
            <v>12804</v>
          </cell>
          <cell r="H3250" t="str">
            <v>RECUPERACIÓN DEL ESPACIO PÚBLICO SOBRE LOS PREDIOS REMANENTES DEL IDU. GRUPOS 1 Y 2. VIGENCIA 2022 - Gimnasio al aire libre tipo PLUS "Banco abdominal inclinada". (Garantía de 1 año).</v>
          </cell>
          <cell r="I3250" t="str">
            <v>UN</v>
          </cell>
          <cell r="J3250">
            <v>1922694</v>
          </cell>
        </row>
        <row r="3251">
          <cell r="G3251">
            <v>12805</v>
          </cell>
          <cell r="H3251" t="str">
            <v>RECUPERACIÓN DEL ESPACIO PÚBLICO SOBRE LOS PREDIOS REMANENTES DEL IDU. GRUPOS 1 Y 2. VIGENCIA 2022 - Gimnasio al aire libre tipo PLUS "Banco abdominal plana". (Garantía de 1 año).</v>
          </cell>
          <cell r="I3251" t="str">
            <v>UN</v>
          </cell>
          <cell r="J3251">
            <v>1922694</v>
          </cell>
        </row>
        <row r="3252">
          <cell r="G3252">
            <v>12806</v>
          </cell>
          <cell r="H3252" t="str">
            <v>RECUPERACIÓN DEL ESPACIO PÚBLICO SOBRE LOS PREDIOS REMANENTES DEL IDU. GRUPOS 1 Y 2. VIGENCIA 2022 - Gimnasio al aire libre tipo BIOSALUDABLE "Ascensor doble - dorsal ancho". (Garantía de 1 año).</v>
          </cell>
          <cell r="I3252" t="str">
            <v>UN</v>
          </cell>
          <cell r="J3252">
            <v>2523750</v>
          </cell>
        </row>
        <row r="3253">
          <cell r="G3253">
            <v>12807</v>
          </cell>
          <cell r="H3253" t="str">
            <v>RECUPERACIÓN DEL ESPACIO PÚBLICO SOBRE LOS PREDIOS REMANENTES DEL IDU. GRUPOS 1 Y 2. VIGENCIA 2022 - Gimnasio al aire libre tipo PLUS "Triple pecho espalda pierna". (Garantía de 1 año).</v>
          </cell>
          <cell r="I3253" t="str">
            <v>UN</v>
          </cell>
          <cell r="J3253">
            <v>9499395</v>
          </cell>
        </row>
        <row r="3254">
          <cell r="G3254">
            <v>12808</v>
          </cell>
          <cell r="H3254" t="str">
            <v>RECUPERACIÓN DEL ESPACIO PÚBLICO SOBRE LOS PREDIOS REMANENTES DEL IDU. GRUPOS 1 Y 2. VIGENCIA 2022 - Gimnasio al aire libre tipo PLUS "Multifuncional A4". (Garantía de 1 año).</v>
          </cell>
          <cell r="I3254" t="str">
            <v>UN</v>
          </cell>
          <cell r="J3254">
            <v>15122310</v>
          </cell>
        </row>
        <row r="3255">
          <cell r="G3255">
            <v>12809</v>
          </cell>
          <cell r="H3255" t="str">
            <v>RECUPERACIÓN DEL ESPACIO PÚBLICO SOBRE LOS PREDIOS REMANENTES DEL IDU. GRUPOS 1 Y 2. VIGENCIA 2022 - Gimnasio al aire libre tipo PLUS "Modulo Jinete". (Garantía de 1 año).</v>
          </cell>
          <cell r="I3255" t="str">
            <v>UN</v>
          </cell>
          <cell r="J3255">
            <v>3456653</v>
          </cell>
        </row>
        <row r="3256">
          <cell r="G3256">
            <v>12810</v>
          </cell>
          <cell r="H3256" t="str">
            <v>RECUPERACIÓN DEL ESPACIO PÚBLICO SOBRE LOS PREDIOS REMANENTES DEL IDU. GRUPOS 1 Y 2. VIGENCIA 2022 - Suministro, puesto en obra e instalación de gimnasio al aire libre tipo PLUS "Modulo GRX". (Garantía de 1 año).</v>
          </cell>
          <cell r="I3256" t="str">
            <v>UN</v>
          </cell>
          <cell r="J3256">
            <v>5508842</v>
          </cell>
        </row>
        <row r="3257">
          <cell r="G3257">
            <v>12811</v>
          </cell>
          <cell r="H3257"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I3257" t="str">
            <v>M2</v>
          </cell>
          <cell r="J3257">
            <v>408848</v>
          </cell>
        </row>
        <row r="3258">
          <cell r="G3258">
            <v>12812</v>
          </cell>
          <cell r="H3258" t="str">
            <v>PROYECTO CONSTRUCCION PUENTES SAN AGUSTIN Y LOS ANDES - PRUEBA DE CARGA ESTATICA PARA PUENTE VEHICULAR - CON SUPERESTRUCTURA EN CONCRETO.</v>
          </cell>
          <cell r="I3258" t="str">
            <v>UN</v>
          </cell>
          <cell r="J3258">
            <v>10710000</v>
          </cell>
        </row>
        <row r="3259">
          <cell r="G3259">
            <v>12813</v>
          </cell>
          <cell r="H3259" t="str">
            <v>PATIO ZONAL EL GACO: SUMINISTRO DE CERTIFICACION DE CONECTORIZACION DE FIBRA OPTICA (POR PAR)</v>
          </cell>
          <cell r="I3259" t="str">
            <v>UN</v>
          </cell>
          <cell r="J3259">
            <v>17850</v>
          </cell>
        </row>
        <row r="3260">
          <cell r="G3260">
            <v>12814</v>
          </cell>
          <cell r="H3260" t="str">
            <v>PATIO ZONAL EL GACO: SUMINISTRO E INSTALACION DE UPS 1 KVA MONOFASICA VIN 120V, VOUT120V</v>
          </cell>
          <cell r="I3260" t="str">
            <v>UN</v>
          </cell>
          <cell r="J3260">
            <v>1005000</v>
          </cell>
        </row>
        <row r="3261">
          <cell r="G3261">
            <v>12815</v>
          </cell>
          <cell r="H3261"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I3261" t="str">
            <v>UN</v>
          </cell>
          <cell r="J3261">
            <v>7553621</v>
          </cell>
        </row>
        <row r="3262">
          <cell r="G3262">
            <v>12816</v>
          </cell>
          <cell r="H3262" t="str">
            <v>PATIO ZONAL EL GACO: SUMINISTRO E INSTALACION DE FIBRA MULTIMODO 12 HILOS</v>
          </cell>
          <cell r="I3262" t="str">
            <v>ML</v>
          </cell>
          <cell r="J3262">
            <v>16966</v>
          </cell>
        </row>
        <row r="3263">
          <cell r="G3263">
            <v>12817</v>
          </cell>
          <cell r="H3263" t="str">
            <v>PATIO ZONAL EL GACO - TOPELLANTA T-60 EN CONCRETO.</v>
          </cell>
          <cell r="I3263" t="str">
            <v>UN</v>
          </cell>
          <cell r="J3263">
            <v>16065</v>
          </cell>
        </row>
        <row r="3264">
          <cell r="G3264">
            <v>12818</v>
          </cell>
          <cell r="H3264" t="str">
            <v>PATIO ZONAL EL GACO - PISO GRES PORCELANATO COLOR MARFIL MATE 60X60 CM O SIMILAR.</v>
          </cell>
          <cell r="I3264" t="str">
            <v>M2</v>
          </cell>
          <cell r="J3264">
            <v>45900</v>
          </cell>
        </row>
        <row r="3265">
          <cell r="G3265">
            <v>12819</v>
          </cell>
          <cell r="H3265" t="str">
            <v xml:space="preserve">PATIO ZONAL EL GACO: TAPA CIEGA PARA RACK </v>
          </cell>
          <cell r="I3265" t="str">
            <v>UN</v>
          </cell>
          <cell r="J3265">
            <v>19728</v>
          </cell>
        </row>
        <row r="3266">
          <cell r="G3266">
            <v>12820</v>
          </cell>
          <cell r="H3266" t="str">
            <v>PATIO ZONAL EL GACO - PEGACOR MAX BLANCO.</v>
          </cell>
          <cell r="I3266" t="str">
            <v>KG</v>
          </cell>
          <cell r="J3266">
            <v>2892</v>
          </cell>
        </row>
        <row r="3267">
          <cell r="G3267">
            <v>12821</v>
          </cell>
          <cell r="H3267" t="str">
            <v>PATIO ZONAL EL GACO - LÁMINA DE DRYWALL SUPÉRBORARD 6 MM X 2440 MM X 1220 MM.</v>
          </cell>
          <cell r="I3267" t="str">
            <v>M2</v>
          </cell>
          <cell r="J3267">
            <v>15544</v>
          </cell>
        </row>
        <row r="3268">
          <cell r="G3268">
            <v>12822</v>
          </cell>
          <cell r="H3268" t="str">
            <v>PATIO ZONAL EL GACO - TORNILLO PLACA DRYWALL 6X1".</v>
          </cell>
          <cell r="I3268" t="str">
            <v>UN</v>
          </cell>
          <cell r="J3268">
            <v>29</v>
          </cell>
        </row>
        <row r="3269">
          <cell r="G3269">
            <v>12823</v>
          </cell>
          <cell r="H3269" t="str">
            <v>PATIO ZONAL EL GACO - TORNILLO CHAZO PUNTILLA 1/4".</v>
          </cell>
          <cell r="I3269" t="str">
            <v>UN</v>
          </cell>
          <cell r="J3269">
            <v>118</v>
          </cell>
        </row>
        <row r="3270">
          <cell r="G3270">
            <v>12824</v>
          </cell>
          <cell r="H3270" t="str">
            <v>PATIO ZONAL EL GACO - OMEGA PARA DRYWALL 2,44 M.</v>
          </cell>
          <cell r="I3270" t="str">
            <v>UN</v>
          </cell>
          <cell r="J3270">
            <v>4000</v>
          </cell>
        </row>
        <row r="3271">
          <cell r="G3271">
            <v>12825</v>
          </cell>
          <cell r="H3271" t="str">
            <v>PATIO ZONAL EL GACO - VIGUETA PARA DRYWALL 2.44 M.</v>
          </cell>
          <cell r="I3271" t="str">
            <v>UN</v>
          </cell>
          <cell r="J3271">
            <v>4179</v>
          </cell>
        </row>
        <row r="3272">
          <cell r="G3272">
            <v>12826</v>
          </cell>
          <cell r="H3272" t="str">
            <v>PATIO ZONAL EL GACO - ANGULO PARA DRYWALL 2.44 M.</v>
          </cell>
          <cell r="I3272" t="str">
            <v>UN</v>
          </cell>
          <cell r="J3272">
            <v>2300</v>
          </cell>
        </row>
        <row r="3273">
          <cell r="G3273">
            <v>12827</v>
          </cell>
          <cell r="H3273" t="str">
            <v>VIGA PERFIL HEA 450 (L=12 METROS)</v>
          </cell>
          <cell r="I3273" t="str">
            <v>UN</v>
          </cell>
          <cell r="J3273">
            <v>9796080</v>
          </cell>
        </row>
        <row r="3274">
          <cell r="G3274">
            <v>12828</v>
          </cell>
          <cell r="H3274"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I3274" t="str">
            <v>UN</v>
          </cell>
          <cell r="J3274">
            <v>5593000</v>
          </cell>
        </row>
        <row r="3275">
          <cell r="G3275">
            <v>12829</v>
          </cell>
          <cell r="H3275"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I3275" t="str">
            <v>TON-M</v>
          </cell>
          <cell r="J3275">
            <v>2482</v>
          </cell>
        </row>
        <row r="3276">
          <cell r="G3276">
            <v>12830</v>
          </cell>
          <cell r="H3276" t="str">
            <v>TAPABOCAS DESECHABLE._(Según Apéndice Bioseguridad Covid 19_V4)</v>
          </cell>
          <cell r="I3276" t="str">
            <v>UN</v>
          </cell>
          <cell r="J3276">
            <v>300</v>
          </cell>
        </row>
        <row r="3277">
          <cell r="G3277">
            <v>12831</v>
          </cell>
          <cell r="H3277" t="str">
            <v>MASCARILLA DESECHABLE._(Según Apéndice Bioseguridad Covid 19_V4)</v>
          </cell>
          <cell r="I3277" t="str">
            <v>UN</v>
          </cell>
          <cell r="J3277">
            <v>620</v>
          </cell>
        </row>
        <row r="3278">
          <cell r="G3278">
            <v>12832</v>
          </cell>
          <cell r="H3278" t="str">
            <v>JABÓN LIQUIDO PARA MANOS._(Según Apéndice Bioseguridad Covid 19_V4)</v>
          </cell>
          <cell r="I3278" t="str">
            <v>GLN</v>
          </cell>
          <cell r="J3278">
            <v>20500</v>
          </cell>
        </row>
        <row r="3279">
          <cell r="G3279">
            <v>12833</v>
          </cell>
          <cell r="H3279" t="str">
            <v>CARROTANQUE IRRIGADOR DE AGUA-VIAJE._(Según Apéndice Bioseguridad Covid 19_V4)</v>
          </cell>
          <cell r="I3279" t="str">
            <v>VIAJE</v>
          </cell>
          <cell r="J3279">
            <v>210000</v>
          </cell>
        </row>
        <row r="3280">
          <cell r="G3280">
            <v>12834</v>
          </cell>
          <cell r="H3280" t="str">
            <v>TOALLAS DE PAPEL PARA MANOS. TIPO Z. DOBLE HOJA. (PAQUETE 150 HOJAS._(Según Apéndice Bioseguridad Covid 19_V4)</v>
          </cell>
          <cell r="I3280" t="str">
            <v>UN</v>
          </cell>
          <cell r="J3280">
            <v>4454</v>
          </cell>
        </row>
        <row r="3281">
          <cell r="G3281">
            <v>12835</v>
          </cell>
          <cell r="H3281" t="str">
            <v>DISPENSADOR DE JABÓN LÍQUIDO O ALCOHOL GLICERINADO, CON PEDAL METÁLICO._(Según Apéndice Bioseguridad Covid 19_V4)</v>
          </cell>
          <cell r="I3281" t="str">
            <v>UN</v>
          </cell>
          <cell r="J3281">
            <v>70000</v>
          </cell>
        </row>
        <row r="3282">
          <cell r="G3282">
            <v>12836</v>
          </cell>
          <cell r="H3282" t="str">
            <v>RECOLECCION, TRANSPORTE Y DISPOSICION DE RESIDUOS LÍQUIDOS PROVENIENTES DE LAVAMANOS PORTATILES. (INCLUYE EQUIPO DE SUCCIÓN)_(Según Apéndice Bioseguridad Covid 19_V4)</v>
          </cell>
          <cell r="I3282" t="str">
            <v>M3</v>
          </cell>
          <cell r="J3282">
            <v>250000</v>
          </cell>
        </row>
        <row r="3283">
          <cell r="G3283">
            <v>12837</v>
          </cell>
          <cell r="H3283" t="str">
            <v>LAVAMANOS PORTATIL DE PEDAL TIPO MANOS LIBRES._(Según Apéndice Bioseguridad Covid 19_V4)</v>
          </cell>
          <cell r="I3283" t="str">
            <v>UN</v>
          </cell>
          <cell r="J3283">
            <v>882353</v>
          </cell>
        </row>
        <row r="3284">
          <cell r="G3284">
            <v>12838</v>
          </cell>
          <cell r="H3284" t="str">
            <v>ALCOHOL GLICERINADO 70%._(Según Apéndice Bioseguridad Covid 19_V4)</v>
          </cell>
          <cell r="I3284" t="str">
            <v>UN</v>
          </cell>
          <cell r="J3284">
            <v>8218</v>
          </cell>
        </row>
        <row r="3285">
          <cell r="G3285">
            <v>12839</v>
          </cell>
          <cell r="H3285" t="str">
            <v>DISPENSADOR PLÁSTICO DE TOALLAS TIPO Z._(Según Apéndice Bioseguridad Covid 19_V4)</v>
          </cell>
          <cell r="I3285" t="str">
            <v>UN</v>
          </cell>
          <cell r="J3285">
            <v>36681</v>
          </cell>
        </row>
        <row r="3286">
          <cell r="G3286">
            <v>12840</v>
          </cell>
          <cell r="H3286"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I3286" t="str">
            <v>UN</v>
          </cell>
          <cell r="J3286">
            <v>8406636</v>
          </cell>
        </row>
        <row r="3287">
          <cell r="G3287">
            <v>12841</v>
          </cell>
          <cell r="H3287"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I3287" t="str">
            <v>UN</v>
          </cell>
          <cell r="J3287">
            <v>7397840</v>
          </cell>
        </row>
        <row r="3288">
          <cell r="G3288">
            <v>12842</v>
          </cell>
          <cell r="H3288"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I3288" t="str">
            <v>UN</v>
          </cell>
          <cell r="J3288">
            <v>7070612</v>
          </cell>
        </row>
        <row r="3289">
          <cell r="G3289">
            <v>12843</v>
          </cell>
          <cell r="H3289"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I3289" t="str">
            <v>UN</v>
          </cell>
          <cell r="J3289">
            <v>10194292</v>
          </cell>
        </row>
        <row r="3290">
          <cell r="G3290">
            <v>12844</v>
          </cell>
          <cell r="H3290"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I3290" t="str">
            <v>UN</v>
          </cell>
          <cell r="J3290">
            <v>9399483</v>
          </cell>
        </row>
        <row r="3291">
          <cell r="G3291">
            <v>12845</v>
          </cell>
          <cell r="H3291"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I3291" t="str">
            <v>UN</v>
          </cell>
          <cell r="J3291">
            <v>4250501</v>
          </cell>
        </row>
        <row r="3292">
          <cell r="G3292">
            <v>12846</v>
          </cell>
          <cell r="H3292"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I3292" t="str">
            <v>UN</v>
          </cell>
          <cell r="J3292">
            <v>4008603</v>
          </cell>
        </row>
        <row r="3293">
          <cell r="G3293">
            <v>12847</v>
          </cell>
          <cell r="H3293"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I3293" t="str">
            <v>UN</v>
          </cell>
          <cell r="J3293">
            <v>9503154</v>
          </cell>
        </row>
        <row r="3294">
          <cell r="G3294">
            <v>12848</v>
          </cell>
          <cell r="H3294"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I3294" t="str">
            <v>UN</v>
          </cell>
          <cell r="J3294">
            <v>9589546</v>
          </cell>
        </row>
        <row r="3295">
          <cell r="G3295">
            <v>12849</v>
          </cell>
          <cell r="H3295"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I3295" t="str">
            <v>UN</v>
          </cell>
          <cell r="J3295">
            <v>5252652</v>
          </cell>
        </row>
        <row r="3296">
          <cell r="G3296">
            <v>12850</v>
          </cell>
          <cell r="H3296"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I3296" t="str">
            <v>UN</v>
          </cell>
          <cell r="J3296">
            <v>5736449</v>
          </cell>
        </row>
        <row r="3297">
          <cell r="G3297">
            <v>12851</v>
          </cell>
          <cell r="H3297"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I3297" t="str">
            <v>UN</v>
          </cell>
          <cell r="J3297">
            <v>7239675</v>
          </cell>
        </row>
        <row r="3298">
          <cell r="G3298">
            <v>12852</v>
          </cell>
          <cell r="H3298"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I3298" t="str">
            <v>UN</v>
          </cell>
          <cell r="J3298">
            <v>5598221</v>
          </cell>
        </row>
        <row r="3299">
          <cell r="G3299">
            <v>12853</v>
          </cell>
          <cell r="H3299"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I3299" t="str">
            <v>UN</v>
          </cell>
          <cell r="J3299">
            <v>3369300</v>
          </cell>
        </row>
        <row r="3300">
          <cell r="G3300">
            <v>12854</v>
          </cell>
          <cell r="H3300"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I3300" t="str">
            <v>UN</v>
          </cell>
          <cell r="J3300">
            <v>13822769</v>
          </cell>
        </row>
        <row r="3301">
          <cell r="G3301">
            <v>12855</v>
          </cell>
          <cell r="H3301" t="str">
            <v xml:space="preserve"> PROYECTO ESPECÍFICO PATIO ZONAL ALAMEDA EL JARDIN: MORTERO SECO 40 KG (PARA AFINADO SIMPLE)</v>
          </cell>
          <cell r="I3301" t="str">
            <v>KG</v>
          </cell>
          <cell r="J3301">
            <v>388</v>
          </cell>
        </row>
        <row r="3302">
          <cell r="G3302">
            <v>12856</v>
          </cell>
          <cell r="H3302" t="str">
            <v>PROYECTO ESPECIFICO PATIO ZONAL ALAMEDA EL JARDIN - PEGACOR MAX BLANCO.</v>
          </cell>
          <cell r="I3302" t="str">
            <v>KG</v>
          </cell>
          <cell r="J3302">
            <v>2892</v>
          </cell>
        </row>
        <row r="3303">
          <cell r="G3303">
            <v>12857</v>
          </cell>
          <cell r="H3303" t="str">
            <v>PROYECTO ESPECIFICO PATIO ZONAL ALAMEDA EL JARDIN - BALDOSA HEXAGONAL PREPULIDA LISTONES GRIS. COLOR VERDE, PARA EXTERIORES 30 X 30 CM. ESPESOR 25 MM.</v>
          </cell>
          <cell r="I3303" t="str">
            <v>M2</v>
          </cell>
          <cell r="J3303">
            <v>38550</v>
          </cell>
        </row>
        <row r="3304">
          <cell r="G3304">
            <v>12858</v>
          </cell>
          <cell r="H3304" t="str">
            <v>PROYECTO ESPECIFICO PATIO ZONAL ALAMEDA EL JARDIN - PISO LAMINADO SPC (STONE PLASTIC COMPOSITE), TRAFICO COMERCIAL, ACABADO TEXTURA MATE, TONO CASTAÑO, CON DILATACION EN ALUMINIO.</v>
          </cell>
          <cell r="I3304" t="str">
            <v>M2</v>
          </cell>
          <cell r="J3304">
            <v>59600</v>
          </cell>
        </row>
        <row r="3305">
          <cell r="G3305">
            <v>12859</v>
          </cell>
          <cell r="H3305" t="str">
            <v>PROYECTO ESPECIFICO PATIO ZONAL ALAMEDA EL JARDIN - PISO EN PORCELANATO GRIS FORMATO 30 X 60</v>
          </cell>
          <cell r="I3305" t="str">
            <v>M2</v>
          </cell>
          <cell r="J3305">
            <v>46900</v>
          </cell>
        </row>
        <row r="3306">
          <cell r="G3306">
            <v>12860</v>
          </cell>
          <cell r="H3306" t="str">
            <v>PROYECTO ESPECIFICO PATIO ZONAL ALAMEDA EL JARDIN - BALDOSA EN MICROGRANO COLOR NEGRO AZABACHE FORMATO 30X30</v>
          </cell>
          <cell r="I3306" t="str">
            <v>M2</v>
          </cell>
          <cell r="J3306">
            <v>48000</v>
          </cell>
        </row>
        <row r="3307">
          <cell r="G3307">
            <v>12861</v>
          </cell>
          <cell r="H3307" t="str">
            <v>PROYECTO ESPECIFICO PATIO ZONAL ALAMEDA EL JARDIN - PORCELANATO PARA PARED COLOR BLANCO FORMATO 20.5 X 20.5</v>
          </cell>
          <cell r="I3307" t="str">
            <v>M2</v>
          </cell>
          <cell r="J3307">
            <v>17400</v>
          </cell>
        </row>
        <row r="3308">
          <cell r="G3308">
            <v>12862</v>
          </cell>
          <cell r="H3308" t="str">
            <v>PROYECTO ESPECIFICO PATIO ZONAL ALAMEDA EL JARDIN - PISO EN BALDOSAS DE VINILO CON REDUCCIÓN ACÚSTICA E.=3,5MM FORMATO 50X50CM</v>
          </cell>
          <cell r="I3308" t="str">
            <v>M2</v>
          </cell>
          <cell r="J3308">
            <v>60000</v>
          </cell>
        </row>
        <row r="3309">
          <cell r="G3309">
            <v>12863</v>
          </cell>
          <cell r="H3309" t="str">
            <v xml:space="preserve">PROYECTO ESPECIFICO PATIO ZONAL ALAMEDA EL JARDIN - ESPEJO EN CRISTAL FLOTADO DE 4MM SIN BISELAR, CON BORDE PULIDO ADHERIDO A MURO </v>
          </cell>
          <cell r="I3309" t="str">
            <v>M2</v>
          </cell>
          <cell r="J3309">
            <v>95920</v>
          </cell>
        </row>
        <row r="3310">
          <cell r="G3310">
            <v>12864</v>
          </cell>
          <cell r="H3310" t="str">
            <v>PROYECTO ESPECIFICO PATIO ZONAL ALAMEDA EL JARDIN - SILICONA ANTIHONGOS TRANSPARENTE</v>
          </cell>
          <cell r="I3310" t="str">
            <v>UN</v>
          </cell>
          <cell r="J3310">
            <v>12900</v>
          </cell>
        </row>
        <row r="3311">
          <cell r="G3311">
            <v>12865</v>
          </cell>
          <cell r="H3311" t="str">
            <v>PROYECTO ESPECIFICO PATIO ZONAL ALAMEDA EL JARDIN - PANEL SEPARADOR DE ORINALES DE 1,00 M X 0,50 M O APROXIMADO, ANCLADO A MURO EN LAMINA DE ACERO INOXIDABLE</v>
          </cell>
          <cell r="I3311" t="str">
            <v>UN</v>
          </cell>
          <cell r="J3311">
            <v>261800</v>
          </cell>
        </row>
        <row r="3312">
          <cell r="G3312">
            <v>12866</v>
          </cell>
          <cell r="H3312" t="str">
            <v xml:space="preserve">PROYECTO ESPECIFICO PATIO ZONAL ALAMEDA EL JARDIN - TAPA PARA REGISTRO 20 X 20 CM </v>
          </cell>
          <cell r="I3312" t="str">
            <v>UN</v>
          </cell>
          <cell r="J3312">
            <v>7069</v>
          </cell>
        </row>
        <row r="3313">
          <cell r="G3313">
            <v>12867</v>
          </cell>
          <cell r="H3313" t="str">
            <v xml:space="preserve">PROYECTO ESPECIFICO PATIO ZONAL ALAMEDA EL JARDIN - TUBERIA PVC - S8, D=10" NORMA NTC 3722-3 </v>
          </cell>
          <cell r="I3313" t="str">
            <v>ML</v>
          </cell>
          <cell r="J3313">
            <v>68680</v>
          </cell>
        </row>
        <row r="3314">
          <cell r="G3314">
            <v>12868</v>
          </cell>
          <cell r="H3314" t="str">
            <v>PROYECTO ESPECIFICO PATIO ZONAL ALAMEDA EL JARDIN - TUBERIA DE PRESION EN PVC 3/4" RDE 11</v>
          </cell>
          <cell r="I3314" t="str">
            <v>ML</v>
          </cell>
          <cell r="J3314">
            <v>3650</v>
          </cell>
        </row>
        <row r="3315">
          <cell r="G3315">
            <v>12869</v>
          </cell>
          <cell r="H3315" t="str">
            <v>PROYECTO ESPECIFICO PATIO ZONAL ALAMEDA EL JARDIN - REGISTRO EN BRONCE DE PASO DIRECTO ROSCADO DE 3/4"</v>
          </cell>
          <cell r="I3315" t="str">
            <v>UN</v>
          </cell>
          <cell r="J3315">
            <v>20230</v>
          </cell>
        </row>
        <row r="3316">
          <cell r="G3316">
            <v>12870</v>
          </cell>
          <cell r="H3316" t="str">
            <v>PROYECTO ESPECIFICO PATIO ZONAL ALAMEDA EL JARDIN - REGISTRO EN BRONCE DE PASO DIRECTO ROSCADO DE 1"</v>
          </cell>
          <cell r="I3316" t="str">
            <v>UN</v>
          </cell>
          <cell r="J3316">
            <v>31654</v>
          </cell>
        </row>
        <row r="3317">
          <cell r="G3317">
            <v>12871</v>
          </cell>
          <cell r="H3317" t="str">
            <v>PROYECTO ESPECIFICO PATIO ZONAL ALAMEDA EL JARDIN - REGISTRO EN BRONCE DE PASO DIRECTO ROSCADO DE 1 1/4"</v>
          </cell>
          <cell r="I3317" t="str">
            <v>UN</v>
          </cell>
          <cell r="J3317">
            <v>51765</v>
          </cell>
        </row>
        <row r="3318">
          <cell r="G3318">
            <v>12872</v>
          </cell>
          <cell r="H3318" t="str">
            <v>PROYECTO ESPECIFICO PATIO ZONAL ALAMEDA EL JARDIN - REGISTRO EN BRONCE DE PASO DIRECTO ROSCADO DE 1 1/2"</v>
          </cell>
          <cell r="I3318" t="str">
            <v>UN</v>
          </cell>
          <cell r="J3318">
            <v>58262</v>
          </cell>
        </row>
        <row r="3319">
          <cell r="G3319">
            <v>12873</v>
          </cell>
          <cell r="H3319" t="str">
            <v>PROYECTO ESPECIFICO PATIO ZONAL ALAMEDA EL JARDIN - REGISTRO EN BRONCE DE PASO DIRECTO ROSCADO DE 2"</v>
          </cell>
          <cell r="I3319" t="str">
            <v>UN</v>
          </cell>
          <cell r="J3319">
            <v>92772</v>
          </cell>
        </row>
        <row r="3320">
          <cell r="G3320">
            <v>12874</v>
          </cell>
          <cell r="H3320" t="str">
            <v>PROYECTO ESPECIFICO PATIO ZONAL ALAMEDA EL JARDIN - TUBERÍA DE ACERO AL CARBON SCH10 D=4"</v>
          </cell>
          <cell r="I3320" t="str">
            <v>ML</v>
          </cell>
          <cell r="J3320">
            <v>85283</v>
          </cell>
        </row>
        <row r="3321">
          <cell r="G3321">
            <v>12875</v>
          </cell>
          <cell r="H3321" t="str">
            <v>PROYECTO ESPECIFICO PATIO ZONAL ALAMEDA EL JARDIN - TUBERÍA DE ACERO AL CARBON SCH10 D=6"</v>
          </cell>
          <cell r="I3321" t="str">
            <v>ML</v>
          </cell>
          <cell r="J3321">
            <v>147724</v>
          </cell>
        </row>
        <row r="3322">
          <cell r="G3322">
            <v>12876</v>
          </cell>
          <cell r="H3322" t="str">
            <v>PROYECTO ESPECIFICO PATIO ZONAL ALAMEDA EL JARDIN - TUBERÍA DE ACERO AL CARBON SCH10 D=3"</v>
          </cell>
          <cell r="I3322" t="str">
            <v>ML</v>
          </cell>
          <cell r="J3322">
            <v>66441</v>
          </cell>
        </row>
        <row r="3323">
          <cell r="G3323">
            <v>12877</v>
          </cell>
          <cell r="H3323" t="str">
            <v>PROYECTO ESPECIFICO PATIO ZONAL ALAMEDA EL JARDIN - TUBERÍA DE ACERO AL CARBON SCH10 D=2"</v>
          </cell>
          <cell r="I3323" t="str">
            <v>ML</v>
          </cell>
          <cell r="J3323">
            <v>51000</v>
          </cell>
        </row>
        <row r="3324">
          <cell r="G3324">
            <v>12878</v>
          </cell>
          <cell r="H3324" t="str">
            <v>PROYECTO ESPECIFICO PATIO ZONAL ALAMEDA EL JARDIN - TUBERÍA DE ACERO AL CARBON SCH40 D=1"</v>
          </cell>
          <cell r="I3324" t="str">
            <v>ML</v>
          </cell>
          <cell r="J3324">
            <v>27568</v>
          </cell>
        </row>
        <row r="3325">
          <cell r="G3325">
            <v>12879</v>
          </cell>
          <cell r="H3325" t="str">
            <v>PROYECTO ESPECIFICO PATIO ZONAL ALAMEDA EL JARDIN: TRAMPA DE GRASAS DE 95 LT</v>
          </cell>
          <cell r="I3325" t="str">
            <v>UN</v>
          </cell>
          <cell r="J3325">
            <v>238900</v>
          </cell>
        </row>
        <row r="3326">
          <cell r="G3326">
            <v>12880</v>
          </cell>
          <cell r="H3326" t="str">
            <v>PROYECTO ESPECIFICO PATIO ZONAL ALAMEDA EL JARDIN - PRENSAESTOPA PVC DE 1/2"</v>
          </cell>
          <cell r="I3326" t="str">
            <v>UN</v>
          </cell>
          <cell r="J3326">
            <v>823</v>
          </cell>
        </row>
        <row r="3327">
          <cell r="G3327">
            <v>12881</v>
          </cell>
          <cell r="H3327" t="str">
            <v>PROYECTO ESPECIFICO PATIO ZONAL ALAMEDA EL JARDIN - CABLE DE CU THHN No 10AWG</v>
          </cell>
          <cell r="I3327" t="str">
            <v>ML</v>
          </cell>
          <cell r="J3327">
            <v>2900</v>
          </cell>
        </row>
        <row r="3328">
          <cell r="G3328">
            <v>12882</v>
          </cell>
          <cell r="H3328" t="str">
            <v>PROYECTO ESPECIFICO PATIO ZONAL ALAMEDA EL JARDIN - TN6-1 MODULO MANTENIMIENTO. TABLERO IP54 USO EXTERIOR, INCLUYE BREAKER TOTALIZADOR, INTERRUPTORES SEGÚN PLANO UNIFILAR, CABLEADO DE POTENCIA, CERTIFICADO RETIE.</v>
          </cell>
          <cell r="I3328" t="str">
            <v>UN</v>
          </cell>
          <cell r="J3328">
            <v>5533500</v>
          </cell>
        </row>
        <row r="3329">
          <cell r="G3329">
            <v>12883</v>
          </cell>
          <cell r="H3329" t="str">
            <v>PROYECTO ESPECIFICO PATIO ZONAL ALAMEDA EL JARDIN - TN3-1 MODULO PINTURA. TABLERO IP54 USO EXTERIOR, INCLUYE BREAKER TOTALIZADOR, INTERRUPTORES SEGÚN PLANO UNIFILAR, CABLEADO DE POTENCIA, CERTIFICADO RETIE.</v>
          </cell>
          <cell r="I3329" t="str">
            <v>UN</v>
          </cell>
          <cell r="J3329">
            <v>4641000</v>
          </cell>
        </row>
        <row r="3330">
          <cell r="G3330">
            <v>12884</v>
          </cell>
          <cell r="H3330" t="str">
            <v>PROYECTO ESPECIFICO PATIO ZONAL ALAMEDA EL JARDIN - TN3-1 MODULO LAVADO. TABLERO IP54 USO EXTERIOR, INCLUYE BREAKER TOTALIZADOR, INTERRUPTORES SEGÚN PLANO UNIFILAR, CABLEADO DE POTENCIA, CERTIFICADO RETIE.</v>
          </cell>
          <cell r="I3330" t="str">
            <v>UN</v>
          </cell>
          <cell r="J3330">
            <v>4414900</v>
          </cell>
        </row>
        <row r="3331">
          <cell r="G3331">
            <v>12885</v>
          </cell>
          <cell r="H3331" t="str">
            <v xml:space="preserve">PROYECTO ESPECIFICO PATIO ZONAL ALAMEDA EL JARDIN - ADAPTADOR MACHO PVC PRESION 1 1/4" </v>
          </cell>
          <cell r="I3331" t="str">
            <v>UN</v>
          </cell>
          <cell r="J3331">
            <v>2900</v>
          </cell>
        </row>
        <row r="3332">
          <cell r="G3332">
            <v>12886</v>
          </cell>
          <cell r="H3332" t="str">
            <v>PROYECTO ESPECIFICO PATIO ZONAL ALAMEDA EL JARDIN - ADAPTADOR MACHO PVC PRESION 1 1/2"</v>
          </cell>
          <cell r="I3332" t="str">
            <v>UN</v>
          </cell>
          <cell r="J3332">
            <v>3706</v>
          </cell>
        </row>
        <row r="3333">
          <cell r="G3333">
            <v>12887</v>
          </cell>
          <cell r="H3333" t="str">
            <v>PROYECTO ESPECIFICO PATIO ZONAL ALAMEDA EL JARDIN: MACROMEDIDOR PARA AGUA POTABLE DE 2". TIPO HELICE WOLTMANN, DIÁMETRO DE 2".</v>
          </cell>
          <cell r="I3333" t="str">
            <v>UN</v>
          </cell>
          <cell r="J3333">
            <v>1826055</v>
          </cell>
        </row>
        <row r="3334">
          <cell r="G3334">
            <v>12888</v>
          </cell>
          <cell r="H3334" t="str">
            <v xml:space="preserve">PROYECTO ESPECIFICO PATIO ZONAL ALAMEDA EL JARDIN: TANQUE 1000 HI-PRESS 1000 LITROS VERTICAL </v>
          </cell>
          <cell r="I3334" t="str">
            <v>UN</v>
          </cell>
          <cell r="J3334">
            <v>4619580</v>
          </cell>
        </row>
        <row r="3335">
          <cell r="G3335">
            <v>12889</v>
          </cell>
          <cell r="H3335" t="str">
            <v>PROYECTO ESPECIFICO PATIO ZONAL ALAMEDA EL JARDIN: JUEGO DE PRE MOLDEADOS TIPO EXTERIOR PARA CABLE XLPE 15KVA PARA CALIBRES ENTRE 2-4-0</v>
          </cell>
          <cell r="I3335" t="str">
            <v>JGO</v>
          </cell>
          <cell r="J3335">
            <v>254138</v>
          </cell>
        </row>
        <row r="3336">
          <cell r="G3336">
            <v>12890</v>
          </cell>
          <cell r="H3336" t="str">
            <v>PROYECTO ESPECIFICO PATIO ZONAL ALAMEDA EL JARDIN: PLANTA ELÉCTRICA DE 300 KVA. VOLTAJE 220V</v>
          </cell>
          <cell r="I3336" t="str">
            <v>UN</v>
          </cell>
          <cell r="J3336">
            <v>132801546</v>
          </cell>
        </row>
        <row r="3337">
          <cell r="G3337">
            <v>12891</v>
          </cell>
          <cell r="H3337" t="str">
            <v>PROYECTO ESPECIFICO PATIO ZONAL ALAMEDA EL JARDIN: BORDILLO ANTEPECHO POLIMERO TIPO B PARA VENTANAS, EN CONCRETO 0.40 x 0.25 MTS. (ALIGERADO)</v>
          </cell>
          <cell r="I3337" t="str">
            <v>ML</v>
          </cell>
          <cell r="J3337">
            <v>22000</v>
          </cell>
        </row>
        <row r="3338">
          <cell r="G3338">
            <v>12892</v>
          </cell>
          <cell r="H3338" t="str">
            <v>PROYECTO ESPECIFICO PATIO ZONAL ALAMEDA EL JARDIN: LAMPARA FLUORESCENTE COMPACTO - EXTERIORES</v>
          </cell>
          <cell r="I3338" t="str">
            <v>UN</v>
          </cell>
          <cell r="J3338">
            <v>23562</v>
          </cell>
        </row>
        <row r="3339">
          <cell r="G3339">
            <v>12893</v>
          </cell>
          <cell r="H3339" t="str">
            <v>PROYECTO ESPECIFICO PATIO ZONAL ALAMEDA EL JARDIN: LAMPARA HALOGENA DE INCRUSTAR EN PISO. Incluye Suministro e Instalación</v>
          </cell>
          <cell r="I3339" t="str">
            <v>UN</v>
          </cell>
          <cell r="J3339">
            <v>116375</v>
          </cell>
        </row>
        <row r="3340">
          <cell r="G3340">
            <v>12895</v>
          </cell>
          <cell r="H3340" t="str">
            <v xml:space="preserve">TUBERIA CONDUIT METALICA RMC D= 6'' </v>
          </cell>
          <cell r="I3340" t="str">
            <v>ML</v>
          </cell>
          <cell r="J3340">
            <v>455401</v>
          </cell>
        </row>
        <row r="3341">
          <cell r="G3341">
            <v>12896</v>
          </cell>
          <cell r="H3341" t="str">
            <v xml:space="preserve">TUBERÍA ALCANTARILLADO 1500 MM 60" HDPE </v>
          </cell>
          <cell r="I3341" t="str">
            <v>ML</v>
          </cell>
          <cell r="J3341">
            <v>4391885</v>
          </cell>
        </row>
        <row r="3342">
          <cell r="G3342">
            <v>12899</v>
          </cell>
          <cell r="H3342"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I3342" t="str">
            <v>UN</v>
          </cell>
          <cell r="J3342">
            <v>21411609</v>
          </cell>
        </row>
        <row r="3343">
          <cell r="G3343">
            <v>12900</v>
          </cell>
          <cell r="H3343" t="str">
            <v>AVENIDA CONTADOR (CL. 134) - BANCA EN CONCRETO M-01-A</v>
          </cell>
          <cell r="I3343" t="str">
            <v>UN</v>
          </cell>
          <cell r="J3343">
            <v>1368500</v>
          </cell>
        </row>
        <row r="3344">
          <cell r="G3344">
            <v>12901</v>
          </cell>
          <cell r="H3344" t="str">
            <v>AVENIDA CONTADOR (CL. 134) - TUERCAS 3/4" ASTM A194</v>
          </cell>
          <cell r="I3344" t="str">
            <v>UN</v>
          </cell>
          <cell r="J3344">
            <v>2391</v>
          </cell>
        </row>
        <row r="3345">
          <cell r="G3345">
            <v>12902</v>
          </cell>
          <cell r="H3345" t="str">
            <v>AVENIDA CONTADOR (CL. 134) - TUERCA 5/8" ASTM A194</v>
          </cell>
          <cell r="I3345" t="str">
            <v>UN</v>
          </cell>
          <cell r="J3345">
            <v>1432</v>
          </cell>
        </row>
        <row r="3346">
          <cell r="G3346">
            <v>12903</v>
          </cell>
          <cell r="H3346" t="str">
            <v>AVENIDA CONTADOR (CL. 134) - TUERCA 1/2" ASTM A194</v>
          </cell>
          <cell r="I3346" t="str">
            <v>UN</v>
          </cell>
          <cell r="J3346">
            <v>703</v>
          </cell>
        </row>
        <row r="3347">
          <cell r="G3347">
            <v>12904</v>
          </cell>
          <cell r="H3347" t="str">
            <v>AVENIDA CONTADOR (CL. 134) - BOLARDO METALICO M-15-A</v>
          </cell>
          <cell r="I3347" t="str">
            <v>UN</v>
          </cell>
          <cell r="J3347">
            <v>226100</v>
          </cell>
        </row>
        <row r="3348">
          <cell r="G3348">
            <v>12905</v>
          </cell>
          <cell r="H3348" t="str">
            <v>AVENIDA CONTADOR (CL. 134) - PAPELERA DOBLE EN ACERO M-121</v>
          </cell>
          <cell r="I3348" t="str">
            <v>UN</v>
          </cell>
          <cell r="J3348">
            <v>1414910</v>
          </cell>
        </row>
        <row r="3349">
          <cell r="G3349">
            <v>12906</v>
          </cell>
          <cell r="H3349" t="str">
            <v>AVENIDA CONTADOR (CL. 134) - GEOMEMBRANA LISA HDPE 40 MILS</v>
          </cell>
          <cell r="I3349" t="str">
            <v>M2</v>
          </cell>
          <cell r="J3349">
            <v>13983</v>
          </cell>
        </row>
        <row r="3350">
          <cell r="G3350">
            <v>12907</v>
          </cell>
          <cell r="H3350" t="str">
            <v>AVENIDA CONTADOR (CL. 134) - ADHESIVO EPÓXICO DE DOS COMPONENTES, LIBRE DE SOLVENTES</v>
          </cell>
          <cell r="I3350" t="str">
            <v>KG</v>
          </cell>
          <cell r="J3350">
            <v>159200</v>
          </cell>
        </row>
        <row r="3351">
          <cell r="G3351">
            <v>12908</v>
          </cell>
          <cell r="H3351" t="str">
            <v>ESTUDIOS Y DISEÑOS PARA SITIOS INESTABLES EN BOGOTÁ D.C - INMUNIZANTE Y PRESERVANTE DE MADERA</v>
          </cell>
          <cell r="I3351" t="str">
            <v>LT</v>
          </cell>
          <cell r="J3351">
            <v>32861</v>
          </cell>
        </row>
        <row r="3352">
          <cell r="G3352">
            <v>12909</v>
          </cell>
          <cell r="H3352" t="str">
            <v xml:space="preserve">ESTUDIOS Y DISEÑOS PARA SITIOS INESTABLES EN BOGOTÁ D.C - COSEDORA Y SELLADORA ELECTRICA DE SACOS </v>
          </cell>
          <cell r="I3352" t="str">
            <v>HR</v>
          </cell>
          <cell r="J3352">
            <v>220</v>
          </cell>
        </row>
        <row r="3353">
          <cell r="G3353">
            <v>12910</v>
          </cell>
          <cell r="H3353" t="str">
            <v>ESTUDIOS Y DISEÑOS PARA SITIOS INESTABLES EN BOGOTÁ D.C - MANTO PERMANENTE PARA CONTROL DE EROSIÓN - TERRATRAC TRM15 O SIMILAR</v>
          </cell>
          <cell r="I3353" t="str">
            <v>M2</v>
          </cell>
          <cell r="J3353">
            <v>8800</v>
          </cell>
        </row>
        <row r="3354">
          <cell r="G3354">
            <v>12911</v>
          </cell>
          <cell r="H3354" t="str">
            <v>ESTUDIOS Y DISEÑOS PARA SITIOS INESTABLES EN BOGOTÁ D.C - GEODREN PLANAR PERMADRAIN 70 DE 0,50M O SIMILAR</v>
          </cell>
          <cell r="I3354" t="str">
            <v>ML</v>
          </cell>
          <cell r="J3354">
            <v>10305</v>
          </cell>
        </row>
        <row r="3355">
          <cell r="G3355">
            <v>12912</v>
          </cell>
          <cell r="H3355"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I3355" t="str">
            <v>UN</v>
          </cell>
          <cell r="J3355">
            <v>71400000</v>
          </cell>
        </row>
        <row r="3356">
          <cell r="G3356">
            <v>12913</v>
          </cell>
          <cell r="H3356"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I3356" t="str">
            <v>UN</v>
          </cell>
          <cell r="J3356">
            <v>844601</v>
          </cell>
        </row>
        <row r="3357">
          <cell r="G3357">
            <v>12914</v>
          </cell>
          <cell r="H3357"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I3357" t="str">
            <v>UN</v>
          </cell>
          <cell r="J3357">
            <v>403800000</v>
          </cell>
        </row>
        <row r="3358">
          <cell r="G3358">
            <v>12915</v>
          </cell>
          <cell r="H3358"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I3358" t="str">
            <v>GLB</v>
          </cell>
          <cell r="J3358">
            <v>3555691184</v>
          </cell>
        </row>
        <row r="3359">
          <cell r="G3359">
            <v>12916</v>
          </cell>
          <cell r="H3359" t="str">
            <v>AUTOHORMIGONERA - VOLUMEN DE HORMIGÓN POR AMASADO DE 1 A 5.5 m3</v>
          </cell>
          <cell r="I3359" t="str">
            <v>HR</v>
          </cell>
          <cell r="J3359">
            <v>217649</v>
          </cell>
        </row>
        <row r="3360">
          <cell r="G3360">
            <v>12917</v>
          </cell>
          <cell r="H3360" t="str">
            <v xml:space="preserve">GRÚA HIDRÁULICA DE BRAZO ARTICULADO MONTADA SOBRE CAMIÓN - CARGA MÁXIMA DE 1 A 17 TONELADAS - INCLUYE OPERARIO </v>
          </cell>
          <cell r="I3360" t="str">
            <v>HR</v>
          </cell>
          <cell r="J3360">
            <v>227008</v>
          </cell>
        </row>
        <row r="3361">
          <cell r="G3361">
            <v>12918</v>
          </cell>
          <cell r="H3361" t="str">
            <v>PLANTA ELÉCTRICA - POTENCIA ELÉCTRICA GENERADA 11-13 kW INCLUYE COMBUSTIBLE</v>
          </cell>
          <cell r="I3361" t="str">
            <v>HR</v>
          </cell>
          <cell r="J3361">
            <v>15697</v>
          </cell>
        </row>
        <row r="3362">
          <cell r="G3362">
            <v>12919</v>
          </cell>
          <cell r="H3362" t="str">
            <v>PARAL METÁLICO CORTO DE 1.50 m A 2.7 m</v>
          </cell>
          <cell r="I3362" t="str">
            <v>MES</v>
          </cell>
          <cell r="J3362">
            <v>3213</v>
          </cell>
        </row>
        <row r="3363">
          <cell r="G3363">
            <v>12920</v>
          </cell>
          <cell r="H3363" t="str">
            <v>ANDAMIO MULTIDIRECCIONAL - ALTURA 9 m - ÁREA 4 m2</v>
          </cell>
          <cell r="I3363" t="str">
            <v>DIA</v>
          </cell>
          <cell r="J3363">
            <v>31654</v>
          </cell>
        </row>
        <row r="3364">
          <cell r="G3364">
            <v>12921</v>
          </cell>
          <cell r="H3364"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I3364" t="str">
            <v>M2</v>
          </cell>
          <cell r="J3364">
            <v>637</v>
          </cell>
        </row>
        <row r="3365">
          <cell r="G3365">
            <v>12922</v>
          </cell>
          <cell r="H3365"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I3365" t="str">
            <v>M2</v>
          </cell>
          <cell r="J3365">
            <v>1027</v>
          </cell>
        </row>
        <row r="3366">
          <cell r="G3366">
            <v>12923</v>
          </cell>
          <cell r="H3366"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I3366" t="str">
            <v>UN</v>
          </cell>
          <cell r="J3366">
            <v>65320061</v>
          </cell>
        </row>
        <row r="3367">
          <cell r="G3367">
            <v>12924</v>
          </cell>
          <cell r="H3367"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I3367" t="str">
            <v>UN</v>
          </cell>
          <cell r="J3367">
            <v>8562202</v>
          </cell>
        </row>
        <row r="3368">
          <cell r="G3368">
            <v>12925</v>
          </cell>
          <cell r="H3368" t="str">
            <v>MEDIDA DE LA IRREGULARIDAD SUPERFICIAL DE UN PAVIMENTO MEDIANTE LA REGLA DE TRES METROS, ESTÁTICA O RODANTE (Por unidad) - No Incluye Transporte</v>
          </cell>
          <cell r="I3368" t="str">
            <v>UN</v>
          </cell>
          <cell r="J3368">
            <v>85680</v>
          </cell>
        </row>
        <row r="3369">
          <cell r="G3369">
            <v>12926</v>
          </cell>
          <cell r="H3369" t="str">
            <v>MEDIDA DE SEGREGACIÓN TÉRMICA DE MEZCLAS ASFÁLTICAS MEDIANTE CÁMARA TERMOGRÁFICA (Por unidad) - No Incluye Transporte</v>
          </cell>
          <cell r="I3369" t="str">
            <v>UN</v>
          </cell>
          <cell r="J3369">
            <v>128520</v>
          </cell>
        </row>
        <row r="3370">
          <cell r="G3370">
            <v>12927</v>
          </cell>
          <cell r="H3370" t="str">
            <v>MEDIDA DE SEGREGACIÓN TÉRMICA DE MEZCLAS ASFÁLTICAS MEDIANTE CÁMARA TERMOGRÁFICA (Por jornada) - No Incluye Transporte</v>
          </cell>
          <cell r="I3370" t="str">
            <v>DIA</v>
          </cell>
          <cell r="J3370">
            <v>535500</v>
          </cell>
        </row>
        <row r="3371">
          <cell r="G3371">
            <v>12928</v>
          </cell>
          <cell r="H3371" t="str">
            <v>CONSTRUCCIÓN DE LA INTERSECCIÓN A DESNIVEL DE PUENTE ARANDA - TEE HD EXTREMO JUNTA HIDRÁULICA 12"x8" (300x200mm)</v>
          </cell>
          <cell r="I3371" t="str">
            <v>UN</v>
          </cell>
          <cell r="J3371">
            <v>3092810</v>
          </cell>
        </row>
        <row r="3372">
          <cell r="G3372">
            <v>12929</v>
          </cell>
          <cell r="H3372" t="str">
            <v>CONSTRUCCIÓN DE LA INTERSECCIÓN A DESNIVEL DE PUENTE ARANDA - TEE HD EXTREMO JUNTA HIDRÁULICA 12"x 6" (300 x 150 mm)</v>
          </cell>
          <cell r="I3372" t="str">
            <v>UN</v>
          </cell>
          <cell r="J3372">
            <v>2827440</v>
          </cell>
        </row>
        <row r="3373">
          <cell r="G3373">
            <v>12930</v>
          </cell>
          <cell r="H3373" t="str">
            <v>CONSTRUCCIÓN DE LA INTERSECCIÓN A DESNIVEL DE PUENTE ARANDA - TEE HD JUNTA HIDRÁULICA 6"x6" (150x150mm)</v>
          </cell>
          <cell r="I3373" t="str">
            <v>UN</v>
          </cell>
          <cell r="J3373">
            <v>708050</v>
          </cell>
        </row>
        <row r="3374">
          <cell r="G3374">
            <v>12931</v>
          </cell>
          <cell r="H3374" t="str">
            <v>CONSTRUCCIÓN DE LA INTERSECCIÓN A DESNIVEL DE PUENTE ARANDA - VÁLVULA TIPO MARIPOSA DISCO INOX. DE Ø 8" CLASE 300. EXTREMOS BRIDADOS</v>
          </cell>
          <cell r="I3374" t="str">
            <v>UN</v>
          </cell>
          <cell r="J3374">
            <v>9137739</v>
          </cell>
        </row>
        <row r="3375">
          <cell r="G3375">
            <v>12932</v>
          </cell>
          <cell r="H3375" t="str">
            <v>CONSTRUCCIÓN DE LA INTERSECCIÓN A DESNIVEL DE PUENTE ARANDA - TEE HD EXTREMO JUNTA HIDRÁULICA 8"x 8" (200x200mm)</v>
          </cell>
          <cell r="I3375" t="str">
            <v>UN</v>
          </cell>
          <cell r="J3375">
            <v>1237600</v>
          </cell>
        </row>
        <row r="3376">
          <cell r="G3376">
            <v>12933</v>
          </cell>
          <cell r="H3376"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I3376" t="str">
            <v>ML</v>
          </cell>
          <cell r="J3376">
            <v>4764021</v>
          </cell>
        </row>
        <row r="3377">
          <cell r="G3377">
            <v>12934</v>
          </cell>
          <cell r="H3377" t="str">
            <v>CONSTRUCCIÓN DE LA INTERSECCIÓN A DESNIVEL DE PUENTE ARANDA - VÁLVULA TIPO MARIPOSA DISCO INOX. DE Ø 4" CLASE 150. EXTREMOS BRIDADOS</v>
          </cell>
          <cell r="I3377" t="str">
            <v>UN</v>
          </cell>
          <cell r="J3377">
            <v>279650</v>
          </cell>
        </row>
        <row r="3378">
          <cell r="G3378">
            <v>12935</v>
          </cell>
          <cell r="H3378" t="str">
            <v>CONSTRUCCIÓN DE LA INTERSECCIÓN A DESNIVEL DE PUENTE ARANDA - VÁLVULA TIPO MARIPOSA DISCO INOX. DE Ø 6" CLASE 150. EXTREMOS BRIDADOS</v>
          </cell>
          <cell r="I3378" t="str">
            <v>UN</v>
          </cell>
          <cell r="J3378">
            <v>470050</v>
          </cell>
        </row>
        <row r="3379">
          <cell r="G3379">
            <v>12936</v>
          </cell>
          <cell r="H3379" t="str">
            <v>CONSTRUCCIÓN DE LA INTERSECCIÓN A DESNIVEL DE PUENTE ARANDA - CODO EN ACERO Ø 45" ENTRE 22 1/2° Y 45° CON JUNTA ESPIGO / CAMPANA CON EMPAQUE DE CAUCHO, CON REVESTIMIENTO INTERIOR Y RECUBRIMIENTO EXTERIOR EN MORTERO CEMENTO. L=0.95m x 0.95m PRESIÓN DE TRABAJO=150</v>
          </cell>
          <cell r="I3379" t="str">
            <v>UN</v>
          </cell>
          <cell r="J3379">
            <v>8108660</v>
          </cell>
        </row>
        <row r="3380">
          <cell r="G3380">
            <v>12937</v>
          </cell>
          <cell r="H3380" t="str">
            <v>CONSTRUCCIÓN DE LA INTERSECCIÓN A DESNIVEL DE PUENTE ARANDA - CODO EN ACERO Ø 27" ENTRE 22 1/2° Y 45° CON JUNTA ESPIGO / CAMPANA CON EMPAQUE DE CAUCHO, CON REVESTIMIENTO INTERIOR Y RECUBRIMIENTO EXTERIOR EN MORTERO CEMENTO. L=0.85m x 0.85m PRESIÓN TRABAJO 150PSI</v>
          </cell>
          <cell r="I3380" t="str">
            <v>UN</v>
          </cell>
          <cell r="J3380">
            <v>5346313</v>
          </cell>
        </row>
        <row r="3381">
          <cell r="G3381">
            <v>12938</v>
          </cell>
          <cell r="H3381" t="str">
            <v>CONSTRUCCIÓN DE LA INTERSECCIÓN A DESNIVEL DE PUENTE ARANDA - CODO HD JUNTA HIDRÁULICA PARA PVC 22.5°X6"</v>
          </cell>
          <cell r="I3381" t="str">
            <v>UN</v>
          </cell>
          <cell r="J3381">
            <v>461720</v>
          </cell>
        </row>
        <row r="3382">
          <cell r="G3382">
            <v>12939</v>
          </cell>
          <cell r="H3382" t="str">
            <v>CONSTRUCCIÓN DE LA INTERSECCIÓN A DESNIVEL DE PUENTE ARANDA - TEE HD EXTREMO JUNTA HIDRÁULICA 6"x 4" (160 x 100 mm)</v>
          </cell>
          <cell r="I3382" t="str">
            <v>UN</v>
          </cell>
          <cell r="J3382">
            <v>566440</v>
          </cell>
        </row>
        <row r="3383">
          <cell r="G3383">
            <v>12940</v>
          </cell>
          <cell r="H3383" t="str">
            <v>CONSTRUCCIÓN DE LA INTERSECCIÓN A DESNIVEL DE PUENTE ARANDA - TEE HD EXTREMO JUNTA HIDRÁULICA 12"x 4" (300 x 100 mm)</v>
          </cell>
          <cell r="I3383" t="str">
            <v>UN</v>
          </cell>
          <cell r="J3383">
            <v>2740570</v>
          </cell>
        </row>
        <row r="3384">
          <cell r="G3384">
            <v>12941</v>
          </cell>
          <cell r="H3384" t="str">
            <v>CONSTRUCCIÓN DE LA INTERSECCIÓN A DESNIVEL DE PUENTE ARANDA - REDUCCIÓN  EN ACERO 45° x 42° CON ESPIGO Ø=45" Y CAMPANA Ø=42", revestida interior y exteriormente con mortero de cemento. L=0.35m. Presión de trabajo=150 psi)</v>
          </cell>
          <cell r="I3384" t="str">
            <v>UN</v>
          </cell>
          <cell r="J3384">
            <v>6914019</v>
          </cell>
        </row>
        <row r="3385">
          <cell r="G3385">
            <v>12942</v>
          </cell>
          <cell r="H3385" t="str">
            <v>CONSTRUCCIÓN DE LA INTERSECCIÓN A DESNIVEL DE PUENTE ARANDA - REDUCCIÓN  EN ACERO Ø27° x Ø24° CON ESPIGO Ø=27" Y CAMPANA Ø=24", revestida interior y exteriormente con mortero de cemento. L=0.35m. Presión de trabajo=150 psi)</v>
          </cell>
          <cell r="I3385" t="str">
            <v>UN</v>
          </cell>
          <cell r="J3385">
            <v>3740170</v>
          </cell>
        </row>
        <row r="3386">
          <cell r="G3386">
            <v>12943</v>
          </cell>
          <cell r="H3386" t="str">
            <v>CONSTRUCCIÓN DE LA INTERSECCIÓN A DESNIVEL DE PUENTE ARANDA - TAPON HD EXTREMO JUNTA HIDRÁULICA D=4"</v>
          </cell>
          <cell r="I3386" t="str">
            <v>UN</v>
          </cell>
          <cell r="J3386">
            <v>130900</v>
          </cell>
        </row>
        <row r="3387">
          <cell r="G3387">
            <v>12944</v>
          </cell>
          <cell r="H3387" t="str">
            <v>CONSTRUCCIÓN DE LA INTERSECCIÓN A DESNIVEL DE PUENTE ARANDA - CODO HD JUNTA HIDRAULICA PARA PVC 22.5ºX8"</v>
          </cell>
          <cell r="I3387" t="str">
            <v>UN</v>
          </cell>
          <cell r="J3387">
            <v>717570</v>
          </cell>
        </row>
        <row r="3388">
          <cell r="G3388">
            <v>12945</v>
          </cell>
          <cell r="H3388" t="str">
            <v>CONSTRUCCIÓN DE LA INTERSECCIÓN A DESNIVEL DE PUENTE ARANDA - TUBO EN ACERO Ø 20" CON UNIONES ESPIGO/CAMPANA CON EMPAQUE DE CAUCHO. REVEST.INTERIOR Y RECUBR EXT. EN MORTERO CEMENTO. L= 6.00m PRESIÓN TRABAJO 150 PSI</v>
          </cell>
          <cell r="I3388" t="str">
            <v>ML</v>
          </cell>
          <cell r="J3388">
            <v>961401</v>
          </cell>
        </row>
        <row r="3389">
          <cell r="G3389">
            <v>12946</v>
          </cell>
          <cell r="H3389" t="str">
            <v>CONSTRUCCIÓN DE LA INTERSECCIÓN A DESNIVEL DE PUENTE ARANDA - CODO HD JUNTA HIDRAULICA PARA PVC 45ºX8"</v>
          </cell>
          <cell r="I3389" t="str">
            <v>UN</v>
          </cell>
          <cell r="J3389">
            <v>921060</v>
          </cell>
        </row>
        <row r="3390">
          <cell r="G3390">
            <v>12947</v>
          </cell>
          <cell r="H3390" t="str">
            <v>CONSTRUCCIÓN DE LA INTERSECCIÓN A DESNIVEL DE PUENTE ARANDA - TAPON HD EXTREMO JUNTA HIDRÁULICA D=6"</v>
          </cell>
          <cell r="I3390" t="str">
            <v>UN</v>
          </cell>
          <cell r="J3390">
            <v>360570</v>
          </cell>
        </row>
        <row r="3391">
          <cell r="G3391">
            <v>12948</v>
          </cell>
          <cell r="H3391" t="str">
            <v>CONSTRUCCIÓN DE LA INTERSECCIÓN A DESNIVEL DE PUENTE ARANDA - VÁLVULA TIPO MARIPOSA DISCO INOX. DE Ø 24" CLASE 150. EXTREMOS BRIDADOS</v>
          </cell>
          <cell r="I3391" t="str">
            <v>UN</v>
          </cell>
          <cell r="J3391">
            <v>25347000</v>
          </cell>
        </row>
        <row r="3392">
          <cell r="G3392">
            <v>12949</v>
          </cell>
          <cell r="H3392" t="str">
            <v>CONSTRUCCIÓN DE LA INTERSECCIÓN A DESNIVEL DE PUENTE ARANDA - TUBO EN ACERO Ø 27" CON UNIONES ESPIGO/CAMPANA CON EMPAQUE DE CAUCHO. REVEST.INTERIOR Y RECUBR EXT. EN MORTERO CEMENTO. L= 6.00m PRESIÓN TRABAJO 150 PSI</v>
          </cell>
          <cell r="I3392" t="str">
            <v>ML</v>
          </cell>
          <cell r="J3392">
            <v>1475719</v>
          </cell>
        </row>
        <row r="3393">
          <cell r="G3393">
            <v>12950</v>
          </cell>
          <cell r="H3393" t="str">
            <v>CONSTRUCCIÓN DE LA INTERSECCIÓN A DESNIVEL DE PUENTE ARANDA - VÁLVULA COMPUERTA ELÁSTICA VÁSTAGO NO ASCENDENTE JUNTA HIDRÁULICA D=6"</v>
          </cell>
          <cell r="I3393" t="str">
            <v>UN</v>
          </cell>
          <cell r="J3393">
            <v>1812370</v>
          </cell>
        </row>
        <row r="3394">
          <cell r="G3394">
            <v>12951</v>
          </cell>
          <cell r="H3394" t="str">
            <v>CONSTRUCCIÓN DE LA INTERSECCIÓN A DESNIVEL DE PUENTE ARANDA - CÁMARA PREFABRICADA TIPO I - CÁMARA RECTA. DIAMETRO 1800MM Y PROFUNDIDAD DE 6 A 9M</v>
          </cell>
          <cell r="I3394" t="str">
            <v>UN</v>
          </cell>
          <cell r="J3394">
            <v>39143382</v>
          </cell>
        </row>
        <row r="3395">
          <cell r="G3395">
            <v>12952</v>
          </cell>
          <cell r="H3395"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I3395" t="str">
            <v>UN</v>
          </cell>
          <cell r="J3395">
            <v>7343490</v>
          </cell>
        </row>
        <row r="3396">
          <cell r="G3396">
            <v>12953</v>
          </cell>
          <cell r="H3396" t="str">
            <v>CONSTRUCCIÓN DE LA INTERSECCIÓN A DESNIVEL DE PUENTE ARANDA - VÁLVULA COMPUERTA ELÁSTICA VNA (VÁSTAGO NO ASCENDENTE) D=4" EXTREMOS JUNTA HIDRÁULICA</v>
          </cell>
          <cell r="I3396" t="str">
            <v>UN</v>
          </cell>
          <cell r="J3396">
            <v>938910</v>
          </cell>
        </row>
        <row r="3397">
          <cell r="G3397">
            <v>12954</v>
          </cell>
          <cell r="H3397" t="str">
            <v>CONSTRUCCIÓN DE LA INTERSECCIÓN A DESNIVEL DE PUENTE ARANDA - CODO 45° PVC ALCANTARILLADO D=6"</v>
          </cell>
          <cell r="I3397" t="str">
            <v>UN</v>
          </cell>
          <cell r="J3397">
            <v>67290</v>
          </cell>
        </row>
        <row r="3398">
          <cell r="G3398">
            <v>12955</v>
          </cell>
          <cell r="H3398" t="str">
            <v>CONSTRUCCIÓN DE LA INTERSECCIÓN A DESNIVEL DE PUENTE ARANDA - SALIDA NORMAL EN ACERO Ø6" CON EXTREMO BRIDADO. REVESTIMIENTO INTERIOR Y EXTERIOR EN PINTURA EPÓXICA. L= 0.15m. INSTALADA EN FABRICA SOBRE TUBO O ACCESORIO HASTA Ø45". NO INCLUYE VALOR DEL TUBO.</v>
          </cell>
          <cell r="I3398" t="str">
            <v>UN</v>
          </cell>
          <cell r="J3398">
            <v>723996</v>
          </cell>
        </row>
        <row r="3399">
          <cell r="G3399">
            <v>12956</v>
          </cell>
          <cell r="H3399"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I3399" t="str">
            <v>ML</v>
          </cell>
          <cell r="J3399">
            <v>2254812</v>
          </cell>
        </row>
        <row r="3400">
          <cell r="G3400">
            <v>12957</v>
          </cell>
          <cell r="H3400"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I3400" t="str">
            <v>UN</v>
          </cell>
          <cell r="J3400">
            <v>5903828</v>
          </cell>
        </row>
        <row r="3401">
          <cell r="G3401">
            <v>12958</v>
          </cell>
          <cell r="H3401" t="str">
            <v>CONSTRUCCIÓN DE LA INTERSECCIÓN A DESNIVEL DE PUENTE ARANDA - REDUCCIÓN EN ACERO D=18" A D=8" CON ESPIGO EN D=18" Y CAMPANA EN D=8", CON REVESTIMIENTO INTERIOR Y RECUBIRMIENTO EXTERIOR EN MORTERO DE CEMENTO. L=0,20M. PRESIÓN DE TRABAJO 150 PSI.</v>
          </cell>
          <cell r="I3401" t="str">
            <v>UN</v>
          </cell>
          <cell r="J3401">
            <v>2634541</v>
          </cell>
        </row>
        <row r="3402">
          <cell r="G3402">
            <v>12959</v>
          </cell>
          <cell r="H3402"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I3402" t="str">
            <v>UN</v>
          </cell>
          <cell r="J3402">
            <v>2610265</v>
          </cell>
        </row>
        <row r="3403">
          <cell r="G3403">
            <v>12960</v>
          </cell>
          <cell r="H3403"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I3403" t="str">
            <v>UN</v>
          </cell>
          <cell r="J3403">
            <v>4455122</v>
          </cell>
        </row>
        <row r="3404">
          <cell r="G3404">
            <v>12961</v>
          </cell>
          <cell r="H3404" t="str">
            <v>CONSTRUCCIÓN DE LA INTERSECCIÓN A DESNIVEL DE PUENTE ARANDA - REDUCCIÓN EN ACERO D=18" A D=12" CON ESPIGO EN D=18" Y CAMPANA EN D=12", CON REVESTIMIENTO INTERIOR Y RECUBIRMIENTO EXTERIOR EN MORTERO DE CEMENTO. L=0,20M. PRESIÓN DE TRABAJO 150 PSI.</v>
          </cell>
          <cell r="I3404" t="str">
            <v>UN</v>
          </cell>
          <cell r="J3404">
            <v>2823870</v>
          </cell>
        </row>
        <row r="3405">
          <cell r="G3405">
            <v>12962</v>
          </cell>
          <cell r="H3405" t="str">
            <v>CONSTRUCCIÓN DE LA INTERSECCIÓN A DESNIVEL DE PUENTE ARANDA - REDUCCIÓN EN ACERO D=20" A D=18" CON ESPIGO EN D=20" Y CAMPANA EN D=18", CON REVESTIMIENTO INTERIOR Y RECUBIRMIENTO EXTERIOR EN MORTERO DE CEMENTO. L=0,20M. PRESIÓN DE TRABAJO 150 PSI.</v>
          </cell>
          <cell r="I3405" t="str">
            <v>UN</v>
          </cell>
          <cell r="J3405">
            <v>2806258</v>
          </cell>
        </row>
        <row r="3406">
          <cell r="G3406">
            <v>12963</v>
          </cell>
          <cell r="H3406" t="str">
            <v>CONSTRUCCIÓN DE LA INTERSECCIÓN A DESNIVEL DE PUENTE ARANDA - REDUCCIÓN EN ACERO D=24" A D=18" CON ESPIGO EN D=24" Y CAMPANA EN D=18", CON REVESTIMIENTO INTERIOR Y RECUBIRMIENTO EXTERIOR EN MORTERO DE CEMENTO. L=0,20M. PRESIÓN DE TRABAJO 150 PSI.</v>
          </cell>
          <cell r="I3406" t="str">
            <v>UN</v>
          </cell>
          <cell r="J3406">
            <v>3568929</v>
          </cell>
        </row>
        <row r="3407">
          <cell r="G3407">
            <v>12964</v>
          </cell>
          <cell r="H3407"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I3407" t="str">
            <v>UN</v>
          </cell>
          <cell r="J3407">
            <v>9819642</v>
          </cell>
        </row>
        <row r="3408">
          <cell r="G3408">
            <v>12965</v>
          </cell>
          <cell r="H3408"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I3408" t="str">
            <v>UN</v>
          </cell>
          <cell r="J3408">
            <v>10568628</v>
          </cell>
        </row>
        <row r="3409">
          <cell r="G3409">
            <v>12966</v>
          </cell>
          <cell r="H3409" t="str">
            <v>CONSTRUCCIÓN DE LA INTERSECCIÓN A DESNIVEL DE PUENTE ARANDA - REDUCCIÓN EN ACERO D=36" A D=30" CON ESPIGO EN D=36" Y CAMPANA EN D=30", CON REVESTIMIENTO INTERIOR Y RECUBIRMIENTO EXTERIOR EN MORTERO DE CEMENTO. L=0,20M. PRESIÓN DE TRABAJO 150 PSI.</v>
          </cell>
          <cell r="I3409" t="str">
            <v>UN</v>
          </cell>
          <cell r="J3409">
            <v>5584670</v>
          </cell>
        </row>
        <row r="3410">
          <cell r="G3410">
            <v>12967</v>
          </cell>
          <cell r="H3410" t="str">
            <v>CONSTRUCCIÓN DE LA INTERSECCIÓN A DESNIVEL DE PUENTE ARANDA - CODO 42" WSP ENTRE 5° Y 22.5° WSP ACERO CARBON NORMA AWWA C200 150 PSI, CON RECUBRIMIENTO SEGÚN NORMA AWWA C205, EXTREMO ESPIGO, CAMPANA. (Incluye suministro e instalación)</v>
          </cell>
          <cell r="I3410" t="str">
            <v>UN</v>
          </cell>
          <cell r="J3410">
            <v>7153090</v>
          </cell>
        </row>
        <row r="3411">
          <cell r="G3411">
            <v>12968</v>
          </cell>
          <cell r="H3411" t="str">
            <v>CONSTRUCCIÓN DE LA INTERSECCIÓN A DESNIVEL DE PUENTE ARANDA - CODO HD JUNTA HIDRÁULICA PARA PVC 45ºX6"</v>
          </cell>
          <cell r="I3411" t="str">
            <v>UN</v>
          </cell>
          <cell r="J3411">
            <v>504560</v>
          </cell>
        </row>
        <row r="3412">
          <cell r="G3412">
            <v>12969</v>
          </cell>
          <cell r="H3412" t="str">
            <v>CONSTRUCCIÓN DE LA INTERSECCIÓN A DESNIVEL DE PUENTE ARANDA - UNIÓN DE DESMONTAJE RÍGIDA D=36" CLASE 150</v>
          </cell>
          <cell r="I3412" t="str">
            <v>UN</v>
          </cell>
          <cell r="J3412">
            <v>12129849</v>
          </cell>
        </row>
        <row r="3413">
          <cell r="G3413">
            <v>12970</v>
          </cell>
          <cell r="H3413" t="str">
            <v>CONSTRUCCIÓN DE LA INTERSECCIÓN A DESNIVEL DE PUENTE ARANDA - VÁLVULA TIPO MARIPOSA DE Ø 36", ASTM A536, CL 150 #, CON EXTREMOS BRIDADOS ANSI/ASME B16.47</v>
          </cell>
          <cell r="I3413" t="str">
            <v>UN</v>
          </cell>
          <cell r="J3413">
            <v>53506349</v>
          </cell>
        </row>
        <row r="3414">
          <cell r="G3414">
            <v>12971</v>
          </cell>
          <cell r="H3414" t="str">
            <v>CONSTRUCCIÓN DE LA INTERSECCIÓN A DESNIVEL DE PUENTE ARANDA - ADAPTADOR PVC MACHO ROSCADO D=3/4"</v>
          </cell>
          <cell r="I3414" t="str">
            <v>UN</v>
          </cell>
          <cell r="J3414">
            <v>1050</v>
          </cell>
        </row>
        <row r="3415">
          <cell r="G3415">
            <v>12972</v>
          </cell>
          <cell r="H3415" t="str">
            <v>CONSTRUCCIÓN DE LA INTERSECCIÓN A DESNIVEL DE PUENTE ARANDA - REGISTRO DE CORTE 1"</v>
          </cell>
          <cell r="I3415" t="str">
            <v>UN</v>
          </cell>
          <cell r="J3415">
            <v>112327</v>
          </cell>
        </row>
        <row r="3416">
          <cell r="G3416">
            <v>12973</v>
          </cell>
          <cell r="H3416"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I3416" t="str">
            <v>UN</v>
          </cell>
          <cell r="J3416">
            <v>11907735</v>
          </cell>
        </row>
        <row r="3417">
          <cell r="G3417">
            <v>12974</v>
          </cell>
          <cell r="H3417" t="str">
            <v>CONSTRUCCIÓN DE LA INTERSECCIÓN A DESNIVEL DE PUENTE ARANDA - Reducción en Acero φ 45" x φ 36" con Campana φ 45" y Espigo φ 36" con revestimientos interior y Exterior en Mortero de Cemento. L=1,05m. Presión de Trabajo = 150 PSI</v>
          </cell>
          <cell r="I3417" t="str">
            <v>UN</v>
          </cell>
          <cell r="J3417">
            <v>6885340</v>
          </cell>
        </row>
        <row r="3418">
          <cell r="G3418">
            <v>12975</v>
          </cell>
          <cell r="H3418" t="str">
            <v>CONSTRUCCIÓN DE LA INTERSECCIÓN A DESNIVEL DE PUENTE ARANDA - NIPLE EN ACERO Ø=36" EXTREMOS ESPIGO/CAMPANA, REVESTIMIENTO INTERIOR Y RECUBRIMIENTO EXTERIOR EN MORTERO DE CEMENTO, CON SALIDA BRIDADA (ANSI B16.5) PARA VENTOSA 6" PRESIÓN DE DISEÑO 150 PSI</v>
          </cell>
          <cell r="I3418" t="str">
            <v>UN</v>
          </cell>
          <cell r="J3418">
            <v>4715970</v>
          </cell>
        </row>
        <row r="3419">
          <cell r="G3419">
            <v>12976</v>
          </cell>
          <cell r="H3419" t="str">
            <v>CONSTRUCCIÓN DE LA INTERSECCIÓN A DESNIVEL DE PUENTE ARANDA - NIPLE EN ACERO Ø=18" EXTREMOS ESPIGO/CAMPANA, REVESTIMIENTO INTERIOR Y RECUBRIMIENTO EXTERIOR EN MORTERO DE CEMENTO, CON SALIDA BRIDADA SEGÚN ANSI B16.5 PARA VENTOSA 3". PRESIÓN DE DISEÑO 150 PSI</v>
          </cell>
          <cell r="I3419" t="str">
            <v>UN</v>
          </cell>
          <cell r="J3419">
            <v>2329425</v>
          </cell>
        </row>
        <row r="3420">
          <cell r="G3420">
            <v>12977</v>
          </cell>
          <cell r="H3420"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I3420" t="str">
            <v>UN</v>
          </cell>
          <cell r="J3420">
            <v>950096</v>
          </cell>
        </row>
        <row r="3421">
          <cell r="G3421">
            <v>12978</v>
          </cell>
          <cell r="H3421"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I3421" t="str">
            <v>UN</v>
          </cell>
          <cell r="J3421">
            <v>686749</v>
          </cell>
        </row>
        <row r="3422">
          <cell r="G3422">
            <v>12979</v>
          </cell>
          <cell r="H3422"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I3422" t="str">
            <v>UN</v>
          </cell>
          <cell r="J3422">
            <v>510986</v>
          </cell>
        </row>
        <row r="3423">
          <cell r="G3423">
            <v>12980</v>
          </cell>
          <cell r="H3423" t="str">
            <v>CONSTRUCCIÓN DE LA INTERSECCIÓN A DESNIVEL DE PUENTE ARANDA - NIPLE EN ACERO Ø=30" EXTREMOS ESPIGO/CAMPANA, REVESTIMIENTO INTERIOR Y EXTERIOR EN MORTERO DE CEMENTO, CON SALIDA BRIDADA SEGÚN ANSI B16.5 PARA VENTOSA 6". PRESIÓN DE DISEÑO 350 PSI</v>
          </cell>
          <cell r="I3423" t="str">
            <v>UN</v>
          </cell>
          <cell r="J3423">
            <v>4163810</v>
          </cell>
        </row>
        <row r="3424">
          <cell r="G3424">
            <v>12981</v>
          </cell>
          <cell r="H3424" t="str">
            <v>CONSTRUCCIÓN DE LA INTERSECCIÓN A DESNIVEL DE PUENTE ARANDA - CODO HD EXTREMO JUNTA HIDRÁULICA PARA PVC 45ºX12"</v>
          </cell>
          <cell r="I3424" t="str">
            <v>UN</v>
          </cell>
          <cell r="J3424">
            <v>2033710</v>
          </cell>
        </row>
        <row r="3425">
          <cell r="G3425">
            <v>12982</v>
          </cell>
          <cell r="H3425" t="str">
            <v>CONSTRUCCIÓN DE LA INTERSECCIÓN A DESNIVEL DE PUENTE ARANDA - CODO HD EXTREMO JUNTA HIDRÁULICA PARA PVC 22.5ºX12"</v>
          </cell>
          <cell r="I3425" t="str">
            <v>UN</v>
          </cell>
          <cell r="J3425">
            <v>1980160</v>
          </cell>
        </row>
        <row r="3426">
          <cell r="G3426">
            <v>12983</v>
          </cell>
          <cell r="H3426" t="str">
            <v>CONSTRUCCIÓN DE LA INTERSECCIÓN A DESNIVEL DE PUENTE ARANDA - CODO HD EXTREMO JUNTA HIDRÁULICA PARA PVC 90ºX4"</v>
          </cell>
          <cell r="I3426" t="str">
            <v>UN</v>
          </cell>
          <cell r="J3426">
            <v>320110</v>
          </cell>
        </row>
        <row r="3427">
          <cell r="G3427">
            <v>12984</v>
          </cell>
          <cell r="H3427" t="str">
            <v>CONSTRUCCIÓN DE LA INTERSECCIÓN A DESNIVEL DE PUENTE ARANDA - CODO HD EXTREMO JUNTA HIDRÁULICA PARA PVC 90ºX12"</v>
          </cell>
          <cell r="I3427" t="str">
            <v>UN</v>
          </cell>
          <cell r="J3427">
            <v>2193170</v>
          </cell>
        </row>
        <row r="3428">
          <cell r="G3428">
            <v>12985</v>
          </cell>
          <cell r="H3428" t="str">
            <v>CONSTRUCCIÓN DE LA INTERSECCIÓN A DESNIVEL DE PUENTE ARANDA - CODO HD EXTREMO JUNTA HIDRÁULICA PARA PVC 45ºX4"</v>
          </cell>
          <cell r="I3428" t="str">
            <v>UN</v>
          </cell>
          <cell r="J3428">
            <v>232050</v>
          </cell>
        </row>
        <row r="3429">
          <cell r="G3429">
            <v>12986</v>
          </cell>
          <cell r="H3429" t="str">
            <v>CONSTRUCCIÓN DE LA INTERSECCIÓN A DESNIVEL DE PUENTE ARANDA - CODO HD EXTREMO JUNTA HIDRÁULICA PARA PVC 90ºX6"</v>
          </cell>
          <cell r="I3429" t="str">
            <v>UN</v>
          </cell>
          <cell r="J3429">
            <v>584290</v>
          </cell>
        </row>
        <row r="3430">
          <cell r="G3430">
            <v>12987</v>
          </cell>
          <cell r="H3430" t="str">
            <v>CONSTRUCCIÓN DE LA INTERSECCIÓN A DESNIVEL DE PUENTE ARANDA - CODO HD JUNTA HIDRAULICA PARA PVC 11.25º X 12"</v>
          </cell>
          <cell r="I3430" t="str">
            <v>UN</v>
          </cell>
          <cell r="J3430">
            <v>1750490</v>
          </cell>
        </row>
        <row r="3431">
          <cell r="G3431">
            <v>12988</v>
          </cell>
          <cell r="H3431" t="str">
            <v>CONSTRUCCIÓN DE LA INTERSECCIÓN A DESNIVEL DE PUENTE ARANDA - VÁLVULA COMPUERTA ELÁSTICA VÁSTAGO NO ASCENDENTE EXTREMO JUNTA HIDRÁULICA D=8"</v>
          </cell>
          <cell r="I3431" t="str">
            <v>UN</v>
          </cell>
          <cell r="J3431">
            <v>2651320</v>
          </cell>
        </row>
        <row r="3432">
          <cell r="G3432">
            <v>12989</v>
          </cell>
          <cell r="H3432" t="str">
            <v>CONSTRUCCIÓN DE LA INTERSECCIÓN A DESNIVEL DE PUENTE ARANDA - VÁLVULA COMPUERTA ELÁSTICA VÁSTAGO NO ASCENDENTE EXTREMO JUNTA HIDRÁULICA D=12"</v>
          </cell>
          <cell r="I3432" t="str">
            <v>UN</v>
          </cell>
          <cell r="J3432">
            <v>6185620</v>
          </cell>
        </row>
        <row r="3433">
          <cell r="G3433">
            <v>12990</v>
          </cell>
          <cell r="H3433" t="str">
            <v>CONSTRUCCIÓN DE LA INTERSECCIÓN A DESNIVEL DE PUENTE ARANDA - TEE EN ACERO Ø 16" x 12" CON EXTREMOS ESPIGO/CAMPANA Y BRIDA EN LA DERIVACIÓN (A)</v>
          </cell>
          <cell r="I3433" t="str">
            <v>UN</v>
          </cell>
          <cell r="J3433">
            <v>3079720</v>
          </cell>
        </row>
        <row r="3434">
          <cell r="G3434">
            <v>12991</v>
          </cell>
          <cell r="H3434" t="str">
            <v>CONSTRUCCIÓN DE LA INTERSECCIÓN A DESNIVEL DE PUENTE ARANDA - VÁLVULA CHEQUE DE 4" (A) (150 PSI)</v>
          </cell>
          <cell r="I3434" t="str">
            <v>UN</v>
          </cell>
          <cell r="J3434">
            <v>861882</v>
          </cell>
        </row>
        <row r="3435">
          <cell r="G3435">
            <v>12992</v>
          </cell>
          <cell r="H3435" t="str">
            <v>CONSTRUCCIÓN DE LA INTERSECCIÓN A DESNIVEL DE PUENTE ARANDA - CODO EN ACERO D=24" CON REVEST. INTER. Y EXT. EN MORTERO DE CEMENTO. ENTRE 22 1/2° Y 45° L=0.80M X 0.80M. INCLUYE JUNTA ESPIGO-CAMPANA CON EMPAQUES DE CAUCHO</v>
          </cell>
          <cell r="I3435" t="str">
            <v>UN</v>
          </cell>
          <cell r="J3435">
            <v>4759286</v>
          </cell>
        </row>
        <row r="3436">
          <cell r="G3436">
            <v>12993</v>
          </cell>
          <cell r="H3436" t="str">
            <v>CONSTRUCCIÓN DE LA INTERSECCIÓN A DESNIVEL DE PUENTE ARANDA - CODO EN ACERO Ø=24" ENTRE 67 1/2° Y 90° JUNTA ESPIGO Y CAMPANA, CON EMPAQUE DE CAUCHO, CON REVEST.INT. Y RECUBR. EXT. EN MORTERO DE CEMENTO. L= 1.75m x 1.75m PRESIÓN DE TRABAJO 150PSI.</v>
          </cell>
          <cell r="I3436" t="str">
            <v>UN</v>
          </cell>
          <cell r="J3436">
            <v>8257172</v>
          </cell>
        </row>
        <row r="3437">
          <cell r="G3437">
            <v>12994</v>
          </cell>
          <cell r="H3437" t="str">
            <v>CONSTRUCCIÓN DE LA INTERSECCIÓN A DESNIVEL DE PUENTE ARANDA - BRIDA FLANGLES SLIP-ON ACERO CARBÓN 150 D= 24"</v>
          </cell>
          <cell r="I3437" t="str">
            <v>UN</v>
          </cell>
          <cell r="J3437">
            <v>1730260</v>
          </cell>
        </row>
        <row r="3438">
          <cell r="G3438">
            <v>12995</v>
          </cell>
          <cell r="H3438"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I3438" t="str">
            <v>ML</v>
          </cell>
          <cell r="J3438">
            <v>1300789</v>
          </cell>
        </row>
        <row r="3439">
          <cell r="G3439">
            <v>12996</v>
          </cell>
          <cell r="H3439" t="str">
            <v>CONSTRUCCIÓN DE LA INTERSECCIÓN A DESNIVEL DE PUENTE ARANDA - TUBO EN ACERO F 18" CON UNIONES ESPIGO / CAMPANA CON EMPAQUE DE CAUCHO, CON REVESTIMIENTO INTERIOR Y RECUBRIMIENTO EXTERIOR EN MORTERO DE CEMENTO. FABRICADO DE CONFORMIDAD CON LA NORMA AWWA C 200 A PA</v>
          </cell>
          <cell r="I3439" t="str">
            <v>ML</v>
          </cell>
          <cell r="J3439">
            <v>871199</v>
          </cell>
        </row>
        <row r="3440">
          <cell r="G3440">
            <v>12997</v>
          </cell>
          <cell r="H3440" t="str">
            <v>CONSTRUCCIÓN DE LA INTERSECCIÓN A DESNIVEL DE PUENTE ARANDA - TEE PEAD U. M . 4" X 2"</v>
          </cell>
          <cell r="I3440" t="str">
            <v>UN</v>
          </cell>
          <cell r="J3440">
            <v>98436</v>
          </cell>
        </row>
        <row r="3441">
          <cell r="G3441">
            <v>12998</v>
          </cell>
          <cell r="H3441" t="str">
            <v>CONSTRUCCIÓN DE LA INTERSECCIÓN A DESNIVEL DE PUENTE ARANDA - NIPLE EN ACERO Ø=36" EXTREMOS ESPIGO/BRIDA, CON REVESTIMIENTO INTERIOR Y RECUBRIMIENTO EXTERIOR EN MORTERO CEMENTO, L=2000mm CON SALIDA PARA VENTOSA Ø4" Y BY-PASS Ø4" SUMINISTRO Y TRANSPORTE</v>
          </cell>
          <cell r="I3441" t="str">
            <v>UN</v>
          </cell>
          <cell r="J3441">
            <v>8935710</v>
          </cell>
        </row>
        <row r="3442">
          <cell r="G3442">
            <v>12999</v>
          </cell>
          <cell r="H3442" t="str">
            <v>CONSTRUCCIÓN DE LA INTERSECCIÓN A DESNIVEL DE PUENTE ARANDA - CODO EN ACERO D=30"  ENTRE 5° Y 22 1/2°, JUNTA ESPIGO CAMPANA CON EMPAQUE DE CAUHO, CON REVESTIMIENTO INTERIOR Y EXTERIOR EN MORTERO DE CEMENTO. L=0.45M X 0.45M. PRESIÓN DE TRABAJO 150 PSI. SUMINISTRO</v>
          </cell>
          <cell r="I3442" t="str">
            <v>UN</v>
          </cell>
          <cell r="J3442">
            <v>4564602</v>
          </cell>
        </row>
        <row r="3443">
          <cell r="G3443">
            <v>13000</v>
          </cell>
          <cell r="H3443" t="str">
            <v xml:space="preserve">CONSTRUCCIÓN DE LA INTERSECCIÓN A DESNIVEL DE PUENTE ARANDA - CEMENTO ASFÁLTICO 60-70 </v>
          </cell>
          <cell r="I3443" t="str">
            <v>KG</v>
          </cell>
          <cell r="J3443">
            <v>1753</v>
          </cell>
        </row>
        <row r="3444">
          <cell r="G3444">
            <v>13001</v>
          </cell>
          <cell r="H3444" t="str">
            <v>CONSTRUCCIÓN DE LA INTERSECCIÓN A DESNIVEL DE PUENTE ARANDA - APOYO ELASTOMÉRICO SLIDE-FLON 60x70x7,5 DESLIZANTE.</v>
          </cell>
          <cell r="I3444" t="str">
            <v>UN</v>
          </cell>
          <cell r="J3444">
            <v>7979250</v>
          </cell>
        </row>
        <row r="3445">
          <cell r="G3445">
            <v>13002</v>
          </cell>
          <cell r="H3445" t="str">
            <v>CONSTRUCCIÓN DE LA INTERSECCIÓN A DESNIVEL DE PUENTE ARANDA - JUNTA DE DILATACIÓN 330 MOVIMIENTO 330mm+/-165mm MODULOS 1.22 m</v>
          </cell>
          <cell r="I3445" t="str">
            <v>ML</v>
          </cell>
          <cell r="J3445">
            <v>7140000</v>
          </cell>
        </row>
        <row r="3446">
          <cell r="G3446">
            <v>13003</v>
          </cell>
          <cell r="H3446" t="str">
            <v>CONSTRUCCIÓN DE LA INTERSECCIÓN A DESNIVEL DE PUENTE ARANDA - TRANSPORTE DE EQUIPOS PARA PRUEBA DE CARGA ESTÁTICA POR VIAJE DIURNO SIN ESCOLTA (En la Avenida La Sirena (AC 153 desde Kr 9 a Kr 19)</v>
          </cell>
          <cell r="I3446" t="str">
            <v>VIAJE</v>
          </cell>
          <cell r="J3446">
            <v>2161459</v>
          </cell>
        </row>
        <row r="3447">
          <cell r="G3447">
            <v>13004</v>
          </cell>
          <cell r="H3447" t="str">
            <v>CONSTRUCCIÓN DE LA INTERSECCIÓN A DESNIVEL DE PUENTE ARANDA - PRUEBA DE CARGA ESTÁTICA PARA PUENTE VEHICULAR - Con superestructura en concreto. UBICADO EN LA AVENIDA LA SIRENA</v>
          </cell>
          <cell r="I3447" t="str">
            <v>UN</v>
          </cell>
          <cell r="J3447">
            <v>22765246</v>
          </cell>
        </row>
        <row r="3448">
          <cell r="G3448">
            <v>13005</v>
          </cell>
          <cell r="H3448" t="str">
            <v>ESTUDIOS Y DISEÑOS PARA SITIOS INESTABLES EN BOGOTÁ D.C - BIOROLL TIPO FILTER DRENCH ØPROM= 20CM. INCLUYE GEOCABLE PARA SUJECIÓN</v>
          </cell>
          <cell r="I3448" t="str">
            <v>ML</v>
          </cell>
          <cell r="J3448">
            <v>19040</v>
          </cell>
        </row>
        <row r="3449">
          <cell r="G3449">
            <v>13006</v>
          </cell>
          <cell r="H3449" t="str">
            <v>ESTUDIOS Y DISEÑOS PARA SITIOS INESTABLES EN BOGOTÁ D.C - GUADUA NATURAL SELECCIONADA LONGITUD DE 6.00 m DIÁMETRO ENTRE 8 A 15 cm, CONICIDAD - CURVATURA INTERIOR A 6 cm. Incluye suministro)</v>
          </cell>
          <cell r="I3449" t="str">
            <v>UN</v>
          </cell>
          <cell r="J3449">
            <v>17444</v>
          </cell>
        </row>
        <row r="3450">
          <cell r="G3450">
            <v>13007</v>
          </cell>
          <cell r="H3450" t="str">
            <v>ESTUDIOS Y DISEÑOS PARA SITIOS INESTABLES EN BOGOTÁ D.C - GEOCABLE</v>
          </cell>
          <cell r="I3450" t="str">
            <v>ML</v>
          </cell>
          <cell r="J3450">
            <v>286</v>
          </cell>
        </row>
        <row r="3451">
          <cell r="G3451">
            <v>13008</v>
          </cell>
          <cell r="H3451" t="str">
            <v>ESTUDIOS Y DISEÑOS PARA SITIOS INESTABLES EN BOGOTÁ D.C - GEOBIOMALLA SJ-HB-150 PARA CONTROL DE EROSIÓN EN TALUDES</v>
          </cell>
          <cell r="I3451" t="str">
            <v>M2</v>
          </cell>
          <cell r="J3451">
            <v>77350</v>
          </cell>
        </row>
        <row r="3452">
          <cell r="G3452">
            <v>13009</v>
          </cell>
          <cell r="H3452" t="str">
            <v>ESTUDIOS Y DISEÑOS PARA SITIOS INESTABLES EN BOGOTÁ D.C - BROCA SDS 1 1/4" X 36"</v>
          </cell>
          <cell r="I3452" t="str">
            <v>UN</v>
          </cell>
          <cell r="J3452">
            <v>493000</v>
          </cell>
        </row>
        <row r="3453">
          <cell r="G3453">
            <v>13010</v>
          </cell>
          <cell r="H3453" t="str">
            <v>ESTUDIOS Y DISEÑOS PARA SITIOS INESTABLES EN BOGOTÁ D.C - MALLA ROMBOIDAL SISTEMA TECCO® G45/2, TECCO® SPIKE PLATE P33/40, CLIP DE UNIÓN, SUJETACABLES, ANCLAJES DE CABEZA FLEXIBLE Y CABLE PERIMETRAL O SISTEMA EQUIVALENTE</v>
          </cell>
          <cell r="I3453" t="str">
            <v>M2</v>
          </cell>
          <cell r="J3453">
            <v>242175</v>
          </cell>
        </row>
        <row r="3454">
          <cell r="G3454">
            <v>13011</v>
          </cell>
          <cell r="H3454" t="str">
            <v>ESTUDIOS Y DISEÑOS PARA SITIOS INESTABLES EN BOGOTÁ D.C - MALLA ROMBOIDAL SISTEMA TECCO® G65/3, TECCO® SPIKE PLATE P33/40, CLIP DE UNIÓN, SUJETACABLES, ANCLAJES DE CABEZA FLEXIBLE Y CABLE PERIMETRAL O SISTEMA EQUIVALENTE</v>
          </cell>
          <cell r="I3454" t="str">
            <v>M2</v>
          </cell>
          <cell r="J3454">
            <v>276971</v>
          </cell>
        </row>
        <row r="3455">
          <cell r="G3455">
            <v>13012</v>
          </cell>
          <cell r="H3455" t="str">
            <v>ESTUDIOS Y DISEÑOS PARA SITIOS INESTABLES EN BOGOTÁ D.C - BARRA ROSCADA Ø=28MM, FY= 500N/MM2 (GEWI® PLUS 670/800 28MM  O EQUIVALENTE). INCLUYE ACOPLE GEWI® PLUS 28 MM, TUERCA CALOTA GEWI® PLUS 28 55°MM Y ESPACIADOR PARA BARRA DE 28 MM</v>
          </cell>
          <cell r="I3455" t="str">
            <v>ML</v>
          </cell>
          <cell r="J3455">
            <v>82308</v>
          </cell>
        </row>
        <row r="3456">
          <cell r="G3456">
            <v>13013</v>
          </cell>
          <cell r="H3456" t="str">
            <v>ESTUDIOS Y DISEÑOS PARA SITIOS INESTABLES EN BOGOTÁ D.C - BARRA ROSCADA Ø=18MM, FY= 500N/MM2 (BARRA DYWIDAG 18MM 950/1050). INCLUYE TUERCA HEXAGONAL DYWIDAG 18MM Y ACOPLE DYWIDAG 18MM 950/1050</v>
          </cell>
          <cell r="I3456" t="str">
            <v>ML</v>
          </cell>
          <cell r="J3456">
            <v>50566</v>
          </cell>
        </row>
        <row r="3457">
          <cell r="G3457">
            <v>13014</v>
          </cell>
          <cell r="H3457" t="str">
            <v>ESTUDIOS Y DISEÑOS PARA SITIOS INESTABLES EN BOGOTÁ D.C - TRITURADO 2"</v>
          </cell>
          <cell r="I3457" t="str">
            <v>M3</v>
          </cell>
          <cell r="J3457">
            <v>63000</v>
          </cell>
        </row>
        <row r="3458">
          <cell r="G3458">
            <v>13015</v>
          </cell>
          <cell r="H3458" t="str">
            <v>REFORZAMIENTO ESTRUCTURAL DEL PUENTE VEHICULAR AV. MEDELLÍN (CALLE 80) POR AV. NQS (Cra. 30) EN BOGOTÁ D.C - POLIESTIRENO LÁMINA DE 1,00X1,00X0,05 m, DENSIDAD 35 KG/M3</v>
          </cell>
          <cell r="I3458" t="str">
            <v>M2</v>
          </cell>
          <cell r="J3458">
            <v>55930</v>
          </cell>
        </row>
        <row r="3459">
          <cell r="G3459">
            <v>13016</v>
          </cell>
          <cell r="H3459" t="str">
            <v>REFORZAMIENTO ESTRUCTURAL DEL PUENTE VEHICULAR AV. MEDELLÍN (CALLE 80) POR AV. NQS (Cra. 30) EN BOGOTÁ D.C - NEOPRENO 35x25x5CM, D60 REFORZADO CON TRES PLATINAS 5 MM</v>
          </cell>
          <cell r="I3459" t="str">
            <v>UN</v>
          </cell>
          <cell r="J3459">
            <v>322371</v>
          </cell>
        </row>
        <row r="3460">
          <cell r="G3460">
            <v>13017</v>
          </cell>
          <cell r="H3460" t="str">
            <v>ESTUDIOS Y DISEÑOS PARA SITIOS INESTABLES EN BOGOTÁ D.C -TABLESTACADO METALICO EN ACERO ESTRUCTURAL HR A36</v>
          </cell>
          <cell r="I3460" t="str">
            <v>KG</v>
          </cell>
          <cell r="J3460">
            <v>6127</v>
          </cell>
        </row>
        <row r="3461">
          <cell r="G3461">
            <v>13018</v>
          </cell>
          <cell r="H3461" t="str">
            <v>ESTUDIOS Y DISEÑOS PARA SITIOS INESTABLES EN BOGOTÁ D.C -COSEDORA Y SELLADORA ELECTRICA DE SACOS</v>
          </cell>
          <cell r="I3461" t="str">
            <v>HR</v>
          </cell>
          <cell r="J3461">
            <v>220</v>
          </cell>
        </row>
        <row r="3462">
          <cell r="G3462">
            <v>13019</v>
          </cell>
          <cell r="H3462" t="str">
            <v>ESTUDIOS Y DISEÑOS PARA SITIOS INESTABLES EN BOGOTÁ D.C - SISTEMA DE ANCLAJE REFORZADO (INCLUYE PATA DE ANCLA, CABLE DE 1/8" Y PRENSA METÁLICA, CARGA MAXIMA 500KG)</v>
          </cell>
          <cell r="I3462" t="str">
            <v>M2</v>
          </cell>
          <cell r="J3462">
            <v>46053</v>
          </cell>
        </row>
        <row r="3463">
          <cell r="G3463">
            <v>13020</v>
          </cell>
          <cell r="H3463" t="str">
            <v>ESTUDIOS Y DISEÑOS PARA SITIOS INESTABLES EN BOGOTÁ D.C -GEOCABLE</v>
          </cell>
          <cell r="I3463" t="str">
            <v>ML</v>
          </cell>
          <cell r="J3463">
            <v>286</v>
          </cell>
        </row>
        <row r="3464">
          <cell r="G3464">
            <v>13021</v>
          </cell>
          <cell r="H3464" t="str">
            <v>ESTUDIOS Y DISEÑOS PARA SITIOS INESTABLES EN BOGOTÁ D.C -GEOBIOMALLA TIPO SJ HAND BAG O SIMILAR CON FINES DE GEOBIOPROTECCION Y REVEGETACION PARA CONTROL DE EROSIÓN Y ESTABILIZACION DE TALUDES</v>
          </cell>
          <cell r="I3464" t="str">
            <v>M2</v>
          </cell>
          <cell r="J3464">
            <v>77350</v>
          </cell>
        </row>
        <row r="3465">
          <cell r="G3465">
            <v>13022</v>
          </cell>
          <cell r="H3465" t="str">
            <v>ESTUDIOS Y DISEÑOS PARA SITIOS INESTABLES EN BOGOTÁ D.C -BROCA SDS 1 1/4" X 36"</v>
          </cell>
          <cell r="I3465" t="str">
            <v>UN</v>
          </cell>
          <cell r="J3465">
            <v>493000</v>
          </cell>
        </row>
        <row r="3466">
          <cell r="G3466">
            <v>13023</v>
          </cell>
          <cell r="H3466" t="str">
            <v>REFORZAMIENTO ESTRUCTURAL DEL PUENTE VEHICULAR AV. MEDELLÍN (CALLE 80) POR AV. NQS (Cra. 30) EN BOGOTÁ D.C - JUNTA ELASTOMÉRICA MOVIMIENTO 50 MM +/- 25 MM (INCLUYE SUMINISTRO E INSTALACIÓN Y TODOS LOS COSTOS DE SUMINISTRO E INSTALACIÓN DE MATERIAL PARA ANCLAJE)</v>
          </cell>
          <cell r="I3466" t="str">
            <v>ML</v>
          </cell>
          <cell r="J3466">
            <v>1809212</v>
          </cell>
        </row>
        <row r="3467">
          <cell r="G3467">
            <v>13024</v>
          </cell>
          <cell r="H3467" t="str">
            <v>REFORZAMIENTO ESTRUCTURAL DEL PUENTE VEHICULAR AV. MEDELLÍN (CALLE 80) POR AV. NQS (Cra. 30) EN BOGOTÁ D.C - CONSTRUCCIÓN DE MICROPILOTES, D=0,30M, L=21M, INYECCIÓN F´C=21 MPA. INCLUYE PERFORACIÓN E INYECCIÓN. CEMENTO SUMINISTRADO POR EL CLIENTE</v>
          </cell>
          <cell r="I3467" t="str">
            <v>ML</v>
          </cell>
          <cell r="J3467">
            <v>186075</v>
          </cell>
        </row>
        <row r="3468">
          <cell r="G3468">
            <v>13025</v>
          </cell>
          <cell r="H3468"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I3468" t="str">
            <v>UN</v>
          </cell>
          <cell r="J3468">
            <v>8076000</v>
          </cell>
        </row>
        <row r="3469">
          <cell r="G3469">
            <v>13026</v>
          </cell>
          <cell r="H3469" t="str">
            <v>REFORZAMIENTO ESTRUCTURAL DEL PUENTE VEHICULAR AV. MEDELLÍN (CALLE 80) POR AV. NQS (Cra. 30) EN BOGOTÁ D.C - CELDA DE PRESIÓN EN CUERDA VIBRANTE, DIÁMETRO 230 MM. TRANSDUCTOR EN CUERDA VIBRANTE, 350 KPA; INCLUYE 10 METROS DE CABLE POR CADA CELDA.</v>
          </cell>
          <cell r="I3469" t="str">
            <v>UN</v>
          </cell>
          <cell r="J3469">
            <v>4970928</v>
          </cell>
        </row>
        <row r="3470">
          <cell r="G3470">
            <v>13027</v>
          </cell>
          <cell r="H3470"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I3470" t="str">
            <v>UN</v>
          </cell>
          <cell r="J3470">
            <v>4543777</v>
          </cell>
        </row>
        <row r="3471">
          <cell r="G3471">
            <v>13028</v>
          </cell>
          <cell r="H3471" t="str">
            <v>REFORZAMIENTO ESTRUCTURAL DEL PUENTE VEHICULAR AV. MEDELLÍN (CALLE 80) POR AV. NQS (Cra. 30) EN BOGOTÁ D.C - TRANSPORTE DE EQUIPO Y PERSONAL PARA INSTRUMENTACIÓN REDES MATRICES DE ACUEDUCTO</v>
          </cell>
          <cell r="I3471" t="str">
            <v>GLB</v>
          </cell>
          <cell r="J3471">
            <v>833000</v>
          </cell>
        </row>
        <row r="3472">
          <cell r="G3472">
            <v>13029</v>
          </cell>
          <cell r="H3472"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I3472" t="str">
            <v>UN</v>
          </cell>
          <cell r="J3472">
            <v>604750</v>
          </cell>
        </row>
        <row r="3473">
          <cell r="G3473">
            <v>13030</v>
          </cell>
          <cell r="H3473" t="str">
            <v>REFORZAMIENTO ESTRUCTURAL DEL PUENTE VEHICULAR AV. MEDELLÍN (CALLE 80) POR AV. NQS (Cra. 30) EN BOGOTÁ D.C - IZAJE COMPUTARIZADO POR APOYO DE NEOPRENO, INCLUYE TRANSPORTES, EQUIPOS Y TÉCNICO. NO INCLUYE ESTRUCTURA DE APOYO</v>
          </cell>
          <cell r="I3473" t="str">
            <v>UN</v>
          </cell>
          <cell r="J3473">
            <v>3184542</v>
          </cell>
        </row>
        <row r="3474">
          <cell r="G3474">
            <v>13031</v>
          </cell>
          <cell r="H3474"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I3474" t="str">
            <v>ML</v>
          </cell>
          <cell r="J3474">
            <v>2230763</v>
          </cell>
        </row>
        <row r="3475">
          <cell r="G3475">
            <v>13032</v>
          </cell>
          <cell r="H3475"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I3475" t="str">
            <v>UN</v>
          </cell>
          <cell r="J3475">
            <v>36719794</v>
          </cell>
        </row>
        <row r="3476">
          <cell r="G3476">
            <v>13033</v>
          </cell>
          <cell r="H3476"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I3476" t="str">
            <v>UN</v>
          </cell>
          <cell r="J3476">
            <v>44710900</v>
          </cell>
        </row>
        <row r="3477">
          <cell r="G3477">
            <v>13035</v>
          </cell>
          <cell r="H3477" t="str">
            <v>CONSTRUCCIÓN INTERSECCIÓN A DESNIVEL PUENTE ARANDA Y DEMÁS OBRAS COMPLEMENTARIAS TRONCAL CALLE 13 -PUERTA METÁLICA ENTAMBORADA CAL 18 DE 4" INCLUYE PINTURA ELECTROSTÁTICA COLOR GRIS 7014 INCLUYE MARCO BISAGRAS REDONDAS Y CERRADURA. SUMINISTRO E INSTALACIÓN</v>
          </cell>
          <cell r="I3477" t="str">
            <v>UN</v>
          </cell>
          <cell r="J3477">
            <v>1413300</v>
          </cell>
        </row>
        <row r="3478">
          <cell r="G3478">
            <v>13036</v>
          </cell>
          <cell r="H3478"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I3478" t="str">
            <v>M2</v>
          </cell>
          <cell r="J3478">
            <v>800715</v>
          </cell>
        </row>
        <row r="3479">
          <cell r="G3479">
            <v>13037</v>
          </cell>
          <cell r="H3479"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I3479" t="str">
            <v>ML</v>
          </cell>
          <cell r="J3479">
            <v>130226</v>
          </cell>
        </row>
        <row r="3480">
          <cell r="G3480">
            <v>13038</v>
          </cell>
          <cell r="H3480" t="str">
            <v>CONSTRUCCIÓN INTERSECCIÓN A DESNIVEL PUENTE ARANDA Y DEMÁS OBRAS COMPLEMENTARIAS TRONCAL CALLE 13 - VÁLVULA TIPO MARIPOSA DISCO INOX. DE Ø 4" CLASE 150. EXTREMOS BRIDADOS</v>
          </cell>
          <cell r="I3480" t="str">
            <v>UN</v>
          </cell>
          <cell r="J3480">
            <v>279650</v>
          </cell>
        </row>
        <row r="3481">
          <cell r="G3481">
            <v>13039</v>
          </cell>
          <cell r="H3481" t="str">
            <v>CONSTRUCCIÓN INTERSECCIÓN A DESNIVEL PUENTE ARANDA Y DEMÁS OBRAS COMPLEMENTARIAS TRONCAL CALLE 13 - JUNTA DE DILATACIÓN ELASTOMÉRICA 230 MOVIMIENTO 230mm+/-115mm MODULOS 1.83 m</v>
          </cell>
          <cell r="I3481" t="str">
            <v>ML</v>
          </cell>
          <cell r="J3481">
            <v>4748100</v>
          </cell>
        </row>
        <row r="3482">
          <cell r="G3482">
            <v>13040</v>
          </cell>
          <cell r="H3482" t="str">
            <v>CONSTRUCCIÓN INTERSECCIÓN A DESNIVEL PUENTE ARANDA Y DEMÁS OBRAS COMPLEMENTARIAS TRONCAL CALLE 13 - VÁLVULA TIPO MARIPOSA DISCO INOX. DE Ø 6" CLASE 150. EXTREMOS BRIDADOS</v>
          </cell>
          <cell r="I3482" t="str">
            <v>UN</v>
          </cell>
          <cell r="J3482">
            <v>470050</v>
          </cell>
        </row>
        <row r="3483">
          <cell r="G3483">
            <v>13041</v>
          </cell>
          <cell r="H3483" t="str">
            <v>CONSTRUCCIÓN INTERSECCIÓN A DESNIVEL PUENTE ARANDA Y DEMÁS OBRAS COMPLEMENTARIAS TRONCAL CALLE 13 - TELERRUPTOR 1X16 AMP</v>
          </cell>
          <cell r="I3483" t="str">
            <v>UN</v>
          </cell>
          <cell r="J3483">
            <v>41055</v>
          </cell>
        </row>
        <row r="3484">
          <cell r="G3484">
            <v>13042</v>
          </cell>
          <cell r="H3484" t="str">
            <v>CONSTRUCCIÓN INTERSECCIÓN A DESNIVEL PUENTE ARANDA Y DEMÁS OBRAS COMPLEMENTARIAS TRONCAL CALLE 13 - UNIÓN JUNTA DESMONTAJE Ø 12" RÍGIDA CLASE 150 (Tipo BRIDA ANSI)</v>
          </cell>
          <cell r="I3484" t="str">
            <v>UN</v>
          </cell>
          <cell r="J3484">
            <v>3403400</v>
          </cell>
        </row>
        <row r="3485">
          <cell r="G3485">
            <v>13043</v>
          </cell>
          <cell r="H3485" t="str">
            <v>CONSTRUCCIÓN INTERSECCIÓN A DESNIVEL PUENTE ARANDA Y DEMÁS OBRAS COMPLEMENTARIAS TRONCAL CALLE 13 -JUNTA DE DILATACIÓN ELASTOMÉRICA 160 MOVIMIENTO 160mm+/-80mm MODULOS 2 m</v>
          </cell>
          <cell r="I3485" t="str">
            <v>ML</v>
          </cell>
          <cell r="J3485">
            <v>1606500</v>
          </cell>
        </row>
        <row r="3486">
          <cell r="G3486">
            <v>13044</v>
          </cell>
          <cell r="H3486" t="str">
            <v>CONSTRUCCIÓN INTERSECCIÓN A DESNIVEL PUENTE ARANDA Y DEMÁS OBRAS COMPLEMENTARIAS TRONCAL CALLE 13 - VALVULA COMPUERTA ELASTICA VNA (VÁSTAGO NO ASCENDENTE) EXTREMO BRIDADO. D=3"</v>
          </cell>
          <cell r="I3486" t="str">
            <v>UN</v>
          </cell>
          <cell r="J3486">
            <v>921060</v>
          </cell>
        </row>
        <row r="3487">
          <cell r="G3487">
            <v>13045</v>
          </cell>
          <cell r="H3487" t="str">
            <v>CONSTRUCCIÓN INTERSECCIÓN A DESNIVEL PUENTE ARANDA Y DEMÁS OBRAS COMPLEMENTARIAS TRONCAL CALLE 13- SUMIDERO PREFABRICADO PD200 REJA FUNDICIÓN PASARELA</v>
          </cell>
          <cell r="I3487" t="str">
            <v>UN</v>
          </cell>
          <cell r="J3487">
            <v>1610218</v>
          </cell>
        </row>
        <row r="3488">
          <cell r="G3488">
            <v>13046</v>
          </cell>
          <cell r="H3488" t="str">
            <v>CONSTRUCCIÓN INTERSECCIÓN A DESNIVEL PUENTE ARANDA Y DEMÁS OBRAS COMPLEMENTARIAS TRONCAL CALLE 13 - CANAL PD200 REJA FUNDICIÓN PASARELA D400</v>
          </cell>
          <cell r="I3488" t="str">
            <v>UN</v>
          </cell>
          <cell r="J3488">
            <v>797907</v>
          </cell>
        </row>
        <row r="3489">
          <cell r="G3489">
            <v>13047</v>
          </cell>
          <cell r="H3489" t="str">
            <v>CONSTRUCCIÓN INTERSECCIÓN A DESNIVEL PUENTE ARANDA Y DEMÁS OBRAS COMPLEMENTARIAS TRONCAL CALLE 13 - MACROMEDIDOR TIPO WOLTMAN DE 3"</v>
          </cell>
          <cell r="I3489" t="str">
            <v>UN</v>
          </cell>
          <cell r="J3489">
            <v>2600000</v>
          </cell>
        </row>
        <row r="3490">
          <cell r="G3490">
            <v>13048</v>
          </cell>
          <cell r="H3490"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I3490" t="str">
            <v>UN</v>
          </cell>
          <cell r="J3490">
            <v>2677500</v>
          </cell>
        </row>
        <row r="3491">
          <cell r="G3491">
            <v>13049</v>
          </cell>
          <cell r="H3491" t="str">
            <v>CONSTRUCCIÓN INTERSECCIÓN A DESNIVEL PUENTE ARANDA Y DEMÁS OBRAS COMPLEMENTARIAS TRONCAL CALLE 13 - VÁLVULA CONTROL DE NIVEL DE TANQUE DE BOLA DE 3"</v>
          </cell>
          <cell r="I3491" t="str">
            <v>UN</v>
          </cell>
          <cell r="J3491">
            <v>1368143</v>
          </cell>
        </row>
        <row r="3492">
          <cell r="G3492">
            <v>13050</v>
          </cell>
          <cell r="H3492" t="str">
            <v>CONSTRUCCIÓN INTERSECCIÓN A DESNIVEL PUENTE ARANDA Y DEMÁS OBRAS COMPLEMENTARIAS TRONCAL CALLE 13 - VÁLVULA VENTOSA HD CÁMARA DOBLE ACCIÓN (DOBLE EFECTO) D=6" EXTREMO EN BRIDA CLASE 150</v>
          </cell>
          <cell r="I3492" t="str">
            <v>UN</v>
          </cell>
          <cell r="J3492">
            <v>4960000</v>
          </cell>
        </row>
        <row r="3493">
          <cell r="G3493">
            <v>13051</v>
          </cell>
          <cell r="H3493" t="str">
            <v>CONSTRUCCIÓN INTERSECCIÓN A DESNIVEL PUENTE ARANDA Y DEMÁS OBRAS COMPLEMENTARIAS TRONCAL CALLE 13 - UNIÓN JUNTA DE MONTAJE D=4" RÍGIDA CLASE 150</v>
          </cell>
          <cell r="I3493" t="str">
            <v>UN</v>
          </cell>
          <cell r="J3493">
            <v>690200</v>
          </cell>
        </row>
        <row r="3494">
          <cell r="G3494">
            <v>13052</v>
          </cell>
          <cell r="H3494" t="str">
            <v>CONSTRUCCIÓN INTERSECCIÓN A DESNIVEL PUENTE ARANDA Y DEMÁS OBRAS COMPLEMENTARIAS TRONCAL CALLE 13 - CAJA VERTICAL PARA 3 MEDIDORES TRIFÁSICOS DE ENERGÍA. DIMENSIONES 1550 X 300 X 180MM</v>
          </cell>
          <cell r="I3494" t="str">
            <v>UN</v>
          </cell>
          <cell r="J3494">
            <v>447550</v>
          </cell>
        </row>
        <row r="3495">
          <cell r="G3495">
            <v>13053</v>
          </cell>
          <cell r="H3495" t="str">
            <v>CONSTRUCCIÓN INTERSECCIÓN A DESNIVEL PUENTE ARANDA Y DEMÁS OBRAS COMPLEMENTARIAS TRONCAL CALLE 13 - UNIÓN JUNTA DE MONTAJE D=8" RÍGIDA CLASE 300</v>
          </cell>
          <cell r="I3495" t="str">
            <v>UN</v>
          </cell>
          <cell r="J3495">
            <v>3781696</v>
          </cell>
        </row>
        <row r="3496">
          <cell r="G3496">
            <v>13054</v>
          </cell>
          <cell r="H3496" t="str">
            <v>CONSTRUCCIÓN INTERSECCIÓN A DESNIVEL PUENTE ARANDA Y DEMÁS OBRAS COMPLEMENTARIAS TRONCAL CALLE 13 -BREAKER INDUSTRIAL ABB 3 X 50 AMP</v>
          </cell>
          <cell r="I3496" t="str">
            <v>UN</v>
          </cell>
          <cell r="J3496">
            <v>384370</v>
          </cell>
        </row>
        <row r="3497">
          <cell r="G3497">
            <v>13055</v>
          </cell>
          <cell r="H3497" t="str">
            <v>CONSTRUCCIÓN INTERSECCIÓN A DESNIVEL PUENTE ARANDA Y DEMÁS OBRAS COMPLEMENTARIAS TRONCAL CALLE 13 - TEE PVC U.M. D=3" SCH 80</v>
          </cell>
          <cell r="I3497" t="str">
            <v>UN</v>
          </cell>
          <cell r="J3497">
            <v>140800</v>
          </cell>
        </row>
        <row r="3498">
          <cell r="G3498">
            <v>13056</v>
          </cell>
          <cell r="H3498" t="str">
            <v>CONSTRUCCIÓN INTERSECCIÓN A DESNIVEL PUENTE ARANDA Y DEMÁS OBRAS COMPLEMENTARIAS TRONCAL CALLE 13 - BREAKER INDUSTRIAL ABB 3 X 40 AMP</v>
          </cell>
          <cell r="I3498" t="str">
            <v>UN</v>
          </cell>
          <cell r="J3498">
            <v>384370</v>
          </cell>
        </row>
        <row r="3499">
          <cell r="G3499">
            <v>13057</v>
          </cell>
          <cell r="H3499" t="str">
            <v>CONSTRUCCIÓN INTERSECCIÓN A DESNIVEL PUENTE ARANDA Y DEMÁS OBRAS COMPLEMENTARIAS TRONCAL CALLE 13 -LAMINA ACERO INOXIDABLE 304 Cal. 18</v>
          </cell>
          <cell r="I3499" t="str">
            <v>M2</v>
          </cell>
          <cell r="J3499">
            <v>111865</v>
          </cell>
        </row>
        <row r="3500">
          <cell r="G3500">
            <v>13058</v>
          </cell>
          <cell r="H3500" t="str">
            <v>CONSTRUCCIÓN INTERSECCIÓN A DESNIVEL PUENTE ARANDA Y DEMÁS OBRAS COMPLEMENTARIAS TRONCAL CALLE 13 - VÁLVULA COMPUERTA ELÁSTICA VA (VÁSTAGO ASCENDENTE) D=4" CLASE 300 EXTREMOS BRIDADOS</v>
          </cell>
          <cell r="I3500" t="str">
            <v>UN</v>
          </cell>
          <cell r="J3500">
            <v>1011000</v>
          </cell>
        </row>
        <row r="3501">
          <cell r="G3501">
            <v>13059</v>
          </cell>
          <cell r="H3501" t="str">
            <v>CONSTRUCCIÓN INTERSECCIÓN A DESNIVEL PUENTE ARANDA Y DEMÁS OBRAS COMPLEMENTARIAS TRONCAL CALLE 13 - TABLERO DE 12 CIRCUITOS AUTOSOPORTADO EN LÁMINA COLD ROLLED IP44 A 120 VC.A, BARRAJE TRAIFÁSICO DE 100A, 5 HILOS, F+N+T.</v>
          </cell>
          <cell r="I3501" t="str">
            <v>UN</v>
          </cell>
          <cell r="J3501">
            <v>179450</v>
          </cell>
        </row>
        <row r="3502">
          <cell r="G3502">
            <v>13060</v>
          </cell>
          <cell r="H3502" t="str">
            <v>CONSTRUCCIÓN INTERSECCIÓN A DESNIVEL PUENTE ARANDA Y DEMÁS OBRAS COMPLEMENTARIAS TRONCAL CALLE 13 - UNION JUNTA DE MONTAJE D=4" RÍGIDA CLASE 300</v>
          </cell>
          <cell r="I3502" t="str">
            <v>UN</v>
          </cell>
          <cell r="J3502">
            <v>1584162</v>
          </cell>
        </row>
        <row r="3503">
          <cell r="G3503">
            <v>13061</v>
          </cell>
          <cell r="H3503" t="str">
            <v>CONSTRUCCIÓN INTERSECCIÓN A DESNIVEL PUENTE ARANDA Y DEMÁS OBRAS COMPLEMENTARIAS TRONCAL CALLE 13 - TABLETA TACTIL EN LAMINA METALICA, ANCHO 0.20M INSTALADA ALINEADA CON LA SUPERFICIE DEL PISO (INCLUYE SUMINISTRO E INSTALACIÓN).</v>
          </cell>
          <cell r="I3503" t="str">
            <v>ML</v>
          </cell>
          <cell r="J3503">
            <v>1201707</v>
          </cell>
        </row>
        <row r="3504">
          <cell r="G3504">
            <v>13062</v>
          </cell>
          <cell r="H3504" t="str">
            <v>CONSTRUCCIÓN INTERSECCIÓN A DESNIVEL PUENTE ARANDA Y DEMÁS OBRAS COMPLEMENTARIAS TRONCAL CALLE 13 - CABLE 10 AWG THHN-600V EN COBRE</v>
          </cell>
          <cell r="I3504" t="str">
            <v>ML</v>
          </cell>
          <cell r="J3504">
            <v>11016</v>
          </cell>
        </row>
        <row r="3505">
          <cell r="G3505">
            <v>13063</v>
          </cell>
          <cell r="H3505" t="str">
            <v>CONSTRUCCIÓN INTERSECCIÓN A DESNIVEL PUENTE ARANDA Y DEMÁS OBRAS COMPLEMENTARIAS TRONCAL CALLE 13 - VÁLVULA CHEQUE DE 4" (A) (150 PSI)</v>
          </cell>
          <cell r="I3505" t="str">
            <v>UN</v>
          </cell>
          <cell r="J3505">
            <v>861883</v>
          </cell>
        </row>
        <row r="3506">
          <cell r="G3506">
            <v>13064</v>
          </cell>
          <cell r="H3506" t="str">
            <v>CONSTRUCCIÓN INTERSECCIÓN A DESNIVEL PUENTE ARANDA Y DEMÁS OBRAS COMPLEMENTARIAS TRONCAL CALLE 13 - NIPLE EN ACERO Ø 8" CON BRIDA Y EXTREMO LISO L= 150mm, REVESTIMIENTO INTERIOR Y EXTERIOR EN PINTURA EXPOXICA. SUMINISTRO Y TRANSPORTE</v>
          </cell>
          <cell r="I3506" t="str">
            <v>UN</v>
          </cell>
          <cell r="J3506">
            <v>609280</v>
          </cell>
        </row>
        <row r="3507">
          <cell r="G3507">
            <v>13065</v>
          </cell>
          <cell r="H3507" t="str">
            <v>CONSTRUCCIÓN INTERSECCIÓN A DESNIVEL PUENTE ARANDA Y DEMÁS OBRAS COMPLEMENTARIAS TRONCAL CALLE 13- BREAKER INDUSTRIAL ABB 3 X 40 AMP</v>
          </cell>
          <cell r="I3507" t="str">
            <v>UN</v>
          </cell>
          <cell r="J3507">
            <v>384370</v>
          </cell>
        </row>
        <row r="3508">
          <cell r="G3508">
            <v>13066</v>
          </cell>
          <cell r="H3508" t="str">
            <v>CONSTRUCCIÓN INTERSECCIÓN A DESNIVEL PUENTE ARANDA Y DEMÁS OBRAS COMPLEMENTARIAS TRONCAL CALLE 13 - MEDIDOR PARA AGUA DE 3/4" NPT, 20 mm DN</v>
          </cell>
          <cell r="I3508" t="str">
            <v>UN</v>
          </cell>
          <cell r="J3508">
            <v>261317</v>
          </cell>
        </row>
        <row r="3509">
          <cell r="G3509">
            <v>13067</v>
          </cell>
          <cell r="H3509" t="str">
            <v>CONSTRUCCIÓN INTERSECCIÓN A DESNIVEL PUENTE ARANDA Y DEMÁS OBRAS COMPLEMENTARIAS TRONCAL CALLE 13 - TABLERO DE 6 CIRCUITOS THR1 AUTOSOPORTADO , EN LÁMINA COL ROLLED IP44 A 208/120 VC.A. BARRAJE TRIFÁSICO 5 HILOS, 3F+N+T.</v>
          </cell>
          <cell r="I3509" t="str">
            <v>UN</v>
          </cell>
          <cell r="J3509">
            <v>105250</v>
          </cell>
        </row>
        <row r="3510">
          <cell r="G3510">
            <v>13068</v>
          </cell>
          <cell r="H3510"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I3510" t="str">
            <v>ML</v>
          </cell>
          <cell r="J3510">
            <v>35991</v>
          </cell>
        </row>
        <row r="3511">
          <cell r="G3511">
            <v>13069</v>
          </cell>
          <cell r="H3511" t="str">
            <v>CONSTRUCCIÓN INTERSECCIÓN A DESNIVEL PUENTE ARANDA Y DEMÁS OBRAS COMPLEMENTARIAS TRONCAL CALLE 13 - REDUCCION PVC U.M. NORMA NTC 382 3"x2"</v>
          </cell>
          <cell r="I3511" t="str">
            <v>UN</v>
          </cell>
          <cell r="J3511">
            <v>6440</v>
          </cell>
        </row>
        <row r="3512">
          <cell r="G3512">
            <v>13070</v>
          </cell>
          <cell r="H3512" t="str">
            <v>CONSTRUCCIÓN INTERSECCIÓN A DESNIVEL PUENTE ARANDA Y DEMÁS OBRAS COMPLEMENTARIAS TRONCAL CALLE 13 - TUBERÍA HD, ACUEDUCTO,  3"</v>
          </cell>
          <cell r="I3512" t="str">
            <v>ML</v>
          </cell>
          <cell r="J3512">
            <v>85617</v>
          </cell>
        </row>
        <row r="3513">
          <cell r="G3513">
            <v>13071</v>
          </cell>
          <cell r="H3513" t="str">
            <v>CONSTRUCCIÓN INTERSECCIÓN A DESNIVEL PUENTE ARANDA Y DEMÁS OBRAS COMPLEMENTARIAS TRONCAL CALLE 13 - VÁLVULA CHEQUE DE 6" CLASE # 150</v>
          </cell>
          <cell r="I3513" t="str">
            <v>UN</v>
          </cell>
          <cell r="J3513">
            <v>1624071</v>
          </cell>
        </row>
        <row r="3514">
          <cell r="G3514">
            <v>13072</v>
          </cell>
          <cell r="H3514" t="str">
            <v>CONSTRUCCIÓN INTERSECCIÓN A DESNIVEL PUENTE ARANDA Y DEMÁS OBRAS COMPLEMENTARIAS TRONCAL CALLE 13 - VÁLVULA VENTOSA HD DE DOBLE EFECTO  D=4" CLASE 150 EXTREMO EN BRIDA</v>
          </cell>
          <cell r="I3514" t="str">
            <v>UN</v>
          </cell>
          <cell r="J3514">
            <v>1606500</v>
          </cell>
        </row>
        <row r="3515">
          <cell r="G3515">
            <v>13073</v>
          </cell>
          <cell r="H3515" t="str">
            <v>CONSTRUCCIÓN INTERSECCIÓN A DESNIVEL PUENTE ARANDA Y DEMÁS OBRAS COMPLEMENTARIAS TRONCAL CALLE 13 - TUBERIA CONDUIT GALVANIZADA IMC D=2 1/2"</v>
          </cell>
          <cell r="I3515" t="str">
            <v>ML</v>
          </cell>
          <cell r="J3515">
            <v>63267</v>
          </cell>
        </row>
        <row r="3516">
          <cell r="G3516">
            <v>13074</v>
          </cell>
          <cell r="H3516" t="str">
            <v>CONSTRUCCIÓN INTERSECCIÓN A DESNIVEL PUENTE ARANDA Y DEMÁS OBRAS COMPLEMENTARIAS TRONCAL CALLE 13 - REGISTRO BOLA 3/4" TIPO PESADO</v>
          </cell>
          <cell r="I3516" t="str">
            <v>UN</v>
          </cell>
          <cell r="J3516">
            <v>9800</v>
          </cell>
        </row>
        <row r="3517">
          <cell r="G3517">
            <v>13075</v>
          </cell>
          <cell r="H3517" t="str">
            <v>CONSTRUCCIÓN INTERSECCIÓN A DESNIVEL PUENTE ARANDA Y DEMÁS OBRAS COMPLEMENTARIAS TRONCAL CALLE 13 - TEE EN ACERO Ø 16" x 12" CON EXTREMOS ESPIGO/CAMPANA Y BRIDA EN LA DERIVACIÓN (A)</v>
          </cell>
          <cell r="I3517" t="str">
            <v>UN</v>
          </cell>
          <cell r="J3517">
            <v>3079720</v>
          </cell>
        </row>
        <row r="3518">
          <cell r="G3518">
            <v>13076</v>
          </cell>
          <cell r="H3518" t="str">
            <v>CONSTRUCCIÓN INTERSECCIÓN A DESNIVEL PUENTE ARANDA Y DEMÁS OBRAS COMPLEMENTARIAS TRONCAL CALLE 13 - UNIÓN JUNTA DE MONTAJE D=8" RÍGIDA CLASE 150</v>
          </cell>
          <cell r="I3518" t="str">
            <v>UN</v>
          </cell>
          <cell r="J3518">
            <v>1594600</v>
          </cell>
        </row>
        <row r="3519">
          <cell r="G3519">
            <v>13077</v>
          </cell>
          <cell r="H3519"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I3519" t="str">
            <v>UN</v>
          </cell>
          <cell r="J3519">
            <v>29870184</v>
          </cell>
        </row>
        <row r="3520">
          <cell r="G3520">
            <v>13078</v>
          </cell>
          <cell r="H3520"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I3520" t="str">
            <v>UN</v>
          </cell>
          <cell r="J3520">
            <v>1874250</v>
          </cell>
        </row>
        <row r="3521">
          <cell r="G3521">
            <v>13079</v>
          </cell>
          <cell r="H3521"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I3521" t="str">
            <v>UN</v>
          </cell>
          <cell r="J3521">
            <v>42266807</v>
          </cell>
        </row>
        <row r="3522">
          <cell r="G3522">
            <v>13080</v>
          </cell>
          <cell r="H3522" t="str">
            <v>CONSTRUCCIÓN INTERSECCIÓN A DESNIVEL PUENTE ARANDA Y DEMÁS OBRAS COMPLEMENTARIAS TRONCAL CALLE 13 - VÁLVULA TIPO MARIPOSA DISCO INOX. DE Ø 16" CLASE 150. EXTREMOS BRIDADOS</v>
          </cell>
          <cell r="I3522" t="str">
            <v>UN</v>
          </cell>
          <cell r="J3522">
            <v>11662000</v>
          </cell>
        </row>
        <row r="3523">
          <cell r="G3523">
            <v>13081</v>
          </cell>
          <cell r="H3523"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I3523" t="str">
            <v>UN</v>
          </cell>
          <cell r="J3523">
            <v>11907140</v>
          </cell>
        </row>
        <row r="3524">
          <cell r="G3524">
            <v>13082</v>
          </cell>
          <cell r="H3524" t="str">
            <v>CONSTRUCCIÓN INTERSECCIÓN A DESNIVEL PUENTE ARANDA Y DEMÁS OBRAS COMPLEMENTARIAS TRONCAL CALLE 13 - UNIÓN JUNTA DE MONTAJE D=6" RÍGIDA CLASE 150</v>
          </cell>
          <cell r="I3524" t="str">
            <v>UN</v>
          </cell>
          <cell r="J3524">
            <v>1427762</v>
          </cell>
        </row>
        <row r="3525">
          <cell r="G3525">
            <v>13083</v>
          </cell>
          <cell r="H3525" t="str">
            <v>CONSTRUCCIÓN INTERSECCIÓN A DESNIVEL PUENTE ARANDA Y DEMÁS OBRAS COMPLEMENTARIAS TRONCAL CALLE 13 - TAPÓN HEMBRA HA ROSCA NPT Ø2"</v>
          </cell>
          <cell r="I3525" t="str">
            <v>UN</v>
          </cell>
          <cell r="J3525">
            <v>9639</v>
          </cell>
        </row>
        <row r="3526">
          <cell r="G3526">
            <v>13084</v>
          </cell>
          <cell r="H3526" t="str">
            <v>CONSTRUCCIÓN INTERSECCIÓN A DESNIVEL PUENTE ARANDA Y DEMÁS OBRAS COMPLEMENTARIAS TRONCAL CALLE 13 - UNION DE DESMONTAJE AUTOPORTANTE HD Ø18" BRIDA B16.5 (*)</v>
          </cell>
          <cell r="I3526" t="str">
            <v>UN</v>
          </cell>
          <cell r="J3526">
            <v>7080500</v>
          </cell>
        </row>
        <row r="3527">
          <cell r="G3527">
            <v>13085</v>
          </cell>
          <cell r="H3527"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I3527" t="str">
            <v>UN</v>
          </cell>
          <cell r="J3527">
            <v>8009890</v>
          </cell>
        </row>
        <row r="3528">
          <cell r="G3528">
            <v>13086</v>
          </cell>
          <cell r="H3528" t="str">
            <v>CONSTRUCCIÓN INTERSECCIÓN A DESNIVEL PUENTE ARANDA Y DEMÁS OBRAS COMPLEMENTARIAS TRONCAL CALLE 13 -  VALVULA DE COMPUERTA VNA HD Ø4" BRIDA B.16.5 CL300 SELLO DE BRONCE DE MANIOBRA "</v>
          </cell>
          <cell r="I3528" t="str">
            <v>UN</v>
          </cell>
          <cell r="J3528">
            <v>818125</v>
          </cell>
        </row>
        <row r="3529">
          <cell r="G3529">
            <v>13087</v>
          </cell>
          <cell r="H3529" t="str">
            <v>CONSTRUCCIÓN INTERSECCIÓN A DESNIVEL PUENTE ARANDA Y DEMÁS OBRAS COMPLEMENTARIAS TRONCAL CALLE 13 - VÁLVULA COMPUERTA VNA Ø2" HD B16.5 CL 300 CON VOLANTE MANIOBRA</v>
          </cell>
          <cell r="I3529" t="str">
            <v>UN</v>
          </cell>
          <cell r="J3529">
            <v>1025071</v>
          </cell>
        </row>
        <row r="3530">
          <cell r="G3530">
            <v>13088</v>
          </cell>
          <cell r="H3530" t="str">
            <v>CONSTRUCCIÓN INTERSECCIÓN A DESNIVEL PUENTE ARANDA Y DEMÁS OBRAS COMPLEMENTARIAS TRONCAL CALLE 13 -TUBERIA EN ACERO GALVANIZADA D= 2" (NO INCLUYE RELLENOS). SUMINISTRO E INSTALACIÓN.</v>
          </cell>
          <cell r="I3530" t="str">
            <v>ML</v>
          </cell>
          <cell r="J3530">
            <v>58599</v>
          </cell>
        </row>
        <row r="3531">
          <cell r="G3531">
            <v>13089</v>
          </cell>
          <cell r="H3531"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I3531" t="str">
            <v>ML</v>
          </cell>
          <cell r="J3531">
            <v>52371</v>
          </cell>
        </row>
        <row r="3532">
          <cell r="G3532">
            <v>13090</v>
          </cell>
          <cell r="H3532" t="str">
            <v>CONSTRUCCIÓN INTERSECCIÓN A DESNIVEL PUENTE ARANDA Y DEMÁS OBRAS COMPLEMENTARIAS TRONCAL CALLE 13 - VALVULA DE COMPUERTA VNA HD Ø8" BRIDA B.16.5 CL300 SELLO DE BORNCE DE MANIOBRA</v>
          </cell>
          <cell r="I3532" t="str">
            <v>UN</v>
          </cell>
          <cell r="J3532">
            <v>5271492</v>
          </cell>
        </row>
        <row r="3533">
          <cell r="G3533">
            <v>13091</v>
          </cell>
          <cell r="H3533" t="str">
            <v>"CONSTRUCCIÓN INTERSECCIÓN A DESNIVEL PUENTE ARANDA Y DEMÁS OBRAS COMPLEMENTARIAS TRONCAL CALLE 13 -  VALVULA DE COMPUERTA VNA HD Ø4"" BRIDA B.16.5 CL300 SELLO DE BRONCE DE MANIOBRA "</v>
          </cell>
          <cell r="I3533" t="str">
            <v>UN</v>
          </cell>
          <cell r="J3533">
            <v>818125</v>
          </cell>
        </row>
        <row r="3534">
          <cell r="G3534">
            <v>13092</v>
          </cell>
          <cell r="H3534" t="str">
            <v>CONSTRUCCIÓN INTERSECCIÓN A DESNIVEL PUENTE ARANDA Y DEMÁS OBRAS COMPLEMENTARIAS TRONCAL CALLE 13 - PANELES EN VIDRIO LAMINADO Y DE SEGURIDAD PARA PASAMANOS EXTERIOR, FIJACIÓN CON BUJES. (SUMINISTRO E INSTALACIÓN)</v>
          </cell>
          <cell r="I3534" t="str">
            <v>M2</v>
          </cell>
          <cell r="J3534">
            <v>290240</v>
          </cell>
        </row>
        <row r="3535">
          <cell r="G3535">
            <v>13093</v>
          </cell>
          <cell r="H3535"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I3535" t="str">
            <v>UN</v>
          </cell>
          <cell r="J3535">
            <v>3059490</v>
          </cell>
        </row>
        <row r="3536">
          <cell r="G3536">
            <v>13094</v>
          </cell>
          <cell r="H3536" t="str">
            <v>CONSTRUCCIÓN INTERSECCIÓN A DESNIVEL PUENTE ARANDA Y DEMÁS OBRAS COMPLEMENTARIAS TRONCAL CALLE 13 - PASAMANOS EXTERIOR EN PLATINAS VERTICALES 2" X 5/8" + TOPE, PIE EN LONGITUDINAL, EN TUBULAR DE ACERO D=2" SOLDADO A PLATINAS (SUMINISTRO E INSTALACIÓN)</v>
          </cell>
          <cell r="I3536" t="str">
            <v>ML</v>
          </cell>
          <cell r="J3536">
            <v>406335</v>
          </cell>
        </row>
        <row r="3537">
          <cell r="G3537">
            <v>13095</v>
          </cell>
          <cell r="H3537"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I3537" t="str">
            <v>M2</v>
          </cell>
          <cell r="J3537">
            <v>345075</v>
          </cell>
        </row>
        <row r="3538">
          <cell r="G3538">
            <v>13096</v>
          </cell>
          <cell r="H3538"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I3538" t="str">
            <v>M2</v>
          </cell>
          <cell r="J3538">
            <v>302513</v>
          </cell>
        </row>
        <row r="3539">
          <cell r="G3539">
            <v>13097</v>
          </cell>
          <cell r="H3539" t="str">
            <v>CONSTRUCCIÓN INTERSECCIÓN A DESNIVEL PUENTE ARANDA Y DEMÁS OBRAS COMPLEMENTARIAS TRONCAL CALLE 13 - CABLE MONOPOLAR DE ALUMINIO, THHW PARA 600 V C.A., CALIBRE No 6 AWG. (Suministro e Instalación)</v>
          </cell>
          <cell r="I3539" t="str">
            <v>ML</v>
          </cell>
          <cell r="J3539">
            <v>3211</v>
          </cell>
        </row>
        <row r="3540">
          <cell r="G3540">
            <v>13098</v>
          </cell>
          <cell r="H3540" t="str">
            <v>CONSTRUCCIÓN INTERSECCIÓN A DESNIVEL PUENTE ARANDA Y DEMÁS OBRAS COMPLEMENTARIAS TRONCAL CALLE 13 - BARANDA EN VIDRIO TEMPLADO 6 MM, H=1.0M Y PASAMANOS CILÍNDRICO EN ACERO INOXIDABLE MATE DE D= 2" TORNIQUETES PLATAFORMAS. (SUMINISTRO E INSTALACIÓN)</v>
          </cell>
          <cell r="I3540" t="str">
            <v>ML</v>
          </cell>
          <cell r="J3540">
            <v>174620</v>
          </cell>
        </row>
        <row r="3541">
          <cell r="G3541">
            <v>13099</v>
          </cell>
          <cell r="H3541"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I3541" t="str">
            <v>M2</v>
          </cell>
          <cell r="J3541">
            <v>378132</v>
          </cell>
        </row>
        <row r="3542">
          <cell r="G3542">
            <v>13100</v>
          </cell>
          <cell r="H3542" t="str">
            <v>CONSTRUCCIÓN INTERSECCIÓN A DESNIVEL PUENTE ARANDA Y DEMÁS OBRAS COMPLEMENTARIAS TRONCAL CALLE 13 - Breaker industrial 3 X 20 AMP (Suministro e instalación)</v>
          </cell>
          <cell r="I3542" t="str">
            <v>UN</v>
          </cell>
          <cell r="J3542">
            <v>134368</v>
          </cell>
        </row>
        <row r="3543">
          <cell r="G3543">
            <v>13101</v>
          </cell>
          <cell r="H3543" t="str">
            <v>CONSTRUCCIÓN INTERSECCIÓN A DESNIVEL PUENTE ARANDA Y DEMÁS OBRAS COMPLEMENTARIAS TRONCAL CALLE 13 - Breaker industrial 3 X 30 AMP (Suministro e instalación)</v>
          </cell>
          <cell r="I3543" t="str">
            <v>UN</v>
          </cell>
          <cell r="J3543">
            <v>136252</v>
          </cell>
        </row>
        <row r="3544">
          <cell r="G3544">
            <v>13102</v>
          </cell>
          <cell r="H3544"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I3544" t="str">
            <v>ML</v>
          </cell>
          <cell r="J3544">
            <v>1728300</v>
          </cell>
        </row>
        <row r="3545">
          <cell r="G3545">
            <v>13103</v>
          </cell>
          <cell r="H3545" t="str">
            <v>CONSTRUCCIÓN INTERSECCIÓN A DESNIVEL PUENTE ARANDA Y DEMÁS OBRAS COMPLEMENTARIAS TRONCAL CALLE 13 - Breaker industrial 3 X 40 AMP (Suministro e instalación)</v>
          </cell>
          <cell r="I3545" t="str">
            <v>UN</v>
          </cell>
          <cell r="J3545">
            <v>136252</v>
          </cell>
        </row>
        <row r="3546">
          <cell r="G3546">
            <v>13104</v>
          </cell>
          <cell r="H3546" t="str">
            <v>CONSTRUCCIÓN INTERSECCIÓN A DESNIVEL PUENTE ARANDA Y DEMÁS OBRAS COMPLEMENTARIAS TRONCAL CALLE 13 - CICLOPARQUEADERO METÁLICO SENCILLO, SEGÚN DETALLE ESPECÍFICO</v>
          </cell>
          <cell r="I3546" t="str">
            <v>UN</v>
          </cell>
          <cell r="J3546">
            <v>350258</v>
          </cell>
        </row>
        <row r="3547">
          <cell r="G3547">
            <v>13105</v>
          </cell>
          <cell r="H3547"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I3547" t="str">
            <v>UN</v>
          </cell>
          <cell r="J3547">
            <v>561681</v>
          </cell>
        </row>
        <row r="3548">
          <cell r="G3548">
            <v>13106</v>
          </cell>
          <cell r="H3548" t="str">
            <v>CONSTRUCCIÓN INTERSECCIÓN A DESNIVEL PUENTE ARANDA Y DEMÁS OBRAS COMPLEMENTARIAS TRONCAL CALLE 13 - BREAKER ENCHUFABLE 1x20A (suministro e instalación)</v>
          </cell>
          <cell r="I3548" t="str">
            <v>UN</v>
          </cell>
          <cell r="J3548">
            <v>11524</v>
          </cell>
        </row>
        <row r="3549">
          <cell r="G3549">
            <v>13107</v>
          </cell>
          <cell r="H3549" t="str">
            <v>CONSTRUCCIÓN INTERSECCIÓN A DESNIVEL PUENTE ARANDA Y DEMÁS OBRAS COMPLEMENTARIAS TRONCAL CALLE 13 - Breaker industrial graduable de 40A hasta 100A (Suministro e instalación)</v>
          </cell>
          <cell r="I3549" t="str">
            <v>UN</v>
          </cell>
          <cell r="J3549">
            <v>202446</v>
          </cell>
        </row>
        <row r="3550">
          <cell r="G3550">
            <v>13108</v>
          </cell>
          <cell r="H3550"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I3550" t="str">
            <v>UN</v>
          </cell>
          <cell r="J3550">
            <v>22690766</v>
          </cell>
        </row>
        <row r="3551">
          <cell r="G3551">
            <v>13109</v>
          </cell>
          <cell r="H3551" t="str">
            <v>CONSTRUCCIÓN INTERSECCIÓN A DESNIVEL PUENTE ARANDA Y DEMÁS OBRAS COMPLEMENTARIAS TRONCAL CALLE 13 - Tablero de 42 circuitos autosoportado en lámina cold rolled IP44 A 208/120 VC.A. barraje trifásico de  225 A, 5 hilos, 3F+N+T, ( suministro e instalación)</v>
          </cell>
          <cell r="I3551" t="str">
            <v>UN</v>
          </cell>
          <cell r="J3551">
            <v>395067</v>
          </cell>
        </row>
        <row r="3552">
          <cell r="G3552">
            <v>13110</v>
          </cell>
          <cell r="H3552"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I3552" t="str">
            <v>UN</v>
          </cell>
          <cell r="J3552">
            <v>109690</v>
          </cell>
        </row>
        <row r="3553">
          <cell r="G3553">
            <v>13111</v>
          </cell>
          <cell r="H3553"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I3553" t="str">
            <v>UN</v>
          </cell>
          <cell r="J3553">
            <v>4140304</v>
          </cell>
        </row>
        <row r="3554">
          <cell r="G3554">
            <v>13112</v>
          </cell>
          <cell r="H3554" t="str">
            <v>CONSTRUCCIÓN INTERSECCIÓN A DESNIVEL PUENTE ARANDA Y DEMÁS OBRAS COMPLEMENTARIAS TRONCAL CALLE 13 - MODULO INSTITUCIONAL CAFÉ PARA TRONCAL CARRERA SÉPTIMA DE ACUERDO A PLANOS DE DISEÑO. (INCLUYE FABRICACIÓN, SUMINISTRO E INSTALACIÓN)</v>
          </cell>
          <cell r="I3554" t="str">
            <v>UN</v>
          </cell>
          <cell r="J3554">
            <v>116120592</v>
          </cell>
        </row>
        <row r="3555">
          <cell r="G3555">
            <v>13113</v>
          </cell>
          <cell r="H3555" t="str">
            <v>CONSTRUCCIÓN INTERSECCIÓN A DESNIVEL PUENTE ARANDA Y DEMÁS OBRAS COMPLEMENTARIAS TRONCAL CALLE 13 -JUNTA DE DILATACIÓN 80 MOVIMIENTO 80mm+/-40mm MODULOS 2 m</v>
          </cell>
          <cell r="I3555" t="str">
            <v>ML</v>
          </cell>
          <cell r="J3555">
            <v>674730</v>
          </cell>
        </row>
        <row r="3556">
          <cell r="G3556">
            <v>13114</v>
          </cell>
          <cell r="H3556"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I3556" t="str">
            <v>UN</v>
          </cell>
          <cell r="J3556">
            <v>5940627</v>
          </cell>
        </row>
        <row r="3557">
          <cell r="G3557">
            <v>13115</v>
          </cell>
          <cell r="H3557"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I3557" t="str">
            <v>UN</v>
          </cell>
          <cell r="J3557">
            <v>5538407</v>
          </cell>
        </row>
        <row r="3558">
          <cell r="G3558">
            <v>13116</v>
          </cell>
          <cell r="H3558" t="str">
            <v>CONSTRUCCIÓN INTERSECCIÓN A DESNIVEL PUENTE ARANDA Y DEMÁS OBRAS COMPLEMENTARIAS TRONCAL CALLE 13 - MESON INTERIOR TAQUILLAS CON ESTRUCTURA METÁLICA DE SOPORTE Y ACABADO EN ACERO INOXIDABLE MATE, CON APOYO PISO, DE A=40CM. (SUMINISTRO E INSTALACIÓN)</v>
          </cell>
          <cell r="I3558" t="str">
            <v>ML</v>
          </cell>
          <cell r="J3558">
            <v>291048</v>
          </cell>
        </row>
        <row r="3559">
          <cell r="G3559">
            <v>13117</v>
          </cell>
          <cell r="H3559"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I3559" t="str">
            <v>UN</v>
          </cell>
          <cell r="J3559">
            <v>6609407</v>
          </cell>
        </row>
        <row r="3560">
          <cell r="G3560">
            <v>13118</v>
          </cell>
          <cell r="H3560" t="str">
            <v>CONSTRUCCIÓN INTERSECCIÓN A DESNIVEL PUENTE ARANDA Y DEMÁS OBRAS COMPLEMENTARIAS TRONCAL CALLE 13 - VIDRIO TEMPLADO DE 10 MM CON PELÍCULA SAND BLASTING</v>
          </cell>
          <cell r="I3560" t="str">
            <v>M2</v>
          </cell>
          <cell r="J3560">
            <v>277102</v>
          </cell>
        </row>
        <row r="3561">
          <cell r="G3561">
            <v>13119</v>
          </cell>
          <cell r="H3561"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I3561" t="str">
            <v>M2</v>
          </cell>
          <cell r="J3561">
            <v>408634</v>
          </cell>
        </row>
        <row r="3562">
          <cell r="G3562">
            <v>13120</v>
          </cell>
          <cell r="H3562"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I3562" t="str">
            <v>UN</v>
          </cell>
          <cell r="J3562">
            <v>200158</v>
          </cell>
        </row>
        <row r="3563">
          <cell r="G3563">
            <v>13121</v>
          </cell>
          <cell r="H3563"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I3563" t="str">
            <v>UN</v>
          </cell>
          <cell r="J3563">
            <v>5676368</v>
          </cell>
        </row>
        <row r="3564">
          <cell r="G3564">
            <v>13122</v>
          </cell>
          <cell r="H3564" t="str">
            <v>CONSTRUCCIÓN INTERSECCIÓN A DESNIVEL PUENTE ARANDA Y DEMÁS OBRAS COMPLEMENTARIAS TRONCAL CALLE 13 - VÁLVULA COMPUERTA ELÁSTICA VA (VÁSTAGO ASCENDENTE) D=6" DN (DIÁMETRO NOMINAL) 150 MM CON EXTREMOS BRIDADOS (SUMINISTRO E INSTALACIÓN)</v>
          </cell>
          <cell r="I3564" t="str">
            <v>UN</v>
          </cell>
          <cell r="J3564">
            <v>1933543</v>
          </cell>
        </row>
        <row r="3565">
          <cell r="G3565">
            <v>13123</v>
          </cell>
          <cell r="H3565" t="str">
            <v>CONSTRUCCIÓN INTERSECCIÓN A DESNIVEL PUENTE ARANDA Y DEMÁS OBRAS COMPLEMENTARIAS TRONCAL CALLE 13 - QUIEBRA SOL METÁLICO</v>
          </cell>
          <cell r="I3565" t="str">
            <v>M2</v>
          </cell>
          <cell r="J3565">
            <v>354591</v>
          </cell>
        </row>
        <row r="3566">
          <cell r="G3566">
            <v>13124</v>
          </cell>
          <cell r="H3566" t="str">
            <v>CONSTRUCCIÓN INTERSECCIÓN A DESNIVEL PUENTE ARANDA Y DEMÁS OBRAS COMPLEMENTARIAS TRONCAL CALLE 13 -CABLE MONOPOLAR DE ALUMINIO, HF FR PARA 600V C.A. CALIBRE NO. 8 AWG (INCLUYE SUMINISTRO E INSTALACIÓN)</v>
          </cell>
          <cell r="I3566" t="str">
            <v>ML</v>
          </cell>
          <cell r="J3566">
            <v>28110</v>
          </cell>
        </row>
        <row r="3567">
          <cell r="G3567">
            <v>13126</v>
          </cell>
          <cell r="H3567"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I3567" t="str">
            <v>UN</v>
          </cell>
          <cell r="J3567">
            <v>3246388</v>
          </cell>
        </row>
        <row r="3568">
          <cell r="G3568">
            <v>13127</v>
          </cell>
          <cell r="H3568" t="str">
            <v>CONSTRUCCIÓN INTERSECCIÓN A DESNIVEL PUENTE ARANDA Y DEMÁS OBRAS COMPLEMENTARIAS TRONCAL CALLE 13 - LUMINARIA LED 15W, 120 V, 60 HZ</v>
          </cell>
          <cell r="I3568" t="str">
            <v>UN</v>
          </cell>
          <cell r="J3568">
            <v>2070600</v>
          </cell>
        </row>
        <row r="3569">
          <cell r="G3569">
            <v>13128</v>
          </cell>
          <cell r="H3569"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I3569" t="str">
            <v>UN</v>
          </cell>
          <cell r="J3569">
            <v>2396896</v>
          </cell>
        </row>
        <row r="3570">
          <cell r="G3570">
            <v>13129</v>
          </cell>
          <cell r="H3570"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I3570" t="str">
            <v>UN</v>
          </cell>
          <cell r="J3570">
            <v>4267408</v>
          </cell>
        </row>
        <row r="3571">
          <cell r="G3571">
            <v>13130</v>
          </cell>
          <cell r="H3571"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I3571" t="str">
            <v>UN</v>
          </cell>
          <cell r="J3571">
            <v>3960388</v>
          </cell>
        </row>
        <row r="3572">
          <cell r="G3572">
            <v>13131</v>
          </cell>
          <cell r="H3572"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I3572" t="str">
            <v>UN</v>
          </cell>
          <cell r="J3572">
            <v>346231</v>
          </cell>
        </row>
        <row r="3573">
          <cell r="G3573">
            <v>13132</v>
          </cell>
          <cell r="H3573" t="str">
            <v>CONSTRUCCIÓN INTERSECCIÓN A DESNIVEL PUENTE ARANDA Y DEMÁS OBRAS COMPLEMENTARIAS TRONCAL CALLE 13 - PUERTA EN ALUMINIO Y VIDRIO DE 4 MM DE ESPESOR DE 1.00 M X 3.00 M. (INCLUYE SUMINISTRO E INSTALACIÓN)</v>
          </cell>
          <cell r="I3573" t="str">
            <v>UN/DIA</v>
          </cell>
          <cell r="J3573">
            <v>1863118</v>
          </cell>
        </row>
        <row r="3574">
          <cell r="G3574">
            <v>13133</v>
          </cell>
          <cell r="H3574" t="str">
            <v xml:space="preserve"> CONSTRUCCIÓN INTERSECCIÓN A DESNIVEL PUENTE ARANDA Y DEMÁS OBRAS COMPLEMENTARIAS TRONCAL CALLE 13 -TABLERO DE CONTROL ILUMINACIÓN. INCLUYE INTERRUPTOR HORARIO PROGRAMABLE, REGLETAS, RIELES Y DEMÁS ACCESORIOS DE MONTAJE.</v>
          </cell>
          <cell r="I3574" t="str">
            <v>ML</v>
          </cell>
          <cell r="J3574">
            <v>18041087</v>
          </cell>
        </row>
        <row r="3575">
          <cell r="G3575">
            <v>13134</v>
          </cell>
          <cell r="H3575" t="str">
            <v>CONSTRUCCIÓN INTERSECCIÓN A DESNIVEL PUENTE ARANDA Y DEMÁS OBRAS COMPLEMENTARIAS TRONCAL CALLE 13 - CODO D=30" ENTRE 5° y 22.5° WSP ACERO AL CARBONO NORMA AWWA C200 350 PSI, CON RECUBRIMIENTO SEGÚN NORMA AWWA C205, EXTREMOS ESPIGO/CAMPANA. (Suminisro e instalación)</v>
          </cell>
          <cell r="I3575" t="str">
            <v>UN</v>
          </cell>
          <cell r="J3575">
            <v>5464301</v>
          </cell>
        </row>
        <row r="3576">
          <cell r="G3576">
            <v>13135</v>
          </cell>
          <cell r="H3576" t="str">
            <v>CONSTRUCCIÓN INTERSECCIÓN A DESNIVEL PUENTE ARANDA Y DEMÁS OBRAS COMPLEMENTARIAS TRONCAL CALLE 13 - BANDEJA PORTACABLES METÁLICA 200MM X 100MM. INCLUYE SOPORTES E INSTALACIONES</v>
          </cell>
          <cell r="I3576" t="str">
            <v>ML</v>
          </cell>
          <cell r="J3576">
            <v>58658</v>
          </cell>
        </row>
        <row r="3577">
          <cell r="G3577">
            <v>13136</v>
          </cell>
          <cell r="H3577"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I3577" t="str">
            <v>UN</v>
          </cell>
          <cell r="J3577">
            <v>9732831</v>
          </cell>
        </row>
        <row r="3578">
          <cell r="G3578">
            <v>13137</v>
          </cell>
          <cell r="H3578"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I3578" t="str">
            <v>UN</v>
          </cell>
          <cell r="J3578">
            <v>15187791</v>
          </cell>
        </row>
        <row r="3579">
          <cell r="G3579">
            <v>13138</v>
          </cell>
          <cell r="H3579"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I3579" t="str">
            <v>UN</v>
          </cell>
          <cell r="J3579">
            <v>6430416</v>
          </cell>
        </row>
        <row r="3580">
          <cell r="G3580">
            <v>13139</v>
          </cell>
          <cell r="H3580"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I3580" t="str">
            <v>UN</v>
          </cell>
          <cell r="J3580">
            <v>10339566</v>
          </cell>
        </row>
        <row r="3581">
          <cell r="G3581">
            <v>13140</v>
          </cell>
          <cell r="H3581"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I3581" t="str">
            <v>UN</v>
          </cell>
          <cell r="J3581">
            <v>21136436</v>
          </cell>
        </row>
        <row r="3582">
          <cell r="G3582">
            <v>13141</v>
          </cell>
          <cell r="H3582" t="str">
            <v xml:space="preserve"> CONSTRUCCIÓN INTERSECCIÓN A DESNIVEL PUENTE ARANDA Y DEMÁS OBRAS COMPLEMENTARIAS TRONCAL CALLE 13 -CABLE CONDUCTOR DE COBRE DESNUDO, CALIBRE NO. 10 AWG. (INCLUYE SUMINISTRO E INSTALACIÓN)</v>
          </cell>
          <cell r="I3582" t="str">
            <v>ML</v>
          </cell>
          <cell r="J3582">
            <v>4594</v>
          </cell>
        </row>
        <row r="3583">
          <cell r="G3583">
            <v>13142</v>
          </cell>
          <cell r="H3583"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I3583" t="str">
            <v>UN</v>
          </cell>
          <cell r="J3583">
            <v>2374274</v>
          </cell>
        </row>
        <row r="3584">
          <cell r="G3584">
            <v>13143</v>
          </cell>
          <cell r="H3584"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I3584" t="str">
            <v>UN</v>
          </cell>
          <cell r="J3584">
            <v>30692136</v>
          </cell>
        </row>
        <row r="3585">
          <cell r="G3585">
            <v>13144</v>
          </cell>
          <cell r="H3585" t="str">
            <v>CONSTRUCCIÓN INTERSECCIÓN A DESNIVEL PUENTE ARANDA Y DEMÁS OBRAS COMPLEMENTARIAS TRONCAL CALLE 13 - PANEL SEPARADOR DE ORINALES 0.50M X 1.50M ANCLADO A MURO EN LÁMINA DE ACERO INOXIDABLE MATE CAL, 18</v>
          </cell>
          <cell r="I3585" t="str">
            <v>UN</v>
          </cell>
          <cell r="J3585">
            <v>679756</v>
          </cell>
        </row>
        <row r="3586">
          <cell r="G3586">
            <v>13145</v>
          </cell>
          <cell r="H3586"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I3586" t="str">
            <v>UN</v>
          </cell>
          <cell r="J3586">
            <v>33794466</v>
          </cell>
        </row>
        <row r="3587">
          <cell r="G3587">
            <v>13146</v>
          </cell>
          <cell r="H3587"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I3587" t="str">
            <v>UN</v>
          </cell>
          <cell r="J3587">
            <v>5872306</v>
          </cell>
        </row>
        <row r="3588">
          <cell r="G3588">
            <v>13147</v>
          </cell>
          <cell r="H3588"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I3588" t="str">
            <v>M2</v>
          </cell>
          <cell r="J3588">
            <v>210155</v>
          </cell>
        </row>
        <row r="3589">
          <cell r="G3589">
            <v>13148</v>
          </cell>
          <cell r="H3589" t="str">
            <v>CONSTRUCCIÓN INTERSECCIÓN A DESNIVEL PUENTE ARANDA Y DEMÁS OBRAS COMPLEMENTARIAS TRONCAL CALLE 13 - UNIÓN DE DESMONTAJE RÍGIDA Ø=10" CLASE 150 (Suministro e instalación)</v>
          </cell>
          <cell r="I3589" t="str">
            <v>UN</v>
          </cell>
          <cell r="J3589">
            <v>2493432</v>
          </cell>
        </row>
        <row r="3590">
          <cell r="G3590">
            <v>13149</v>
          </cell>
          <cell r="H3590" t="str">
            <v>CONSTRUCCIÓN INTERSECCIÓN A DESNIVEL PUENTE ARANDA Y DEMÁS OBRAS COMPLEMENTARIAS TRONCAL CALLE 13 - UNIÓN DE DESMONTAJE RÍGIDA D=12" CLASE 300 (Suministro e instalación)</v>
          </cell>
          <cell r="I3590" t="str">
            <v>UN</v>
          </cell>
          <cell r="J3590">
            <v>6605690</v>
          </cell>
        </row>
        <row r="3591">
          <cell r="G3591">
            <v>13150</v>
          </cell>
          <cell r="H3591" t="str">
            <v>CONSTRUCCIÓN INTERSECCIÓN A DESNIVEL PUENTE ARANDA Y DEMÁS OBRAS COMPLEMENTARIAS TRONCAL CALLE 13 - UNIÓN DE DESMONTAJE RÍGIDA Ø 30" CLASE 300 (Suministro e instalación)</v>
          </cell>
          <cell r="I3591" t="str">
            <v>UN</v>
          </cell>
          <cell r="J3591">
            <v>40568286</v>
          </cell>
        </row>
        <row r="3592">
          <cell r="G3592">
            <v>13151</v>
          </cell>
          <cell r="H3592"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I3592" t="str">
            <v>M2</v>
          </cell>
          <cell r="J3592">
            <v>319002</v>
          </cell>
        </row>
        <row r="3593">
          <cell r="G3593">
            <v>13152</v>
          </cell>
          <cell r="H3593" t="str">
            <v>CONSTRUCCIÓN INTERSECCIÓN A DESNIVEL PUENTE ARANDA Y DEMÁS OBRAS COMPLEMENTARIAS TRONCAL CALLE 13 - UNIÓN DE DESMONTAJE RÍGIDA D=36" CLASE 300 (Suministro e instalación)</v>
          </cell>
          <cell r="I3593" t="str">
            <v>UN</v>
          </cell>
          <cell r="J3593">
            <v>44887345</v>
          </cell>
        </row>
        <row r="3594">
          <cell r="G3594">
            <v>13153</v>
          </cell>
          <cell r="H3594" t="str">
            <v>CONSTRUCCIÓN INTERSECCIÓN A DESNIVEL PUENTE ARANDA Y DEMÁS OBRAS COMPLEMENTARIAS TRONCAL CALLE 13 - VÁLVULA MARIPOSA DE Ø 8", ASTM A536, CL 300 #, CON EXTREMOS BRIDADOS ANSI/ASME B16.5 (Suministro e instalación)</v>
          </cell>
          <cell r="I3594" t="str">
            <v>UN</v>
          </cell>
          <cell r="J3594">
            <v>9248257</v>
          </cell>
        </row>
        <row r="3595">
          <cell r="G3595">
            <v>13154</v>
          </cell>
          <cell r="H3595" t="str">
            <v>CONSTRUCCIÓN INTERSECCIÓN A DESNIVEL PUENTE ARANDA Y DEMÁS OBRAS COMPLEMENTARIAS TRONCAL CALLE 13 - VÁLVULA MARIPOSA DE Ø 10", ASTM A536, CL 300 #, CON EXTREMOS BRIDADOS ANSI/ASME B16.5 (Suministro e instalación)</v>
          </cell>
          <cell r="I3595" t="str">
            <v>UN</v>
          </cell>
          <cell r="J3595">
            <v>12059418</v>
          </cell>
        </row>
        <row r="3596">
          <cell r="G3596">
            <v>13155</v>
          </cell>
          <cell r="H3596" t="str">
            <v>CONSTRUCCIÓN INTERSECCIÓN A DESNIVEL PUENTE ARANDA Y DEMÁS OBRAS COMPLEMENTARIAS TRONCAL CALLE 13 - VÁLVULA TIPO MARIPOSA DE Ø 12", ASTM A536, CL 300 #, CON EXTREMOS BRIDADOS ANSI/ASME B16.5 (Suministro e instalación)</v>
          </cell>
          <cell r="I3596" t="str">
            <v>UN</v>
          </cell>
          <cell r="J3596">
            <v>16707880</v>
          </cell>
        </row>
        <row r="3597">
          <cell r="G3597">
            <v>13156</v>
          </cell>
          <cell r="H3597"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I3597" t="str">
            <v>UN</v>
          </cell>
          <cell r="J3597">
            <v>573968</v>
          </cell>
        </row>
        <row r="3598">
          <cell r="G3598">
            <v>13157</v>
          </cell>
          <cell r="H3598" t="str">
            <v>CONSTRUCCIÓN INTERSECCIÓN A DESNIVEL PUENTE ARANDA Y DEMÁS OBRAS COMPLEMENTARIAS TRONCAL CALLE 13 - VÁLVULA TIPO MARIPOSA DE Ø 18", ASTM A536, CL 300 #, CON EXTREMOS BRIDADOS ANSI/ASME B16.5 (Suministro e instalación)</v>
          </cell>
          <cell r="I3598" t="str">
            <v>UN</v>
          </cell>
          <cell r="J3598">
            <v>32388967</v>
          </cell>
        </row>
        <row r="3599">
          <cell r="G3599">
            <v>13158</v>
          </cell>
          <cell r="H3599" t="str">
            <v xml:space="preserve"> CONSTRUCCIÓN INTERSECCIÓN A DESNIVEL PUENTE ARANDA Y DEMÁS OBRAS COMPLEMENTARIAS TRONCAL CALLE 13 -REDUCCION PVC SOLDAR D=2X1 (Suministro e Instalación)</v>
          </cell>
          <cell r="I3599" t="str">
            <v>UN</v>
          </cell>
          <cell r="J3599">
            <v>14596</v>
          </cell>
        </row>
        <row r="3600">
          <cell r="G3600">
            <v>13159</v>
          </cell>
          <cell r="H3600" t="str">
            <v>CONSTRUCCIÓN INTERSECCIÓN A DESNIVEL PUENTE ARANDA Y DEMÁS OBRAS COMPLEMENTARIAS TRONCAL CALLE 13 - VÁLVULA TIPO MARIPOSA DE Ø 30", ASTM A536, CL 300 #, CON EXTREMOS BRIDADOS ANSI/ASME B16.47 (SUMINISTRO E INSTALACIÓN)</v>
          </cell>
          <cell r="I3600" t="str">
            <v>UN</v>
          </cell>
          <cell r="J3600">
            <v>74253438</v>
          </cell>
        </row>
        <row r="3601">
          <cell r="G3601">
            <v>13160</v>
          </cell>
          <cell r="H3601" t="str">
            <v xml:space="preserve"> CONSTRUCCIÓN INTERSECCIÓN A DESNIVEL PUENTE ARANDA Y DEMÁS OBRAS COMPLEMENTARIAS TRONCAL CALLE 13 -Bomba electrica de 1HP,  Caudal 4.86 Gpm, presión 36.75 psi. (Suministro e instalación)</v>
          </cell>
          <cell r="I3601" t="str">
            <v>UN</v>
          </cell>
          <cell r="J3601">
            <v>1578578</v>
          </cell>
        </row>
        <row r="3602">
          <cell r="G3602">
            <v>13161</v>
          </cell>
          <cell r="H3602" t="str">
            <v>CONSTRUCCIÓN INTERSECCIÓN A DESNIVEL PUENTE ARANDA Y DEMÁS OBRAS COMPLEMENTARIAS TRONCAL CALLE 13 - VÁLVULA TIPO MARIPOSA DE Ø 36", ASTM A536, CL 300 #, CON EXTREMOS BRIDADOS ANSI/ASME B16.47 (Suministro e instalación)</v>
          </cell>
          <cell r="I3602" t="str">
            <v>UN</v>
          </cell>
          <cell r="J3602">
            <v>50494470</v>
          </cell>
        </row>
        <row r="3603">
          <cell r="G3603">
            <v>13162</v>
          </cell>
          <cell r="H3603" t="str">
            <v xml:space="preserve"> CONSTRUCCIÓN INTERSECCIÓN A DESNIVEL PUENTE ARANDA Y DEMÁS OBRAS COMPLEMENTARIAS TRONCAL CALLE 13 -UNION HG 3/4". Suministro e instalaciòn</v>
          </cell>
          <cell r="I3603" t="str">
            <v>UN</v>
          </cell>
          <cell r="J3603">
            <v>2770</v>
          </cell>
        </row>
        <row r="3604">
          <cell r="G3604">
            <v>13163</v>
          </cell>
          <cell r="H3604" t="str">
            <v>CONSTRUCCIÓN INTERSECCIÓN A DESNIVEL PUENTE ARANDA Y DEMÁS OBRAS COMPLEMENTARIAS TRONCAL CALLE 13 - Válvula ventosa HD de doble efecto D=4" Clase 300 extremos bridados ANSI B16.5 (Suministro e instalación)</v>
          </cell>
          <cell r="I3604" t="str">
            <v>UN</v>
          </cell>
          <cell r="J3604">
            <v>2321781</v>
          </cell>
        </row>
        <row r="3605">
          <cell r="G3605">
            <v>13164</v>
          </cell>
          <cell r="H3605" t="str">
            <v>CONSTRUCCIÓN INTERSECCIÓN A DESNIVEL PUENTE ARANDA Y DEMÁS OBRAS COMPLEMENTARIAS TRONCAL CALLE 13 - BRIDA SLIP ON D=4"  CLASE 300, ANSI/ASME B16.5 (SUMINISTRO E INSTALACIÓN)</v>
          </cell>
          <cell r="I3605" t="str">
            <v>UN</v>
          </cell>
          <cell r="J3605">
            <v>230644</v>
          </cell>
        </row>
        <row r="3606">
          <cell r="G3606">
            <v>13165</v>
          </cell>
          <cell r="H3606" t="str">
            <v xml:space="preserve"> CONSTRUCCIÓN INTERSECCIÓN A DESNIVEL PUENTE ARANDA Y DEMÁS OBRAS COMPLEMENTARIAS TRONCAL CALLE 13 -VÁLVULA DE CHEQUE Ø 8", 300#, EXTREMOS BRIDADOS ANSI/ASME B16.5 (SUMINISTRO E INSTALACIÓN)</v>
          </cell>
          <cell r="I3606" t="str">
            <v>UN</v>
          </cell>
          <cell r="J3606">
            <v>2310207</v>
          </cell>
        </row>
        <row r="3607">
          <cell r="G3607">
            <v>13166</v>
          </cell>
          <cell r="H3607"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I3607" t="str">
            <v>UN</v>
          </cell>
          <cell r="J3607">
            <v>316087</v>
          </cell>
        </row>
        <row r="3608">
          <cell r="G3608">
            <v>13167</v>
          </cell>
          <cell r="H3608" t="str">
            <v>CONSTRUCCIÓN INTERSECCIÓN A DESNIVEL PUENTE ARANDA Y DEMÁS OBRAS COMPLEMENTARIAS TRONCAL CALLE 13 - CODO 90° D=4" LR, ASTM A234, WPB D=4" CLASE 150 (Suministro e instalación)</v>
          </cell>
          <cell r="I3608" t="str">
            <v>UN</v>
          </cell>
          <cell r="J3608">
            <v>468022</v>
          </cell>
        </row>
        <row r="3609">
          <cell r="G3609">
            <v>13168</v>
          </cell>
          <cell r="H3609"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I3609" t="str">
            <v>UN</v>
          </cell>
          <cell r="J3609">
            <v>414571</v>
          </cell>
        </row>
        <row r="3610">
          <cell r="G3610">
            <v>13169</v>
          </cell>
          <cell r="H3610"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I3610" t="str">
            <v>UN</v>
          </cell>
          <cell r="J3610">
            <v>755723</v>
          </cell>
        </row>
        <row r="3611">
          <cell r="G3611">
            <v>13170</v>
          </cell>
          <cell r="H3611"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I3611" t="str">
            <v>ML</v>
          </cell>
          <cell r="J3611">
            <v>8275333</v>
          </cell>
        </row>
        <row r="3612">
          <cell r="G3612">
            <v>13171</v>
          </cell>
          <cell r="H3612"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I3612" t="str">
            <v>UN</v>
          </cell>
          <cell r="J3612">
            <v>622186</v>
          </cell>
        </row>
        <row r="3613">
          <cell r="G3613">
            <v>13172</v>
          </cell>
          <cell r="H3613" t="str">
            <v>CONSTRUCCIÓN INTERSECCIÓN A DESNIVEL PUENTE ARANDA Y DEMÁS OBRAS COMPLEMENTARIAS TRONCAL CALLE 13 - TUBERIA HG D= 1/2`` (INCLUYE SUMINISTRO E INSTALACIÓN, SOLDADURA).</v>
          </cell>
          <cell r="I3613" t="str">
            <v>UN</v>
          </cell>
          <cell r="J3613">
            <v>11522</v>
          </cell>
        </row>
        <row r="3614">
          <cell r="G3614">
            <v>13173</v>
          </cell>
          <cell r="H3614"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I3614" t="str">
            <v>ML</v>
          </cell>
          <cell r="J3614">
            <v>5315803</v>
          </cell>
        </row>
        <row r="3615">
          <cell r="G3615">
            <v>13174</v>
          </cell>
          <cell r="H3615" t="str">
            <v>CONSTRUCCIÓN INTERSECCIÓN A DESNIVEL PUENTE ARANDA Y DEMÁS OBRAS COMPLEMENTARIAS TRONCAL CALLE 13 - TUBERIA HG D= 3/4`` (INCLUYE SUMINISTRO E INSTALACIÓN, SOLDADURA).</v>
          </cell>
          <cell r="I3615" t="str">
            <v>UN</v>
          </cell>
          <cell r="J3615">
            <v>14464</v>
          </cell>
        </row>
        <row r="3616">
          <cell r="G3616">
            <v>13175</v>
          </cell>
          <cell r="H3616"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I3616" t="str">
            <v>ML</v>
          </cell>
          <cell r="J3616">
            <v>2858453</v>
          </cell>
        </row>
        <row r="3617">
          <cell r="G3617">
            <v>13176</v>
          </cell>
          <cell r="H3617" t="str">
            <v>CONSTRUCCIÓN INTERSECCIÓN A DESNIVEL PUENTE ARANDA Y DEMÁS OBRAS COMPLEMENTARIAS TRONCAL CALLE 13 - CODO 90° HG DE 1/2". Suministro en instalación.</v>
          </cell>
          <cell r="I3617" t="str">
            <v>UN</v>
          </cell>
          <cell r="J3617">
            <v>10488</v>
          </cell>
        </row>
        <row r="3618">
          <cell r="G3618">
            <v>13177</v>
          </cell>
          <cell r="H3618" t="str">
            <v>CONSTRUCCIÓN INTERSECCIÓN A DESNIVEL PUENTE ARANDA Y DEMÁS OBRAS COMPLEMENTARIAS TRONCAL CALLE 13 - CODO 90° HG DE ¾". Suministro en instalación.</v>
          </cell>
          <cell r="I3618" t="str">
            <v>UN</v>
          </cell>
          <cell r="J3618">
            <v>12788</v>
          </cell>
        </row>
        <row r="3619">
          <cell r="G3619">
            <v>13178</v>
          </cell>
          <cell r="H3619"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I3619" t="str">
            <v>UN</v>
          </cell>
          <cell r="J3619">
            <v>2848097</v>
          </cell>
        </row>
        <row r="3620">
          <cell r="G3620">
            <v>13179</v>
          </cell>
          <cell r="H3620" t="str">
            <v>CONSTRUCCIÓN INTERSECCIÓN A DESNIVEL PUENTE ARANDA Y DEMÁS OBRAS COMPLEMENTARIAS TRONCAL CALLE 13 - TEE HG DE 3/4". Suministro en instalación</v>
          </cell>
          <cell r="I3620" t="str">
            <v>UN</v>
          </cell>
          <cell r="J3620">
            <v>11488</v>
          </cell>
        </row>
        <row r="3621">
          <cell r="G3621">
            <v>13180</v>
          </cell>
          <cell r="H3621" t="str">
            <v>CONSTRUCCIÓN INTERSECCIÓN A DESNIVEL PUENTE ARANDA Y DEMÁS OBRAS COMPLEMENTARIAS TRONCAL CALLE 13 - REDUCCION HG E.L. D=3/4" A  1/2" (Incluye suministro e instalación).</v>
          </cell>
          <cell r="I3621" t="str">
            <v>UN</v>
          </cell>
          <cell r="J3621">
            <v>13738</v>
          </cell>
        </row>
        <row r="3622">
          <cell r="G3622">
            <v>13181</v>
          </cell>
          <cell r="H3622"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I3622" t="str">
            <v>UN</v>
          </cell>
          <cell r="J3622">
            <v>1916869</v>
          </cell>
        </row>
        <row r="3623">
          <cell r="G3623">
            <v>13182</v>
          </cell>
          <cell r="H3623" t="str">
            <v>CONSTRUCCIÓN INTERSECCIÓN A DESNIVEL PUENTE ARANDA Y DEMÁS OBRAS COMPLEMENTARIAS TRONCAL CALLE 13 - Válvula ventosa HD de doble efecto D=6" Clase 300 extremos bridados ANSI B16.5 (Suministro e instalación)</v>
          </cell>
          <cell r="I3623" t="str">
            <v>UN</v>
          </cell>
          <cell r="J3623">
            <v>14109256</v>
          </cell>
        </row>
        <row r="3624">
          <cell r="G3624">
            <v>13183</v>
          </cell>
          <cell r="H3624" t="str">
            <v>CONSTRUCCIÓN INTERSECCIÓN A DESNIVEL PUENTE ARANDA Y DEMÁS OBRAS COMPLEMENTARIAS TRONCAL CALLE 13 -BRIDA SLIP ON RF D=8" CLASE 300, ANSI B16.5 (suministro e instalación, no incluye equipo de soldadura)</v>
          </cell>
          <cell r="I3624" t="str">
            <v>UN</v>
          </cell>
          <cell r="J3624">
            <v>234489</v>
          </cell>
        </row>
        <row r="3625">
          <cell r="G3625">
            <v>13184</v>
          </cell>
          <cell r="H3625" t="str">
            <v>CONSTRUCCIÓN INTERSECCIÓN A DESNIVEL PUENTE ARANDA Y DEMÁS OBRAS COMPLEMENTARIAS TRONCAL CALLE 13 - Válvula ventosa HD de doble efecto D=3" Clase 300 extremos bridados ANSI B16.5 (Suministro e instalación)</v>
          </cell>
          <cell r="I3625" t="str">
            <v>UN</v>
          </cell>
          <cell r="J3625">
            <v>6315921</v>
          </cell>
        </row>
        <row r="3626">
          <cell r="G3626">
            <v>13185</v>
          </cell>
          <cell r="H3626"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I3626" t="str">
            <v>UN</v>
          </cell>
          <cell r="J3626">
            <v>12814760</v>
          </cell>
        </row>
        <row r="3627">
          <cell r="G3627">
            <v>13186</v>
          </cell>
          <cell r="H3627"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I3627" t="str">
            <v>UN</v>
          </cell>
          <cell r="J3627">
            <v>2384678</v>
          </cell>
        </row>
        <row r="3628">
          <cell r="G3628">
            <v>13187</v>
          </cell>
          <cell r="H3628"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I3628" t="str">
            <v>UN</v>
          </cell>
          <cell r="J3628">
            <v>5082326</v>
          </cell>
        </row>
        <row r="3629">
          <cell r="G3629">
            <v>13188</v>
          </cell>
          <cell r="H3629"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I3629" t="str">
            <v>PUNTO</v>
          </cell>
          <cell r="J3629">
            <v>375236</v>
          </cell>
        </row>
        <row r="3630">
          <cell r="G3630">
            <v>13189</v>
          </cell>
          <cell r="H3630"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I3630" t="str">
            <v>ESTACION</v>
          </cell>
          <cell r="J3630">
            <v>22740900</v>
          </cell>
        </row>
        <row r="3631">
          <cell r="G3631">
            <v>13190</v>
          </cell>
          <cell r="H3631" t="str">
            <v>LOGÍSTICA MONITOREOS (Incluye unidad móvil, técnico de campo, comisión de campo y desplazamiento unidades móviles y transporte (máx 4 puntos monitoreo ruido y 4 estaciones calidad del aire)</v>
          </cell>
          <cell r="I3631" t="str">
            <v>UN</v>
          </cell>
          <cell r="J3631">
            <v>10317300</v>
          </cell>
        </row>
        <row r="3632">
          <cell r="G3632">
            <v>13191</v>
          </cell>
          <cell r="H3632" t="str">
            <v>MODELO DE CALIDAD DEL AIRE (Incluye modelo de dispersión de contaminantes atmosféricos con un (01) escenario, donde se simularán los aportes del contaminante PM10, PM2.5 y gases (CO, SOx y NOx))</v>
          </cell>
          <cell r="I3632" t="str">
            <v>UN</v>
          </cell>
          <cell r="J3632">
            <v>11900000</v>
          </cell>
        </row>
        <row r="3633">
          <cell r="G3633">
            <v>13192</v>
          </cell>
          <cell r="H3633" t="str">
            <v>PROYECTO CONSTRUCCION PUENTES SAN AGUSTIN Y LOS ANDES - CAPA DE REY</v>
          </cell>
          <cell r="I3633" t="str">
            <v>UN</v>
          </cell>
          <cell r="J3633">
            <v>3000</v>
          </cell>
        </row>
        <row r="3634">
          <cell r="G3634">
            <v>13193</v>
          </cell>
          <cell r="H3634" t="str">
            <v>PROYECTO CONSTRUCCION PUENTES SAN AGUSTIN Y LOS ANDES - PERNO ROSCADO EN U REF. PEU58AG600 DIAMETRO PERNO R 5/8-11 UNC. DIAMETRO NOMINAL DE TUBERIA 6"</v>
          </cell>
          <cell r="I3634" t="str">
            <v>UN</v>
          </cell>
          <cell r="J3634">
            <v>7961</v>
          </cell>
        </row>
        <row r="3635">
          <cell r="G3635">
            <v>13194</v>
          </cell>
          <cell r="H3635" t="str">
            <v>PROYECTO CONSTRUCCION PUENTES SAN AGUSTIN Y LOS ANDES - PERNOS DE ANCLAJE - ACERO ASTM A193 GR B7 (INCLUYE SUMINISTRO E INSTALACION)</v>
          </cell>
          <cell r="I3635" t="str">
            <v>ML</v>
          </cell>
          <cell r="J3635">
            <v>88358</v>
          </cell>
        </row>
        <row r="3636">
          <cell r="G3636">
            <v>13195</v>
          </cell>
          <cell r="H3636" t="str">
            <v>PROYECTO CONSTRUCCION PUENTES SAN AGUSTIN Y LOS ANDES - ACERO ESTRUCTURAL A588 PARA PLATINAS (INCLUYE SUMINISTRO E INSTALACION)</v>
          </cell>
          <cell r="I3636" t="str">
            <v>KG</v>
          </cell>
          <cell r="J3636">
            <v>20409</v>
          </cell>
        </row>
        <row r="3637">
          <cell r="G3637">
            <v>13196</v>
          </cell>
          <cell r="H3637" t="str">
            <v>PROYECTO CONSTRUCCION PUENTES SAN AGUSTIN Y LOS ANDES - ACERO ESTRUCTURAL A500 GR C PARA ESTRUCTURA (INCLUYE SIMINISTRO E INSTALACION)</v>
          </cell>
          <cell r="I3637" t="str">
            <v>KG</v>
          </cell>
          <cell r="J3637">
            <v>21480</v>
          </cell>
        </row>
        <row r="3638">
          <cell r="G3638">
            <v>13197</v>
          </cell>
          <cell r="H3638" t="str">
            <v>PROYECTO CONSTRUCCION PUENTES SAN AGUSTIN Y LOS ANDES - EJECUCIÓN DE MICROPILOTES, INCLUYE PERFORACIÓN, LLENADO E INYECCIÓN HASTA 100 KG DE CEMENTO E INSTALACIÓN DE REFUERZO</v>
          </cell>
          <cell r="I3638" t="str">
            <v>ML</v>
          </cell>
          <cell r="J3638">
            <v>233240</v>
          </cell>
        </row>
        <row r="3639">
          <cell r="G3639">
            <v>13198</v>
          </cell>
          <cell r="H3639" t="str">
            <v>PROYECTO CONSTRUCCION PUENTES SAN AGUSTIN Y LOS ANDES - LUMINARIA RALED II 32 RA02SII 44W COMPLETA PARA ALUMBRADO PÚBLICO (INCLUYE SUMINISTRO Y TRANSPORTE)</v>
          </cell>
          <cell r="I3639" t="str">
            <v>UN</v>
          </cell>
          <cell r="J3639">
            <v>1142162</v>
          </cell>
        </row>
        <row r="3640">
          <cell r="G3640">
            <v>13199</v>
          </cell>
          <cell r="H3640" t="str">
            <v>PROYECTO CONSTRUCCION PUENTES SAN AGUSTIN Y LOS ANDES - LUMINARIA RALED II 48 RA02SII 74W COMPLETA PARA ALUMBRADO PÚBLICO (INCLUYE SUMINISTRO Y TRANSPORTE)</v>
          </cell>
          <cell r="I3640" t="str">
            <v>UN</v>
          </cell>
          <cell r="J3640">
            <v>1353506</v>
          </cell>
        </row>
        <row r="3641">
          <cell r="G3641">
            <v>13200</v>
          </cell>
          <cell r="H3641" t="str">
            <v>PROYECTO CONSTRUCCION PUENTES SAN AGUSTIN Y LOS ANDES - LUMINARIA RALED I 16. RA02SII 45W Y ACCESORIOS COMPLETA PARA ALUMBRADO PÚBLICO</v>
          </cell>
          <cell r="I3641" t="str">
            <v>UN</v>
          </cell>
          <cell r="J3641">
            <v>775166</v>
          </cell>
        </row>
        <row r="3642">
          <cell r="G3642">
            <v>13201</v>
          </cell>
          <cell r="H3642" t="str">
            <v>PROYECTO CONSTRUCCION PUENTES SAN AGUSTIN Y LOS ANDES - CABLE ALUMINIO AISLADO NO.2</v>
          </cell>
          <cell r="I3642" t="str">
            <v>ML</v>
          </cell>
          <cell r="J3642">
            <v>6177</v>
          </cell>
        </row>
        <row r="3643">
          <cell r="G3643">
            <v>13202</v>
          </cell>
          <cell r="H3643" t="str">
            <v>PROYECTO CONSTRUCCION PUENTES SAN AGUSTIN Y LOS ANDES - MEDIDOR AGUA FRIA 4"</v>
          </cell>
          <cell r="I3643" t="str">
            <v>UN</v>
          </cell>
          <cell r="J3643">
            <v>1811894</v>
          </cell>
        </row>
        <row r="3644">
          <cell r="G3644">
            <v>13203</v>
          </cell>
          <cell r="H3644" t="str">
            <v>PROYECTO CONSTRUCCION PUENTES SAN AGUSTIN Y LOS ANDES - TEE HG 4"X2" EXTREMO LISO</v>
          </cell>
          <cell r="I3644" t="str">
            <v>UN</v>
          </cell>
          <cell r="J3644">
            <v>93177</v>
          </cell>
        </row>
        <row r="3645">
          <cell r="G3645">
            <v>13204</v>
          </cell>
          <cell r="H3645" t="str">
            <v>PROYECTO CONSTRUCCION PUENTES SAN AGUSTIN Y LOS ANDES - TAPON MACHO GALVANIZADO 2"</v>
          </cell>
          <cell r="I3645" t="str">
            <v>UN</v>
          </cell>
          <cell r="J3645">
            <v>6188</v>
          </cell>
        </row>
        <row r="3646">
          <cell r="G3646">
            <v>13205</v>
          </cell>
          <cell r="H3646" t="str">
            <v>REVITALIZACIÓN DEL EJE AMBIENTAL EN BOGOTA D.C. FASE II - ADOQUÍN ENCHAPE CON PATAS DE ARCILLA DE 1/4x26 TIPO SALMONA</v>
          </cell>
          <cell r="I3646" t="str">
            <v>UN</v>
          </cell>
          <cell r="J3646">
            <v>1150</v>
          </cell>
        </row>
        <row r="3647">
          <cell r="G3647">
            <v>13206</v>
          </cell>
          <cell r="H3647" t="str">
            <v>PROYECTO CONSTRUCCION PUENTES SAN AGUSTIN Y LOS ANDES - CURVA CONDUIT GALVANIZADA IMC 3"</v>
          </cell>
          <cell r="I3647" t="str">
            <v>UN</v>
          </cell>
          <cell r="J3647">
            <v>137029</v>
          </cell>
        </row>
        <row r="3648">
          <cell r="G3648">
            <v>13207</v>
          </cell>
          <cell r="H3648" t="str">
            <v>PROYECTO CONSTRUCCION PUENTES SAN AGUSTIN Y LOS ANDES - UNIÓN CONDUIT GALVANIZADO IMC 3"</v>
          </cell>
          <cell r="I3648" t="str">
            <v>UN</v>
          </cell>
          <cell r="J3648">
            <v>29869</v>
          </cell>
        </row>
        <row r="3649">
          <cell r="G3649">
            <v>13208</v>
          </cell>
          <cell r="H3649" t="str">
            <v>PROYECTO CONSTRUCCION PUENTES SAN AGUSTIN Y LOS ANDES -TUBERIA ESTRUCTURAL ACERO AL CARBONO DE 5" BARRAS DE PERFORACION COMPLETA (DIÁMETRO 127 MM Y ESPESOR 9MM)</v>
          </cell>
          <cell r="I3649" t="str">
            <v>ML</v>
          </cell>
          <cell r="J3649">
            <v>281435</v>
          </cell>
        </row>
        <row r="3650">
          <cell r="G3650">
            <v>13209</v>
          </cell>
          <cell r="H3650"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I3650" t="str">
            <v>UN</v>
          </cell>
          <cell r="J3650">
            <v>90685309</v>
          </cell>
        </row>
        <row r="3651">
          <cell r="G3651">
            <v>13210</v>
          </cell>
          <cell r="H3651"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I3651" t="str">
            <v>UN</v>
          </cell>
          <cell r="J3651">
            <v>58342996</v>
          </cell>
        </row>
        <row r="3652">
          <cell r="G3652">
            <v>13211</v>
          </cell>
          <cell r="H3652" t="str">
            <v>CONSTRUCCIÓN INTERSECCIÓN A DESNIVEL PUENTE ARANDA Y DEMÁS OBRAS COMPLEMENTARIAS TRONCAL CALLE 13 - SUMINISTRO E INSTALACIÓN DE RECEPTOR INTELIGENTE 'DSSAdvanced'' PARA UNA PARADA DE BUS EN ESTACIÓN ' - INCLUYE LECTORA UHF - DRIVER RFID - MODULOS TESTIGOS</v>
          </cell>
          <cell r="I3652" t="str">
            <v>UN</v>
          </cell>
          <cell r="J3652">
            <v>4185476</v>
          </cell>
        </row>
        <row r="3653">
          <cell r="G3653">
            <v>13212</v>
          </cell>
          <cell r="H3653" t="str">
            <v>CONSTRUCCIÓN INTERSECCIÓN A DESNIVEL PUENTE ARANDA Y DEMÁS OBRAS COMPLEMENTARIAS TRONCAL CALLE 13 - SUMINISTRO E INSTALACIÓN DE MASTER LOGGER - LAN ''DSSAdvanced'' PARA UN VAGON ESTRUCTURAL</v>
          </cell>
          <cell r="I3653" t="str">
            <v>UN</v>
          </cell>
          <cell r="J3653">
            <v>13380480</v>
          </cell>
        </row>
        <row r="3654">
          <cell r="G3654">
            <v>13213</v>
          </cell>
          <cell r="H3654" t="str">
            <v>CONSTRUCCIÓN INTERSECCIÓN A DESNIVEL PUENTE ARANDA Y DEMÁS OBRAS COMPLEMENTARIAS TRONCAL CALLE 13 - SUMINISTRO E INSTALACIÓN DE POWER SUPPLY 12-16 VCC, 1,5-2.0 A-DSS CON MÓDULO BACK UP ELD 001-DSS DE RECARGA AUTOMÁTICA.</v>
          </cell>
          <cell r="I3654" t="str">
            <v>UN</v>
          </cell>
          <cell r="J3654">
            <v>2029322</v>
          </cell>
        </row>
        <row r="3655">
          <cell r="G3655">
            <v>13214</v>
          </cell>
          <cell r="H3655" t="str">
            <v>AVENIDA CONTADOR (CL. 134) - BANCA EN CONCRETO M-02-A, (INCLUYE TRANSPORTE DEL ELEMENTO)</v>
          </cell>
          <cell r="I3655" t="str">
            <v>UN</v>
          </cell>
          <cell r="J3655">
            <v>2268250</v>
          </cell>
        </row>
        <row r="3656">
          <cell r="G3656">
            <v>13215</v>
          </cell>
          <cell r="H3656" t="str">
            <v>AVENIDA CONTADOR (CL. 134) - BLOQUEO Y TRANSPLANTE DE ARBOLES 15 - 20 MT (INCLUYE TRANSPORTE, RECOLECCIÓN,ALISTAMIENTO DE ZONA, PREBLOQUEO, BLOQUEO, PRUEBAS DE INFILTRACIÓN Y PH DEL SUELO, TRASLADO Y UBICACIÓN FINAL, ENDOTERAPIAS, INFORME ACTIVIDADES REALIZADAS).</v>
          </cell>
          <cell r="I3656" t="str">
            <v>UN</v>
          </cell>
          <cell r="J3656">
            <v>3403313</v>
          </cell>
        </row>
        <row r="3657">
          <cell r="G3657">
            <v>13216</v>
          </cell>
          <cell r="H3657" t="str">
            <v>AVENIDA CONTADOR (CL. 134) - rejilla de piso metalica cuadrado 10 x 10 cm para desague de 3"</v>
          </cell>
          <cell r="I3657" t="str">
            <v>UN</v>
          </cell>
          <cell r="J3657">
            <v>31900</v>
          </cell>
        </row>
        <row r="3658">
          <cell r="G3658">
            <v>13217</v>
          </cell>
          <cell r="H3658" t="str">
            <v>AVENIDA CONTADOR (CL. 134) - BENTONITA SODICA</v>
          </cell>
          <cell r="I3658" t="str">
            <v>KG</v>
          </cell>
          <cell r="J3658">
            <v>4192</v>
          </cell>
        </row>
        <row r="3659">
          <cell r="G3659">
            <v>13218</v>
          </cell>
          <cell r="H3659" t="str">
            <v>AVENIDA CONTADOR (CL. 134) - Cinta tipo Hypalon H-20</v>
          </cell>
          <cell r="I3659" t="str">
            <v>ML</v>
          </cell>
          <cell r="J3659">
            <v>188085</v>
          </cell>
        </row>
        <row r="3660">
          <cell r="G3660">
            <v>13219</v>
          </cell>
          <cell r="H3660" t="str">
            <v>AVENIDA CONTADOR (CL. 134) - POLIESTIRENO DE ALTA DENSIDAD 9 e=2cm</v>
          </cell>
          <cell r="I3660" t="str">
            <v>M3</v>
          </cell>
          <cell r="J3660">
            <v>194554</v>
          </cell>
        </row>
        <row r="3661">
          <cell r="G3661">
            <v>13220</v>
          </cell>
          <cell r="H3661" t="str">
            <v>AVENIDA CONTADOR (CL. 134) - MANGUERA DE POLIETILENO DE BAJA DENSIDAD 1"</v>
          </cell>
          <cell r="I3661" t="str">
            <v>ML</v>
          </cell>
          <cell r="J3661">
            <v>1278</v>
          </cell>
        </row>
        <row r="3662">
          <cell r="G3662">
            <v>13221</v>
          </cell>
          <cell r="H3662" t="str">
            <v xml:space="preserve">LOSETA PULIDA DE MICROGRANO DE MARMOL FORMATO 40 cm * 40 cm * 4,5 cm </v>
          </cell>
          <cell r="I3662" t="str">
            <v>M2</v>
          </cell>
          <cell r="J3662">
            <v>120025</v>
          </cell>
        </row>
        <row r="3663">
          <cell r="G3663">
            <v>13222</v>
          </cell>
          <cell r="H3663" t="str">
            <v>LEVANTAMIENTO CON TECNOLOGIA GEORADAR(GPR)- Ground Penetrating Radar. Señal electromagnética de alta frecuencia, barrido con antena. Detección de redes. Incluye informe y radargramas</v>
          </cell>
          <cell r="I3663" t="str">
            <v>KM</v>
          </cell>
          <cell r="J3663">
            <v>5355000</v>
          </cell>
        </row>
        <row r="3664">
          <cell r="G3664">
            <v>13223</v>
          </cell>
          <cell r="H3664" t="str">
            <v>PROYECTO CONSTRUCCION PUENTES SAN AGUSTIN Y LOS ANDES -ACOMETIDA EN BAJA TENSIÓN EN CONDUCTORES CU 2X6 AWG, 600 V (INCLUYE SUMINISTRO E INSTALACIÓN TUBERIA PVC 2" Y CABLES)</v>
          </cell>
          <cell r="I3664" t="str">
            <v>ML</v>
          </cell>
          <cell r="J3664">
            <v>46624</v>
          </cell>
        </row>
        <row r="3665">
          <cell r="G3665">
            <v>13224</v>
          </cell>
          <cell r="H3665" t="str">
            <v>PROYECTO CONSTRUCCION PUENTES SAN AGUSTIN Y LOS ANDES - Hebilla de acero inoxidable 5/8”</v>
          </cell>
          <cell r="I3665" t="str">
            <v>UN</v>
          </cell>
          <cell r="J3665">
            <v>750</v>
          </cell>
        </row>
        <row r="3666">
          <cell r="G3666">
            <v>13225</v>
          </cell>
          <cell r="H3666" t="str">
            <v>PROYECTO CONSTRUCCION PUENTES SAN AGUSTIN Y LOS ANDES - Metros de cinta de acero inoxidable 5/8”x 0,03”</v>
          </cell>
          <cell r="I3666" t="str">
            <v>ML</v>
          </cell>
          <cell r="J3666">
            <v>3200</v>
          </cell>
        </row>
        <row r="3667">
          <cell r="G3667">
            <v>13226</v>
          </cell>
          <cell r="H3667" t="str">
            <v>PROYECTO CONSTRUCCION PUENTES SAN AGUSTIN Y LOS ANDES - Boquilla galvanizada 3"</v>
          </cell>
          <cell r="I3667" t="str">
            <v>UN</v>
          </cell>
          <cell r="J3667">
            <v>12900</v>
          </cell>
        </row>
        <row r="3668">
          <cell r="G3668">
            <v>13227</v>
          </cell>
          <cell r="H3668" t="str">
            <v>PROYECTO CONSTRUCCION PUENTES SAN AGUSTIN Y LOS ANDES - Codo galvanizado 3" x 90</v>
          </cell>
          <cell r="I3668" t="str">
            <v>UN</v>
          </cell>
          <cell r="J3668">
            <v>16540</v>
          </cell>
        </row>
        <row r="3669">
          <cell r="G3669">
            <v>13229</v>
          </cell>
          <cell r="H3669" t="str">
            <v>PROYECTO CONSTRUCCION PUENTES SAN AGUSTIN Y LOS ANDES - CABLE ALUMINIO AISLADO NO.4</v>
          </cell>
          <cell r="I3669" t="str">
            <v>ML</v>
          </cell>
          <cell r="J3669">
            <v>3300</v>
          </cell>
        </row>
        <row r="3670">
          <cell r="G3670">
            <v>13234</v>
          </cell>
          <cell r="H3670" t="str">
            <v xml:space="preserve">PROYECTO PATIO ZONAL ALAMEDA EL JARDIN: CODO 90° CXE PVC SANITARIA D=3" </v>
          </cell>
          <cell r="I3670" t="str">
            <v>UN</v>
          </cell>
          <cell r="J3670">
            <v>8200</v>
          </cell>
        </row>
        <row r="3671">
          <cell r="G3671">
            <v>13240</v>
          </cell>
          <cell r="H3671" t="str">
            <v>PROYECTO CONSTRUCCION PUENTES SAN AGUSTIN Y LOS ANDES:  RIEL CHANEL PERFORADO 4x4cm x 3m</v>
          </cell>
          <cell r="I3671" t="str">
            <v>UN</v>
          </cell>
          <cell r="J3671">
            <v>51300</v>
          </cell>
        </row>
        <row r="3672">
          <cell r="G3672">
            <v>13241</v>
          </cell>
          <cell r="H3672" t="str">
            <v>PROYECTO CONSTRUCCION PUENTES SAN AGUSTIN Y LOS ANDES:  VARILLA ROSCADA 3/8” x 3m ZINCADA</v>
          </cell>
          <cell r="I3672" t="str">
            <v>UN</v>
          </cell>
          <cell r="J3672">
            <v>13899</v>
          </cell>
        </row>
        <row r="3673">
          <cell r="G3673">
            <v>13245</v>
          </cell>
          <cell r="H3673" t="str">
            <v>PROYECTO CONSTRUCCION PUENTES SAN AGUSTIN Y LOS ANDES:  TUERCA HEXAGONAL 3/8" ZINCADA</v>
          </cell>
          <cell r="I3673" t="str">
            <v>UN</v>
          </cell>
          <cell r="J3673">
            <v>150</v>
          </cell>
        </row>
        <row r="3674">
          <cell r="G3674">
            <v>13248</v>
          </cell>
          <cell r="H3674" t="str">
            <v xml:space="preserve">PROYECTO CONSTRUCCION PUENTES SAN AGUSTIN Y LOS ANDES:  ARANDELA PLANA 3/8" ZINCADA </v>
          </cell>
          <cell r="I3674" t="str">
            <v>UN</v>
          </cell>
          <cell r="J3674">
            <v>150</v>
          </cell>
        </row>
        <row r="3675">
          <cell r="G3675">
            <v>13249</v>
          </cell>
          <cell r="H3675" t="str">
            <v>MEZCLA ASFÁLTICA EN CALIENTE DENSA MD19 CON CEMENTO ASFÁLTICO CA 14</v>
          </cell>
          <cell r="I3675" t="str">
            <v>M3</v>
          </cell>
          <cell r="J3675">
            <v>776266</v>
          </cell>
        </row>
        <row r="3676">
          <cell r="G3676">
            <v>13250</v>
          </cell>
          <cell r="H3676" t="str">
            <v>MEZCLA ASFÁLTICA EN CALIENTE DENSA MD25 CON CEMENTO ASFÁLTICO CA 14</v>
          </cell>
          <cell r="I3676" t="str">
            <v>M3</v>
          </cell>
          <cell r="J3676">
            <v>758679</v>
          </cell>
        </row>
        <row r="3677">
          <cell r="G3677">
            <v>13251</v>
          </cell>
          <cell r="H3677" t="str">
            <v>MEZCLA ASFÁLTICA EN CALIENTE MCCh25-A CON CEMENTO ASFÁLTICO MODIFICADO CON CAUCHO</v>
          </cell>
          <cell r="I3677" t="str">
            <v>M3</v>
          </cell>
          <cell r="J3677">
            <v>1109142</v>
          </cell>
        </row>
      </sheetData>
      <sheetData sheetId="6">
        <row r="12">
          <cell r="F12">
            <v>3007</v>
          </cell>
          <cell r="G12" t="str">
            <v>REPLANTEO GENERAL</v>
          </cell>
          <cell r="H12" t="str">
            <v>M2</v>
          </cell>
          <cell r="I12">
            <v>758</v>
          </cell>
        </row>
        <row r="13">
          <cell r="F13">
            <v>3009</v>
          </cell>
          <cell r="G13" t="str">
            <v>EXCAVACION MANUAL PARA REDES PROFUNDIDAD 0M - 2M (INCLUYE CARGUE)</v>
          </cell>
          <cell r="H13" t="str">
            <v>M3</v>
          </cell>
          <cell r="I13">
            <v>36750</v>
          </cell>
        </row>
        <row r="14">
          <cell r="F14">
            <v>3010</v>
          </cell>
          <cell r="G14" t="str">
            <v>DEMOLICION PAVIMENTO ASFALTICO (INCLUYE CARGUE). NO INCLUYE TRANSPORTE Y DISPOSICIÓN FINAL DE SOBRANTES.</v>
          </cell>
          <cell r="H14" t="str">
            <v>M3</v>
          </cell>
          <cell r="I14">
            <v>32445</v>
          </cell>
        </row>
        <row r="15">
          <cell r="F15">
            <v>3011</v>
          </cell>
          <cell r="G15" t="str">
            <v>DEMOLICION MANUAL SARDINEL EXISTENTE (INCLUYE CARGUE). NO INCLUYE TRANSPORTE Y DISPOSICIÓN FINAL DE SOBRANTES.</v>
          </cell>
          <cell r="H15" t="str">
            <v>ML</v>
          </cell>
          <cell r="I15">
            <v>5157</v>
          </cell>
        </row>
        <row r="16">
          <cell r="F16">
            <v>3012</v>
          </cell>
          <cell r="G16" t="str">
            <v>DEMOLICIÓN PISOS DE CONCRETO (ESPESOR VARIABLE HASTA 0.10 M. INCLUYE CARGUE). NO INCLUYE TRANSPORTE Y DISPOSICIÓN FINAL DE SOBRANTES.</v>
          </cell>
          <cell r="H16" t="str">
            <v>M2</v>
          </cell>
          <cell r="I16">
            <v>6831</v>
          </cell>
        </row>
        <row r="17">
          <cell r="F17">
            <v>3015</v>
          </cell>
          <cell r="G17" t="str">
            <v>RETIRO DE POSTES DE AP/LA (INCLUYE TRASLADO A SITIO DE ACOPIO)</v>
          </cell>
          <cell r="H17" t="str">
            <v>UN</v>
          </cell>
          <cell r="I17">
            <v>225256</v>
          </cell>
        </row>
        <row r="18">
          <cell r="F18">
            <v>3017</v>
          </cell>
          <cell r="G18" t="str">
            <v>TRANSPORTE Y DISPOSICIÓN FINAL DE ESCOMBROS EN SITIO AUTORIZADO (DISTANCIA DE TRANSPORTE 21 KM). A DISTANCIA MAYOR DEL ACARREO LIBRE (90 M) EN SITIO AUTORIZADO POR LA ENTIDAD AMBIENTAL COMPETENTE.</v>
          </cell>
          <cell r="H18" t="str">
            <v>M3</v>
          </cell>
          <cell r="I18">
            <v>34896</v>
          </cell>
        </row>
        <row r="19">
          <cell r="F19">
            <v>3018</v>
          </cell>
          <cell r="G19" t="str">
            <v>RELLENO EN TIERRA NEGRA PARA EMPRADIZACION (SUMINISTRO Y EXTENDIDO)</v>
          </cell>
          <cell r="H19" t="str">
            <v>M3</v>
          </cell>
          <cell r="I19">
            <v>63299</v>
          </cell>
        </row>
        <row r="20">
          <cell r="F20">
            <v>3021</v>
          </cell>
          <cell r="G20" t="str">
            <v>DEMOLICION PAVIMENTO ASFALTICO (ESPESOR VARIABLE. INCLUYE CARGUE). NO INCLUYE TRANSPORTE Y DISPOSICIÓN FINAL DE SOBRANTES.</v>
          </cell>
          <cell r="H20" t="str">
            <v>M2</v>
          </cell>
          <cell r="I20">
            <v>6242</v>
          </cell>
        </row>
        <row r="21">
          <cell r="F21">
            <v>3022</v>
          </cell>
          <cell r="G21" t="str">
            <v>DEMOLICIÓN PISOS DE CONCRETO (INCLUYE CARGUE). NO INCLUYE TRANSPORTE Y DISPOSICIÓN FINAL DE SOBRANTES.</v>
          </cell>
          <cell r="H21" t="str">
            <v>M3</v>
          </cell>
          <cell r="I21">
            <v>48934</v>
          </cell>
        </row>
        <row r="22">
          <cell r="F22">
            <v>3024</v>
          </cell>
          <cell r="G22" t="str">
            <v>RELLENO PARA REDES EN ARENA DE PEÑA (SUMINISTRO, EXTENDIDO, HUMEDECIMIENTO Y COMPACTACIÓN)</v>
          </cell>
          <cell r="H22" t="str">
            <v>M3</v>
          </cell>
          <cell r="I22">
            <v>116397</v>
          </cell>
        </row>
        <row r="23">
          <cell r="F23">
            <v>3027</v>
          </cell>
          <cell r="G23" t="str">
            <v>SARDINEL TIPO A10 (SUMINISTRO E INSTALACIÓN. INCLUYE 3CM MORTERO 1:5)</v>
          </cell>
          <cell r="H23" t="str">
            <v>ML</v>
          </cell>
          <cell r="I23">
            <v>75706</v>
          </cell>
        </row>
        <row r="24">
          <cell r="F24">
            <v>3041</v>
          </cell>
          <cell r="G24" t="str">
            <v>TUBERIA PVC U.M. EXT CORRUGADO/INT LISO U.M. NORMA NTC 3722-1 D=4" (INCLUYE SUMINISTRO E INSTALACIÓN)</v>
          </cell>
          <cell r="H24" t="str">
            <v>ML</v>
          </cell>
          <cell r="I24">
            <v>29925</v>
          </cell>
        </row>
        <row r="25">
          <cell r="F25">
            <v>3042</v>
          </cell>
          <cell r="G25" t="str">
            <v>TUBERIA PVC U.M. EXT CORRUGADO/INT LISO U.M. NORMA NTC 3722-1 D=6" (INCLUYE SUMINISTRO E INSTALACIÓN)</v>
          </cell>
          <cell r="H25" t="str">
            <v>ML</v>
          </cell>
          <cell r="I25">
            <v>51923</v>
          </cell>
        </row>
        <row r="26">
          <cell r="F26">
            <v>3043</v>
          </cell>
          <cell r="G26" t="str">
            <v>TUBERIA PVC U.M. EXT CORRUGADO/INT LISO U.M. NORMA NTC 3722-1 D=8" (INCLUYE SUMINISTRO E INSTALACIÓN)</v>
          </cell>
          <cell r="H26" t="str">
            <v>ML</v>
          </cell>
          <cell r="I26">
            <v>72174</v>
          </cell>
        </row>
        <row r="27">
          <cell r="F27">
            <v>3044</v>
          </cell>
          <cell r="G27" t="str">
            <v>TUBERIA PVC U.M. EXT CORRUGADO/INT LISO U.M. NORMA NTC 3722-1 D=10" (INCLUYE SUMINISTRO E INSTALACIÓN)</v>
          </cell>
          <cell r="H27" t="str">
            <v>ML</v>
          </cell>
          <cell r="I27">
            <v>102214</v>
          </cell>
        </row>
        <row r="28">
          <cell r="F28">
            <v>3045</v>
          </cell>
          <cell r="G28" t="str">
            <v>TUBERIA PVC U.M. EXT CORRUGADO/INT LISO U.M. NORMA NTC 3722-1 D=12" (INCLUYE SUMINISTRO E INSTALACIÓN)</v>
          </cell>
          <cell r="H28" t="str">
            <v>ML</v>
          </cell>
          <cell r="I28">
            <v>143385</v>
          </cell>
        </row>
        <row r="29">
          <cell r="F29">
            <v>3046</v>
          </cell>
          <cell r="G29" t="str">
            <v>TUBERIA PVC U.M. EXT CORRUGADO/INT LISO U.M. NORMA NTC 3722-1 D=16" (INCLUYE SUMINISTRO E INSTALACIÓN)</v>
          </cell>
          <cell r="H29" t="str">
            <v>ML</v>
          </cell>
          <cell r="I29">
            <v>254940</v>
          </cell>
        </row>
        <row r="30">
          <cell r="F30">
            <v>3047</v>
          </cell>
          <cell r="G30" t="str">
            <v>TUBERIA PVC U.M. EXT CORRUGADO/INT LISO U.M. NORMA NTC 3722-1 D=18" (INCLUYE SUMINISTRO E INSTALACIÓN)</v>
          </cell>
          <cell r="H30" t="str">
            <v>ML</v>
          </cell>
          <cell r="I30">
            <v>326614</v>
          </cell>
        </row>
        <row r="31">
          <cell r="F31">
            <v>3048</v>
          </cell>
          <cell r="G31" t="str">
            <v>TUBERIA PVC U.M. EXT CORRUGADO/INT LISO U.M. NORMA NTC 3722-1 D=20" (INCLUYE SUMINISTRO E INSTALACIÓN)</v>
          </cell>
          <cell r="H31" t="str">
            <v>ML</v>
          </cell>
          <cell r="I31">
            <v>422716</v>
          </cell>
        </row>
        <row r="32">
          <cell r="F32">
            <v>3050</v>
          </cell>
          <cell r="G32" t="str">
            <v>RELLENO EN MATERIAL SELECCIONADO PROVENIENTE DE LA EXCAVACIÓN (EXTENDIDO MANUAL, HUMEDECIMIENTO Y COMPACTACIÓN)</v>
          </cell>
          <cell r="H32" t="str">
            <v>M3</v>
          </cell>
          <cell r="I32">
            <v>30900</v>
          </cell>
        </row>
        <row r="33">
          <cell r="F33">
            <v>3052</v>
          </cell>
          <cell r="G33" t="str">
            <v>RELLENO PARA REDES EN SUBBASE GRANULAR B-200 (SUMINISTRO, EXTENDIDO, HUMEDECIMIENTO Y COMPACTACIÓN)</v>
          </cell>
          <cell r="H33" t="str">
            <v>M3</v>
          </cell>
          <cell r="I33">
            <v>93689</v>
          </cell>
        </row>
        <row r="34">
          <cell r="F34">
            <v>3055</v>
          </cell>
          <cell r="G34" t="str">
            <v>12 DUCTOS D=4" PVC-TDP (INCLUYE SUMINISTRO E INSTALACIÓN. NO INCLUYE RELLENOS)</v>
          </cell>
          <cell r="H34" t="str">
            <v>ML</v>
          </cell>
          <cell r="I34">
            <v>291244</v>
          </cell>
        </row>
        <row r="35">
          <cell r="F35">
            <v>3056</v>
          </cell>
          <cell r="G35" t="str">
            <v>16 DUCTOS D=4" PVC-TDP (INCLUYE SUMINISTRO E INSTALACIÓN. NO INCLUYE RELLENOS)</v>
          </cell>
          <cell r="H35" t="str">
            <v>ML</v>
          </cell>
          <cell r="I35">
            <v>386622</v>
          </cell>
        </row>
        <row r="36">
          <cell r="F36">
            <v>3057</v>
          </cell>
          <cell r="G36" t="str">
            <v>CAMARA DE INSPECCIÓN T-13 ETB (H=2.3M. INCLUYE BASE, MUROS, CUBIERTA, ARO-BASE Y ARO-TAPA)</v>
          </cell>
          <cell r="H36" t="str">
            <v>UN</v>
          </cell>
          <cell r="I36">
            <v>4674226</v>
          </cell>
        </row>
        <row r="37">
          <cell r="F37">
            <v>3058</v>
          </cell>
          <cell r="G37" t="str">
            <v>CAMARA DE INSPECCIÓN T-13A ETB (H=2.3M. INCLUYE BASE, MUROS, CUBIERTA, ARO-BASE Y ARO-TAPA)</v>
          </cell>
          <cell r="H37" t="str">
            <v>UN</v>
          </cell>
          <cell r="I37">
            <v>7699616</v>
          </cell>
        </row>
        <row r="38">
          <cell r="F38">
            <v>3059</v>
          </cell>
          <cell r="G38" t="str">
            <v>CAMARA DE INSPECCIÓN T-14 ETB (H=2.3M. INCLUYE BASE, MUROS, CUBIERTA, ARO-BASE Y ARO-TAPA)</v>
          </cell>
          <cell r="H38" t="str">
            <v>UN</v>
          </cell>
          <cell r="I38">
            <v>4688514</v>
          </cell>
        </row>
        <row r="39">
          <cell r="F39">
            <v>3062</v>
          </cell>
          <cell r="G39" t="str">
            <v>PISO EN LOSETA PREFABRICADA A30 (SUMINISTRO E INSTALACIÓN. INCLUYE BASE 4CM ARENA NIVELACIÓN Y ARENA DE SELLO)</v>
          </cell>
          <cell r="H39" t="str">
            <v>M2</v>
          </cell>
          <cell r="I39">
            <v>70313</v>
          </cell>
        </row>
        <row r="40">
          <cell r="F40">
            <v>3064</v>
          </cell>
          <cell r="G40" t="str">
            <v>TUBERIA CONCRETO D=8" CL. I SIN REFUERZO (INCLUYE SUMINISTRO E INSTALACIÓN)</v>
          </cell>
          <cell r="H40" t="str">
            <v>ML</v>
          </cell>
          <cell r="I40">
            <v>79439</v>
          </cell>
        </row>
        <row r="41">
          <cell r="F41">
            <v>3065</v>
          </cell>
          <cell r="G41" t="str">
            <v>TUBERIA CONCRETO D=10" CL. I SIN REFUERZO (INCLUYE SUMINISTRO E INSTALACIÓN)</v>
          </cell>
          <cell r="H41" t="str">
            <v>ML</v>
          </cell>
          <cell r="I41">
            <v>95558</v>
          </cell>
        </row>
        <row r="42">
          <cell r="F42">
            <v>3066</v>
          </cell>
          <cell r="G42" t="str">
            <v>TUBERIA CONCRETO D=12" CL. I SIN REFUERZO (INCLUYE SUMINISTRO E INSTALACIÓN)</v>
          </cell>
          <cell r="H42" t="str">
            <v>ML</v>
          </cell>
          <cell r="I42">
            <v>131459</v>
          </cell>
        </row>
        <row r="43">
          <cell r="F43">
            <v>3067</v>
          </cell>
          <cell r="G43" t="str">
            <v>TUBERIA CONCRETO D=14" CL. I SIN REFUERZO (INCLUYE SUMINISTRO E INSTALACIÓN)</v>
          </cell>
          <cell r="H43" t="str">
            <v>ML</v>
          </cell>
          <cell r="I43">
            <v>156427</v>
          </cell>
        </row>
        <row r="44">
          <cell r="F44">
            <v>3068</v>
          </cell>
          <cell r="G44" t="str">
            <v>TUBERIA CONCRETO D=16" CL. I SIN REFUERZO (INCLUYE SUMINISTRO E INSTALACIÓN)</v>
          </cell>
          <cell r="H44" t="str">
            <v>ML</v>
          </cell>
          <cell r="I44">
            <v>200698</v>
          </cell>
        </row>
        <row r="45">
          <cell r="F45">
            <v>3069</v>
          </cell>
          <cell r="G45" t="str">
            <v>TUBERIA CONCRETO D=18" CL. I SIN REFUERZO (INCLUYE SUMINISTRO E INSTALACIÓN)</v>
          </cell>
          <cell r="H45" t="str">
            <v>ML</v>
          </cell>
          <cell r="I45">
            <v>252328</v>
          </cell>
        </row>
        <row r="46">
          <cell r="F46">
            <v>3070</v>
          </cell>
          <cell r="G46" t="str">
            <v>TUBERIA CONCRETO D=20" CL. I SIN REFUERZO (INCLUYE SUMINISTRO E INSTALACIÓN)</v>
          </cell>
          <cell r="H46" t="str">
            <v>ML</v>
          </cell>
          <cell r="I46">
            <v>323015</v>
          </cell>
        </row>
        <row r="47">
          <cell r="F47">
            <v>3071</v>
          </cell>
          <cell r="G47" t="str">
            <v>TUBERIA CONCRETO D=24" CL. I SIN REFUERZO (INCLUYE SUMINISTRO E INSTALACIÓN)</v>
          </cell>
          <cell r="H47" t="str">
            <v>ML</v>
          </cell>
          <cell r="I47">
            <v>465756</v>
          </cell>
        </row>
        <row r="48">
          <cell r="F48">
            <v>3151</v>
          </cell>
          <cell r="G48" t="str">
            <v>SUMIDERO LATERAL SL-100, H=1.25M (FUNDIDO EN SITIO, CONCRETO PREMEZCLADO. INCL. SUMIN, FORM, REF. Y CONSTR. INCL. TAPA)</v>
          </cell>
          <cell r="H48" t="str">
            <v>UN</v>
          </cell>
          <cell r="I48">
            <v>2791364</v>
          </cell>
        </row>
        <row r="49">
          <cell r="F49">
            <v>3155</v>
          </cell>
          <cell r="G49" t="str">
            <v>DEMOLICION SUMIDERO EXISTENTE (INCLUYE CARGUE)</v>
          </cell>
          <cell r="H49" t="str">
            <v>UN</v>
          </cell>
          <cell r="I49">
            <v>160406</v>
          </cell>
        </row>
        <row r="50">
          <cell r="F50">
            <v>3159</v>
          </cell>
          <cell r="G50" t="str">
            <v>2 DUCTOS D=3" PVC-EB (INCLUYE SUMINISTRO E INSTALACIÓN. NO INCLUYE RELLENOS). NORMA CS207.</v>
          </cell>
          <cell r="H50" t="str">
            <v>ML</v>
          </cell>
          <cell r="I50">
            <v>33699</v>
          </cell>
        </row>
        <row r="51">
          <cell r="F51">
            <v>3163</v>
          </cell>
          <cell r="G51" t="str">
            <v>SEPARADOR 'NEW JERSEY' BIDIRECCIONAL 1.5M X 0.6M X 1.1M (PREFABRICADO. INCLUYE SUM. E INST. NO INC. MATERIAL DE BASE)</v>
          </cell>
          <cell r="H51" t="str">
            <v>ML</v>
          </cell>
          <cell r="I51">
            <v>340759</v>
          </cell>
        </row>
        <row r="52">
          <cell r="F52">
            <v>3172</v>
          </cell>
          <cell r="G52" t="str">
            <v>SIEMBRA DE GRAMA (INCLUYE SUMINISTRO E INSTALACIÓN. NO INCLUYE TIERRA NEGRA)</v>
          </cell>
          <cell r="H52" t="str">
            <v>M2</v>
          </cell>
          <cell r="I52">
            <v>12075</v>
          </cell>
        </row>
        <row r="53">
          <cell r="F53">
            <v>3178</v>
          </cell>
          <cell r="G53" t="str">
            <v>DEMARCACION PASO PEATONAL-CEBRA (E=15 MILS, ACRÍLICA BASE AGUA. INC. SUMIN. Y APLIC. CON EQUIPO. INCL. MICROESFERAS)</v>
          </cell>
          <cell r="H53" t="str">
            <v>M2</v>
          </cell>
          <cell r="I53">
            <v>35194</v>
          </cell>
        </row>
        <row r="54">
          <cell r="F54">
            <v>3180</v>
          </cell>
          <cell r="G54" t="str">
            <v>DEMARCACION PASO PEATONAL-LINEA CONT. A=0.15M (E=15 MILS, ACRÍLICA B. AGUA. INC. SUM Y APLIC. CON EQUIPO. INC MICROESF.)</v>
          </cell>
          <cell r="H54" t="str">
            <v>ML</v>
          </cell>
          <cell r="I54">
            <v>1601</v>
          </cell>
        </row>
        <row r="55">
          <cell r="F55">
            <v>3189</v>
          </cell>
          <cell r="G55" t="str">
            <v>6 DUCTOS D=4" Y 3 DUCTOS D=6" PVC-TDP (INCLUYE SUMINISTRO E INSTALACIÓN. NO INCLUYE RELLENOS). NORMA CS215.</v>
          </cell>
          <cell r="H55" t="str">
            <v>ML</v>
          </cell>
          <cell r="I55">
            <v>307694</v>
          </cell>
        </row>
        <row r="56">
          <cell r="F56">
            <v>3194</v>
          </cell>
          <cell r="G56" t="str">
            <v>6 DUCTOS D=3" PVC-TDP (INCLUYE SUMINISTRO E INSTALACIÓN. NO INCLUYE RELLENOS)</v>
          </cell>
          <cell r="H56" t="str">
            <v>ML</v>
          </cell>
          <cell r="I56">
            <v>118831</v>
          </cell>
        </row>
        <row r="57">
          <cell r="F57">
            <v>3195</v>
          </cell>
          <cell r="G57" t="str">
            <v>2 DUCTOS D=4" PVC-TDP (INCLUYE SUMINISTRO E INSTALACIÓN. NO INCLUYE RELLENOS)</v>
          </cell>
          <cell r="H57" t="str">
            <v>ML</v>
          </cell>
          <cell r="I57">
            <v>51021</v>
          </cell>
        </row>
        <row r="58">
          <cell r="F58">
            <v>3196</v>
          </cell>
          <cell r="G58" t="str">
            <v>UNION GIBAULT D=3" (SUMINISTRO E INSTALACIÓN)</v>
          </cell>
          <cell r="H58" t="str">
            <v>UN</v>
          </cell>
          <cell r="I58">
            <v>176880</v>
          </cell>
        </row>
        <row r="59">
          <cell r="F59">
            <v>3197</v>
          </cell>
          <cell r="G59" t="str">
            <v>UNION GIBAULT D=4" (SUMINISTRO E INSTALACIÓN)</v>
          </cell>
          <cell r="H59" t="str">
            <v>UN</v>
          </cell>
          <cell r="I59">
            <v>219204</v>
          </cell>
        </row>
        <row r="60">
          <cell r="F60">
            <v>3198</v>
          </cell>
          <cell r="G60" t="str">
            <v>UNION GIBAULT D=6" (SUMINISTRO E INSTALACIÓN)</v>
          </cell>
          <cell r="H60" t="str">
            <v>UN</v>
          </cell>
          <cell r="I60">
            <v>301182</v>
          </cell>
        </row>
        <row r="61">
          <cell r="F61">
            <v>3199</v>
          </cell>
          <cell r="G61" t="str">
            <v>UNION GIBAULT D=8" (SUMINISTRO E INSTALACIÓN)</v>
          </cell>
          <cell r="H61" t="str">
            <v>UN</v>
          </cell>
          <cell r="I61">
            <v>318666</v>
          </cell>
        </row>
        <row r="62">
          <cell r="F62">
            <v>3200</v>
          </cell>
          <cell r="G62" t="str">
            <v>UNION GIBAULT D=10" (SUMINISTRO E INSTALACIÓN)</v>
          </cell>
          <cell r="H62" t="str">
            <v>UN</v>
          </cell>
          <cell r="I62">
            <v>602621</v>
          </cell>
        </row>
        <row r="63">
          <cell r="F63">
            <v>3201</v>
          </cell>
          <cell r="G63" t="str">
            <v>UNION GIBAULT D=12" (SUMINISTRO E INSTALACIÓN)</v>
          </cell>
          <cell r="H63" t="str">
            <v>UN</v>
          </cell>
          <cell r="I63">
            <v>912150</v>
          </cell>
        </row>
        <row r="64">
          <cell r="F64">
            <v>3202</v>
          </cell>
          <cell r="G64" t="str">
            <v>CONCRETO 3000 PSI HECHO EN OBRA PARA REDES (SUMINISTRO Y COLOCACIÓN)</v>
          </cell>
          <cell r="H64" t="str">
            <v>M3</v>
          </cell>
          <cell r="I64">
            <v>571680</v>
          </cell>
        </row>
        <row r="65">
          <cell r="F65">
            <v>3203</v>
          </cell>
          <cell r="G65" t="str">
            <v>CONCRETO 2500 PSI HECHO EN OBRA PARA REDES (SUMINISTRO Y COLOCACIÓN)</v>
          </cell>
          <cell r="H65" t="str">
            <v>M3</v>
          </cell>
          <cell r="I65">
            <v>500092</v>
          </cell>
        </row>
        <row r="66">
          <cell r="F66">
            <v>3204</v>
          </cell>
          <cell r="G66" t="str">
            <v>LOSA DE CONCRETO MR43 (SUMINISTRO, FORMALETEADO, COLOCACIÓN Y ACABADO. NO INCLUYE ACERO, CURADO, JUNTAS)</v>
          </cell>
          <cell r="H66" t="str">
            <v>M3</v>
          </cell>
          <cell r="I66">
            <v>666322</v>
          </cell>
        </row>
        <row r="67">
          <cell r="F67">
            <v>3207</v>
          </cell>
          <cell r="G67" t="str">
            <v>SARDINEL ESPECIAL A100 PARA RAMPA TIPO A (SUMINISTRO E INSTALACIÓN. INCLUYE 3CM MORTERO 1:5)</v>
          </cell>
          <cell r="H67" t="str">
            <v>UN</v>
          </cell>
          <cell r="I67">
            <v>57338</v>
          </cell>
        </row>
        <row r="68">
          <cell r="F68">
            <v>3209</v>
          </cell>
          <cell r="G68" t="str">
            <v>BORDE SEPARADOR VERDE TIPO A170 (SUMINISTRO E INSTALACIÓN. INCLUYE 3CM MORTERO 1:5)</v>
          </cell>
          <cell r="H68" t="str">
            <v>ML</v>
          </cell>
          <cell r="I68">
            <v>453031</v>
          </cell>
        </row>
        <row r="69">
          <cell r="F69">
            <v>3210</v>
          </cell>
          <cell r="G69" t="str">
            <v>BORDILLO PREFABRICADO A80 (SUMINISTRO E INSTALACIÓN. INCLUYE 3CM MORTERO DE NIVELACIÓN 2000 PSI)</v>
          </cell>
          <cell r="H69" t="str">
            <v>ML</v>
          </cell>
          <cell r="I69">
            <v>62364</v>
          </cell>
        </row>
        <row r="70">
          <cell r="F70">
            <v>3221</v>
          </cell>
          <cell r="G70" t="str">
            <v>CAJA DE INSPECCIÓN PARA ALUMBRADO PÚBLICO NORMA CODENSA CS 274 (ZVERDE. INCLUYE BASE, MUROS, PAÑETE, MARCO Y TAPA). MEDIDAS EXTERNAS: 0.90 X 0.90M. MEDIDAS INTERNAS: 0.60 X 0.60M. ALTURA: 0.93M.</v>
          </cell>
          <cell r="H70" t="str">
            <v>UN</v>
          </cell>
          <cell r="I70">
            <v>630059</v>
          </cell>
        </row>
        <row r="71">
          <cell r="F71">
            <v>3223</v>
          </cell>
          <cell r="G71" t="str">
            <v>TUBERIA PVC D=2" TIPO U.M. RDE 21 (SUMINISTRO E INSTALACIÓN)</v>
          </cell>
          <cell r="H71" t="str">
            <v>ML</v>
          </cell>
          <cell r="I71">
            <v>21110</v>
          </cell>
        </row>
        <row r="72">
          <cell r="F72">
            <v>3224</v>
          </cell>
          <cell r="G72" t="str">
            <v>TUBERIA PVC D=2 1/2" TIPO U.M. RDE 21 (SUMINISTRO E INSTALACIÓN)</v>
          </cell>
          <cell r="H72" t="str">
            <v>ML</v>
          </cell>
          <cell r="I72">
            <v>28938</v>
          </cell>
        </row>
        <row r="73">
          <cell r="F73">
            <v>3225</v>
          </cell>
          <cell r="G73" t="str">
            <v>TUBERIA PVC D=3" TIPO U.M. RDE 21 (SUMINISTRO E INSTALACIÓN)</v>
          </cell>
          <cell r="H73" t="str">
            <v>ML</v>
          </cell>
          <cell r="I73">
            <v>46589</v>
          </cell>
        </row>
        <row r="74">
          <cell r="F74">
            <v>3226</v>
          </cell>
          <cell r="G74" t="str">
            <v>TUBERIA PVC D=4" TIPO U.M. RDE 21 (SUMINISTRO E INSTALACIÓN)</v>
          </cell>
          <cell r="H74" t="str">
            <v>ML</v>
          </cell>
          <cell r="I74">
            <v>61455</v>
          </cell>
        </row>
        <row r="75">
          <cell r="F75">
            <v>3227</v>
          </cell>
          <cell r="G75" t="str">
            <v>TUBERIA PVC D=6" TIPO U.M. RDE 21 (SUMINISTRO E INSTALACIÓN)</v>
          </cell>
          <cell r="H75" t="str">
            <v>ML</v>
          </cell>
          <cell r="I75">
            <v>123041</v>
          </cell>
        </row>
        <row r="76">
          <cell r="F76">
            <v>3228</v>
          </cell>
          <cell r="G76" t="str">
            <v>TUBERIA PVC D=8" TIPO U.M. RDE 21 (SUMINISTRO E INSTALACIÓN)</v>
          </cell>
          <cell r="H76" t="str">
            <v>ML</v>
          </cell>
          <cell r="I76">
            <v>204151</v>
          </cell>
        </row>
        <row r="77">
          <cell r="F77">
            <v>3229</v>
          </cell>
          <cell r="G77" t="str">
            <v>TUBERIA PVC D=10" TIPO U.M. RDE 21 (SUMINISTRO E INSTALACIÓN)</v>
          </cell>
          <cell r="H77" t="str">
            <v>ML</v>
          </cell>
          <cell r="I77">
            <v>318395</v>
          </cell>
        </row>
        <row r="78">
          <cell r="F78">
            <v>3230</v>
          </cell>
          <cell r="G78" t="str">
            <v>TUBERIA PVC D=12" TIPO U.M. RDE 21 (SUMINISTRO E INSTALACIÓN)</v>
          </cell>
          <cell r="H78" t="str">
            <v>ML</v>
          </cell>
          <cell r="I78">
            <v>437673</v>
          </cell>
        </row>
        <row r="79">
          <cell r="F79">
            <v>3231</v>
          </cell>
          <cell r="G79" t="str">
            <v>TUBERIA PVC D=2" TIPO U.M. RDE 26 (SUMINISTRO E INSTALACIÓN)</v>
          </cell>
          <cell r="H79" t="str">
            <v>ML</v>
          </cell>
          <cell r="I79">
            <v>18261</v>
          </cell>
        </row>
        <row r="80">
          <cell r="F80">
            <v>3232</v>
          </cell>
          <cell r="G80" t="str">
            <v>TUBERIA PVC D=2 1/2" TIPO U.M. RDE 26 (SUMINISTRO E INSTALACIÓN)</v>
          </cell>
          <cell r="H80" t="str">
            <v>ML</v>
          </cell>
          <cell r="I80">
            <v>24892</v>
          </cell>
        </row>
        <row r="81">
          <cell r="F81">
            <v>3233</v>
          </cell>
          <cell r="G81" t="str">
            <v>TUBERIA PVC D=3" TIPO U.M. RDE 26 (SUMINISTRO E INSTALACIÓN)</v>
          </cell>
          <cell r="H81" t="str">
            <v>ML</v>
          </cell>
          <cell r="I81">
            <v>39440</v>
          </cell>
        </row>
        <row r="82">
          <cell r="F82">
            <v>3234</v>
          </cell>
          <cell r="G82" t="str">
            <v>TUBERIA PVC D=4" TIPO U.M. RDE 26 (SUMINISTRO E INSTALACIÓN)</v>
          </cell>
          <cell r="H82" t="str">
            <v>ML</v>
          </cell>
          <cell r="I82">
            <v>52717</v>
          </cell>
        </row>
        <row r="83">
          <cell r="F83">
            <v>3235</v>
          </cell>
          <cell r="G83" t="str">
            <v>TUBERIA PVC D=6" TIPO U.M. RDE 26 (SUMINISTRO E INSTALACIÓN)</v>
          </cell>
          <cell r="H83" t="str">
            <v>ML</v>
          </cell>
          <cell r="I83">
            <v>102478</v>
          </cell>
        </row>
        <row r="84">
          <cell r="F84">
            <v>3236</v>
          </cell>
          <cell r="G84" t="str">
            <v>TUBERIA PVC D=8" TIPO U.M. RDE 26 (SUMINISTRO E INSTALACIÓN)</v>
          </cell>
          <cell r="H84" t="str">
            <v>ML</v>
          </cell>
          <cell r="I84">
            <v>170001</v>
          </cell>
        </row>
        <row r="85">
          <cell r="F85">
            <v>3237</v>
          </cell>
          <cell r="G85" t="str">
            <v>TUBERIA PVC D=10" TIPO U.M. RDE 26 (SUMINISTRO E INSTALACIÓN)</v>
          </cell>
          <cell r="H85" t="str">
            <v>ML</v>
          </cell>
          <cell r="I85">
            <v>261833</v>
          </cell>
        </row>
        <row r="86">
          <cell r="F86">
            <v>3238</v>
          </cell>
          <cell r="G86" t="str">
            <v>TUBERIA PVC D=12" TIPO U.M. RDE 26 (SUMINISTRO E INSTALACIÓN)</v>
          </cell>
          <cell r="H86" t="str">
            <v>ML</v>
          </cell>
          <cell r="I86">
            <v>361112</v>
          </cell>
        </row>
        <row r="87">
          <cell r="F87">
            <v>3239</v>
          </cell>
          <cell r="G87" t="str">
            <v>TUBERIA PVC D=3" TIPO U.M. RDE 32.5 (SUMINISTRO E INSTALACIÓN)</v>
          </cell>
          <cell r="H87" t="str">
            <v>ML</v>
          </cell>
          <cell r="I87">
            <v>32699</v>
          </cell>
        </row>
        <row r="88">
          <cell r="F88">
            <v>3240</v>
          </cell>
          <cell r="G88" t="str">
            <v>TUBERIA PVC D=4" TIPO U.M. RDE 32.5 (SUMINISTRO E INSTALACIÓN)</v>
          </cell>
          <cell r="H88" t="str">
            <v>ML</v>
          </cell>
          <cell r="I88">
            <v>43306</v>
          </cell>
        </row>
        <row r="89">
          <cell r="F89">
            <v>3241</v>
          </cell>
          <cell r="G89" t="str">
            <v>TUBERIA PVC D=6" TIPO U.M. RDE 32.5 (SUMINISTRO E INSTALACIÓN)</v>
          </cell>
          <cell r="H89" t="str">
            <v>ML</v>
          </cell>
          <cell r="I89">
            <v>85327</v>
          </cell>
        </row>
        <row r="90">
          <cell r="F90">
            <v>3242</v>
          </cell>
          <cell r="G90" t="str">
            <v>TUBERIA PVC D=8" TIPO U.M. RDE 32.5 (SUMINISTRO E INSTALACIÓN)</v>
          </cell>
          <cell r="H90" t="str">
            <v>ML</v>
          </cell>
          <cell r="I90">
            <v>140833</v>
          </cell>
        </row>
        <row r="91">
          <cell r="F91">
            <v>3243</v>
          </cell>
          <cell r="G91" t="str">
            <v>TUBERIA PVC D=10" TIPO U.M. RDE 32.5 (SUMINISTRO E INSTALACIÓN)</v>
          </cell>
          <cell r="H91" t="str">
            <v>ML</v>
          </cell>
          <cell r="I91">
            <v>217243</v>
          </cell>
        </row>
        <row r="92">
          <cell r="F92">
            <v>3245</v>
          </cell>
          <cell r="G92" t="str">
            <v>TUBERIA PVC D=12" TIPO U.M. RDE 32.5 (SUMINISTRO E INSTALACIÓN)</v>
          </cell>
          <cell r="H92" t="str">
            <v>ML</v>
          </cell>
          <cell r="I92">
            <v>298223</v>
          </cell>
        </row>
        <row r="93">
          <cell r="F93">
            <v>3246</v>
          </cell>
          <cell r="G93" t="str">
            <v>TUBERIA PVC D=4" TIPO U.M. RDE 41 (SUMINISTRO E INSTALACIÓN)</v>
          </cell>
          <cell r="H93" t="str">
            <v>ML</v>
          </cell>
          <cell r="I93">
            <v>35016</v>
          </cell>
        </row>
        <row r="94">
          <cell r="F94">
            <v>3247</v>
          </cell>
          <cell r="G94" t="str">
            <v>TUBERIA PVC D=6" TIPO U.M. RDE 41 (SUMINISTRO E INSTALACIÓN)</v>
          </cell>
          <cell r="H94" t="str">
            <v>ML</v>
          </cell>
          <cell r="I94">
            <v>70611</v>
          </cell>
        </row>
        <row r="95">
          <cell r="F95">
            <v>3248</v>
          </cell>
          <cell r="G95" t="str">
            <v>TUBERIA PVC D=8" TIPO U.M. RDE 41 (SUMINISTRO E INSTALACIÓN)</v>
          </cell>
          <cell r="H95" t="str">
            <v>ML</v>
          </cell>
          <cell r="I95">
            <v>115046</v>
          </cell>
        </row>
        <row r="96">
          <cell r="F96">
            <v>3249</v>
          </cell>
          <cell r="G96" t="str">
            <v>TUBERIA PVC D=10" TIPO U.M. RDE 41 (SUMINISTRO E INSTALACIÓN)</v>
          </cell>
          <cell r="H96" t="str">
            <v>ML</v>
          </cell>
          <cell r="I96">
            <v>177043</v>
          </cell>
        </row>
        <row r="97">
          <cell r="F97">
            <v>3250</v>
          </cell>
          <cell r="G97" t="str">
            <v>TUBERIA PVC D=12" TIPO U.M. RDE 41 (SUMINISTRO E INSTALACIÓN)</v>
          </cell>
          <cell r="H97" t="str">
            <v>ML</v>
          </cell>
          <cell r="I97">
            <v>238564</v>
          </cell>
        </row>
        <row r="98">
          <cell r="F98">
            <v>3251</v>
          </cell>
          <cell r="G98" t="str">
            <v>TEE HD EXTREMO LISO 6"X2" (SUMINISTRO E INSTALACIÓN)</v>
          </cell>
          <cell r="H98" t="str">
            <v>UN</v>
          </cell>
          <cell r="I98">
            <v>441309</v>
          </cell>
        </row>
        <row r="99">
          <cell r="F99">
            <v>3252</v>
          </cell>
          <cell r="G99" t="str">
            <v>TEE HD EXTREMO LISO 6"X3" (SUMINISTRO E INSTALACIÓN)</v>
          </cell>
          <cell r="H99" t="str">
            <v>UN</v>
          </cell>
          <cell r="I99">
            <v>445221</v>
          </cell>
        </row>
        <row r="100">
          <cell r="F100">
            <v>3253</v>
          </cell>
          <cell r="G100" t="str">
            <v>TEE HD EXTREMO LISO 6"X4" (SUMINISTRO E INSTALACIÓN)</v>
          </cell>
          <cell r="H100" t="str">
            <v>UN</v>
          </cell>
          <cell r="I100">
            <v>477222</v>
          </cell>
        </row>
        <row r="101">
          <cell r="F101">
            <v>3254</v>
          </cell>
          <cell r="G101" t="str">
            <v>TEE HD EXTREMO LISO 6"X6" (SUMINISTRO E INSTALACIÓN)</v>
          </cell>
          <cell r="H101" t="str">
            <v>UN</v>
          </cell>
          <cell r="I101">
            <v>549643</v>
          </cell>
        </row>
        <row r="102">
          <cell r="F102">
            <v>3255</v>
          </cell>
          <cell r="G102" t="str">
            <v>TEE HD EXTREMO LISO 8"X2" (SUMINISTRO E INSTALACIÓN)</v>
          </cell>
          <cell r="H102" t="str">
            <v>UN</v>
          </cell>
          <cell r="I102">
            <v>664398</v>
          </cell>
        </row>
        <row r="103">
          <cell r="F103">
            <v>3256</v>
          </cell>
          <cell r="G103" t="str">
            <v>TEE HD EXTREMO LISO 8"X3" (SUMINISTRO E INSTALACIÓN)</v>
          </cell>
          <cell r="H103" t="str">
            <v>UN</v>
          </cell>
          <cell r="I103">
            <v>737122</v>
          </cell>
        </row>
        <row r="104">
          <cell r="F104">
            <v>3257</v>
          </cell>
          <cell r="G104" t="str">
            <v>TEE HD EXTREMO LISO 8"X4" (SUMINISTRO E INSTALACIÓN)</v>
          </cell>
          <cell r="H104" t="str">
            <v>UN</v>
          </cell>
          <cell r="I104">
            <v>863227</v>
          </cell>
        </row>
        <row r="105">
          <cell r="F105">
            <v>3258</v>
          </cell>
          <cell r="G105" t="str">
            <v>TEE HD EXTREMO LISO 8"X6" (SUMINISTRO E INSTALACIÓN)</v>
          </cell>
          <cell r="H105" t="str">
            <v>UN</v>
          </cell>
          <cell r="I105">
            <v>902382</v>
          </cell>
        </row>
        <row r="106">
          <cell r="F106">
            <v>3259</v>
          </cell>
          <cell r="G106" t="str">
            <v>TEE HD EXTREMO LISO 8"X8" (SUMINISTRO E INSTALACIÓN)</v>
          </cell>
          <cell r="H106" t="str">
            <v>UN</v>
          </cell>
          <cell r="I106">
            <v>941537</v>
          </cell>
        </row>
        <row r="107">
          <cell r="F107">
            <v>3260</v>
          </cell>
          <cell r="G107" t="str">
            <v>TEE HD EXTREMO LISO 10"X2" (SUMINISTRO E INSTALACIÓN)</v>
          </cell>
          <cell r="H107" t="str">
            <v>UN</v>
          </cell>
          <cell r="I107">
            <v>1164054</v>
          </cell>
        </row>
        <row r="108">
          <cell r="F108">
            <v>3261</v>
          </cell>
          <cell r="G108" t="str">
            <v>TEE HD EXTREMO LISO 10"X3" (SUMINISTRO E INSTALACIÓN)</v>
          </cell>
          <cell r="H108" t="str">
            <v>UN</v>
          </cell>
          <cell r="I108">
            <v>1408664</v>
          </cell>
        </row>
        <row r="109">
          <cell r="F109">
            <v>3262</v>
          </cell>
          <cell r="G109" t="str">
            <v>TEE HD EXTREMO LISO 10"X4" (SUMINISTRO E INSTALACIÓN)</v>
          </cell>
          <cell r="H109" t="str">
            <v>UN</v>
          </cell>
          <cell r="I109">
            <v>1448332</v>
          </cell>
        </row>
        <row r="110">
          <cell r="F110">
            <v>3263</v>
          </cell>
          <cell r="G110" t="str">
            <v>TEE HD EXTREMO LISO 10"X6" (SUMINISTRO E INSTALACIÓN)</v>
          </cell>
          <cell r="H110" t="str">
            <v>UN</v>
          </cell>
          <cell r="I110">
            <v>1617708</v>
          </cell>
        </row>
        <row r="111">
          <cell r="F111">
            <v>3264</v>
          </cell>
          <cell r="G111" t="str">
            <v>TEE HD EXTREMO LISO 10"X8" (SUMINISTRO E INSTALACIÓN)</v>
          </cell>
          <cell r="H111" t="str">
            <v>UN</v>
          </cell>
          <cell r="I111">
            <v>1864038</v>
          </cell>
        </row>
        <row r="112">
          <cell r="F112">
            <v>3265</v>
          </cell>
          <cell r="G112" t="str">
            <v>TEE HD EXTREMO LISO 10"X10" (SUMINISTRO E INSTALACIÓN)</v>
          </cell>
          <cell r="H112" t="str">
            <v>UN</v>
          </cell>
          <cell r="I112">
            <v>2004458</v>
          </cell>
        </row>
        <row r="113">
          <cell r="F113">
            <v>3267</v>
          </cell>
          <cell r="G113" t="str">
            <v>TEE HD EXTREMO LISO 12"X3" (SUMINISTRO E INSTALACIÓN)</v>
          </cell>
          <cell r="H113" t="str">
            <v>UN</v>
          </cell>
          <cell r="I113">
            <v>1833429</v>
          </cell>
        </row>
        <row r="114">
          <cell r="F114">
            <v>3268</v>
          </cell>
          <cell r="G114" t="str">
            <v>TEE HD EXTREMO LISO 12"X4" (SUMINISTRO E INSTALACIÓN)</v>
          </cell>
          <cell r="H114" t="str">
            <v>UN</v>
          </cell>
          <cell r="I114">
            <v>1859875</v>
          </cell>
        </row>
        <row r="115">
          <cell r="F115">
            <v>3269</v>
          </cell>
          <cell r="G115" t="str">
            <v>TEE HD EXTREMO LISO 12"X6" (SUMINISTRO E INSTALACIÓN)</v>
          </cell>
          <cell r="H115" t="str">
            <v>UN</v>
          </cell>
          <cell r="I115">
            <v>1965653</v>
          </cell>
        </row>
        <row r="116">
          <cell r="F116">
            <v>3270</v>
          </cell>
          <cell r="G116" t="str">
            <v>TEE HD EXTREMO LISO 12"X8" (SUMINISTRO E INSTALACIÓN)</v>
          </cell>
          <cell r="H116" t="str">
            <v>UN</v>
          </cell>
          <cell r="I116">
            <v>2342485</v>
          </cell>
        </row>
        <row r="117">
          <cell r="F117">
            <v>3271</v>
          </cell>
          <cell r="G117" t="str">
            <v>TEE HD EXTREMO LISO 12"X10" (SUMINISTRO E INSTALACIÓN)</v>
          </cell>
          <cell r="H117" t="str">
            <v>UN</v>
          </cell>
          <cell r="I117">
            <v>3155653</v>
          </cell>
        </row>
        <row r="118">
          <cell r="F118">
            <v>3272</v>
          </cell>
          <cell r="G118" t="str">
            <v>TEE HD EXTREMO LISO 12"X12" (SUMINISTRO E INSTALACIÓN)</v>
          </cell>
          <cell r="H118" t="str">
            <v>UN</v>
          </cell>
          <cell r="I118">
            <v>2758985</v>
          </cell>
        </row>
        <row r="119">
          <cell r="F119">
            <v>3273</v>
          </cell>
          <cell r="G119" t="str">
            <v>TEE HD EXTREMO LISO 24"X8" (SUMINISTRO E INSTALACIÓN)</v>
          </cell>
          <cell r="H119" t="str">
            <v>UN</v>
          </cell>
          <cell r="I119">
            <v>7321577</v>
          </cell>
        </row>
        <row r="120">
          <cell r="F120">
            <v>3274</v>
          </cell>
          <cell r="G120" t="str">
            <v>TEE HD EXTREMO LISO 24"X10" (SUMINISTRO E INSTALACIÓN)</v>
          </cell>
          <cell r="H120" t="str">
            <v>UN</v>
          </cell>
          <cell r="I120">
            <v>8312384</v>
          </cell>
        </row>
        <row r="121">
          <cell r="F121">
            <v>3275</v>
          </cell>
          <cell r="G121" t="str">
            <v>TEE HD EXTREMO LISO 24"X12" (SUMINISTRO E INSTALACIÓN)</v>
          </cell>
          <cell r="H121" t="str">
            <v>UN</v>
          </cell>
          <cell r="I121">
            <v>9074544</v>
          </cell>
        </row>
        <row r="122">
          <cell r="F122">
            <v>3276</v>
          </cell>
          <cell r="G122" t="str">
            <v>TEE HD EXTREMO LISO 24"X14" (SUMINISTRO E INSTALACIÓN)</v>
          </cell>
          <cell r="H122" t="str">
            <v>UN</v>
          </cell>
          <cell r="I122">
            <v>9646163</v>
          </cell>
        </row>
        <row r="123">
          <cell r="F123">
            <v>3277</v>
          </cell>
          <cell r="G123" t="str">
            <v>TEE HD EXTREMO LISO 24"X16" (SUMINISTRO E INSTALACIÓN)</v>
          </cell>
          <cell r="H123" t="str">
            <v>UN</v>
          </cell>
          <cell r="I123">
            <v>10103459</v>
          </cell>
        </row>
        <row r="124">
          <cell r="F124">
            <v>3278</v>
          </cell>
          <cell r="G124" t="str">
            <v>TEE HD EXTREMO LISO 24"X18" (SUMINISTRO E INSTALACIÓN)</v>
          </cell>
          <cell r="H124" t="str">
            <v>UN</v>
          </cell>
          <cell r="I124">
            <v>10903726</v>
          </cell>
        </row>
        <row r="125">
          <cell r="F125">
            <v>3279</v>
          </cell>
          <cell r="G125" t="str">
            <v>TEE HD EXTREMO LISO 24"X20" (SUMINISTRO E INSTALACIÓN)</v>
          </cell>
          <cell r="H125" t="str">
            <v>UN</v>
          </cell>
          <cell r="I125">
            <v>11475346</v>
          </cell>
        </row>
        <row r="126">
          <cell r="F126">
            <v>3280</v>
          </cell>
          <cell r="G126" t="str">
            <v>TEE HD EXTREMO LISO 24"X24" (SUMINISTRO E INSTALACIÓN)</v>
          </cell>
          <cell r="H126" t="str">
            <v>UN</v>
          </cell>
          <cell r="I126">
            <v>13075881</v>
          </cell>
        </row>
        <row r="127">
          <cell r="F127">
            <v>3281</v>
          </cell>
          <cell r="G127" t="str">
            <v>TEE HD EXTREMO LISO 4"X3" (SUMINISTRO E INSTALACIÓN)</v>
          </cell>
          <cell r="H127" t="str">
            <v>UN</v>
          </cell>
          <cell r="I127">
            <v>257031</v>
          </cell>
        </row>
        <row r="128">
          <cell r="F128">
            <v>3282</v>
          </cell>
          <cell r="G128" t="str">
            <v>TEE HD EXTREMO LISO 4"X4" (SUMINISTRO E INSTALACIÓN)</v>
          </cell>
          <cell r="H128" t="str">
            <v>UN</v>
          </cell>
          <cell r="I128">
            <v>279048</v>
          </cell>
        </row>
        <row r="129">
          <cell r="F129">
            <v>3283</v>
          </cell>
          <cell r="G129" t="str">
            <v>TUBERIA CONDUIT PVC D=1" (INCLUYE SUMINISTRO E INSTALACIÓN)</v>
          </cell>
          <cell r="H129" t="str">
            <v>ML</v>
          </cell>
          <cell r="I129">
            <v>7369</v>
          </cell>
        </row>
        <row r="130">
          <cell r="F130">
            <v>3284</v>
          </cell>
          <cell r="G130" t="str">
            <v>TUBERIA CONDUIT PVC D=1 1/2" (INCLUYE SUMINISTRO E INSTALACIÓN)</v>
          </cell>
          <cell r="H130" t="str">
            <v>ML</v>
          </cell>
          <cell r="I130">
            <v>11973</v>
          </cell>
        </row>
        <row r="131">
          <cell r="F131">
            <v>3285</v>
          </cell>
          <cell r="G131" t="str">
            <v>TUBERIA CONDUIT PVC D=1 1/4" (INCLUYE SUMINISTRO E INSTALACIÓN)</v>
          </cell>
          <cell r="H131" t="str">
            <v>ML</v>
          </cell>
          <cell r="I131">
            <v>9956</v>
          </cell>
        </row>
        <row r="132">
          <cell r="F132">
            <v>3286</v>
          </cell>
          <cell r="G132" t="str">
            <v>TUBERIA CONDUIT PVC D=2" (INCLUYE SUMINISTRO E INSTALACIÓN)</v>
          </cell>
          <cell r="H132" t="str">
            <v>ML</v>
          </cell>
          <cell r="I132">
            <v>17006</v>
          </cell>
        </row>
        <row r="133">
          <cell r="F133">
            <v>3287</v>
          </cell>
          <cell r="G133" t="str">
            <v>TUBERIA CONDUIT METALICO D=1 1/2" TIPO RMC (INCLUYE SUMINISTRO E INSTALACIÓN)</v>
          </cell>
          <cell r="H133" t="str">
            <v>ML</v>
          </cell>
          <cell r="I133">
            <v>48395</v>
          </cell>
        </row>
        <row r="134">
          <cell r="F134">
            <v>3288</v>
          </cell>
          <cell r="G134" t="str">
            <v>TUBERIA CONDUIT METALICO D=1" TIPO RMC (INCLUYE SUMINISTRO E INSTALACIÓN)</v>
          </cell>
          <cell r="H134" t="str">
            <v>ML</v>
          </cell>
          <cell r="I134">
            <v>41410</v>
          </cell>
        </row>
        <row r="135">
          <cell r="F135">
            <v>3291</v>
          </cell>
          <cell r="G135" t="str">
            <v>CODO HD 90° EXTREMO LISO PARA PVC D=2" (SUMINISTRO E INSTALACIÓN)</v>
          </cell>
          <cell r="H135" t="str">
            <v>UN</v>
          </cell>
          <cell r="I135">
            <v>128622</v>
          </cell>
        </row>
        <row r="136">
          <cell r="F136">
            <v>3292</v>
          </cell>
          <cell r="G136" t="str">
            <v>CODO HD 90° EXTREMO LISO PARA PVC D=3" (SUMINISTRO E INSTALACIÓN)</v>
          </cell>
          <cell r="H136" t="str">
            <v>UN</v>
          </cell>
          <cell r="I136">
            <v>149815</v>
          </cell>
        </row>
        <row r="137">
          <cell r="F137">
            <v>3293</v>
          </cell>
          <cell r="G137" t="str">
            <v>CODO HD 90° EXTREMO LISO PARA PVC D=4" (SUMINISTRO E INSTALACIÓN)</v>
          </cell>
          <cell r="H137" t="str">
            <v>UN</v>
          </cell>
          <cell r="I137">
            <v>230587</v>
          </cell>
        </row>
        <row r="138">
          <cell r="F138">
            <v>3294</v>
          </cell>
          <cell r="G138" t="str">
            <v>CODO HD 90° EXTREMO LISO PARA PVC D=6" (SUMINISTRO E INSTALACIÓN)</v>
          </cell>
          <cell r="H138" t="str">
            <v>UN</v>
          </cell>
          <cell r="I138">
            <v>458353</v>
          </cell>
        </row>
        <row r="139">
          <cell r="F139">
            <v>3295</v>
          </cell>
          <cell r="G139" t="str">
            <v>CODO HD 90° EXTREMO LISO PARA PVC D=8" (SUMINISTRO E INSTALACIÓN)</v>
          </cell>
          <cell r="H139" t="str">
            <v>UN</v>
          </cell>
          <cell r="I139">
            <v>832865</v>
          </cell>
        </row>
        <row r="140">
          <cell r="F140">
            <v>3296</v>
          </cell>
          <cell r="G140" t="str">
            <v>CODO HD 90° EXTREMO LISO PARA PVC D=10" (SUMINISTRO E INSTALACIÓN)</v>
          </cell>
          <cell r="H140" t="str">
            <v>UN</v>
          </cell>
          <cell r="I140">
            <v>1485292</v>
          </cell>
        </row>
        <row r="141">
          <cell r="F141">
            <v>3297</v>
          </cell>
          <cell r="G141" t="str">
            <v>CODO HD 90° EXTREMO LISO PARA PVC D=12" (SUMINISTRO E INSTALACIÓN)</v>
          </cell>
          <cell r="H141" t="str">
            <v>UN</v>
          </cell>
          <cell r="I141">
            <v>1842509</v>
          </cell>
        </row>
        <row r="142">
          <cell r="F142">
            <v>3298</v>
          </cell>
          <cell r="G142" t="str">
            <v>CODO HD 90° EXTREMO LISO PARA PVC D=14" (SUMINISTRO E INSTALACIÓN)</v>
          </cell>
          <cell r="H142" t="str">
            <v>UN</v>
          </cell>
          <cell r="I142">
            <v>4248768</v>
          </cell>
        </row>
        <row r="143">
          <cell r="F143">
            <v>3299</v>
          </cell>
          <cell r="G143" t="str">
            <v>CODO HD 90° EXTREMO LISO PARA PVC D=16" (SUMINISTRO E INSTALACIÓN)</v>
          </cell>
          <cell r="H143" t="str">
            <v>UN</v>
          </cell>
          <cell r="I143">
            <v>4178509</v>
          </cell>
        </row>
        <row r="144">
          <cell r="F144">
            <v>3300</v>
          </cell>
          <cell r="G144" t="str">
            <v>CODO HD 90° EXTREMO LISO PARA PVC D=18" (SUMINISTRO E INSTALACIÓN)</v>
          </cell>
          <cell r="H144" t="str">
            <v>UN</v>
          </cell>
          <cell r="I144">
            <v>6674562</v>
          </cell>
        </row>
        <row r="145">
          <cell r="F145">
            <v>3301</v>
          </cell>
          <cell r="G145" t="str">
            <v>CODO HD 90° EXTREMO LISO PARA PVC D=20" (SUMINISTRO E INSTALACIÓN)</v>
          </cell>
          <cell r="H145" t="str">
            <v>UN</v>
          </cell>
          <cell r="I145">
            <v>7152584</v>
          </cell>
        </row>
        <row r="146">
          <cell r="F146">
            <v>3303</v>
          </cell>
          <cell r="G146" t="str">
            <v>CODO HD 45° EXTREMO LISO PARA PVC D=2" (SUMINISTRO E INSTALACIÓN)</v>
          </cell>
          <cell r="H146" t="str">
            <v>UN</v>
          </cell>
          <cell r="I146">
            <v>146472</v>
          </cell>
        </row>
        <row r="147">
          <cell r="F147">
            <v>3304</v>
          </cell>
          <cell r="G147" t="str">
            <v>CODO HD 45° EXTREMO LISO PARA PVC D=3" (SUMINISTRO E INSTALACIÓN)</v>
          </cell>
          <cell r="H147" t="str">
            <v>UN</v>
          </cell>
          <cell r="I147">
            <v>147171</v>
          </cell>
        </row>
        <row r="148">
          <cell r="F148">
            <v>3305</v>
          </cell>
          <cell r="G148" t="str">
            <v>CODO HD 45° EXTREMO LISO PARA PVC D=4" (SUMINISTRO E INSTALACIÓN)</v>
          </cell>
          <cell r="H148" t="str">
            <v>UN</v>
          </cell>
          <cell r="I148">
            <v>193565</v>
          </cell>
        </row>
        <row r="149">
          <cell r="F149">
            <v>3306</v>
          </cell>
          <cell r="G149" t="str">
            <v>CODO HD 45° EXTREMO LISO PARA PVC D=6" (SUMINISTRO E INSTALACIÓN)</v>
          </cell>
          <cell r="H149" t="str">
            <v>UN</v>
          </cell>
          <cell r="I149">
            <v>392241</v>
          </cell>
        </row>
        <row r="150">
          <cell r="F150">
            <v>3307</v>
          </cell>
          <cell r="G150" t="str">
            <v>CODO HD 45° EXTREMO LISO PARA PVC D=8" (SUMINISTRO E INSTALACIÓN)</v>
          </cell>
          <cell r="H150" t="str">
            <v>UN</v>
          </cell>
          <cell r="I150">
            <v>789233</v>
          </cell>
        </row>
        <row r="151">
          <cell r="F151">
            <v>3308</v>
          </cell>
          <cell r="G151" t="str">
            <v>CODO HD 45° EXTREMO LISO PARA PVC D=10" (SUMINISTRO E INSTALACIÓN)</v>
          </cell>
          <cell r="H151" t="str">
            <v>UN</v>
          </cell>
          <cell r="I151">
            <v>1267026</v>
          </cell>
        </row>
        <row r="152">
          <cell r="F152">
            <v>3309</v>
          </cell>
          <cell r="G152" t="str">
            <v>CODO HD 45° EXTREMO LISO PARA PVC D=12" (SUMINISTRO E INSTALACIÓN)</v>
          </cell>
          <cell r="H152" t="str">
            <v>UN</v>
          </cell>
          <cell r="I152">
            <v>1769787</v>
          </cell>
        </row>
        <row r="153">
          <cell r="F153">
            <v>3310</v>
          </cell>
          <cell r="G153" t="str">
            <v>CODO HD 45° EXTREMO LISO PARA PVC D=14" (SUMINISTRO E INSTALACIÓN)</v>
          </cell>
          <cell r="H153" t="str">
            <v>UN</v>
          </cell>
          <cell r="I153">
            <v>1837967</v>
          </cell>
        </row>
        <row r="154">
          <cell r="F154">
            <v>3311</v>
          </cell>
          <cell r="G154" t="str">
            <v>CODO HD 45° EXTREMO LISO PARA PVC D=16" (SUMINISTRO E INSTALACIÓN)</v>
          </cell>
          <cell r="H154" t="str">
            <v>UN</v>
          </cell>
          <cell r="I154">
            <v>2703488</v>
          </cell>
        </row>
        <row r="155">
          <cell r="F155">
            <v>3312</v>
          </cell>
          <cell r="G155" t="str">
            <v>CODO HD 45° EXTREMO LISO PARA PVC D=18" (SUMINISTRO E INSTALACIÓN)</v>
          </cell>
          <cell r="H155" t="str">
            <v>UN</v>
          </cell>
          <cell r="I155">
            <v>3613450</v>
          </cell>
        </row>
        <row r="156">
          <cell r="F156">
            <v>3313</v>
          </cell>
          <cell r="G156" t="str">
            <v>CODO HD 45° EXTREMO LISO PARA PVC D=20" (SUMINISTRO E INSTALACIÓN)</v>
          </cell>
          <cell r="H156" t="str">
            <v>UN</v>
          </cell>
          <cell r="I156">
            <v>5213730</v>
          </cell>
        </row>
        <row r="157">
          <cell r="F157">
            <v>3315</v>
          </cell>
          <cell r="G157" t="str">
            <v>CODO HD 22.5° EXTREMO LISO PARA PVC D=6" (SUMINISTRO E INSTALACIÓN)</v>
          </cell>
          <cell r="H157" t="str">
            <v>UN</v>
          </cell>
          <cell r="I157">
            <v>326131</v>
          </cell>
        </row>
        <row r="158">
          <cell r="F158">
            <v>3316</v>
          </cell>
          <cell r="G158" t="str">
            <v>CODO HD 22.5° EXTREMO LISO PARA PVC D=12" (SUMINISTRO E INSTALACIÓN)</v>
          </cell>
          <cell r="H158" t="str">
            <v>UN</v>
          </cell>
          <cell r="I158">
            <v>1548975</v>
          </cell>
        </row>
        <row r="159">
          <cell r="F159">
            <v>3317</v>
          </cell>
          <cell r="G159" t="str">
            <v>CODO HD 11.25° EXTREMO LISO PARA PVC D=6" (SUMINISTRO E INSTALACIÓN)</v>
          </cell>
          <cell r="H159" t="str">
            <v>UN</v>
          </cell>
          <cell r="I159">
            <v>319519</v>
          </cell>
        </row>
        <row r="160">
          <cell r="F160">
            <v>3318</v>
          </cell>
          <cell r="G160" t="str">
            <v>CODO HD 11.25° EXTREMO LISO PARA PVC D=12" (SUMINISTRO E INSTALACIÓN)</v>
          </cell>
          <cell r="H160" t="str">
            <v>UN</v>
          </cell>
          <cell r="I160">
            <v>1346675</v>
          </cell>
        </row>
        <row r="161">
          <cell r="F161">
            <v>3320</v>
          </cell>
          <cell r="G161" t="str">
            <v>TAPON HD EXTREMO LISO D=6" (SUMINISTRO E INSTALACIÓN)</v>
          </cell>
          <cell r="H161" t="str">
            <v>UN</v>
          </cell>
          <cell r="I161">
            <v>294397</v>
          </cell>
        </row>
        <row r="162">
          <cell r="F162">
            <v>3322</v>
          </cell>
          <cell r="G162" t="str">
            <v>VALVULA COMPUERTA ELASTICA VASTAGO NO ASCENDENTE EXTREMO LISO D=2" (SUMINISTRO E INSTALACIÓN)</v>
          </cell>
          <cell r="H162" t="str">
            <v>UN</v>
          </cell>
          <cell r="I162">
            <v>504681</v>
          </cell>
        </row>
        <row r="163">
          <cell r="F163">
            <v>3323</v>
          </cell>
          <cell r="G163" t="str">
            <v>VALVULA COMPUERTA ELASTICA VASTAGO NO ASCENDENTE EXTREMO LISO D=3" (SUMINISTRO E INSTALACIÓN)</v>
          </cell>
          <cell r="H163" t="str">
            <v>UN</v>
          </cell>
          <cell r="I163">
            <v>722923</v>
          </cell>
        </row>
        <row r="164">
          <cell r="F164">
            <v>3324</v>
          </cell>
          <cell r="G164" t="str">
            <v>VALVULA COMPUERTA ELASTICA VASTAGO NO ASCENDENTE EXTREMO LISO D=6" (SUMINISTRO E INSTALACIÓN)</v>
          </cell>
          <cell r="H164" t="str">
            <v>UN</v>
          </cell>
          <cell r="I164">
            <v>1859359</v>
          </cell>
        </row>
        <row r="165">
          <cell r="F165">
            <v>3325</v>
          </cell>
          <cell r="G165" t="str">
            <v>VALVULA COMPUERTA ELASTICA VASTAGO NO ASCENDENTE EXTREMO LISO D=8" (SUMINISTRO E INSTALACIÓN)</v>
          </cell>
          <cell r="H165" t="str">
            <v>UN</v>
          </cell>
          <cell r="I165">
            <v>2713965</v>
          </cell>
        </row>
        <row r="166">
          <cell r="F166">
            <v>3327</v>
          </cell>
          <cell r="G166" t="str">
            <v>HIDRANTE EXTREMO BRIDA D=3" (SUMINISTRO E INSTALACIÓN. NO INCLUYE KIT DE NIVELACIÓN)</v>
          </cell>
          <cell r="H166" t="str">
            <v>UN</v>
          </cell>
          <cell r="I166">
            <v>2467572</v>
          </cell>
        </row>
        <row r="167">
          <cell r="F167">
            <v>3328</v>
          </cell>
          <cell r="G167" t="str">
            <v>HIDRANTE EXTREMO BRIDA D=4" TIPO POSTE (SUMINISTRO E INSTALACIÓN. NO INCLUYE KIT DE NIVELACIÓN)</v>
          </cell>
          <cell r="H167" t="str">
            <v>UN</v>
          </cell>
          <cell r="I167">
            <v>2631063</v>
          </cell>
        </row>
        <row r="168">
          <cell r="F168">
            <v>3329</v>
          </cell>
          <cell r="G168" t="str">
            <v>HIDRANTE EXTREMO BRIDA D=6" TIPO POSTE (SUMINISTRO E INSTALACIÓN. NO INCLUYE KIT DE NIVELACIÓN)</v>
          </cell>
          <cell r="H168" t="str">
            <v>UN</v>
          </cell>
          <cell r="I168">
            <v>2884825</v>
          </cell>
        </row>
        <row r="169">
          <cell r="F169">
            <v>3330</v>
          </cell>
          <cell r="G169" t="str">
            <v>HIDRANTE EXTREMO BRIDA D=4" TIPO TRÁFICO (SUMINISTRO E INSTALACIÓN. NO INCLUYE KIT DE NIVELACIÓN)</v>
          </cell>
          <cell r="H169" t="str">
            <v>UN</v>
          </cell>
          <cell r="I169">
            <v>3539316</v>
          </cell>
        </row>
        <row r="170">
          <cell r="F170">
            <v>3331</v>
          </cell>
          <cell r="G170" t="str">
            <v>HIDRANTE EXTREMO BRIDA D=6" TIPO TRAFICO (SUMINISTRO E INSTALACIÓN. NO INCLUYE KIT DE NIVELACIÓN)</v>
          </cell>
          <cell r="H170" t="str">
            <v>UN</v>
          </cell>
          <cell r="I170">
            <v>6745185</v>
          </cell>
        </row>
        <row r="171">
          <cell r="F171">
            <v>3347</v>
          </cell>
          <cell r="G171" t="str">
            <v>POSTE EN CONCRETO AP, H=8M, CR=510 KG (INC. SUMINISTRO, IZAJE, HINCADO, APLOMADO Y CIMENTACIÓN SEGÚN NORMA LA009)</v>
          </cell>
          <cell r="H171" t="str">
            <v>UN</v>
          </cell>
          <cell r="I171">
            <v>771825</v>
          </cell>
        </row>
        <row r="172">
          <cell r="F172">
            <v>3348</v>
          </cell>
          <cell r="G172" t="str">
            <v>POSTE EN CONCRETO AP, H=8M, CR=750 KG (INC. SUMINISTRO, IZAJE, HINCADO, APLOMADO Y CIMENTACIÓN SEGÚN NORMA LA009)</v>
          </cell>
          <cell r="H172" t="str">
            <v>UN</v>
          </cell>
          <cell r="I172">
            <v>893374</v>
          </cell>
        </row>
        <row r="173">
          <cell r="F173">
            <v>3350</v>
          </cell>
          <cell r="G173" t="str">
            <v>POSTE EN CONCRETO AP, H=10M, CR=510 KG (INC. SUMINISTRO, IZAJE, HINCADO, APLOMADO Y CIMENTACIÓN SEGÚN NORMA LA009)</v>
          </cell>
          <cell r="H173" t="str">
            <v>UN</v>
          </cell>
          <cell r="I173">
            <v>971826</v>
          </cell>
        </row>
        <row r="174">
          <cell r="F174">
            <v>3351</v>
          </cell>
          <cell r="G174" t="str">
            <v>POSTE EN CONCRETO AP, H=10M, CR=750 KG (INC. SUMINISTRO, IZAJE, HINCADO, APLOMADO Y CIMENTACIÓN SEGÚN NORMA LA009)</v>
          </cell>
          <cell r="H174" t="str">
            <v>UN</v>
          </cell>
          <cell r="I174">
            <v>1101806</v>
          </cell>
        </row>
        <row r="175">
          <cell r="F175">
            <v>3352</v>
          </cell>
          <cell r="G175" t="str">
            <v>POSTE EN CONCRETO AP, H=10M, CR=1050 KG (INC. SUMINISTRO, IZAJE, HINCADO, APLOMADO Y CIMENTACIÓN SEGÚN NORMA LA009)</v>
          </cell>
          <cell r="H175" t="str">
            <v>UN</v>
          </cell>
          <cell r="I175">
            <v>1257083</v>
          </cell>
        </row>
        <row r="176">
          <cell r="F176">
            <v>3353</v>
          </cell>
          <cell r="G176" t="str">
            <v>POSTE EN CONCRETO AP, H=12M, CR=510 KG (INC. SUMINISTRO, IZAJE, HINCADO, APLOMADO Y CIMENTACIÓN SEGÚN NORMA LA009)</v>
          </cell>
          <cell r="H176" t="str">
            <v>UN</v>
          </cell>
          <cell r="I176">
            <v>1141831</v>
          </cell>
        </row>
        <row r="177">
          <cell r="F177">
            <v>3354</v>
          </cell>
          <cell r="G177" t="str">
            <v>POSTE EN CONCRETO AP, H=12M, CR=1050 KG (INC. SUMINISTRO, IZAJE, HINCADO, APLOMADO Y CIMENTACIÓN SEGÚN NORMA LA009)</v>
          </cell>
          <cell r="H177" t="str">
            <v>UN</v>
          </cell>
          <cell r="I177">
            <v>1771136</v>
          </cell>
        </row>
        <row r="178">
          <cell r="F178">
            <v>3355</v>
          </cell>
          <cell r="G178" t="str">
            <v>POSTE EN CONCRETO AP, H=14M, CR=750 KG (INC. SUMINISTRO, IZAJE, HINCADO, APLOMADO Y CIMENTACIÓN SEGÚN NORMA LA009)</v>
          </cell>
          <cell r="H178" t="str">
            <v>UN</v>
          </cell>
          <cell r="I178">
            <v>1818670</v>
          </cell>
        </row>
        <row r="179">
          <cell r="F179">
            <v>3356</v>
          </cell>
          <cell r="G179" t="str">
            <v>POSTE EN CONCRETO AP, H=14M, CR=1050 KG (INC. SUMINISTRO, IZAJE, HINCADO, APLOMADO Y CIMENTACIÓN SEGÚN NORMA LA009)</v>
          </cell>
          <cell r="H179" t="str">
            <v>UN</v>
          </cell>
          <cell r="I179">
            <v>1986126</v>
          </cell>
        </row>
        <row r="180">
          <cell r="F180">
            <v>3357</v>
          </cell>
          <cell r="G180" t="str">
            <v>POSTE EN CONCRETO AP, H=14M, CR=1350 KG (INC. SUMINISTRO, IZAJE, HINCADO, APLOMADO Y CIMENTACIÓN SEGÚN NORMA LA009)</v>
          </cell>
          <cell r="H180" t="str">
            <v>UN</v>
          </cell>
          <cell r="I180">
            <v>2118917</v>
          </cell>
        </row>
        <row r="181">
          <cell r="F181">
            <v>3358</v>
          </cell>
          <cell r="G181" t="str">
            <v>POSTE METALICO AP, H=6M TIPO M130 SENCILLO (INC. SUMIN., IZAJE, APLOMADO, INST., BASE SEGÚN NORMA AP330 Y LUMINARIA 70W)</v>
          </cell>
          <cell r="H181" t="str">
            <v>UN</v>
          </cell>
          <cell r="I181">
            <v>1758179</v>
          </cell>
        </row>
        <row r="182">
          <cell r="F182">
            <v>3359</v>
          </cell>
          <cell r="G182" t="str">
            <v>POSTE METALICO AP, H=6M TIPO M130 DOBLE (INC. SUMIN., IZAJE, APLOMADO, INST., BASE SEGÚN NORMA AP330 Y LUMINARIAS 70W)</v>
          </cell>
          <cell r="H182" t="str">
            <v>UN</v>
          </cell>
          <cell r="I182">
            <v>2221113</v>
          </cell>
        </row>
        <row r="183">
          <cell r="F183">
            <v>3360</v>
          </cell>
          <cell r="G183" t="str">
            <v>POSTE METALICO AP, H=9M (INC. SUMINISTRO, IZAJE, APLOMADO E INSTALACIÓN. INC. BRAZO SENCILLO Y BASE SEGÚN NORMA AP802)</v>
          </cell>
          <cell r="H183" t="str">
            <v>UN</v>
          </cell>
          <cell r="I183">
            <v>3231159</v>
          </cell>
        </row>
        <row r="184">
          <cell r="F184">
            <v>3361</v>
          </cell>
          <cell r="G184" t="str">
            <v>POSTE METALICO AP, H=10M (INC. SUMINISTRO, IZAJE, APLOMADO E INSTALACIÓN. INCLUYE BRAZO DOBLE Y BASE SEGÚN NORMA AP802)</v>
          </cell>
          <cell r="H184" t="str">
            <v>UN</v>
          </cell>
          <cell r="I184">
            <v>3477384</v>
          </cell>
        </row>
        <row r="185">
          <cell r="F185">
            <v>3363</v>
          </cell>
          <cell r="G185" t="str">
            <v>POSTE METALICO AP, H=12M (INC. SUMINISTRO, IZAJE, APLOMADO E INSTALACIÓN. INC. BRAZO DOBLE Y BASE SEGÚN NORMA AP802)</v>
          </cell>
          <cell r="H185" t="str">
            <v>UN</v>
          </cell>
          <cell r="I185">
            <v>4007614</v>
          </cell>
        </row>
        <row r="186">
          <cell r="F186">
            <v>3364</v>
          </cell>
          <cell r="G186" t="str">
            <v>POSTE EN CONCRETO LA, H=8M, CR=510 KG (INC. SUMINISTRO, IZAJE, HINCADO, APLOMADO Y CIMENTACIÓN SEGÚN NORMA LA009)</v>
          </cell>
          <cell r="H186" t="str">
            <v>UN</v>
          </cell>
          <cell r="I186">
            <v>771825</v>
          </cell>
        </row>
        <row r="187">
          <cell r="F187">
            <v>3365</v>
          </cell>
          <cell r="G187" t="str">
            <v>POSTE EN CONCRETO LA, H=8M, CR=750 KG (INC. SUMINISTRO, IZAJE, HINCADO, APLOMADO Y CIMENTACIÓN SEGÚN NORMA LA009)</v>
          </cell>
          <cell r="H187" t="str">
            <v>UN</v>
          </cell>
          <cell r="I187">
            <v>893374</v>
          </cell>
        </row>
        <row r="188">
          <cell r="F188">
            <v>3366</v>
          </cell>
          <cell r="G188" t="str">
            <v>POSTE EN CONCRETO LA, H=8M, CR=1050 KG (INC. SUMINISTRO, IZAJE, HINCADO, APLOMADO Y CIMENTACIÓN SEGÚN NORMA LA009)</v>
          </cell>
          <cell r="H188" t="str">
            <v>UN</v>
          </cell>
          <cell r="I188">
            <v>1042093</v>
          </cell>
        </row>
        <row r="189">
          <cell r="F189">
            <v>3368</v>
          </cell>
          <cell r="G189" t="str">
            <v>POSTE EN CONCRETO LA, H=10M, CR=510 KG (INC. SUMINISTRO, IZAJE, HINCADO, APLOMADO Y CIMENTACIÓN SEGÚN NORMA LA009)</v>
          </cell>
          <cell r="H189" t="str">
            <v>UN</v>
          </cell>
          <cell r="I189">
            <v>977447</v>
          </cell>
        </row>
        <row r="190">
          <cell r="F190">
            <v>3369</v>
          </cell>
          <cell r="G190" t="str">
            <v>POSTE EN CONCRETO LA, H=10M, CR=750 KG (INC. SUMINISTRO, IZAJE, HINCADO, APLOMADO Y CIMENTACIÓN SEGÚN NORMA LA009)</v>
          </cell>
          <cell r="H190" t="str">
            <v>UN</v>
          </cell>
          <cell r="I190">
            <v>1101806</v>
          </cell>
        </row>
        <row r="191">
          <cell r="F191">
            <v>3370</v>
          </cell>
          <cell r="G191" t="str">
            <v>POSTE EN CONCRETO LA, H=10M, CR=1050 KG (INC. SUMINISTRO, IZAJE, HINCADO, APLOMADO Y CIMENTACIÓN SEGÚN NORMA LA009)</v>
          </cell>
          <cell r="H191" t="str">
            <v>UN</v>
          </cell>
          <cell r="I191">
            <v>1257083</v>
          </cell>
        </row>
        <row r="192">
          <cell r="F192">
            <v>3371</v>
          </cell>
          <cell r="G192" t="str">
            <v>POSTE EN CONCRETO LA, H=12M, CR=510 KG (INC. SUMINISTRO, IZAJE, HINCADO, APLOMADO Y CIMENTACIÓN SEGÚN NORMA LA009)</v>
          </cell>
          <cell r="H192" t="str">
            <v>UN</v>
          </cell>
          <cell r="I192">
            <v>1184191</v>
          </cell>
        </row>
        <row r="193">
          <cell r="F193">
            <v>3372</v>
          </cell>
          <cell r="G193" t="str">
            <v>POSTE EN CONCRETO LA, H=12M, CR=750 KG (INC. SUMINISTRO, IZAJE, HINCADO, APLOMADO Y CIMENTACIÓN SEGÚN NORMA LA009)</v>
          </cell>
          <cell r="H193" t="str">
            <v>UN</v>
          </cell>
          <cell r="I193">
            <v>1338725</v>
          </cell>
        </row>
        <row r="194">
          <cell r="F194">
            <v>3373</v>
          </cell>
          <cell r="G194" t="str">
            <v>POSTE EN CONCRETO LA, H=12M, CR=1050 KG (INC. SUMINISTRO, IZAJE, HINCADO, APLOMADO Y CIMENTACIÓN SEGÚN NORMA LA009)</v>
          </cell>
          <cell r="H194" t="str">
            <v>UN</v>
          </cell>
          <cell r="I194">
            <v>1771136</v>
          </cell>
        </row>
        <row r="195">
          <cell r="F195">
            <v>3374</v>
          </cell>
          <cell r="G195" t="str">
            <v>POSTE EN CONCRETO LA, H=14M, CR=750 KG (INC. SUMINISTRO, IZAJE, HINCADO, APLOMADO Y CIMENTACIÓN SEGÚN NORMA LA009)</v>
          </cell>
          <cell r="H195" t="str">
            <v>UN</v>
          </cell>
          <cell r="I195">
            <v>1818670</v>
          </cell>
        </row>
        <row r="196">
          <cell r="F196">
            <v>3375</v>
          </cell>
          <cell r="G196" t="str">
            <v>POSTE EN CONCRETO LA, H=14M, CR=1050 KG (INC. SUMINISTRO, IZAJE, HINCADO, APLOMADO Y CIMENTACIÓN SEGÚN NORMA LA009)</v>
          </cell>
          <cell r="H196" t="str">
            <v>UN</v>
          </cell>
          <cell r="I196">
            <v>1986126</v>
          </cell>
        </row>
        <row r="197">
          <cell r="F197">
            <v>3376</v>
          </cell>
          <cell r="G197" t="str">
            <v>POSTE EN CONCRETO LA, H=14M, CR=1350 KG (INC. SUMINISTRO, IZAJE, HINCADO, APLOMADO Y CIMENTACIÓN SEGÚN NORMA LA009)</v>
          </cell>
          <cell r="H197" t="str">
            <v>UN</v>
          </cell>
          <cell r="I197">
            <v>2118917</v>
          </cell>
        </row>
        <row r="198">
          <cell r="F198">
            <v>3378</v>
          </cell>
          <cell r="G198" t="str">
            <v>DESCAPOTE A MANO EN MATERIAL COMUN (E=0.1M. INCLUYE CARGUE)</v>
          </cell>
          <cell r="H198" t="str">
            <v>M2</v>
          </cell>
          <cell r="I198">
            <v>3210</v>
          </cell>
        </row>
        <row r="199">
          <cell r="F199">
            <v>3379</v>
          </cell>
          <cell r="G199" t="str">
            <v>4 DUCTOS D=6" PVC-TDP (INCLUYE SUMINISTRO E INSTALACIÓN. NO INCLUYE RELLENOS). NORMA CS217.</v>
          </cell>
          <cell r="H199" t="str">
            <v>ML</v>
          </cell>
          <cell r="I199">
            <v>218392</v>
          </cell>
        </row>
        <row r="200">
          <cell r="F200">
            <v>3380</v>
          </cell>
          <cell r="G200" t="str">
            <v>4 DUCTOS D=4" PVC-TDP (INCLUYE SUMINISTRO E INSTALACIÓN. NO INCLUYE RELLENOS) NORMA CS209.</v>
          </cell>
          <cell r="H200" t="str">
            <v>ML</v>
          </cell>
          <cell r="I200">
            <v>98710</v>
          </cell>
        </row>
        <row r="201">
          <cell r="F201">
            <v>3382</v>
          </cell>
          <cell r="G201" t="str">
            <v>1 DUCTO D=3" PVC-TDP (INCLUYE SUMINISTRO E INSTALACIÓN. NO INCLUYE RELLENOS) NORMA CS220.</v>
          </cell>
          <cell r="H201" t="str">
            <v>ML</v>
          </cell>
          <cell r="I201">
            <v>22582</v>
          </cell>
        </row>
        <row r="202">
          <cell r="F202">
            <v>3385</v>
          </cell>
          <cell r="G202" t="str">
            <v>6 DUCTOS D=4" PVC-TDP (INCLUYE SUMINISTRO E INSTALACIÓN. NO INCLUYE RELLENOS)</v>
          </cell>
          <cell r="H202" t="str">
            <v>ML</v>
          </cell>
          <cell r="I202">
            <v>146399</v>
          </cell>
        </row>
        <row r="203">
          <cell r="F203">
            <v>3388</v>
          </cell>
          <cell r="G203" t="str">
            <v>9 DUCTOS D=6" PVC-TDP (INCLUYE SUMINISTRO E INSTALACIÓN. NO INCLUYE RELLENOS) NORMA CS213.</v>
          </cell>
          <cell r="H203" t="str">
            <v>ML</v>
          </cell>
          <cell r="I203">
            <v>487217</v>
          </cell>
        </row>
        <row r="204">
          <cell r="F204">
            <v>3391</v>
          </cell>
          <cell r="G204" t="str">
            <v>CODO HD 22.5° EXTREMO LISO PARA PVC D=4" (SUMINISTRO E INSTALACIÓN)</v>
          </cell>
          <cell r="H204" t="str">
            <v>UN</v>
          </cell>
          <cell r="I204">
            <v>193565</v>
          </cell>
        </row>
        <row r="205">
          <cell r="F205">
            <v>3393</v>
          </cell>
          <cell r="G205" t="str">
            <v>UNION DE REPARACION PVC TIPO U.M. D=12" (SUMINISTRO E INSTALACIÓN)</v>
          </cell>
          <cell r="H205" t="str">
            <v>UN</v>
          </cell>
          <cell r="I205">
            <v>1289533</v>
          </cell>
        </row>
        <row r="206">
          <cell r="F206">
            <v>3394</v>
          </cell>
          <cell r="G206" t="str">
            <v>LOSA DE CONCRETO MR41 (SUMINISTRO, FORMALETEADO, COLOCACIÓN Y ACABADO. NO INCLUYE ACERO, CURADO, JUNTAS)</v>
          </cell>
          <cell r="H206" t="str">
            <v>M3</v>
          </cell>
          <cell r="I206">
            <v>653827</v>
          </cell>
        </row>
        <row r="207">
          <cell r="F207">
            <v>3396</v>
          </cell>
          <cell r="G207" t="str">
            <v>BANCA EN CONCRETO TIPO M30 (SUMINISTRO E INSTALACIÓN. NO INCLUYE MATERIAL DE BASE)</v>
          </cell>
          <cell r="H207" t="str">
            <v>UN</v>
          </cell>
          <cell r="I207">
            <v>703079</v>
          </cell>
        </row>
        <row r="208">
          <cell r="F208">
            <v>3397</v>
          </cell>
          <cell r="G208" t="str">
            <v>CANECA TIPO M120 (EN MALLA METÁLICA. INCLUYE SUMINISTRO E INSTALACIÓN. INCLUYE BASE EN CONCRETO 1500 PSI, HECHO EN OBRA)</v>
          </cell>
          <cell r="H208" t="str">
            <v>UN</v>
          </cell>
          <cell r="I208">
            <v>358601</v>
          </cell>
        </row>
        <row r="209">
          <cell r="F209">
            <v>3400</v>
          </cell>
          <cell r="G209" t="str">
            <v>BANCA EN CONCRETO TIPO M40 (SUMINISTRO E INSTALACIÓN)</v>
          </cell>
          <cell r="H209" t="str">
            <v>UN</v>
          </cell>
          <cell r="I209">
            <v>245440</v>
          </cell>
        </row>
        <row r="210">
          <cell r="F210">
            <v>3401</v>
          </cell>
          <cell r="G210" t="str">
            <v>BANCA EN CONCRETO TIPO M31 (SUMINISTRO E INSTALACIÓN)</v>
          </cell>
          <cell r="H210" t="str">
            <v>UN</v>
          </cell>
          <cell r="I210">
            <v>488879</v>
          </cell>
        </row>
        <row r="211">
          <cell r="F211">
            <v>3403</v>
          </cell>
          <cell r="G211" t="str">
            <v>CONTENEDOR DE RAICES TIPO B20 (TIPO A) (1.2X1.2X1.40M. INC. SUMINISTRO, CONSTRUCCIÓN Y FILTRO EN GRAVILLA. NO INC. TIERRA)</v>
          </cell>
          <cell r="H211" t="str">
            <v>UN</v>
          </cell>
          <cell r="I211">
            <v>817025</v>
          </cell>
        </row>
        <row r="212">
          <cell r="F212">
            <v>3404</v>
          </cell>
          <cell r="G212" t="str">
            <v>TAPON HD EXTREMO LISO D=4" (SUMINISTRO E INSTALACIÓN)</v>
          </cell>
          <cell r="H212" t="str">
            <v>UN</v>
          </cell>
          <cell r="I212">
            <v>134065</v>
          </cell>
        </row>
        <row r="213">
          <cell r="F213">
            <v>3405</v>
          </cell>
          <cell r="G213" t="str">
            <v>UNION DE REPARACION HD EL D=6" (SUMINISTRO E INSTALACIÓN)</v>
          </cell>
          <cell r="H213" t="str">
            <v>UN</v>
          </cell>
          <cell r="I213">
            <v>288584</v>
          </cell>
        </row>
        <row r="214">
          <cell r="F214">
            <v>3408</v>
          </cell>
          <cell r="G214" t="str">
            <v>6 DUCTOS D=6" PVC-TDP (INCLUYE SUMINISTRO E INSTALACIÓN. NO INCLUYE RELLENOS). NORMA CS212.</v>
          </cell>
          <cell r="H214" t="str">
            <v>ML</v>
          </cell>
          <cell r="I214">
            <v>325922</v>
          </cell>
        </row>
        <row r="215">
          <cell r="F215">
            <v>3410</v>
          </cell>
          <cell r="G215" t="str">
            <v>CAMARA DE INSPECCIÓN T-14A ETB (H=2.3M. INCLUYE BASE, MUROS, CUBIERTA, ARO-BASE Y ARO-TAPA)</v>
          </cell>
          <cell r="H215" t="str">
            <v>UN</v>
          </cell>
          <cell r="I215">
            <v>7848975</v>
          </cell>
        </row>
        <row r="216">
          <cell r="F216">
            <v>3411</v>
          </cell>
          <cell r="G216" t="str">
            <v>CAMARA DE INSPECCIÓN T-18A ETB (H=2.3M. INCLUYE BASE, MUROS, CUBIERTA, ARO-BASE Y ARO-TAPA)</v>
          </cell>
          <cell r="H216" t="str">
            <v>UN</v>
          </cell>
          <cell r="I216">
            <v>8169130</v>
          </cell>
        </row>
        <row r="217">
          <cell r="F217">
            <v>3412</v>
          </cell>
          <cell r="G217" t="str">
            <v>UNION DE REPARACION PVC TIPO U.M. D=8" (SUMINISTRO E INSTALACIÓN)</v>
          </cell>
          <cell r="H217" t="str">
            <v>UN</v>
          </cell>
          <cell r="I217">
            <v>418862</v>
          </cell>
        </row>
        <row r="218">
          <cell r="F218">
            <v>3413</v>
          </cell>
          <cell r="G218" t="str">
            <v>ADAPTADOR TERMINAL CAMPANA PVC D=3" (SUMINISTRO E INSTALACIÓN)</v>
          </cell>
          <cell r="H218" t="str">
            <v>UN</v>
          </cell>
          <cell r="I218">
            <v>10791</v>
          </cell>
        </row>
        <row r="219">
          <cell r="F219">
            <v>3414</v>
          </cell>
          <cell r="G219" t="str">
            <v>ADAPTADOR TERMINAL CAMPANA PVC D=4" (SUMINISTRO E INSTALACIÓN)</v>
          </cell>
          <cell r="H219" t="str">
            <v>UN</v>
          </cell>
          <cell r="I219">
            <v>18904</v>
          </cell>
        </row>
        <row r="220">
          <cell r="F220">
            <v>3415</v>
          </cell>
          <cell r="G220" t="str">
            <v>2 DUCTOS D=3" PVC-TDP (INCLUYE SUMINISTRO E INSTALACIÓN. NO INCLUYE RELLENOS)</v>
          </cell>
          <cell r="H220" t="str">
            <v>ML</v>
          </cell>
          <cell r="I220">
            <v>40952</v>
          </cell>
        </row>
        <row r="221">
          <cell r="F221">
            <v>3425</v>
          </cell>
          <cell r="G221" t="str">
            <v>ANDEN CONCRETO GRAVA COMÚN DE 3000 PSI (210 KG/CM2) PREMEZCLADO E=0.10M (INCLUYE SUMINISTRO, FORMALETEO, FUNDIDA Y CURADO)</v>
          </cell>
          <cell r="H221" t="str">
            <v>M2</v>
          </cell>
          <cell r="I221">
            <v>68678</v>
          </cell>
        </row>
        <row r="222">
          <cell r="F222">
            <v>3426</v>
          </cell>
          <cell r="G222" t="str">
            <v>SARDINEL H=0.40M, E=0.15M CONCRETO 3000 PSI (FUNDIDO EN SITIO, CONCRETO HECHO EN OBRA. INC. SUMIN, FORMALET. Y CONST.)</v>
          </cell>
          <cell r="H222" t="str">
            <v>ML</v>
          </cell>
          <cell r="I222">
            <v>38905</v>
          </cell>
        </row>
        <row r="223">
          <cell r="F223">
            <v>3429</v>
          </cell>
          <cell r="G223" t="str">
            <v>SEÑAL DOBLE DE CICLORUTA (INCLUYE SUMINISTRO E INSTALACIÓN)</v>
          </cell>
          <cell r="H223" t="str">
            <v>UN</v>
          </cell>
          <cell r="I223">
            <v>440775</v>
          </cell>
        </row>
        <row r="224">
          <cell r="F224">
            <v>3430</v>
          </cell>
          <cell r="G224" t="str">
            <v>SEÑAL VERTICAL GRUPO I (60X60CM) (INCLUYE SUMINISTRO E INSTALACIÓN)</v>
          </cell>
          <cell r="H224" t="str">
            <v>UN</v>
          </cell>
          <cell r="I224">
            <v>311708</v>
          </cell>
        </row>
        <row r="225">
          <cell r="F225">
            <v>3431</v>
          </cell>
          <cell r="G225" t="str">
            <v>SEÑAL VERTICAL GRUPO I (75X75CM) (INCLUYE SUMINISTRO E INSTALACIÓN)</v>
          </cell>
          <cell r="H225" t="str">
            <v>UN</v>
          </cell>
          <cell r="I225">
            <v>351525</v>
          </cell>
        </row>
        <row r="226">
          <cell r="F226">
            <v>3432</v>
          </cell>
          <cell r="G226" t="str">
            <v>SEÑAL VERTICAL GRUPO I (90X90CM) (INCLUYE SUMINISTRO E INSTALACIÓN)</v>
          </cell>
          <cell r="H226" t="str">
            <v>UN</v>
          </cell>
          <cell r="I226">
            <v>416933</v>
          </cell>
        </row>
        <row r="227">
          <cell r="F227">
            <v>3433</v>
          </cell>
          <cell r="G227" t="str">
            <v>TACHA REFLECTIVA UNIDIRECCIONAL (INCLUYE SUMINISTRO E INSTALACIÓN)</v>
          </cell>
          <cell r="H227" t="str">
            <v>UN</v>
          </cell>
          <cell r="I227">
            <v>4847</v>
          </cell>
        </row>
        <row r="228">
          <cell r="F228">
            <v>3434</v>
          </cell>
          <cell r="G228" t="str">
            <v>TACHÓN EN CONCRETO L=0.40M HI=0.15M, HS=0.08M (INCLUYE SUMINISTRO E INSTALACIÓN) INCLUYE PINTURA PARA INSTALAR</v>
          </cell>
          <cell r="H228" t="str">
            <v>UN</v>
          </cell>
          <cell r="I228">
            <v>70829</v>
          </cell>
        </row>
        <row r="229">
          <cell r="F229">
            <v>3436</v>
          </cell>
          <cell r="G229" t="str">
            <v>RELLENO PARA REDES EN SUBBASE GRANULAR B-400 (SUMINISTRO, EXTENDIDO, HUMEDECIMIENTO Y COMPACTACIÓN)</v>
          </cell>
          <cell r="H229" t="str">
            <v>M3</v>
          </cell>
          <cell r="I229">
            <v>99877</v>
          </cell>
        </row>
        <row r="230">
          <cell r="F230">
            <v>3442</v>
          </cell>
          <cell r="G230" t="str">
            <v>CONCRETO 2000 PSI PARA REDES (Hecho en Obra 1:3:3 con arena de río y triturado de 3/4")  (Suministro y Colocación)</v>
          </cell>
          <cell r="H230" t="str">
            <v>M3</v>
          </cell>
          <cell r="I230">
            <v>517232</v>
          </cell>
        </row>
        <row r="231">
          <cell r="F231">
            <v>3443</v>
          </cell>
          <cell r="G231" t="str">
            <v>SUBBASE GRANULAR B-200 (SUMINISTRO, EXTENDIDO, NIVELACIÓN, HUMEDECIMIENTO Y COMPACTACIÓN CON VIBROCOMPACTADOR)</v>
          </cell>
          <cell r="H231" t="str">
            <v>M3</v>
          </cell>
          <cell r="I231">
            <v>83932</v>
          </cell>
        </row>
        <row r="232">
          <cell r="F232">
            <v>3450</v>
          </cell>
          <cell r="G232" t="str">
            <v>LUMINARIA DE SODIO 70W PARA AP (INC. SUMINISTRO E INSTALACIÓN. INC. BOMBILLO Y FOTOCELDA CON BASE. NO INC BRAZO SOPORTE)</v>
          </cell>
          <cell r="H232" t="str">
            <v>UN</v>
          </cell>
          <cell r="I232">
            <v>359404</v>
          </cell>
        </row>
        <row r="233">
          <cell r="F233">
            <v>3451</v>
          </cell>
          <cell r="G233" t="str">
            <v>LUMINARIA DE SODIO 250W PARA AP (INC.SUMINISTRO E INSTALACIÓN. INC. BOMBILLO Y FOTOCELDA CON BASE. NO INC BRAZO SOPORTE)</v>
          </cell>
          <cell r="H233" t="str">
            <v>UN</v>
          </cell>
          <cell r="I233">
            <v>503394</v>
          </cell>
        </row>
        <row r="234">
          <cell r="F234">
            <v>3452</v>
          </cell>
          <cell r="G234" t="str">
            <v>LUMINARIA DE SODIO 150W PARA AP (INC.SUMINISTRO E INSTALACIÓN. INC. BOMBILLO Y FOTOCELDA CON BASE. NO INC BRAZO SOPORTE)</v>
          </cell>
          <cell r="H234" t="str">
            <v>UN</v>
          </cell>
          <cell r="I234">
            <v>462934</v>
          </cell>
        </row>
        <row r="235">
          <cell r="F235">
            <v>3454</v>
          </cell>
          <cell r="G235" t="str">
            <v>ESTABILIZACIÓN DE SUBRASANTE CON RAJÓN (SUMINISTRO, EXTENDIDO, NIVELACIÓN Y COMPACTACIÓN MANUAL)</v>
          </cell>
          <cell r="H235" t="str">
            <v>M3</v>
          </cell>
          <cell r="I235">
            <v>107412</v>
          </cell>
        </row>
        <row r="236">
          <cell r="F236">
            <v>3463</v>
          </cell>
          <cell r="G236" t="str">
            <v>UNION DE REPARACION PVC TIPO U.M. D=6" (SUMINISTRO E INSTALACIÓN)</v>
          </cell>
          <cell r="H236" t="str">
            <v>UN</v>
          </cell>
          <cell r="I236">
            <v>231089</v>
          </cell>
        </row>
        <row r="237">
          <cell r="F237">
            <v>3464</v>
          </cell>
          <cell r="G237" t="str">
            <v>EXCAVACION MANUAL EN MATERIAL COMUN. INCLUYE CARGUE.</v>
          </cell>
          <cell r="H237" t="str">
            <v>M3</v>
          </cell>
          <cell r="I237">
            <v>36750</v>
          </cell>
        </row>
        <row r="238">
          <cell r="F238">
            <v>3465</v>
          </cell>
          <cell r="G238" t="str">
            <v>CONCRETO 3000 PSI (HECHO EN OBRA 1:2:2 CON ARENA DE RÍO Y TRITURADO DE 3/4")</v>
          </cell>
          <cell r="H238" t="str">
            <v>M3</v>
          </cell>
          <cell r="I238">
            <v>454683</v>
          </cell>
        </row>
        <row r="239">
          <cell r="F239">
            <v>3466</v>
          </cell>
          <cell r="G239" t="str">
            <v>CONCRETO 4000 PSI (HECHO EN OBRA CON ARENA DE RÍO Y TRITURADO DE 3/4")</v>
          </cell>
          <cell r="H239" t="str">
            <v>M3</v>
          </cell>
          <cell r="I239">
            <v>467599</v>
          </cell>
        </row>
        <row r="240">
          <cell r="F240">
            <v>3467</v>
          </cell>
          <cell r="G240" t="str">
            <v>CONCRETO 3500 PSI (HECHO EN OBRA CON ARENA DE RÍO Y TRITURADO DE 3/4")</v>
          </cell>
          <cell r="H240" t="str">
            <v>M3</v>
          </cell>
          <cell r="I240">
            <v>454179</v>
          </cell>
        </row>
        <row r="241">
          <cell r="F241">
            <v>3468</v>
          </cell>
          <cell r="G241" t="str">
            <v>CONCRETO 2000 PSI (HECHO EN OBRA 1:3:3 CON ARENA DE RÍO Y TRITURADO DE 3/4")</v>
          </cell>
          <cell r="H241" t="str">
            <v>M3</v>
          </cell>
          <cell r="I241">
            <v>400333</v>
          </cell>
        </row>
        <row r="242">
          <cell r="F242">
            <v>3470</v>
          </cell>
          <cell r="G242" t="str">
            <v>CILINDRO POZO INSP. EN MAMPOSTERIA E=0.37M (INC. SUMIN. Y CONST, ACERO PARA ESCALERAS, GEOTEXTIL Y PAÑETE IMPERMEAB.)</v>
          </cell>
          <cell r="H242" t="str">
            <v>ML</v>
          </cell>
          <cell r="I242">
            <v>861595</v>
          </cell>
        </row>
        <row r="243">
          <cell r="F243">
            <v>3471</v>
          </cell>
          <cell r="G243" t="str">
            <v>CILINDRO POZO INSP. EN MAMPOSTERIA E=0.25M (INC. SUMIN. Y CONST, ACERO PARA ESCALERAS, GEOTEXTIL Y PAÑETE IMPERMEAB.)</v>
          </cell>
          <cell r="H243" t="str">
            <v>ML</v>
          </cell>
          <cell r="I243">
            <v>593995</v>
          </cell>
        </row>
        <row r="244">
          <cell r="F244">
            <v>3472</v>
          </cell>
          <cell r="G244" t="str">
            <v>PLACA CUBIERTA D=1.70M POZO INSPEC. (FUNDIDA EN SITIO. INC. SUMINISTRO, FORMALETEO, REFUERZO E INSTALACIÓN. NO INC.TAPA)</v>
          </cell>
          <cell r="H244" t="str">
            <v>UN</v>
          </cell>
          <cell r="I244">
            <v>596261</v>
          </cell>
        </row>
        <row r="245">
          <cell r="F245">
            <v>3473</v>
          </cell>
          <cell r="G245" t="str">
            <v>PLACA FONDO D=1.70M POZO INSPEC. (FUNDIDA EN SITIO. INCL. SUMIN, FORMALET, REF, INST. INCL. CONCRETO 2000 PSI DE BASE)</v>
          </cell>
          <cell r="H245" t="str">
            <v>UN</v>
          </cell>
          <cell r="I245">
            <v>785786</v>
          </cell>
        </row>
        <row r="246">
          <cell r="F246">
            <v>3474</v>
          </cell>
          <cell r="G246" t="str">
            <v>PLACA FONDO D=1.95M POZO INSPEC. (FUNDIDA EN SITIO. INCL. SUMIN, FORMALET, REF, INST. INCL. CONCRETO 2000 PSI DE BASE)</v>
          </cell>
          <cell r="H246" t="str">
            <v>UN</v>
          </cell>
          <cell r="I246">
            <v>956271</v>
          </cell>
        </row>
        <row r="247">
          <cell r="F247">
            <v>3475</v>
          </cell>
          <cell r="G247" t="str">
            <v>MORTERO 1:4 (HECHO EN OBRA)</v>
          </cell>
          <cell r="H247" t="str">
            <v>M3</v>
          </cell>
          <cell r="I247">
            <v>315322</v>
          </cell>
        </row>
        <row r="248">
          <cell r="F248">
            <v>3476</v>
          </cell>
          <cell r="G248" t="str">
            <v>MORTERO 1:3 (HECHO EN OBRA)</v>
          </cell>
          <cell r="H248" t="str">
            <v>M3</v>
          </cell>
          <cell r="I248">
            <v>356372</v>
          </cell>
        </row>
        <row r="249">
          <cell r="F249">
            <v>3477</v>
          </cell>
          <cell r="G249" t="str">
            <v>MORTERO 1:2 (HECHO EN OBRA)</v>
          </cell>
          <cell r="H249" t="str">
            <v>M3</v>
          </cell>
          <cell r="I249">
            <v>439765</v>
          </cell>
        </row>
        <row r="250">
          <cell r="F250">
            <v>3478</v>
          </cell>
          <cell r="G250" t="str">
            <v>RELLENO PARA REDES EN GRAVILLA 1/2" (SUMINISTRO, DISPOSICIÓN Y EXTENDIDO MANUAL)</v>
          </cell>
          <cell r="H250" t="str">
            <v>M3</v>
          </cell>
          <cell r="I250">
            <v>137197</v>
          </cell>
        </row>
        <row r="251">
          <cell r="F251">
            <v>3486</v>
          </cell>
          <cell r="G251" t="str">
            <v>DEMOLICIÓN CONCRETO ESTRUCTURAL (INCLUYE CARGUE MANUAL). NO INCLUYE TRANSPORTE Y DISPOSICIÓN FINAL DE SOBRANTES.</v>
          </cell>
          <cell r="H251" t="str">
            <v>M3</v>
          </cell>
          <cell r="I251">
            <v>159174</v>
          </cell>
        </row>
        <row r="252">
          <cell r="F252">
            <v>3487</v>
          </cell>
          <cell r="G252" t="str">
            <v>LUMINARIA DE SODIO 400W PARA AP (INC.SUMINISTRO E INSTALACIÓN. INC. BOMBILLO Y FOTOCELDA CON BASE. NO INC BRAZO SOPORTE)</v>
          </cell>
          <cell r="H252" t="str">
            <v>UN</v>
          </cell>
          <cell r="I252">
            <v>602164</v>
          </cell>
        </row>
        <row r="253">
          <cell r="F253">
            <v>3490</v>
          </cell>
          <cell r="G253" t="str">
            <v>FLECHA DIRECCIONAL "A LA DERECHA" (E=15 MILS, ACRÍLICA BASE AGUA. INC. SUMIN. Y APLIC. CON EQUIPO. INCL. MICROESFERAS)</v>
          </cell>
          <cell r="H253" t="str">
            <v>UN</v>
          </cell>
          <cell r="I253">
            <v>53143</v>
          </cell>
        </row>
        <row r="254">
          <cell r="F254">
            <v>3491</v>
          </cell>
          <cell r="G254" t="str">
            <v>FLECHA DIRECCIONAL "DE FRENTE" (E=15 MILS, ACRÍLICA BASE AGUA. INC. SUMIN. Y APLIC. CON EQUIPO. INCL. MICROESFERAS)</v>
          </cell>
          <cell r="H254" t="str">
            <v>UN</v>
          </cell>
          <cell r="I254">
            <v>42233</v>
          </cell>
        </row>
        <row r="255">
          <cell r="F255">
            <v>3492</v>
          </cell>
          <cell r="G255" t="str">
            <v>FLECHA DIRECCIONAL "DE FRENTE A LA DERECHA" (E=15 MILS, ACRÍLICA BASE AGUA. INC. SUMIN. Y APLIC. CON EQUIPO. INCL. MICR</v>
          </cell>
          <cell r="H255" t="str">
            <v>UN</v>
          </cell>
          <cell r="I255">
            <v>76723</v>
          </cell>
        </row>
        <row r="256">
          <cell r="F256">
            <v>3499</v>
          </cell>
          <cell r="G256" t="str">
            <v>UNION DE REPARACION HD EL D=8" (SUMINISTRO E INSTALACIÓN)</v>
          </cell>
          <cell r="H256" t="str">
            <v>UN</v>
          </cell>
          <cell r="I256">
            <v>418486</v>
          </cell>
        </row>
        <row r="257">
          <cell r="F257">
            <v>3500</v>
          </cell>
          <cell r="G257" t="str">
            <v>UNION DE REPARACION HD EL D=10" (SUMINISTRO E INSTALACIÓN)</v>
          </cell>
          <cell r="H257" t="str">
            <v>UN</v>
          </cell>
          <cell r="I257">
            <v>692719</v>
          </cell>
        </row>
        <row r="258">
          <cell r="F258">
            <v>3501</v>
          </cell>
          <cell r="G258" t="str">
            <v>UNION DE REPARACION HD EL D=12" (SUMINISTRO E INSTALACIÓN)</v>
          </cell>
          <cell r="H258" t="str">
            <v>UN</v>
          </cell>
          <cell r="I258">
            <v>979874</v>
          </cell>
        </row>
        <row r="259">
          <cell r="F259">
            <v>3502</v>
          </cell>
          <cell r="G259" t="str">
            <v>UNION DE REPARACION HD EL D=14" (SUMINISTRO E INSTALACIÓN)</v>
          </cell>
          <cell r="H259" t="str">
            <v>UN</v>
          </cell>
          <cell r="I259">
            <v>1037207</v>
          </cell>
        </row>
        <row r="260">
          <cell r="F260">
            <v>3503</v>
          </cell>
          <cell r="G260" t="str">
            <v>UNION DE REPARACION HD EL D=16" (SUMINISTRO E INSTALACIÓN)</v>
          </cell>
          <cell r="H260" t="str">
            <v>UN</v>
          </cell>
          <cell r="I260">
            <v>1428537</v>
          </cell>
        </row>
        <row r="261">
          <cell r="F261">
            <v>3504</v>
          </cell>
          <cell r="G261" t="str">
            <v>YEE EN CONCRETO 8" X 6" X 0.60M (INCLUYE SUMINISTRO E INSTALACIÓN)</v>
          </cell>
          <cell r="H261" t="str">
            <v>UN</v>
          </cell>
          <cell r="I261">
            <v>123446</v>
          </cell>
        </row>
        <row r="262">
          <cell r="F262">
            <v>3505</v>
          </cell>
          <cell r="G262" t="str">
            <v>YEE EN CONCRETO 10" X 6" X 1.25M (INCLUYE SUMINISTRO E INSTALACIÓN)</v>
          </cell>
          <cell r="H262" t="str">
            <v>UN</v>
          </cell>
          <cell r="I262">
            <v>245173</v>
          </cell>
        </row>
        <row r="263">
          <cell r="F263">
            <v>3506</v>
          </cell>
          <cell r="G263" t="str">
            <v>YEE EN CONCRETO 12" X 6" X 1.25 M (INCLUYE SUMINISTRO E INSTALACIÓN)</v>
          </cell>
          <cell r="H263" t="str">
            <v>UN</v>
          </cell>
          <cell r="I263">
            <v>316566</v>
          </cell>
        </row>
        <row r="264">
          <cell r="F264">
            <v>3507</v>
          </cell>
          <cell r="G264" t="str">
            <v>YEE EN CONCRETO 14" X 6" X 1.25M (INCLUYE SUMINISTRO E INSTALACIÓN)</v>
          </cell>
          <cell r="H264" t="str">
            <v>UN</v>
          </cell>
          <cell r="I264">
            <v>376952</v>
          </cell>
        </row>
        <row r="265">
          <cell r="F265">
            <v>3508</v>
          </cell>
          <cell r="G265" t="str">
            <v>YEE EN CONCRETO 16" X 6" X 1.25 M (INCLUYE SUMINISTRO E INSTALACIÓN)</v>
          </cell>
          <cell r="H265" t="str">
            <v>UN</v>
          </cell>
          <cell r="I265">
            <v>475164</v>
          </cell>
        </row>
        <row r="266">
          <cell r="F266">
            <v>3509</v>
          </cell>
          <cell r="G266" t="str">
            <v>YEE EN CONCRETO 18" X 6" X 1.25M (INCLUYE SUMINISTRO E INSTALACIÓN)</v>
          </cell>
          <cell r="H266" t="str">
            <v>UN</v>
          </cell>
          <cell r="I266">
            <v>551052</v>
          </cell>
        </row>
        <row r="267">
          <cell r="F267">
            <v>3510</v>
          </cell>
          <cell r="G267" t="str">
            <v>YEE EN CONCRETO 20" X 6" X 1.25M (INCLUYE SUMINISTRO E INSTALACIÓN)</v>
          </cell>
          <cell r="H267" t="str">
            <v>UN</v>
          </cell>
          <cell r="I267">
            <v>651773</v>
          </cell>
        </row>
        <row r="268">
          <cell r="F268">
            <v>3511</v>
          </cell>
          <cell r="G268" t="str">
            <v>YEE EN CONCRETO 24" X 6" X 1.25M (INCLUYE SUMINISTRO E INSTALACIÓN)</v>
          </cell>
          <cell r="H268" t="str">
            <v>UN</v>
          </cell>
          <cell r="I268">
            <v>932157</v>
          </cell>
        </row>
        <row r="269">
          <cell r="F269">
            <v>3512</v>
          </cell>
          <cell r="G269" t="str">
            <v>CODO G.RAD. PVC 90º TIPO U.M. D=2" (SUMINISTRO E INSTALACIÓN)</v>
          </cell>
          <cell r="H269" t="str">
            <v>UN</v>
          </cell>
          <cell r="I269">
            <v>40484</v>
          </cell>
        </row>
        <row r="270">
          <cell r="F270">
            <v>3513</v>
          </cell>
          <cell r="G270" t="str">
            <v>CODO G.RAD. PVC 90º TIPO U.M. D=2 1/2" (SUMINISTRO E INSTALACIÓN)</v>
          </cell>
          <cell r="H270" t="str">
            <v>UN</v>
          </cell>
          <cell r="I270">
            <v>80557</v>
          </cell>
        </row>
        <row r="271">
          <cell r="F271">
            <v>3514</v>
          </cell>
          <cell r="G271" t="str">
            <v>CODO G.RAD. PVC 90º TIPO U.M. D=3" (SUMINISTRO E INSTALACIÓN)</v>
          </cell>
          <cell r="H271" t="str">
            <v>UN</v>
          </cell>
          <cell r="I271">
            <v>115286</v>
          </cell>
        </row>
        <row r="272">
          <cell r="F272">
            <v>3515</v>
          </cell>
          <cell r="G272" t="str">
            <v>CODO G.RAD. PVC 90º TIPO U.M. D=4" (SUMINISTRO E INSTALACIÓN)</v>
          </cell>
          <cell r="H272" t="str">
            <v>UN</v>
          </cell>
          <cell r="I272">
            <v>152639</v>
          </cell>
        </row>
        <row r="273">
          <cell r="F273">
            <v>3516</v>
          </cell>
          <cell r="G273" t="str">
            <v>CODO G.RAD. PVC 90º TIPO U.M. D=6" (SUMINISTRO E INSTALACIÓN)</v>
          </cell>
          <cell r="H273" t="str">
            <v>UN</v>
          </cell>
          <cell r="I273">
            <v>308764</v>
          </cell>
        </row>
        <row r="274">
          <cell r="F274">
            <v>3517</v>
          </cell>
          <cell r="G274" t="str">
            <v>CODO G.RAD. PVC 90º TIPO U.M. D=8" (SUMINISTRO E INSTALACIÓN)</v>
          </cell>
          <cell r="H274" t="str">
            <v>UN</v>
          </cell>
          <cell r="I274">
            <v>1285327</v>
          </cell>
        </row>
        <row r="275">
          <cell r="F275">
            <v>3518</v>
          </cell>
          <cell r="G275" t="str">
            <v>CODO G.RAD. PVC 90º TIPO U.M. D=10" (SUMINISTRO E INSTALACIÓN)</v>
          </cell>
          <cell r="H275" t="str">
            <v>UN</v>
          </cell>
          <cell r="I275">
            <v>2396094</v>
          </cell>
        </row>
        <row r="276">
          <cell r="F276">
            <v>3519</v>
          </cell>
          <cell r="G276" t="str">
            <v>CODO G.RAD. PVC 90º TIPO U.M. D=12" (SUMINISTRO E INSTALACIÓN)</v>
          </cell>
          <cell r="H276" t="str">
            <v>UN</v>
          </cell>
          <cell r="I276">
            <v>3248574</v>
          </cell>
        </row>
        <row r="277">
          <cell r="F277">
            <v>3520</v>
          </cell>
          <cell r="G277" t="str">
            <v>CODO G.RAD. PVC 45º TIPO U.M. D=2" (SUMINISTRO E INSTALACIÓN)</v>
          </cell>
          <cell r="H277" t="str">
            <v>UN</v>
          </cell>
          <cell r="I277">
            <v>74937</v>
          </cell>
        </row>
        <row r="278">
          <cell r="F278">
            <v>3521</v>
          </cell>
          <cell r="G278" t="str">
            <v>CODO G.RAD. PVC 45º TIPO U.M. D=2 1/2" (SUMINISTRO E INSTALACIÓN)</v>
          </cell>
          <cell r="H278" t="str">
            <v>UN</v>
          </cell>
          <cell r="I278">
            <v>75198</v>
          </cell>
        </row>
        <row r="279">
          <cell r="F279">
            <v>3522</v>
          </cell>
          <cell r="G279" t="str">
            <v>CODO G.RAD. PVC 45º TIPO U.M. D=3" (SUMINISTRO E INSTALACIÓN)</v>
          </cell>
          <cell r="H279" t="str">
            <v>UN</v>
          </cell>
          <cell r="I279">
            <v>109668</v>
          </cell>
        </row>
        <row r="280">
          <cell r="F280">
            <v>3523</v>
          </cell>
          <cell r="G280" t="str">
            <v>CODO G.RAD. PVC 45º TIPO U.M. D=4" (SUMINISTRO E INSTALACIÓN)</v>
          </cell>
          <cell r="H280" t="str">
            <v>UN</v>
          </cell>
          <cell r="I280">
            <v>144673</v>
          </cell>
        </row>
        <row r="281">
          <cell r="F281">
            <v>3524</v>
          </cell>
          <cell r="G281" t="str">
            <v>CODO G.RAD. PVC 45º TIPO U.M. D=6" (SUMINISTRO E INSTALACIÓN)</v>
          </cell>
          <cell r="H281" t="str">
            <v>UN</v>
          </cell>
          <cell r="I281">
            <v>269336</v>
          </cell>
        </row>
        <row r="282">
          <cell r="F282">
            <v>3525</v>
          </cell>
          <cell r="G282" t="str">
            <v>CODO G.RAD. PVC 45º TIPO U.M. D=8" (SUMINISTRO E INSTALACIÓN)</v>
          </cell>
          <cell r="H282" t="str">
            <v>UN</v>
          </cell>
          <cell r="I282">
            <v>739411</v>
          </cell>
        </row>
        <row r="283">
          <cell r="F283">
            <v>3526</v>
          </cell>
          <cell r="G283" t="str">
            <v>CODO G.RAD. PVC 45º TIPO U.M. D=10" (SUMINISTRO E INSTALACIÓN)</v>
          </cell>
          <cell r="H283" t="str">
            <v>UN</v>
          </cell>
          <cell r="I283">
            <v>1573223</v>
          </cell>
        </row>
        <row r="284">
          <cell r="F284">
            <v>3527</v>
          </cell>
          <cell r="G284" t="str">
            <v>CODO G.RAD. PVC 45º TIPO U.M. D=12" (SUMINISTRO E INSTALACIÓN)</v>
          </cell>
          <cell r="H284" t="str">
            <v>UN</v>
          </cell>
          <cell r="I284">
            <v>2204213</v>
          </cell>
        </row>
        <row r="285">
          <cell r="F285">
            <v>3528</v>
          </cell>
          <cell r="G285" t="str">
            <v>CODO G.RAD. PVC 22.5° TIPO U.M. D=2" (SUMINISTRO E INSTALACIÓN)</v>
          </cell>
          <cell r="H285" t="str">
            <v>UN</v>
          </cell>
          <cell r="I285">
            <v>38693</v>
          </cell>
        </row>
        <row r="286">
          <cell r="F286">
            <v>3529</v>
          </cell>
          <cell r="G286" t="str">
            <v>CODO G.RAD. PVC 22.5° TIPO U.M. D=2 1/2" (SUMINISTRO E INSTALACIÓN)</v>
          </cell>
          <cell r="H286" t="str">
            <v>UN</v>
          </cell>
          <cell r="I286">
            <v>50673</v>
          </cell>
        </row>
        <row r="287">
          <cell r="F287">
            <v>3530</v>
          </cell>
          <cell r="G287" t="str">
            <v>CODO G.RAD. PVC 22.5° TIPO U.M. D=3" (SUMINISTRO E INSTALACIÓN)</v>
          </cell>
          <cell r="H287" t="str">
            <v>UN</v>
          </cell>
          <cell r="I287">
            <v>71263</v>
          </cell>
        </row>
        <row r="288">
          <cell r="F288">
            <v>3531</v>
          </cell>
          <cell r="G288" t="str">
            <v>CODO G.RAD. PVC 22.5° TIPO U.M. D=4" (SUMINISTRO E INSTALACIÓN)</v>
          </cell>
          <cell r="H288" t="str">
            <v>UN</v>
          </cell>
          <cell r="I288">
            <v>115383</v>
          </cell>
        </row>
        <row r="289">
          <cell r="F289">
            <v>3532</v>
          </cell>
          <cell r="G289" t="str">
            <v>CODO G.RAD. PVC 22.5° TIPO U.M D=6" (SUMINISTRO E INSTALACIÓN)</v>
          </cell>
          <cell r="H289" t="str">
            <v>UN</v>
          </cell>
          <cell r="I289">
            <v>277447</v>
          </cell>
        </row>
        <row r="290">
          <cell r="F290">
            <v>3533</v>
          </cell>
          <cell r="G290" t="str">
            <v>CODO G.RAD. PVC 22.5° TIPO U.M. D=8" (SUMINISTRO E INSTALACIÓN)</v>
          </cell>
          <cell r="H290" t="str">
            <v>UN</v>
          </cell>
          <cell r="I290">
            <v>578198</v>
          </cell>
        </row>
        <row r="291">
          <cell r="F291">
            <v>3534</v>
          </cell>
          <cell r="G291" t="str">
            <v>CODO G.RAD. PVC 22.5° TIPO U.M. D=10" (SUMINISTRO E INSTALACIÓN)</v>
          </cell>
          <cell r="H291" t="str">
            <v>UN</v>
          </cell>
          <cell r="I291">
            <v>1284063</v>
          </cell>
        </row>
        <row r="292">
          <cell r="F292">
            <v>3535</v>
          </cell>
          <cell r="G292" t="str">
            <v>CODO G.RAD. PVC 22.5° TIPO U.M. D=12" (SUMINISTRO E INSTALACIÓN)</v>
          </cell>
          <cell r="H292" t="str">
            <v>UN</v>
          </cell>
          <cell r="I292">
            <v>1725968</v>
          </cell>
        </row>
        <row r="293">
          <cell r="F293">
            <v>3536</v>
          </cell>
          <cell r="G293" t="str">
            <v>CODO G.RAD. PVC 11.25° TIPO U.M. D=2" (SUMINISTRO E INSTALACIÓN)</v>
          </cell>
          <cell r="H293" t="str">
            <v>UN</v>
          </cell>
          <cell r="I293">
            <v>44005</v>
          </cell>
        </row>
        <row r="294">
          <cell r="F294">
            <v>3537</v>
          </cell>
          <cell r="G294" t="str">
            <v>CODO G.RAD. PVC 11.25° TIPO U.M. D=2 1/2" (SUMINISTRO E INSTALACIÓN)</v>
          </cell>
          <cell r="H294" t="str">
            <v>UN</v>
          </cell>
          <cell r="I294">
            <v>48168</v>
          </cell>
        </row>
        <row r="295">
          <cell r="F295">
            <v>3538</v>
          </cell>
          <cell r="G295" t="str">
            <v>CODO G.RAD. PVC 11.25° TIPO U.M. D=3" (SUMINISTRO E INSTALACIÓN)</v>
          </cell>
          <cell r="H295" t="str">
            <v>UN</v>
          </cell>
          <cell r="I295">
            <v>65399</v>
          </cell>
        </row>
        <row r="296">
          <cell r="F296">
            <v>3539</v>
          </cell>
          <cell r="G296" t="str">
            <v>CODO G.RAD. PVC 11.25° TIPO U.M. D=4" RDE 21 (SUMINISTRO E INSTALACIÓN)</v>
          </cell>
          <cell r="H296" t="str">
            <v>UN</v>
          </cell>
          <cell r="I296">
            <v>109952</v>
          </cell>
        </row>
        <row r="297">
          <cell r="F297">
            <v>3540</v>
          </cell>
          <cell r="G297" t="str">
            <v>CODO G.RAD. PVC 11.25° TIPO U.M. D=6" (SUMINISTRO E INSTALACIÓN)</v>
          </cell>
          <cell r="H297" t="str">
            <v>UN</v>
          </cell>
          <cell r="I297">
            <v>249152</v>
          </cell>
        </row>
        <row r="298">
          <cell r="F298">
            <v>3541</v>
          </cell>
          <cell r="G298" t="str">
            <v>CODO G.RAD. PVC 11.25° TIPO U.M. D=8" (SUMINISTRO E INSTALACIÓN)</v>
          </cell>
          <cell r="H298" t="str">
            <v>UN</v>
          </cell>
          <cell r="I298">
            <v>498262</v>
          </cell>
        </row>
        <row r="299">
          <cell r="F299">
            <v>3542</v>
          </cell>
          <cell r="G299" t="str">
            <v>CODO G.RAD. PVC 11.25° TIPO U.M. D=10" (SUMINISTRO E INSTALACIÓN)</v>
          </cell>
          <cell r="H299" t="str">
            <v>UN</v>
          </cell>
          <cell r="I299">
            <v>1053482</v>
          </cell>
        </row>
        <row r="300">
          <cell r="F300">
            <v>3543</v>
          </cell>
          <cell r="G300" t="str">
            <v>CODO G.RAD. PVC 11.25° TIPO U.M. D=12" (SUMINISTRO E INSTALACIÓN)</v>
          </cell>
          <cell r="H300" t="str">
            <v>UN</v>
          </cell>
          <cell r="I300">
            <v>1391643</v>
          </cell>
        </row>
        <row r="301">
          <cell r="F301">
            <v>3544</v>
          </cell>
          <cell r="G301" t="str">
            <v>ADAPTADOR AC-PVC TIPO U.S. D=3" (SUMINISTRO E INSTALACIÓN) REVISAR LIMPIADOR SOLDADURA</v>
          </cell>
          <cell r="H301" t="str">
            <v>UN</v>
          </cell>
          <cell r="I301">
            <v>35231</v>
          </cell>
        </row>
        <row r="302">
          <cell r="F302">
            <v>3545</v>
          </cell>
          <cell r="G302" t="str">
            <v>ADAPTADOR AC-PVC TIPO U.S. D=4" (SUMINISTRO E INSTALACIÓN) REVISAR SOLDADURA LIMPIADOR</v>
          </cell>
          <cell r="H302" t="str">
            <v>UN</v>
          </cell>
          <cell r="I302">
            <v>60304</v>
          </cell>
        </row>
        <row r="303">
          <cell r="F303">
            <v>3546</v>
          </cell>
          <cell r="G303" t="str">
            <v>ADAPTADOR AC-PVC TIPO U.S. D=2" (SUMINISTRO E INSTALACIÓN) REVISAR SOLDADURA LIMPIADOR</v>
          </cell>
          <cell r="H303" t="str">
            <v>UN</v>
          </cell>
          <cell r="I303">
            <v>13524</v>
          </cell>
        </row>
        <row r="304">
          <cell r="F304">
            <v>3548</v>
          </cell>
          <cell r="G304" t="str">
            <v>BOLARDO EN HIERRO TIPO M63 (SUMINISTRO E INSTALACIÓN. INCLUYE BASE EN CONCRETO 1500 PSI, HECHO EN OBRA)</v>
          </cell>
          <cell r="H304" t="str">
            <v>UN</v>
          </cell>
          <cell r="I304">
            <v>174756</v>
          </cell>
        </row>
        <row r="305">
          <cell r="F305">
            <v>3549</v>
          </cell>
          <cell r="G305" t="str">
            <v>BOLARDO EN CONCRETO TIPO M60 (SUMINISTRO E INSTALACIÓN. INCLUYE BASE EN CONCRETO 1500 PSI, PREMEZCLADO)</v>
          </cell>
          <cell r="H305" t="str">
            <v>UN</v>
          </cell>
          <cell r="I305">
            <v>201181</v>
          </cell>
        </row>
        <row r="306">
          <cell r="F306">
            <v>3550</v>
          </cell>
          <cell r="G306" t="str">
            <v>BANCA EN MADERA TIPO M50 (SUMINISTRO E INSTALACIÓN)</v>
          </cell>
          <cell r="H306" t="str">
            <v>UN</v>
          </cell>
          <cell r="I306">
            <v>560532</v>
          </cell>
        </row>
        <row r="307">
          <cell r="F307">
            <v>3551</v>
          </cell>
          <cell r="G307" t="str">
            <v>PROTECTOR DE ARBOL TIPO M90 (INCLUYE SUMINISTRO E INSTALACIÓN. NO INCLUYE BASES)</v>
          </cell>
          <cell r="H307" t="str">
            <v>UN</v>
          </cell>
          <cell r="I307">
            <v>697544</v>
          </cell>
        </row>
        <row r="308">
          <cell r="F308">
            <v>3552</v>
          </cell>
          <cell r="G308" t="str">
            <v>PROTECTOR DE ARBOL DE DOS TUBOS TIPO M91 (INCLUYE SUMINISTRO E INSTALACIÓN. NO INCLUYE BASES)</v>
          </cell>
          <cell r="H308" t="str">
            <v>UN</v>
          </cell>
          <cell r="I308">
            <v>221544</v>
          </cell>
        </row>
        <row r="309">
          <cell r="F309">
            <v>3554</v>
          </cell>
          <cell r="G309" t="str">
            <v>CICLO-PARQUEADERO TIPO M100 (TIPO 1) (H=1M, L=2M. INCLUYE SUMINISTRO E INSTALACIÓN. NO INCLUYE BASES)</v>
          </cell>
          <cell r="H309" t="str">
            <v>UN</v>
          </cell>
          <cell r="I309">
            <v>511329</v>
          </cell>
        </row>
        <row r="310">
          <cell r="F310">
            <v>3555</v>
          </cell>
          <cell r="G310" t="str">
            <v>CICLO-PARQUEADERO TIPO M101 (TIPO 2) (H=0.6M, L=2M, A=0.6M. INCLUYE SUMINISTRO E INSTALACIÓN. NO INCLUYE BASES)</v>
          </cell>
          <cell r="H310" t="str">
            <v>UN</v>
          </cell>
          <cell r="I310">
            <v>675744</v>
          </cell>
        </row>
        <row r="311">
          <cell r="F311">
            <v>3556</v>
          </cell>
          <cell r="G311" t="str">
            <v>TELEFONO PUBLICO DE PEDESTAL TIPO M20 (INCLUYE SUMINISTRO E INSTALACIÓN. NO INCLUYE BASE)</v>
          </cell>
          <cell r="H311" t="str">
            <v>UN</v>
          </cell>
          <cell r="I311">
            <v>3850060</v>
          </cell>
        </row>
        <row r="312">
          <cell r="F312">
            <v>3557</v>
          </cell>
          <cell r="G312" t="str">
            <v>PARADERO TIPO M10 (INC. SUM. E INST. INC. BASES EN CONCRETO 3000 PSI, HECHO EN OBRA. NO INCLUYE LOSAS DE CONCRETO)</v>
          </cell>
          <cell r="H312" t="str">
            <v>UN</v>
          </cell>
          <cell r="I312">
            <v>8993035</v>
          </cell>
        </row>
        <row r="313">
          <cell r="F313">
            <v>3559</v>
          </cell>
          <cell r="G313" t="str">
            <v>POSTE LUMINARIA HISTÓRICA TIPO M131 H=5M (INC. SUMINISTRO E INSTALACIÓN. NO INC.: LUMINARIAS, CABLEADO Y BASE PEDESTAL)</v>
          </cell>
          <cell r="H313" t="str">
            <v>UN</v>
          </cell>
          <cell r="I313">
            <v>3957791</v>
          </cell>
        </row>
        <row r="314">
          <cell r="F314">
            <v>3560</v>
          </cell>
          <cell r="G314" t="str">
            <v>BOLARDO EN CONCRETO TIPO M61 (SUMINISTRO E INSTALACIÓN. INCLUYE BASE EN CONCRETO 1500 PSI, PREMEZCLADO)</v>
          </cell>
          <cell r="H314" t="str">
            <v>UN</v>
          </cell>
          <cell r="I314">
            <v>168986</v>
          </cell>
        </row>
        <row r="315">
          <cell r="F315">
            <v>3561</v>
          </cell>
          <cell r="G315" t="str">
            <v>BOLARDO EN HIERRO TIPO M62 (SUMINISTRO E INSTALACIÓN. INCLUYE BASE EN CONCRETO 1500 PSI, PREMEZCLADO)</v>
          </cell>
          <cell r="H315" t="str">
            <v>UN</v>
          </cell>
          <cell r="I315">
            <v>183981</v>
          </cell>
        </row>
        <row r="316">
          <cell r="F316">
            <v>3562</v>
          </cell>
          <cell r="G316" t="str">
            <v>9 DUCTOS D=4" PVC-TDP (INCLUYE SUMINISTRO E INSTALACION. NORMA CS211.</v>
          </cell>
          <cell r="H316" t="str">
            <v>ML</v>
          </cell>
          <cell r="I316">
            <v>217933</v>
          </cell>
        </row>
        <row r="317">
          <cell r="F317">
            <v>3567</v>
          </cell>
          <cell r="G317" t="str">
            <v>MURO EN BLOQUE ESTRUCTURAL TIPO PIEDRA GRIS (REFERENCIA: PI-16. INCLUYE SUMINISTRO Y CONSTRUCCIÓN)</v>
          </cell>
          <cell r="H317" t="str">
            <v>M2</v>
          </cell>
          <cell r="I317">
            <v>92722</v>
          </cell>
        </row>
        <row r="318">
          <cell r="F318">
            <v>3569</v>
          </cell>
          <cell r="G318" t="str">
            <v>POSTE METALICO AP, H=10M (INC. SUMINISTRO, IZAJE, APLOMADO E INSTALACIÓN. INC. BRAZO SENCILLO Y BASE SEGÚN NORMA AP802)</v>
          </cell>
          <cell r="H318" t="str">
            <v>UN</v>
          </cell>
          <cell r="I318">
            <v>3425143</v>
          </cell>
        </row>
        <row r="319">
          <cell r="F319">
            <v>3589</v>
          </cell>
          <cell r="G319" t="str">
            <v>TAPON HD EXTREMO LISO D=8" (SUMINISTRO E INSTALACIÓN)</v>
          </cell>
          <cell r="H319" t="str">
            <v>UN</v>
          </cell>
          <cell r="I319">
            <v>508921</v>
          </cell>
        </row>
        <row r="320">
          <cell r="F320">
            <v>3591</v>
          </cell>
          <cell r="G320" t="str">
            <v>2 DUCTOS D=4" PVC-TDP (INCLUYE SUMINISTRO E INSTALACIÓN. NO INCLUYE RELLENOS). NORMA CS208.</v>
          </cell>
          <cell r="H320" t="str">
            <v>ML</v>
          </cell>
          <cell r="I320">
            <v>51021</v>
          </cell>
        </row>
        <row r="321">
          <cell r="F321">
            <v>3599</v>
          </cell>
          <cell r="G321" t="str">
            <v>36 DUCTOS D=4" PVC-TDP (INCLUYE SUMINISTRO E INSTALACIÓN. NO INCLUYE RELLENOS). SUMINISTRO Y COLOCACION SIN EXCAVACION.</v>
          </cell>
          <cell r="H321" t="str">
            <v>ML</v>
          </cell>
          <cell r="I321">
            <v>873100</v>
          </cell>
        </row>
        <row r="322">
          <cell r="F322">
            <v>3600</v>
          </cell>
          <cell r="G322" t="str">
            <v>UNION PVC TIPO U.M. D= 2" (SUMINISTRO E INSTALACIÓN)</v>
          </cell>
          <cell r="H322" t="str">
            <v>UN</v>
          </cell>
          <cell r="I322">
            <v>39239</v>
          </cell>
        </row>
        <row r="323">
          <cell r="F323">
            <v>3601</v>
          </cell>
          <cell r="G323" t="str">
            <v>UNION PVC TIPO U.M. D= 3" (SUMINISTRO E INSTALACIÓN)</v>
          </cell>
          <cell r="H323" t="str">
            <v>UN</v>
          </cell>
          <cell r="I323">
            <v>62162</v>
          </cell>
        </row>
        <row r="324">
          <cell r="F324">
            <v>3602</v>
          </cell>
          <cell r="G324" t="str">
            <v>UNION PVC TIPO U.M. D= 4" (SUMINISTRO E INSTALACIÓN)</v>
          </cell>
          <cell r="H324" t="str">
            <v>UN</v>
          </cell>
          <cell r="I324">
            <v>89560</v>
          </cell>
        </row>
        <row r="325">
          <cell r="F325">
            <v>3603</v>
          </cell>
          <cell r="G325" t="str">
            <v>UNION PVC TIPO U.M. D= 6" (SUMINISTRO E INSTALACIÓN)</v>
          </cell>
          <cell r="H325" t="str">
            <v>UN</v>
          </cell>
          <cell r="I325">
            <v>203161</v>
          </cell>
        </row>
        <row r="326">
          <cell r="F326">
            <v>3604</v>
          </cell>
          <cell r="G326" t="str">
            <v>UNION PVC TIPO U.M. D= 8" (SUMINISTRO E INSTALACIÓN)</v>
          </cell>
          <cell r="H326" t="str">
            <v>UN</v>
          </cell>
          <cell r="I326">
            <v>370391</v>
          </cell>
        </row>
        <row r="327">
          <cell r="F327">
            <v>3605</v>
          </cell>
          <cell r="G327" t="str">
            <v>UNION PVC TIPO U.M. D= 10" (SUMINISTRO E INSTALACIÓN)</v>
          </cell>
          <cell r="H327" t="str">
            <v>UN</v>
          </cell>
          <cell r="I327">
            <v>666809</v>
          </cell>
        </row>
        <row r="328">
          <cell r="F328">
            <v>3606</v>
          </cell>
          <cell r="G328" t="str">
            <v>UNION PVC TIPO U.M. D= 12" (SUMINISTRO E INSTALACIÓN)</v>
          </cell>
          <cell r="H328" t="str">
            <v>UN</v>
          </cell>
          <cell r="I328">
            <v>1026859</v>
          </cell>
        </row>
        <row r="329">
          <cell r="F329">
            <v>3607</v>
          </cell>
          <cell r="G329" t="str">
            <v>UNION PVC TIPO U.M. D= 2 1/2" (SUMINISTRO E INSTALACIÓN)</v>
          </cell>
          <cell r="H329" t="str">
            <v>UN</v>
          </cell>
          <cell r="I329">
            <v>25677</v>
          </cell>
        </row>
        <row r="330">
          <cell r="F330">
            <v>3611</v>
          </cell>
          <cell r="G330" t="str">
            <v>ANCLAJE PARA TUBERIA EN CONCRETO PREMEZCLADO DE 2500 PSI GRAVA COMUN (Incluye, suministro, formaleteo, curado y colocacion. No incluye refuerzo)</v>
          </cell>
          <cell r="H330" t="str">
            <v>M3</v>
          </cell>
          <cell r="I330">
            <v>553291</v>
          </cell>
        </row>
        <row r="331">
          <cell r="F331">
            <v>3618</v>
          </cell>
          <cell r="G331" t="str">
            <v>CODO HD 11.25° EXTREMO LISO PARA PVC D=3" (SUMINISTRO E INSTALACIÓN)</v>
          </cell>
          <cell r="H331" t="str">
            <v>UN</v>
          </cell>
          <cell r="I331">
            <v>140559</v>
          </cell>
        </row>
        <row r="332">
          <cell r="F332">
            <v>3619</v>
          </cell>
          <cell r="G332" t="str">
            <v>CODO HD 11.25° EXTREMO LISO PARA PVC D=2" (SUMINISTRO E INSTALACIÓN)</v>
          </cell>
          <cell r="H332" t="str">
            <v>UN</v>
          </cell>
          <cell r="I332">
            <v>117912</v>
          </cell>
        </row>
        <row r="333">
          <cell r="F333">
            <v>3620</v>
          </cell>
          <cell r="G333" t="str">
            <v>CODO HD 11.25° EXTREMO LISO PARA PVC D=4" (SUMINISTRO E INSTALACIÓN)</v>
          </cell>
          <cell r="H333" t="str">
            <v>UN</v>
          </cell>
          <cell r="I333">
            <v>186953</v>
          </cell>
        </row>
        <row r="334">
          <cell r="F334">
            <v>3621</v>
          </cell>
          <cell r="G334" t="str">
            <v>RAMPA TIPO A B10 INCLUYE BASE EN MORTERO 1:5, DESARROLLO: 1M.</v>
          </cell>
          <cell r="H334" t="str">
            <v>UN</v>
          </cell>
          <cell r="I334">
            <v>922544</v>
          </cell>
        </row>
        <row r="335">
          <cell r="F335">
            <v>3636</v>
          </cell>
          <cell r="G335" t="str">
            <v>SUPER ESTRUCTURA EN CONCRETO DE 5000 PSI PREMEZCLADO, GRAVA COMÚN (Incluye Sumin, bombeo, Formaleteo, Colocación y Curado. No incl. Refuerzo).</v>
          </cell>
          <cell r="H335" t="str">
            <v>M3</v>
          </cell>
          <cell r="I335">
            <v>896232</v>
          </cell>
        </row>
        <row r="336">
          <cell r="F336">
            <v>3637</v>
          </cell>
          <cell r="G336" t="str">
            <v>DADO EN CONCRETO 4000 PSI, (27 Mpa) PREMEZCLADO, GRAVA COMÚN (Incluye Suministro, Formaleteo en madera, Bombeo, colocación y Curado. No incluye refuerzo)</v>
          </cell>
          <cell r="H336" t="str">
            <v>M3</v>
          </cell>
          <cell r="I336">
            <v>717608</v>
          </cell>
        </row>
        <row r="337">
          <cell r="F337">
            <v>3639</v>
          </cell>
          <cell r="G337" t="str">
            <v>VIGA EN CONCRETO PREMEZCLADO DE 3500 PSI (24 Mpa) GRAVA COMUN (Incluye Sumin., bombeo con autobomba, Formaleteo en madera, Colocación y Curado. No incl. Refuerzo)</v>
          </cell>
          <cell r="H337" t="str">
            <v>M3</v>
          </cell>
          <cell r="I337">
            <v>731941</v>
          </cell>
        </row>
        <row r="338">
          <cell r="F338">
            <v>3641</v>
          </cell>
          <cell r="G338" t="str">
            <v>CONCRETO 3000 PSI GRAVA FINA PARA ESTRUCTURA DE TRANSICIÓN (PREMEZCLADO. INCL. SUMIN, FORMALETA, BOMBEO CON AUTOBOMBA Y COLOCACIÓN. NO INCL. REFUERZO, CURADO)</v>
          </cell>
          <cell r="H338" t="str">
            <v>M3</v>
          </cell>
          <cell r="I338">
            <v>785694</v>
          </cell>
        </row>
        <row r="339">
          <cell r="F339">
            <v>3642</v>
          </cell>
          <cell r="G339" t="str">
            <v>CONCRETO 3000 PSI GRAVA FINA PARA ESTRIBOS (PREMEZCLADO. INCLUYE SUMINISTRO, BOMBEO CON AUTOBOMBA, FORMALETEO Y COLOCACIÓN. NO INCL. REFUERZO, CURADO)</v>
          </cell>
          <cell r="H339" t="str">
            <v>M3</v>
          </cell>
          <cell r="I339">
            <v>785694</v>
          </cell>
        </row>
        <row r="340">
          <cell r="F340">
            <v>3643</v>
          </cell>
          <cell r="G340" t="str">
            <v>CONCRETO 3000 PSI GRAVA FINA PARA PUENTE CAJÓN (PREMEZCLADO. INCLUYE SUMIN., BOMBEO CON AUTOBOMBA, FORMALETEO Y COLOCACIÓN. NO INCL. REFUERZO, CURADO)</v>
          </cell>
          <cell r="H340" t="str">
            <v>M3</v>
          </cell>
          <cell r="I340">
            <v>784313</v>
          </cell>
        </row>
        <row r="341">
          <cell r="F341">
            <v>3644</v>
          </cell>
          <cell r="G341" t="str">
            <v>MURO DE CONTENCIÓN EN CONCRETO 3000 PSI PREMEZCLADO, GRAVA FINA. (Incluye suministro, formaleteo, bombeo, colocación y curado. No incl. Refuerzo)</v>
          </cell>
          <cell r="H341" t="str">
            <v>M3</v>
          </cell>
          <cell r="I341">
            <v>866485</v>
          </cell>
        </row>
        <row r="342">
          <cell r="F342">
            <v>3645</v>
          </cell>
          <cell r="G342" t="str">
            <v>CONCRETO 3000 PSI GRAVA FINA PARA BOX CULVERT (PREMEZCLADO. INCLUYE SUMIN., FORMALETEO, BOMBEO CON AUTOBOMBA Y COLOCACIÓN. NO INCL. REFUERZO, CURADO)</v>
          </cell>
          <cell r="H342" t="str">
            <v>M3</v>
          </cell>
          <cell r="I342">
            <v>833501</v>
          </cell>
        </row>
        <row r="343">
          <cell r="F343">
            <v>3646</v>
          </cell>
          <cell r="G343" t="str">
            <v>ALETA VIGA SOLERA EN CONCRETO PREMEZCLADO DE 3000 PSI (21Mpa) GRAVA FINA (Incl. Sumin., bombeo con autobomba, Formaleteo madera, Colocación y Curado. No incl. Refuerzo)</v>
          </cell>
          <cell r="H343" t="str">
            <v>M3</v>
          </cell>
          <cell r="I343">
            <v>754423</v>
          </cell>
        </row>
        <row r="344">
          <cell r="F344">
            <v>3647</v>
          </cell>
          <cell r="G344" t="str">
            <v>CONCRETO 2000 PSI GRAVA COMÚN PARA SUB-BASE PUENTE (PREMEZCLADO. INCLUYE SUMIN., FORMALETEO Y COLOCACIÓN. NO INCL. REFUERZO, CURADO)</v>
          </cell>
          <cell r="H344" t="str">
            <v>M3</v>
          </cell>
          <cell r="I344">
            <v>641266</v>
          </cell>
        </row>
        <row r="345">
          <cell r="F345">
            <v>3649</v>
          </cell>
          <cell r="G345" t="str">
            <v>CONCRETO 2500 PSI (HECHO EN OBRA CON ARENA DE RÍO Y TRITURADO DE 3/4")</v>
          </cell>
          <cell r="H345" t="str">
            <v>M3</v>
          </cell>
          <cell r="I345">
            <v>386503</v>
          </cell>
        </row>
        <row r="346">
          <cell r="F346">
            <v>3650</v>
          </cell>
          <cell r="G346" t="str">
            <v>CONCRETO 1500 PSI (HECHO EN OBRA) 1:3:5 CON ARENA DE RÍO Y TRITURADO DE 3/4")</v>
          </cell>
          <cell r="H346" t="str">
            <v>M3</v>
          </cell>
          <cell r="I346">
            <v>357757</v>
          </cell>
        </row>
        <row r="347">
          <cell r="F347">
            <v>3652</v>
          </cell>
          <cell r="G347" t="str">
            <v>CAJA DE INSPECCIÓN TIPO VEHICULAR NORMA CODENSA CS 280 (INCLUYE BASE, MUROS, PASOS, PAÑETE, CUBIERTA, ARO Y TAPA)</v>
          </cell>
          <cell r="H347" t="str">
            <v>UN</v>
          </cell>
          <cell r="I347">
            <v>3992432</v>
          </cell>
        </row>
        <row r="348">
          <cell r="F348">
            <v>3653</v>
          </cell>
          <cell r="G348" t="str">
            <v>CAMARA DE INSPECCIÓN T-16 ETB (H=2.3M. INCLUYE BASE, MUROS, CUBIERTA, ARO-BASE Y ARO-TAPA)</v>
          </cell>
          <cell r="H348" t="str">
            <v>UN</v>
          </cell>
          <cell r="I348">
            <v>5973269</v>
          </cell>
        </row>
        <row r="349">
          <cell r="F349">
            <v>3654</v>
          </cell>
          <cell r="G349" t="str">
            <v>CAMARA DE INSPECCIÓN T-18 ETB (H=2.3M. INCLUYE BASE, MUROS, CUBIERTA, ARO-BASE Y ARO-TAPA)</v>
          </cell>
          <cell r="H349" t="str">
            <v>UN</v>
          </cell>
          <cell r="I349">
            <v>4133647</v>
          </cell>
        </row>
        <row r="350">
          <cell r="F350">
            <v>3655</v>
          </cell>
          <cell r="G350" t="str">
            <v>CAMARA DE INSPECCIÓN T-16A ETB (H=2.3M. INCLUYE BASE, MUROS, CUBIERTA, ARO-BASE Y ARO-TAPA)</v>
          </cell>
          <cell r="H350" t="str">
            <v>UN</v>
          </cell>
          <cell r="I350">
            <v>7305307</v>
          </cell>
        </row>
        <row r="351">
          <cell r="F351">
            <v>3665</v>
          </cell>
          <cell r="G351" t="str">
            <v>CONCRETO CICLOPEO (60%-40%) (CONCRETO PREMEZCLADO. INCLUYE SUMINISTRO Y COLOCACIÓN)</v>
          </cell>
          <cell r="H351" t="str">
            <v>M3</v>
          </cell>
          <cell r="I351">
            <v>353859</v>
          </cell>
        </row>
        <row r="352">
          <cell r="F352">
            <v>3684</v>
          </cell>
          <cell r="G352" t="str">
            <v>CODO HD 22.5° EXTREMO LISO PARA PVC D=3" (SUMINISTRO E INSTALACIÓN)</v>
          </cell>
          <cell r="H352" t="str">
            <v>UN</v>
          </cell>
          <cell r="I352">
            <v>147171</v>
          </cell>
        </row>
        <row r="353">
          <cell r="F353">
            <v>3685</v>
          </cell>
          <cell r="G353" t="str">
            <v>CODO HD 11.25° EXTREMO LISO PARA PVC D=8" (SUMINISTRO E INSTALACIÓN)</v>
          </cell>
          <cell r="H353" t="str">
            <v>UN</v>
          </cell>
          <cell r="I353">
            <v>526111</v>
          </cell>
        </row>
        <row r="354">
          <cell r="F354">
            <v>3687</v>
          </cell>
          <cell r="G354" t="str">
            <v>CAJA PARA VALVULA 0.4X0.4M H=0.8M (INCLUYE MARCO Y TAPA)</v>
          </cell>
          <cell r="H354" t="str">
            <v>UN</v>
          </cell>
          <cell r="I354">
            <v>237544</v>
          </cell>
        </row>
        <row r="355">
          <cell r="F355">
            <v>3688</v>
          </cell>
          <cell r="G355" t="str">
            <v>DESMONTE Y REINSTALACION DE SEÑALES VIALES (INCLUYE DADO DE ANCLAJE)</v>
          </cell>
          <cell r="H355" t="str">
            <v>UN</v>
          </cell>
          <cell r="I355">
            <v>47391</v>
          </cell>
        </row>
        <row r="356">
          <cell r="F356">
            <v>3689</v>
          </cell>
          <cell r="G356" t="str">
            <v>BASE GRANULAR B-600 (SUMINISTRO, TRANSPORTE, EXTENDIDO, NIVELACIÓN, HUMEDECIMIENTO Y COMPACTACIÓN CON VIBROCOMPACTADOR)</v>
          </cell>
          <cell r="H356" t="str">
            <v>M3</v>
          </cell>
          <cell r="I356">
            <v>119513</v>
          </cell>
        </row>
        <row r="357">
          <cell r="F357">
            <v>3695</v>
          </cell>
          <cell r="G357" t="str">
            <v>TALA DE ARBOLES CLASE IV (20M&lt;H&lt;30M. INCLUYE DESENRAÍCE, RETIRO Y DISPOSICIÓN FINAL)</v>
          </cell>
          <cell r="H357" t="str">
            <v>UN</v>
          </cell>
          <cell r="I357">
            <v>665382</v>
          </cell>
        </row>
        <row r="358">
          <cell r="F358">
            <v>3696</v>
          </cell>
          <cell r="G358" t="str">
            <v>PISO EN ADOQUIN DE ARCILLA 26X6X6CM (SUMINISTRO E INSTALACIÓN. INCLUYE BASE 4CM ARENA NIVELACIÓN Y ARENA DE SELLO)</v>
          </cell>
          <cell r="H358" t="str">
            <v>M2</v>
          </cell>
          <cell r="I358">
            <v>73023</v>
          </cell>
        </row>
        <row r="359">
          <cell r="F359">
            <v>3698</v>
          </cell>
          <cell r="G359" t="str">
            <v>TALA DE ARBOLES CLASE III (10M &lt; H &lt; 20 M. INCLUYE DESENRAÍCE, RETIRO Y DISPOSICIÓN FINAL)</v>
          </cell>
          <cell r="H359" t="str">
            <v>UN</v>
          </cell>
          <cell r="I359">
            <v>310147</v>
          </cell>
        </row>
        <row r="360">
          <cell r="F360">
            <v>3699</v>
          </cell>
          <cell r="G360" t="str">
            <v>TALA DE ARBOLES CLASE I (H&lt;5M. INCLUYE DESENRAÍCE, RETIRO Y DISPOSICIÓN FINAL)</v>
          </cell>
          <cell r="H360" t="str">
            <v>UN</v>
          </cell>
          <cell r="I360">
            <v>173056</v>
          </cell>
        </row>
        <row r="361">
          <cell r="F361">
            <v>3704</v>
          </cell>
          <cell r="G361" t="str">
            <v>SUBDREN EN GRAVILLA 3/4", 0.5X1M (INC. SUMIN. Y EXTENDIDO MANUAL. INC. GEOTEXTIL NT CR=700N Y TUBERÍA PVC CORRUG.-FILTRO D=6")</v>
          </cell>
          <cell r="H361" t="str">
            <v>ML</v>
          </cell>
          <cell r="I361">
            <v>225204</v>
          </cell>
        </row>
        <row r="362">
          <cell r="F362">
            <v>3708</v>
          </cell>
          <cell r="G362" t="str">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ell>
          <cell r="H362" t="str">
            <v>KG</v>
          </cell>
          <cell r="I362">
            <v>5406</v>
          </cell>
        </row>
        <row r="363">
          <cell r="F363">
            <v>3710</v>
          </cell>
          <cell r="G363" t="str">
            <v>EXCAVACIÓN MECÁNICA EN MATERIAL COMÚN (INCLUYE CARGUE)</v>
          </cell>
          <cell r="H363" t="str">
            <v>M3</v>
          </cell>
          <cell r="I363">
            <v>5427</v>
          </cell>
        </row>
        <row r="364">
          <cell r="F364">
            <v>3712</v>
          </cell>
          <cell r="G364" t="str">
            <v>SUMIDERO LATERAL SL-100, H=0.85M (PREFABRICADO. INCLUYE SUMINISTRO E INSTALACIÓN. INCLUYE SOBRETAPA Y TAPA)</v>
          </cell>
          <cell r="H364" t="str">
            <v>UN</v>
          </cell>
          <cell r="I364">
            <v>4337967</v>
          </cell>
        </row>
        <row r="365">
          <cell r="F365">
            <v>3716</v>
          </cell>
          <cell r="G365" t="str">
            <v>CILINDRO POZO INSPECCION PREFABRICADO D=1.2M, H=1M, E=0.10M (INCLUYE SUMINISTRO E INSTALACIÓN. NO INC. ARO DE AJUSTE)</v>
          </cell>
          <cell r="H365" t="str">
            <v>UN</v>
          </cell>
          <cell r="I365">
            <v>1194969</v>
          </cell>
        </row>
        <row r="366">
          <cell r="F366">
            <v>3721</v>
          </cell>
          <cell r="G366" t="str">
            <v>SIEMBRA DE GRAMA (INCLUYE SUMINISTRO E INSTALACIÓN. INCLUYE 10CM DE TIERRA NEGRA)</v>
          </cell>
          <cell r="H366" t="str">
            <v>M2</v>
          </cell>
          <cell r="I366">
            <v>18320</v>
          </cell>
        </row>
        <row r="367">
          <cell r="F367">
            <v>3722</v>
          </cell>
          <cell r="G367" t="str">
            <v>NIVELACIÓN DE POZO (HASTA RASANTE EN CONCRETO 3000 PSI HECHO EN OBRA, H=0.15M. INCLUYE SUMINISTRO Y CONSTRUCCIÓN)</v>
          </cell>
          <cell r="H367" t="str">
            <v>UN</v>
          </cell>
          <cell r="I367">
            <v>125682</v>
          </cell>
        </row>
        <row r="368">
          <cell r="F368">
            <v>3723</v>
          </cell>
          <cell r="G368" t="str">
            <v>LIMPIEZA DE POZOS (INCLUYE CARGUE, RETIRO Y DISPOSICIÓN FINAL DE SOBRANTES)</v>
          </cell>
          <cell r="H368" t="str">
            <v>UN</v>
          </cell>
          <cell r="I368">
            <v>81980</v>
          </cell>
        </row>
        <row r="369">
          <cell r="F369">
            <v>3724</v>
          </cell>
          <cell r="G369" t="str">
            <v>LIMPIEZA DE SUMIDEROS (INCLUYE CARGUE, RETIRO Y DISPOSICIÓN FINAL DE SOBRANTES)</v>
          </cell>
          <cell r="H369" t="str">
            <v>UN</v>
          </cell>
          <cell r="I369">
            <v>81980</v>
          </cell>
        </row>
        <row r="370">
          <cell r="F370">
            <v>3727</v>
          </cell>
          <cell r="G370" t="str">
            <v>CENEFA EN ADOQUIN DE ARCILLA A=6CM (SUMINISTRO E INSTALACIÓN. NO INCLUYE MATERIAL DE BASE)</v>
          </cell>
          <cell r="H370" t="str">
            <v>ML</v>
          </cell>
          <cell r="I370">
            <v>5843</v>
          </cell>
        </row>
        <row r="371">
          <cell r="F371">
            <v>3729</v>
          </cell>
          <cell r="G371" t="str">
            <v>CONCRETO 1500 PSI GRAVA COMÚN PARA SOLADOS (PREMEZCLADO. INCLUYE SUMINISTRO Y COLOCACIÓN)</v>
          </cell>
          <cell r="H371" t="str">
            <v>M3</v>
          </cell>
          <cell r="I371">
            <v>528901</v>
          </cell>
        </row>
        <row r="372">
          <cell r="F372">
            <v>3730</v>
          </cell>
          <cell r="G372" t="str">
            <v>GROUTING 1500 PSI (INCLUYE SUMINISTRO Y COLOCACIÓN)</v>
          </cell>
          <cell r="H372" t="str">
            <v>M3</v>
          </cell>
          <cell r="I372">
            <v>565454</v>
          </cell>
        </row>
        <row r="373">
          <cell r="F373">
            <v>3733</v>
          </cell>
          <cell r="G373" t="str">
            <v>SUMIDERO TRANSVERSAL ST-1, H=1.9M (FUNDIDO EN SITIO, CONCRETO HECHO EN OBRA. INCL. SUM, FORM, REF. Y CONST. INCL. REJA)</v>
          </cell>
          <cell r="H373" t="str">
            <v>ML</v>
          </cell>
          <cell r="I373">
            <v>1912951</v>
          </cell>
        </row>
        <row r="374">
          <cell r="F374">
            <v>3735</v>
          </cell>
          <cell r="G374" t="str">
            <v>TUBERIA PF D=1/2" PARA ACOMETIDA DOMICILIARIA (SUMINISTRO E INSTALACIÓN)</v>
          </cell>
          <cell r="H374" t="str">
            <v>ML</v>
          </cell>
          <cell r="I374">
            <v>2450</v>
          </cell>
        </row>
        <row r="375">
          <cell r="F375">
            <v>3745</v>
          </cell>
          <cell r="G375" t="str">
            <v>PISO EN ADOQUIN DE CONCRETO A25 20X10X6CM (SUMINISTRO E INSTALACIÓN. INCLUYE BASE 3CM ARENA NIVELACIÓN Y ARENA DE SELLO)</v>
          </cell>
          <cell r="H375" t="str">
            <v>M2</v>
          </cell>
          <cell r="I375">
            <v>88103</v>
          </cell>
        </row>
        <row r="376">
          <cell r="F376">
            <v>3748</v>
          </cell>
          <cell r="G376" t="str">
            <v>LOSA DE CONCRETO MR45 (SUMINISTRO, FORMALETEADO, COLOCACIÓN Y ACABADO. NO INCLUYE ACERO, CURADO, JUNTAS)</v>
          </cell>
          <cell r="H376" t="str">
            <v>M3</v>
          </cell>
          <cell r="I376">
            <v>672569</v>
          </cell>
        </row>
        <row r="377">
          <cell r="F377">
            <v>3749</v>
          </cell>
          <cell r="G377" t="str">
            <v>LOSA DE CONCRETO MR50 (SUMINISTRO, FORMALETEADO, COLOCACIÓN Y ACABADO. NO INCLUYE ACERO, CURADO, JUNTAS)</v>
          </cell>
          <cell r="H377" t="str">
            <v>M3</v>
          </cell>
          <cell r="I377">
            <v>678816</v>
          </cell>
        </row>
        <row r="378">
          <cell r="F378">
            <v>3751</v>
          </cell>
          <cell r="G378" t="str">
            <v>CAÑUELA TIPO A120 (SUMINISTRO E INSTALACIÓN. INCLUYE 3CM MORTERO 1:5)</v>
          </cell>
          <cell r="H378" t="str">
            <v>ML</v>
          </cell>
          <cell r="I378">
            <v>65766</v>
          </cell>
        </row>
        <row r="379">
          <cell r="F379">
            <v>3753</v>
          </cell>
          <cell r="G379" t="str">
            <v>SARDINEL H=0.20M, E=0.15M CONCRETO 3000 PSI (FUNDIDO EN SITIO, CONCRETO HECHO EN OBRA. INC. SUMIN, FORMALET. Y CONST.)</v>
          </cell>
          <cell r="H379" t="str">
            <v>ML</v>
          </cell>
          <cell r="I379">
            <v>24582</v>
          </cell>
        </row>
        <row r="380">
          <cell r="F380">
            <v>3758</v>
          </cell>
          <cell r="G380"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H380" t="str">
            <v>ML</v>
          </cell>
          <cell r="I380">
            <v>401185</v>
          </cell>
        </row>
        <row r="381">
          <cell r="F381">
            <v>3760</v>
          </cell>
          <cell r="G381"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H381" t="str">
            <v>ML</v>
          </cell>
          <cell r="I381">
            <v>486269</v>
          </cell>
        </row>
        <row r="382">
          <cell r="F382">
            <v>3761</v>
          </cell>
          <cell r="G382"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H382" t="str">
            <v>ML</v>
          </cell>
          <cell r="I382">
            <v>595066</v>
          </cell>
        </row>
        <row r="383">
          <cell r="F383">
            <v>3770</v>
          </cell>
          <cell r="G383" t="str">
            <v>CUADRILLA (OFICIAL + 6 AYUDANTES). INCLUYE FACTOR DE PRESTACIONES.</v>
          </cell>
          <cell r="H383" t="str">
            <v>JR</v>
          </cell>
          <cell r="I383">
            <v>474045</v>
          </cell>
        </row>
        <row r="384">
          <cell r="F384">
            <v>3776</v>
          </cell>
          <cell r="G384" t="str">
            <v>ENTIBADO TIPO ED1, DISCONTINUO EN MADERA (INCLUYE SUMINISTRO E INSTALACIÓN)</v>
          </cell>
          <cell r="H384" t="str">
            <v>M2</v>
          </cell>
          <cell r="I384">
            <v>37044</v>
          </cell>
        </row>
        <row r="385">
          <cell r="F385">
            <v>3777</v>
          </cell>
          <cell r="G385" t="str">
            <v>CIMENTACION DE POSTES H=8M, CR=510KG (INCLUYE IZAJE, APLOMADO E HINCADO. INCLUYE RELLENOS). NORMA LA009.</v>
          </cell>
          <cell r="H385" t="str">
            <v>UN</v>
          </cell>
          <cell r="I385">
            <v>315576</v>
          </cell>
        </row>
        <row r="386">
          <cell r="F386">
            <v>3779</v>
          </cell>
          <cell r="G386" t="str">
            <v>CAJA DE INSPECCIÓN DE 0.6X0.6M (H=0.6M. INCLUYE SUMINISTRO Y CONSTRUCCIÓN. INCLUYE MARCO Y TAPA. NO INC. BASE Y CAÑUELA)</v>
          </cell>
          <cell r="H386" t="str">
            <v>UN</v>
          </cell>
          <cell r="I386">
            <v>449214</v>
          </cell>
        </row>
        <row r="387">
          <cell r="F387">
            <v>3780</v>
          </cell>
          <cell r="G387" t="str">
            <v>3 DUCTOS D=4" PVC-TDP (INCLUYE SUMINISTRO E INSTALACIÓN. NO INCLUYE RELLENOS)</v>
          </cell>
          <cell r="H387" t="str">
            <v>ML</v>
          </cell>
          <cell r="I387">
            <v>74866</v>
          </cell>
        </row>
        <row r="388">
          <cell r="F388">
            <v>3784</v>
          </cell>
          <cell r="G388" t="str">
            <v>SARDINEL H=0.25M, E=0.15M CONCRETO 3000 PSI (FUNDIDO EN SITIO, CONCRETO HECHO EN OBRA. INC. SUMIN, FORMALET. Y CONST.)</v>
          </cell>
          <cell r="H388" t="str">
            <v>ML</v>
          </cell>
          <cell r="I388">
            <v>28174</v>
          </cell>
        </row>
        <row r="389">
          <cell r="F389">
            <v>3787</v>
          </cell>
          <cell r="G389" t="str">
            <v>TUBERIA PVC PARA DRENAJE D=2 1/2" CON FILTRO (INCLUYE SUMINISTRO E INSTALACIÓN)</v>
          </cell>
          <cell r="H389" t="str">
            <v>ML</v>
          </cell>
          <cell r="I389">
            <v>23033</v>
          </cell>
        </row>
        <row r="390">
          <cell r="F390">
            <v>3795</v>
          </cell>
          <cell r="G390" t="str">
            <v>8 DUCTOS D=4" PVC-EB (INCLUYE SUMINISTRO E INSTALACIÓN. NO INCLUYE RELLENOS)</v>
          </cell>
          <cell r="H390" t="str">
            <v>ML</v>
          </cell>
          <cell r="I390">
            <v>201760</v>
          </cell>
        </row>
        <row r="391">
          <cell r="F391">
            <v>3796</v>
          </cell>
          <cell r="G391" t="str">
            <v>12 DUCTOS D=4" PVC-EB (LIVIANO) (INCLUYE SUMINISTRO E INSTAL</v>
          </cell>
          <cell r="H391" t="str">
            <v>ML</v>
          </cell>
          <cell r="I391">
            <v>302752</v>
          </cell>
        </row>
        <row r="392">
          <cell r="F392">
            <v>3797</v>
          </cell>
          <cell r="G392" t="str">
            <v>16 DUCTOS D=4" PVC-EB (LIVIANO) (INCLUYE SUMINISTRO E INSTALACIÓN. NO INCLUYE RELLENOS)</v>
          </cell>
          <cell r="H392" t="str">
            <v>ML</v>
          </cell>
          <cell r="I392">
            <v>401965</v>
          </cell>
        </row>
        <row r="393">
          <cell r="F393">
            <v>3798</v>
          </cell>
          <cell r="G393" t="str">
            <v>24 DUCTOS D=4" PVC-EB (LIVIANO) (INCLUYE SUMINISTRO E INSTALACIÓN. NO INCLUYE RELLENOS)</v>
          </cell>
          <cell r="H393" t="str">
            <v>ML</v>
          </cell>
          <cell r="I393">
            <v>601762</v>
          </cell>
        </row>
        <row r="394">
          <cell r="F394">
            <v>3800</v>
          </cell>
          <cell r="G394" t="str">
            <v>NIVELACION Y COMPACTACIÓN DE SUBRASANTE</v>
          </cell>
          <cell r="H394" t="str">
            <v>M2</v>
          </cell>
          <cell r="I394">
            <v>1618</v>
          </cell>
        </row>
        <row r="395">
          <cell r="F395">
            <v>3806</v>
          </cell>
          <cell r="G395" t="str">
            <v>CURADO DE LOSAS DE CONCRETO (SUMINISTRO Y APLICACIÓN)</v>
          </cell>
          <cell r="H395" t="str">
            <v>M2</v>
          </cell>
          <cell r="I395">
            <v>1991</v>
          </cell>
        </row>
        <row r="396">
          <cell r="F396">
            <v>3811</v>
          </cell>
          <cell r="G396" t="str">
            <v>CORTE DE PAVIMENTO - INCLUYE EQUIPO: CORTADORA DE CONCRETO INCLUYE OPERARIO Y COMBUSTIBLE. INCLUYE DISCO DIAMANTADO ASFALTO-CONCRETO 350 MM, AGUA Y MANO DE OBRA</v>
          </cell>
          <cell r="H396" t="str">
            <v>ML</v>
          </cell>
          <cell r="I396">
            <v>2067</v>
          </cell>
        </row>
        <row r="397">
          <cell r="F397">
            <v>3819</v>
          </cell>
          <cell r="G397" t="str">
            <v>PINTURA EN ESMALTE URETANO GRIS (E=1MIL. INC. SUMIN. Y APLIC. NO INC. IMPRIMANTE, BARRERA, ESMALTE EPÓXICO O SIMILARES)</v>
          </cell>
          <cell r="H397" t="str">
            <v>ML</v>
          </cell>
          <cell r="I397">
            <v>4741</v>
          </cell>
        </row>
        <row r="398">
          <cell r="F398">
            <v>3837</v>
          </cell>
          <cell r="G398" t="str">
            <v>SELLADO DE JUNTAS EN PAVIMENTO DE CONCRETO HIDRAULICO (INCLUYE LIMPIEZA, SUMINISTRO E INSTALACIÓN DE FONDO Y SELLANTE)</v>
          </cell>
          <cell r="H398" t="str">
            <v>ML</v>
          </cell>
          <cell r="I398">
            <v>11036</v>
          </cell>
        </row>
        <row r="399">
          <cell r="F399">
            <v>3841</v>
          </cell>
          <cell r="G399" t="str">
            <v>MEZCLA DENSA EN CALIENTE MD20 ASFALTO 80-100 (SUMINISTRO, EXTENDIDO, NIVELACIÓN Y COMPACTACIÓN MECANICA)</v>
          </cell>
          <cell r="H399" t="str">
            <v>M3</v>
          </cell>
          <cell r="I399">
            <v>1050939</v>
          </cell>
        </row>
        <row r="400">
          <cell r="F400">
            <v>3847</v>
          </cell>
          <cell r="G400" t="str">
            <v>RELLENO PARA REDES EN BASE GRANULAR B-600 (SUMINISTRO, TRANSPORTE, EXTENDIDO, HUMEDECIMIENTO Y COMPACTACIÓN)</v>
          </cell>
          <cell r="H400" t="str">
            <v>M3</v>
          </cell>
          <cell r="I400">
            <v>129270</v>
          </cell>
        </row>
        <row r="401">
          <cell r="F401">
            <v>3851</v>
          </cell>
          <cell r="G401" t="str">
            <v>RELLENO PARA ANDENES EN SUBBASE GRANULAR B-400 (SUMINISTRO, EXTENDIDO, HUMEDECIMIENTO Y COMPACTACIÓN)</v>
          </cell>
          <cell r="H401" t="str">
            <v>M3</v>
          </cell>
          <cell r="I401">
            <v>92448</v>
          </cell>
        </row>
        <row r="402">
          <cell r="F402">
            <v>3864</v>
          </cell>
          <cell r="G402" t="str">
            <v>IMPRIMACION CON EMULSION ASFALTICA CRL-0 (SUMINISTRO, BARRIDO SUPERFICIE Y RIEGO MECANICO)</v>
          </cell>
          <cell r="H402" t="str">
            <v>M2</v>
          </cell>
          <cell r="I402">
            <v>4501</v>
          </cell>
        </row>
        <row r="403">
          <cell r="F403">
            <v>3866</v>
          </cell>
          <cell r="G403" t="str">
            <v>RIEGO DE LIGA CON EMULSION ASFALTICA CRR-1 (SUMINISTRO, BARRIDO SUPERFICIE Y RIEGO MECANICO)</v>
          </cell>
          <cell r="H403" t="str">
            <v>M2</v>
          </cell>
          <cell r="I403">
            <v>3114</v>
          </cell>
        </row>
        <row r="404">
          <cell r="F404">
            <v>3867</v>
          </cell>
          <cell r="G404" t="str">
            <v>RIEGO DE LIGA CON EMULSION ASFALTICA CRR-2 (SUMINISTRO, BARRIDO SUPERFICIE Y RIEGO MECANICO)</v>
          </cell>
          <cell r="H404" t="str">
            <v>M2</v>
          </cell>
          <cell r="I404">
            <v>5065</v>
          </cell>
        </row>
        <row r="405">
          <cell r="F405">
            <v>3872</v>
          </cell>
          <cell r="G405" t="str">
            <v>DEMARCACION LINEA DISCONTINUA A=0.12M (E=15 MILS, ACRÍLICA BASE AGUA. INC. SUMIN. Y APLIC. CON EQUIPO. INC MICROESFERAS)</v>
          </cell>
          <cell r="H405" t="str">
            <v>ML</v>
          </cell>
          <cell r="I405">
            <v>2323</v>
          </cell>
        </row>
        <row r="406">
          <cell r="F406">
            <v>3873</v>
          </cell>
          <cell r="G406" t="str">
            <v>CONCRETO CICLOPEO (60%-40%) (CONCRETO HECHO EN OBRA. INCLUYE SUMINISTRO Y COLOCACIÓN)</v>
          </cell>
          <cell r="H406" t="str">
            <v>M3</v>
          </cell>
          <cell r="I406">
            <v>296590</v>
          </cell>
        </row>
        <row r="407">
          <cell r="F407">
            <v>3874</v>
          </cell>
          <cell r="G407" t="str">
            <v>MORTERO 1:5 (HECHO EN OBRA)</v>
          </cell>
          <cell r="H407" t="str">
            <v>M3</v>
          </cell>
          <cell r="I407">
            <v>285239</v>
          </cell>
        </row>
        <row r="408">
          <cell r="F408">
            <v>3875</v>
          </cell>
          <cell r="G408" t="str">
            <v>ANCLAJE PARA TUBERIA EN CONCRETO DE 2500 PSI HECHO EN OBRA (Incluye suministro, formaleteo y colocacion)</v>
          </cell>
          <cell r="H408" t="str">
            <v>M3</v>
          </cell>
          <cell r="I408">
            <v>453072</v>
          </cell>
        </row>
        <row r="409">
          <cell r="F409">
            <v>3876</v>
          </cell>
          <cell r="G409" t="str">
            <v>SUBDREN EN GRAVILLA 1/2", 0.4X0.8M (INC. SUMIN. Y COMPACT. INC. GEOTEXTIL NT CR=700N Y TUBERÍA PVC CORRUG.-FILTRO D=4")</v>
          </cell>
          <cell r="H409" t="str">
            <v>ML</v>
          </cell>
          <cell r="I409">
            <v>150060</v>
          </cell>
        </row>
        <row r="410">
          <cell r="F410">
            <v>3877</v>
          </cell>
          <cell r="G410" t="str">
            <v>SUBDREN EN GRAVILLA 1/2", 0.5X1M (INC. SUMIN. Y COMPACT. INC. GEOTEXTIL NT CR=700N Y TUBERÍA PVC CORRUG.-FILTRO D=6")</v>
          </cell>
          <cell r="H410" t="str">
            <v>ML</v>
          </cell>
          <cell r="I410">
            <v>231684</v>
          </cell>
        </row>
        <row r="411">
          <cell r="F411">
            <v>3878</v>
          </cell>
          <cell r="G411" t="str">
            <v>PLACA CUBIERTA D=1.70M POZO INSPEC. (PREFABRICADA. INCLUYE SUMINISTRO E INSTALACIÓN. INCLUYE TAPA)</v>
          </cell>
          <cell r="H411" t="str">
            <v>UN</v>
          </cell>
          <cell r="I411">
            <v>1551470</v>
          </cell>
        </row>
        <row r="412">
          <cell r="F412">
            <v>3879</v>
          </cell>
          <cell r="G412" t="str">
            <v>PLACA FONDO D=1.70M POZO INSPEC. (PREFABRICADA. INCL. SUMIN, INST.)</v>
          </cell>
          <cell r="H412" t="str">
            <v>UN</v>
          </cell>
          <cell r="I412">
            <v>1100718</v>
          </cell>
        </row>
        <row r="413">
          <cell r="F413">
            <v>3880</v>
          </cell>
          <cell r="G413" t="str">
            <v>CILINDRO POZO INSPECCION PREFABRICADO D=1.2M, H=0.5M, E=0.10M (INCLUYE SUMINISTRO E INSTALACIÓN. NO INC. ARO DE AJUSTE)</v>
          </cell>
          <cell r="H413" t="str">
            <v>UN</v>
          </cell>
          <cell r="I413">
            <v>689962</v>
          </cell>
        </row>
        <row r="414">
          <cell r="F414">
            <v>3881</v>
          </cell>
          <cell r="G414" t="str">
            <v>CILINDRO POZO INSPECCION PREFABRICADO D=1.2M, H=0.25M, E=0.10M (INCLUYE SUMINISTRO E INSTALACIÓN. NO INC. ARO DE AJUSTE)</v>
          </cell>
          <cell r="H414" t="str">
            <v>UN</v>
          </cell>
          <cell r="I414">
            <v>435749</v>
          </cell>
        </row>
        <row r="415">
          <cell r="F415">
            <v>3882</v>
          </cell>
          <cell r="G415" t="str">
            <v>SUMIDERO LATERAL SL-100, H=1.25M (FUNDIDO EN SITIO, CONCRETO HECHO EN OBRA. INCL. SUMIN, FORM, REF. Y CONST. INCL. TAPA)</v>
          </cell>
          <cell r="H415" t="str">
            <v>UN</v>
          </cell>
          <cell r="I415">
            <v>2721949</v>
          </cell>
        </row>
        <row r="416">
          <cell r="F416">
            <v>3883</v>
          </cell>
          <cell r="G416" t="str">
            <v>SUMIDERO LATERAL SL-150A, H=1.7M (FUNDIDO EN SITIO, CONCRETO PREMEZCLADO. INCL. SUMIN, FORM, REF. Y CONSTR. INCL. TAPA)</v>
          </cell>
          <cell r="H416" t="str">
            <v>UN</v>
          </cell>
          <cell r="I416">
            <v>3722768</v>
          </cell>
        </row>
        <row r="417">
          <cell r="F417">
            <v>3884</v>
          </cell>
          <cell r="G417" t="str">
            <v>SUMIDERO LATERAL SL-150, H=1.25M (FUNDIDO EN SITIO, CONCRETO HECHO EN OBRA. INCL. SUMIN, FORM, REF. Y CONST. INCL. TAPA)</v>
          </cell>
          <cell r="H417" t="str">
            <v>UN</v>
          </cell>
          <cell r="I417">
            <v>3345395</v>
          </cell>
        </row>
        <row r="418">
          <cell r="F418">
            <v>3885</v>
          </cell>
          <cell r="G418" t="str">
            <v>SUMIDERO LATERAL SL-200, H=1.25M (FUNDIDO EN SITIO, CONCRETO PREMEZCLADO. INCL. SUMIN, FORM, REF. Y CONSTR. INCL. TAPA)</v>
          </cell>
          <cell r="H418" t="str">
            <v>UN</v>
          </cell>
          <cell r="I418">
            <v>4250388</v>
          </cell>
        </row>
        <row r="419">
          <cell r="F419">
            <v>3886</v>
          </cell>
          <cell r="G419" t="str">
            <v>SUMIDERO LATERAL SL-200, H=1.25M (FUNDIDO EN SITIO, CONCRETO HECHO EN OBRA. INCL. SUMIN, FORM, REF. Y CONST. INCL. TAPA)</v>
          </cell>
          <cell r="H419" t="str">
            <v>UN</v>
          </cell>
          <cell r="I419">
            <v>4130782</v>
          </cell>
        </row>
        <row r="420">
          <cell r="F420">
            <v>3887</v>
          </cell>
          <cell r="G420" t="str">
            <v>SUMIDERO LATERAL SL-250, H=1.25M (FUNDIDO EN SITIO, CONCRETO HECHO EN OBRA. INCL. SUMIN, FORM, REF. Y CONST. INCL. TAPA)</v>
          </cell>
          <cell r="H420" t="str">
            <v>UN</v>
          </cell>
          <cell r="I420">
            <v>4498520</v>
          </cell>
        </row>
        <row r="421">
          <cell r="F421">
            <v>3888</v>
          </cell>
          <cell r="G421" t="str">
            <v>SUMIDERO LATERAL SL-250, H=1.25M (FUNDIDO EN SITIO, CONCRETO PREMEZCLADO. INCL. SUMIN, FORM, REF. Y CONSTR. INCL. TAPA)</v>
          </cell>
          <cell r="H421" t="str">
            <v>UN</v>
          </cell>
          <cell r="I421">
            <v>4635924</v>
          </cell>
        </row>
        <row r="422">
          <cell r="F422">
            <v>3889</v>
          </cell>
          <cell r="G422" t="str">
            <v>SUMIDERO LATERAL SL-100A, H=1.7M (FUNDIDO EN SITIO, CONCRETO HECHO EN OBRA. INCL. SUM, FORM, REF. Y CONST. INCL. TAPA)</v>
          </cell>
          <cell r="H422" t="str">
            <v>UN</v>
          </cell>
          <cell r="I422">
            <v>2825277</v>
          </cell>
        </row>
        <row r="423">
          <cell r="F423">
            <v>3890</v>
          </cell>
          <cell r="G423" t="str">
            <v>SUMIDERO LATERAL SL-100A, H=1.7M (FUNDIDO EN SITIO, CONCRETO PREMEZCLADO. INCL. SUMIN, FORM, REF. Y CONSTR. INCL. TAPA)</v>
          </cell>
          <cell r="H423" t="str">
            <v>UN</v>
          </cell>
          <cell r="I423">
            <v>2898250</v>
          </cell>
        </row>
        <row r="424">
          <cell r="F424">
            <v>3891</v>
          </cell>
          <cell r="G424" t="str">
            <v>SUMIDERO LATERAL SL-150A, H=1.7M (FUNDIDO EN SITIO, CONCRETO HECHO EN OBRA. INCL. SUM, FORM, REF. Y CONST. INCL. TAPA)</v>
          </cell>
          <cell r="H424" t="str">
            <v>UN</v>
          </cell>
          <cell r="I424">
            <v>3608146</v>
          </cell>
        </row>
        <row r="425">
          <cell r="F425">
            <v>3892</v>
          </cell>
          <cell r="G425" t="str">
            <v>SUMIDERO LATERAL SL-200A, H=1.7M (FUNDIDO EN SITIO, CONCRETO HECHO EN OBRA. INCL. SUM, FORM, REF. Y CONST. INCL. TAPA)</v>
          </cell>
          <cell r="H425" t="str">
            <v>UN</v>
          </cell>
          <cell r="I425">
            <v>4441463</v>
          </cell>
        </row>
        <row r="426">
          <cell r="F426">
            <v>3893</v>
          </cell>
          <cell r="G426" t="str">
            <v>SUMIDERO LATERAL SL-200A, H=1.7M (FUNDIDO EN SITIO, CONCRETO PREMEZCLADO. INCL. SUMIN, FORM, REF. Y CONSTR. INCL. TAPA)</v>
          </cell>
          <cell r="H426" t="str">
            <v>UN</v>
          </cell>
          <cell r="I426">
            <v>4578867</v>
          </cell>
        </row>
        <row r="427">
          <cell r="F427">
            <v>3894</v>
          </cell>
          <cell r="G427" t="str">
            <v>SUMIDERO LATERAL SL-250A, H=1.7M (FUNDIDO EN SITIO, CONCRETO HECHO EN OBRA. INCL. SUM, FORM, REF. Y CONST. INCL. TAPA)</v>
          </cell>
          <cell r="H427" t="str">
            <v>UN</v>
          </cell>
          <cell r="I427">
            <v>4888599</v>
          </cell>
        </row>
        <row r="428">
          <cell r="F428">
            <v>3895</v>
          </cell>
          <cell r="G428" t="str">
            <v>SUMIDERO LATERAL SL-250A, H=1.7M (FUNDIDO EN SITIO, CONCRETO PREMEZCLADO. INCL. SUMIN, FORM, REF. Y CONSTR. INCL. TAPA)</v>
          </cell>
          <cell r="H428" t="str">
            <v>UN</v>
          </cell>
          <cell r="I428">
            <v>5043796</v>
          </cell>
        </row>
        <row r="429">
          <cell r="F429">
            <v>3896</v>
          </cell>
          <cell r="G429" t="str">
            <v>SUMIDERO LATERAL SL-150, H=1.25M (FUNDIDO EN SITIO, CONCRETO PREMEZCLADO. INCL. SUMIN, FORM, REF. Y CONSTR. INCL. TAPA)</v>
          </cell>
          <cell r="H429" t="str">
            <v>UN</v>
          </cell>
          <cell r="I429">
            <v>3442219</v>
          </cell>
        </row>
        <row r="430">
          <cell r="F430">
            <v>3897</v>
          </cell>
          <cell r="G430" t="str">
            <v>SUMIDERO LATERAL SL-150, H=0.85M (PREFABRICADO. INCLUYE SUMINISTRO E INSTALACIÓN. INCLUYE SOBRETAPA Y TAPA)</v>
          </cell>
          <cell r="H430" t="str">
            <v>UN</v>
          </cell>
          <cell r="I430">
            <v>5749451</v>
          </cell>
        </row>
        <row r="431">
          <cell r="F431">
            <v>3898</v>
          </cell>
          <cell r="G431" t="str">
            <v>SUMIDERO LATERAL SL-200, H=0.85M (PREFABRICADO. INCLUYE SUMINISTRO E INSTALACIÓN. INCLUYE SOBRETAPA Y TAPA)</v>
          </cell>
          <cell r="H431" t="str">
            <v>UN</v>
          </cell>
          <cell r="I431">
            <v>6840107</v>
          </cell>
        </row>
        <row r="432">
          <cell r="F432">
            <v>3899</v>
          </cell>
          <cell r="G432" t="str">
            <v>SUMIDERO LATERAL SL-250, H=0.85M (PREFABRICADO. INCLUYE SUMINISTRO E INSTALACIÓN. INCLUYE SOBRETAPA Y TAPA)</v>
          </cell>
          <cell r="H432" t="str">
            <v>UN</v>
          </cell>
          <cell r="I432">
            <v>7890227</v>
          </cell>
        </row>
        <row r="433">
          <cell r="F433">
            <v>3900</v>
          </cell>
          <cell r="G433" t="str">
            <v>SUMIDERO TRANSVERSAL ST-1, H=1.9M (FUNDIDO EN SITIO, CONCRETO PREMEZCLADO. INCL. SUMIN, FORM, REF. Y CONST. INCL. REJA)</v>
          </cell>
          <cell r="H433" t="str">
            <v>ML</v>
          </cell>
          <cell r="I433">
            <v>1968824</v>
          </cell>
        </row>
        <row r="434">
          <cell r="F434">
            <v>3901</v>
          </cell>
          <cell r="G434" t="str">
            <v>TUBERIA PVC PARA DRENAJE D=2 1/2" SIN FILTRO (INCLUYE SUMINISTRO E INSTALACIÓN)</v>
          </cell>
          <cell r="H434" t="str">
            <v>ML</v>
          </cell>
          <cell r="I434">
            <v>19037</v>
          </cell>
        </row>
        <row r="435">
          <cell r="F435">
            <v>3902</v>
          </cell>
          <cell r="G435" t="str">
            <v>TUBERIA PVC PARA DRENAJE D=4" CON FILTRO (INCLUYE SUMINISTRO E INSTALACIÓN)</v>
          </cell>
          <cell r="H435" t="str">
            <v>ML</v>
          </cell>
          <cell r="I435">
            <v>35983</v>
          </cell>
        </row>
        <row r="436">
          <cell r="F436">
            <v>3903</v>
          </cell>
          <cell r="G436" t="str">
            <v>TUBERIA PVC PARA DRENAJE D=6" SIN FILTRO (INCLUYE SUMINISTRO E INSTALACIÓN)</v>
          </cell>
          <cell r="H436" t="str">
            <v>ML</v>
          </cell>
          <cell r="I436">
            <v>58757</v>
          </cell>
        </row>
        <row r="437">
          <cell r="F437">
            <v>3904</v>
          </cell>
          <cell r="G437" t="str">
            <v>TUBERIA PVC PARA DRENAJE D=4" SIN FILTRO (INCLUYE SUMINISTRO E INSTALACIÓN)</v>
          </cell>
          <cell r="H437" t="str">
            <v>ML</v>
          </cell>
          <cell r="I437">
            <v>28652</v>
          </cell>
        </row>
        <row r="438">
          <cell r="F438">
            <v>3905</v>
          </cell>
          <cell r="G438" t="str">
            <v>TUBERIA PVC PARA DRENAJE D=6" CON FILTRO (INCLUYE SUMINISTRO E INSTALACIÓN)</v>
          </cell>
          <cell r="H438" t="str">
            <v>ML</v>
          </cell>
          <cell r="I438">
            <v>78180</v>
          </cell>
        </row>
        <row r="439">
          <cell r="F439">
            <v>3906</v>
          </cell>
          <cell r="G439" t="str">
            <v>SUMIDERO TRANSVERSAL ST-2, H=1.77M (FUNDIDO EN SITIO, CONCRETO HECHO EN OBRA. INCL. SUM, FORM, REF. Y CONST. INCL. REJA)</v>
          </cell>
          <cell r="H439" t="str">
            <v>ML</v>
          </cell>
          <cell r="I439">
            <v>1563642</v>
          </cell>
        </row>
        <row r="440">
          <cell r="F440">
            <v>3907</v>
          </cell>
          <cell r="G440" t="str">
            <v>SUMIDERO TRANSVERSAL ST-2, H=1.77M (FUNDIDO EN SITIO, CONCRETO PREMEZCLADO. INCL. SUMIN, FORM, REF. Y CONST. INCL. REJA)</v>
          </cell>
          <cell r="H440" t="str">
            <v>ML</v>
          </cell>
          <cell r="I440">
            <v>1605020</v>
          </cell>
        </row>
        <row r="441">
          <cell r="F441">
            <v>3908</v>
          </cell>
          <cell r="G441" t="str">
            <v>SUMIDERO ESPECIAL TIPO 1, H=1.65M (FUNDIDO EN SITIO, CONCRETO HECHO EN OBRA. INCL. SUM, FORM, REF. Y CONST. INCL. REJA)</v>
          </cell>
          <cell r="H441" t="str">
            <v>UN</v>
          </cell>
          <cell r="I441">
            <v>3190813</v>
          </cell>
        </row>
        <row r="442">
          <cell r="F442">
            <v>3909</v>
          </cell>
          <cell r="G442" t="str">
            <v>SUMIDERO ESPECIAL TIPO 1, H=1.65M (FUNDIDO EN SITIO, CONCRETO PREMEZCLADO. INCL. SUM, FORM, REF. Y CONST. INCL. REJA)</v>
          </cell>
          <cell r="H442" t="str">
            <v>UN</v>
          </cell>
          <cell r="I442">
            <v>3097550</v>
          </cell>
        </row>
        <row r="443">
          <cell r="F443">
            <v>3910</v>
          </cell>
          <cell r="G443" t="str">
            <v>CONCRETO 4000 PSI IMPERMEABILIZADO (HECHO EN OBRA)</v>
          </cell>
          <cell r="H443" t="str">
            <v>M3</v>
          </cell>
          <cell r="I443">
            <v>590814</v>
          </cell>
        </row>
        <row r="444">
          <cell r="F444">
            <v>3919</v>
          </cell>
          <cell r="G444" t="str">
            <v>TUBERIA PVC U.M. EXT/INT LISO NORMA NTC 5070 D=24" (INCLUYE SUMINISTRO E INSTALACIÓN)</v>
          </cell>
          <cell r="H444" t="str">
            <v>ML</v>
          </cell>
          <cell r="I444">
            <v>605213</v>
          </cell>
        </row>
        <row r="445">
          <cell r="F445">
            <v>3920</v>
          </cell>
          <cell r="G445" t="str">
            <v>TUBERIA PVC U.M. EXT/INT LISO NORMA NTC 5070 D=27" (INCLUYE SUMINISTRO E INSTALACIÓN)</v>
          </cell>
          <cell r="H445" t="str">
            <v>ML</v>
          </cell>
          <cell r="I445">
            <v>717292</v>
          </cell>
        </row>
        <row r="446">
          <cell r="F446">
            <v>3921</v>
          </cell>
          <cell r="G446" t="str">
            <v>TUBERIA PVC U.M. EXT/INT LISO NORMA NTC 5070 D=30" (INCLUYE SUMINISTRO E INSTALACIÓN)</v>
          </cell>
          <cell r="H446" t="str">
            <v>ML</v>
          </cell>
          <cell r="I446">
            <v>886774</v>
          </cell>
        </row>
        <row r="447">
          <cell r="F447">
            <v>3922</v>
          </cell>
          <cell r="G447" t="str">
            <v>TUBERIA PVC U.M. EXT/INT LISO NORMA NTC 5070 D=33" (INCLUYE SUMINISTRO E INSTALACIÓN)</v>
          </cell>
          <cell r="H447" t="str">
            <v>ML</v>
          </cell>
          <cell r="I447">
            <v>1176681</v>
          </cell>
        </row>
        <row r="448">
          <cell r="F448">
            <v>3923</v>
          </cell>
          <cell r="G448" t="str">
            <v>TUBERIA PVC U.M. EXT/INT LISO NORMA NTC 5070 D=36" (INCLUYE SUMINISTRO E INSTALACIÓN)</v>
          </cell>
          <cell r="H448" t="str">
            <v>ML</v>
          </cell>
          <cell r="I448">
            <v>1615152</v>
          </cell>
        </row>
        <row r="449">
          <cell r="F449">
            <v>3924</v>
          </cell>
          <cell r="G449" t="str">
            <v>TUBERIA PVC U.M. EXT/INT LISO NORMA NTC 5070 D=39" (INCLUYE SUMINISTRO E INSTALACIÓN)</v>
          </cell>
          <cell r="H449" t="str">
            <v>ML</v>
          </cell>
          <cell r="I449">
            <v>2142258</v>
          </cell>
        </row>
        <row r="450">
          <cell r="F450">
            <v>3925</v>
          </cell>
          <cell r="G450" t="str">
            <v>TUBERIA PVC U.M. EXT/INT LISO NORMA NTC 5070 D=42" (INCLUYE SUMINISTRO E INSTALACIÓN)</v>
          </cell>
          <cell r="H450" t="str">
            <v>ML</v>
          </cell>
          <cell r="I450">
            <v>2502767</v>
          </cell>
        </row>
        <row r="451">
          <cell r="F451">
            <v>3932</v>
          </cell>
          <cell r="G451" t="str">
            <v>TUBERIA CONCRETO D=6" CL. II SIN REFUERZO (INCLUYE SUMINISTRO E INSTALACIÓN)</v>
          </cell>
          <cell r="H451" t="str">
            <v>ML</v>
          </cell>
          <cell r="I451">
            <v>61140</v>
          </cell>
        </row>
        <row r="452">
          <cell r="F452">
            <v>3933</v>
          </cell>
          <cell r="G452" t="str">
            <v>TUBERIA CONCRETO D=8" CL. II SIN REFUERZO (INCLUYE SUMINISTRO E INSTALACIÓN)</v>
          </cell>
          <cell r="H452" t="str">
            <v>ML</v>
          </cell>
          <cell r="I452">
            <v>94575</v>
          </cell>
        </row>
        <row r="453">
          <cell r="F453">
            <v>3934</v>
          </cell>
          <cell r="G453" t="str">
            <v>TUBERIA CONCRETO D=12" CL. II SIN REFUERZO (INCLUYE SUMINISTRO E INSTALACIÓN)</v>
          </cell>
          <cell r="H453" t="str">
            <v>ML</v>
          </cell>
          <cell r="I453">
            <v>168009</v>
          </cell>
        </row>
        <row r="454">
          <cell r="F454">
            <v>3935</v>
          </cell>
          <cell r="G454" t="str">
            <v>TUBERIA CONCRETO D=14" CL. II SIN REFUERZO (INCLUYE SUMINISTRO E INSTALACIÓN)</v>
          </cell>
          <cell r="H454" t="str">
            <v>ML</v>
          </cell>
          <cell r="I454">
            <v>211540</v>
          </cell>
        </row>
        <row r="455">
          <cell r="F455">
            <v>3936</v>
          </cell>
          <cell r="G455" t="str">
            <v>TUBERIA CONCRETO D=16" CL. II SIN REFUERZO (INCLUYE SUMINISTRO E INSTALACIÓN)</v>
          </cell>
          <cell r="H455" t="str">
            <v>ML</v>
          </cell>
          <cell r="I455">
            <v>270406</v>
          </cell>
        </row>
        <row r="456">
          <cell r="F456">
            <v>3937</v>
          </cell>
          <cell r="G456" t="str">
            <v>TUBERIA CONCRETO D=18" CL. II SIN REFUERZO (INCLUYE SUMINISTRO E INSTALACIÓN)</v>
          </cell>
          <cell r="H456" t="str">
            <v>ML</v>
          </cell>
          <cell r="I456">
            <v>353989</v>
          </cell>
        </row>
        <row r="457">
          <cell r="F457">
            <v>3938</v>
          </cell>
          <cell r="G457" t="str">
            <v>TUBERIA CONCRETO D=20" CL. II SIN REFUERZO (INCLUYE SUMINISTRO E INSTALACIÓN)</v>
          </cell>
          <cell r="H457" t="str">
            <v>ML</v>
          </cell>
          <cell r="I457">
            <v>424589</v>
          </cell>
        </row>
        <row r="458">
          <cell r="F458">
            <v>3939</v>
          </cell>
          <cell r="G458" t="str">
            <v>TUBERIA CONCRETO D=24" CL. II SIN REFUERZO (INCLUYE SUMINISTRO E INSTALACIÓN)</v>
          </cell>
          <cell r="H458" t="str">
            <v>ML</v>
          </cell>
          <cell r="I458">
            <v>602234</v>
          </cell>
        </row>
        <row r="459">
          <cell r="F459">
            <v>3944</v>
          </cell>
          <cell r="G459" t="str">
            <v>TUBERIA CONCRETO D=24" CL. I REFORZADO (INCLUYE SUMINISTRO E INSTALACIÓN)</v>
          </cell>
          <cell r="H459" t="str">
            <v>ML</v>
          </cell>
          <cell r="I459">
            <v>650348</v>
          </cell>
        </row>
        <row r="460">
          <cell r="F460">
            <v>3945</v>
          </cell>
          <cell r="G460" t="str">
            <v>TUBERIA CONCRETO D=27" CL. I REFORZADO (INCLUYE SUMINISTRO E INSTALACIÓN)</v>
          </cell>
          <cell r="H460" t="str">
            <v>ML</v>
          </cell>
          <cell r="I460">
            <v>788334</v>
          </cell>
        </row>
        <row r="461">
          <cell r="F461">
            <v>3946</v>
          </cell>
          <cell r="G461" t="str">
            <v>TUBERIA CONCRETO D=32" CL. I REFORZADO (INCLUYE SUMINISTRO E INSTALACIÓN)</v>
          </cell>
          <cell r="H461" t="str">
            <v>ML</v>
          </cell>
          <cell r="I461">
            <v>954039</v>
          </cell>
        </row>
        <row r="462">
          <cell r="F462">
            <v>3947</v>
          </cell>
          <cell r="G462" t="str">
            <v>TUBERIA CONCRETO D=36" CL. I REFORZADO (INCLUYE SUMINISTRO E INSTALACIÓN)</v>
          </cell>
          <cell r="H462" t="str">
            <v>ML</v>
          </cell>
          <cell r="I462">
            <v>1198903</v>
          </cell>
        </row>
        <row r="463">
          <cell r="F463">
            <v>3948</v>
          </cell>
          <cell r="G463" t="str">
            <v>TUBERIA CONCRETO D=40" CL. I REFORZADO (INCLUYE SUMINISTRO E INSTALACIÓN)</v>
          </cell>
          <cell r="H463" t="str">
            <v>ML</v>
          </cell>
          <cell r="I463">
            <v>1484597</v>
          </cell>
        </row>
        <row r="464">
          <cell r="F464">
            <v>3949</v>
          </cell>
          <cell r="G464" t="str">
            <v>TUBERIA CONCRETO D=44" CL. I REFORZADO (INCLUYE SUMINISTRO E INSTALACIÓN)</v>
          </cell>
          <cell r="H464" t="str">
            <v>ML</v>
          </cell>
          <cell r="I464">
            <v>1681053</v>
          </cell>
        </row>
        <row r="465">
          <cell r="F465">
            <v>3950</v>
          </cell>
          <cell r="G465" t="str">
            <v>TUBERIA CONCRETO D=48" CL. I REFORZADO (INCLUYE SUMINISTRO E INSTALACIÓN)</v>
          </cell>
          <cell r="H465" t="str">
            <v>ML</v>
          </cell>
          <cell r="I465">
            <v>1996019</v>
          </cell>
        </row>
        <row r="466">
          <cell r="F466">
            <v>3951</v>
          </cell>
          <cell r="G466" t="str">
            <v>TUBERIA CONCRETO D=52" CL. I REFORZADO (INCLUYE SUMINISTRO E INSTALACIÓN)</v>
          </cell>
          <cell r="H466" t="str">
            <v>ML</v>
          </cell>
          <cell r="I466">
            <v>2245451</v>
          </cell>
        </row>
        <row r="467">
          <cell r="F467">
            <v>3952</v>
          </cell>
          <cell r="G467" t="str">
            <v>TUBERIA CONCRETO D=56" CL. I REFORZADO (INCLUYE SUMINISTRO E INSTALACIÓN)</v>
          </cell>
          <cell r="H467" t="str">
            <v>ML</v>
          </cell>
          <cell r="I467">
            <v>2543767</v>
          </cell>
        </row>
        <row r="468">
          <cell r="F468">
            <v>3953</v>
          </cell>
          <cell r="G468" t="str">
            <v>TUBERIA CONCRETO D=60" CL. I REFORZADO (INCLUYE SUMINISTRO E INSTALACIÓN)</v>
          </cell>
          <cell r="H468" t="str">
            <v>ML</v>
          </cell>
          <cell r="I468">
            <v>2848578</v>
          </cell>
        </row>
        <row r="469">
          <cell r="F469">
            <v>3954</v>
          </cell>
          <cell r="G469" t="str">
            <v>TUBERIA CONCRETO D=64" CL. I REFORZADO (INCLUYE SUMINISTRO E INSTALACIÓN)</v>
          </cell>
          <cell r="H469" t="str">
            <v>ML</v>
          </cell>
          <cell r="I469">
            <v>3185114</v>
          </cell>
        </row>
        <row r="470">
          <cell r="F470">
            <v>3955</v>
          </cell>
          <cell r="G470" t="str">
            <v>TUBERIA CONCRETO D=68" CL. I REFORZADO (INCLUYE SUMINISTRO E INSTALACIÓN)</v>
          </cell>
          <cell r="H470" t="str">
            <v>ML</v>
          </cell>
          <cell r="I470">
            <v>3560312</v>
          </cell>
        </row>
        <row r="471">
          <cell r="F471">
            <v>3956</v>
          </cell>
          <cell r="G471" t="str">
            <v>TUBERIA CONCRETO D=72" CL. I REFORZADO (INCLUYE SUMINISTRO E INSTALACIÓN)</v>
          </cell>
          <cell r="H471" t="str">
            <v>ML</v>
          </cell>
          <cell r="I471">
            <v>3979057</v>
          </cell>
        </row>
        <row r="472">
          <cell r="F472">
            <v>3957</v>
          </cell>
          <cell r="G472" t="str">
            <v>TUBERIA CONCRETO D=80" CL. I REFORZADO (INCLUYE SUMINISTRO E INSTALACIÓN)</v>
          </cell>
          <cell r="H472" t="str">
            <v>ML</v>
          </cell>
          <cell r="I472">
            <v>4921684</v>
          </cell>
        </row>
        <row r="473">
          <cell r="F473">
            <v>3958</v>
          </cell>
          <cell r="G473" t="str">
            <v>TUBERIA CONCRETO D=86" CL. I REFORZADO (INCLUYE SUMINISTRO E INSTALACIÓN)</v>
          </cell>
          <cell r="H473" t="str">
            <v>ML</v>
          </cell>
          <cell r="I473">
            <v>5520961</v>
          </cell>
        </row>
        <row r="474">
          <cell r="F474">
            <v>3959</v>
          </cell>
          <cell r="G474" t="str">
            <v>TUBERIA CONCRETO D=92" CL. I REFORZADO (INCLUYE SUMINISTRO E INSTALACIÓN)</v>
          </cell>
          <cell r="H474" t="str">
            <v>ML</v>
          </cell>
          <cell r="I474">
            <v>6178242</v>
          </cell>
        </row>
        <row r="475">
          <cell r="F475">
            <v>3960</v>
          </cell>
          <cell r="G475" t="str">
            <v>TUBERIA CONCRETO D=24" CL. II REFORZADO (INCLUYE SUMINISTRO E INSTALACIÓN)</v>
          </cell>
          <cell r="H475" t="str">
            <v>ML</v>
          </cell>
          <cell r="I475">
            <v>650348</v>
          </cell>
        </row>
        <row r="476">
          <cell r="F476">
            <v>3961</v>
          </cell>
          <cell r="G476" t="str">
            <v>TUBERIA CONCRETO D=27" CL. II REFORZADO (INCLUYE SUMINISTRO E INSTALACIÓN)</v>
          </cell>
          <cell r="H476" t="str">
            <v>ML</v>
          </cell>
          <cell r="I476">
            <v>808945</v>
          </cell>
        </row>
        <row r="477">
          <cell r="F477">
            <v>3963</v>
          </cell>
          <cell r="G477" t="str">
            <v>TUBERIA CONCRETO D=36" CL. II REFORZADO (INCLUYE SUMINISTRO E INSTALACIÓN)</v>
          </cell>
          <cell r="H477" t="str">
            <v>ML</v>
          </cell>
          <cell r="I477">
            <v>1227559</v>
          </cell>
        </row>
        <row r="478">
          <cell r="F478">
            <v>3964</v>
          </cell>
          <cell r="G478" t="str">
            <v>TUBERIA CONCRETO D=40" CL. II REFORZADO (INCLUYE SUMINISTRO E INSTALACIÓN)</v>
          </cell>
          <cell r="H478" t="str">
            <v>ML</v>
          </cell>
          <cell r="I478">
            <v>1521154</v>
          </cell>
        </row>
        <row r="479">
          <cell r="F479">
            <v>3965</v>
          </cell>
          <cell r="G479" t="str">
            <v>TUBERIA CONCRETO D=44" CL. II REFORZADO (INCLUYE SUMINISTRO E INSTALACIÓN)</v>
          </cell>
          <cell r="H479" t="str">
            <v>ML</v>
          </cell>
          <cell r="I479">
            <v>1714516</v>
          </cell>
        </row>
        <row r="480">
          <cell r="F480">
            <v>3966</v>
          </cell>
          <cell r="G480" t="str">
            <v>TUBERIA CONCRETO D=48" CL. II REFORZADO (INCLUYE SUMINISTRO E INSTALACIÓN)</v>
          </cell>
          <cell r="H480" t="str">
            <v>ML</v>
          </cell>
          <cell r="I480">
            <v>2043761</v>
          </cell>
        </row>
        <row r="481">
          <cell r="F481">
            <v>3967</v>
          </cell>
          <cell r="G481" t="str">
            <v>TUBERIA CONCRETO D=52" CL. II REFORZADO (INCLUYE SUMINISTRO E INSTALACIÓN)</v>
          </cell>
          <cell r="H481" t="str">
            <v>ML</v>
          </cell>
          <cell r="I481">
            <v>2302713</v>
          </cell>
        </row>
        <row r="482">
          <cell r="F482">
            <v>3968</v>
          </cell>
          <cell r="G482" t="str">
            <v>TUBERIA CONCRETO D=56" CL. II REFORZADO (INCLUYE SUMINISTRO E INSTALACIÓN)</v>
          </cell>
          <cell r="H482" t="str">
            <v>ML</v>
          </cell>
          <cell r="I482">
            <v>2577325</v>
          </cell>
        </row>
        <row r="483">
          <cell r="F483">
            <v>3969</v>
          </cell>
          <cell r="G483" t="str">
            <v>TUBERIA CONCRETO D=60" CL. III REFORZADO (INCLUYE SUMINISTRO E INSTALACIÓN)</v>
          </cell>
          <cell r="H483" t="str">
            <v>ML</v>
          </cell>
          <cell r="I483">
            <v>3230521</v>
          </cell>
        </row>
        <row r="484">
          <cell r="F484">
            <v>3970</v>
          </cell>
          <cell r="G484" t="str">
            <v>TUBERIA CONCRETO D=64" CL. II REFORZADO (INCLUYE SUMINISTRO E INSTALACIÓN)</v>
          </cell>
          <cell r="H484" t="str">
            <v>ML</v>
          </cell>
          <cell r="I484">
            <v>3258228</v>
          </cell>
        </row>
        <row r="485">
          <cell r="F485">
            <v>3971</v>
          </cell>
          <cell r="G485" t="str">
            <v>TUBERIA CONCRETO D=68" CL. III REFORZADO (INCLUYE SUMINISTRO E INSTALACIÓN)</v>
          </cell>
          <cell r="H485" t="str">
            <v>ML</v>
          </cell>
          <cell r="I485">
            <v>3794171</v>
          </cell>
        </row>
        <row r="486">
          <cell r="F486">
            <v>3972</v>
          </cell>
          <cell r="G486" t="str">
            <v>TUBERIA CONCRETO D=72" CL. II REFORZADO (INCLUYE SUMINISTRO E INSTALACIÓN)</v>
          </cell>
          <cell r="H486" t="str">
            <v>ML</v>
          </cell>
          <cell r="I486">
            <v>3996479</v>
          </cell>
        </row>
        <row r="487">
          <cell r="F487">
            <v>3973</v>
          </cell>
          <cell r="G487" t="str">
            <v>TUBERIA CONCRETO D=80" CL. II REFORZADO (INCLUYE SUMINISTRO E INSTALACIÓN)</v>
          </cell>
          <cell r="H487" t="str">
            <v>ML</v>
          </cell>
          <cell r="I487">
            <v>4943913</v>
          </cell>
        </row>
        <row r="488">
          <cell r="F488">
            <v>3974</v>
          </cell>
          <cell r="G488" t="str">
            <v>TUBERIA CONCRETO D=86" CL. II REFORZADO (INCLUYE SUMINISTRO E INSTALACIÓN)</v>
          </cell>
          <cell r="H488" t="str">
            <v>ML</v>
          </cell>
          <cell r="I488">
            <v>5606879</v>
          </cell>
        </row>
        <row r="489">
          <cell r="F489">
            <v>3975</v>
          </cell>
          <cell r="G489" t="str">
            <v>TUBERIA CONCRETO D=24" CL. III REFORZADO (INCLUYE SUMINISTRO E INSTALACIÓN)</v>
          </cell>
          <cell r="H489" t="str">
            <v>ML</v>
          </cell>
          <cell r="I489">
            <v>650348</v>
          </cell>
        </row>
        <row r="490">
          <cell r="F490">
            <v>3976</v>
          </cell>
          <cell r="G490" t="str">
            <v>TUBERIA CONCRETO D=27" CL. III REFORZADO (INCLUYE SUMINISTRO E INSTALACIÓN)</v>
          </cell>
          <cell r="H490" t="str">
            <v>ML</v>
          </cell>
          <cell r="I490">
            <v>852118</v>
          </cell>
        </row>
        <row r="491">
          <cell r="F491">
            <v>3978</v>
          </cell>
          <cell r="G491" t="str">
            <v>TUBERIA CONCRETO D=36" CL. III REFORZADO (INCLUYE SUMINISTRO E INSTALACIÓN)</v>
          </cell>
          <cell r="H491" t="str">
            <v>ML</v>
          </cell>
          <cell r="I491">
            <v>1292866</v>
          </cell>
        </row>
        <row r="492">
          <cell r="F492">
            <v>3979</v>
          </cell>
          <cell r="G492" t="str">
            <v>TUBERIA CONCRETO D=40" CL. III REFORZADO (INCLUYE SUMINISTRO E INSTALACIÓN)</v>
          </cell>
          <cell r="H492" t="str">
            <v>ML</v>
          </cell>
          <cell r="I492">
            <v>1605406</v>
          </cell>
        </row>
        <row r="493">
          <cell r="F493">
            <v>3980</v>
          </cell>
          <cell r="G493" t="str">
            <v>TUBERIA CONCRETO D=44" CL. III REFORZADO (INCLUYE SUMINISTRO E INSTALACIÓN)</v>
          </cell>
          <cell r="H493" t="str">
            <v>ML</v>
          </cell>
          <cell r="I493">
            <v>1806622</v>
          </cell>
        </row>
        <row r="494">
          <cell r="F494">
            <v>3981</v>
          </cell>
          <cell r="G494" t="str">
            <v>TUBERIA CONCRETO D=48" CL. III REFORZADO (INCLUYE SUMINISTRO E INSTALACIÓN)</v>
          </cell>
          <cell r="H494" t="str">
            <v>ML</v>
          </cell>
          <cell r="I494">
            <v>2153622</v>
          </cell>
        </row>
        <row r="495">
          <cell r="F495">
            <v>3982</v>
          </cell>
          <cell r="G495" t="str">
            <v>TUBERIA CONCRETO D=52" CL. III REFORZADO (INCLUYE SUMINISTRO E INSTALACIÓN)</v>
          </cell>
          <cell r="H495" t="str">
            <v>ML</v>
          </cell>
          <cell r="I495">
            <v>2423713</v>
          </cell>
        </row>
        <row r="496">
          <cell r="F496">
            <v>3983</v>
          </cell>
          <cell r="G496" t="str">
            <v>TUBERIA CONCRETO D=56" CL. III REFORZADO (INCLUYE SUMINISTRO E INSTALACIÓN)</v>
          </cell>
          <cell r="H496" t="str">
            <v>ML</v>
          </cell>
          <cell r="I496">
            <v>2707796</v>
          </cell>
        </row>
        <row r="497">
          <cell r="F497">
            <v>3984</v>
          </cell>
          <cell r="G497" t="str">
            <v>TUBERIA CONCRETO D=60" CL. II REFORZADO (INCLUYE SUMINISTRO E INSTALACIÓN)</v>
          </cell>
          <cell r="H497" t="str">
            <v>ML</v>
          </cell>
          <cell r="I497">
            <v>2901129</v>
          </cell>
        </row>
        <row r="498">
          <cell r="F498">
            <v>3985</v>
          </cell>
          <cell r="G498" t="str">
            <v>TUBERIA CONCRETO D=64" CL. III REFORZADO (INCLUYE SUMINISTRO E INSTALACIÓN)</v>
          </cell>
          <cell r="H498" t="str">
            <v>ML</v>
          </cell>
          <cell r="I498">
            <v>3390318</v>
          </cell>
        </row>
        <row r="499">
          <cell r="F499">
            <v>3986</v>
          </cell>
          <cell r="G499" t="str">
            <v>TUBERIA CONCRETO D=72" CL. III REFORZADO (INCLUYE SUMINISTRO E INSTALACIÓN)</v>
          </cell>
          <cell r="H499" t="str">
            <v>ML</v>
          </cell>
          <cell r="I499">
            <v>4379992</v>
          </cell>
        </row>
        <row r="500">
          <cell r="F500">
            <v>3987</v>
          </cell>
          <cell r="G500" t="str">
            <v>TUBERIA CONCRETO D=68" CL. II REFORZADO (INCLUYE SUMINISTRO E INSTALACIÓN)</v>
          </cell>
          <cell r="H500" t="str">
            <v>ML</v>
          </cell>
          <cell r="I500">
            <v>3643041</v>
          </cell>
        </row>
        <row r="501">
          <cell r="F501">
            <v>3988</v>
          </cell>
          <cell r="G501" t="str">
            <v>TUBERIA CONCRETO D=80" CL. III REFORZADO (INCLUYE SUMINISTRO E INSTALACIÓN)</v>
          </cell>
          <cell r="H501" t="str">
            <v>ML</v>
          </cell>
          <cell r="I501">
            <v>5146023</v>
          </cell>
        </row>
        <row r="502">
          <cell r="F502">
            <v>3989</v>
          </cell>
          <cell r="G502" t="str">
            <v>TUBERIA CONCRETO D=86" CL. III REFORZADO (INCLUYE SUMINISTRO E INSTALACIÓN)</v>
          </cell>
          <cell r="H502" t="str">
            <v>ML</v>
          </cell>
          <cell r="I502">
            <v>5745300</v>
          </cell>
        </row>
        <row r="503">
          <cell r="F503">
            <v>3990</v>
          </cell>
          <cell r="G503" t="str">
            <v>TUBERIA CONCRETO D=92" CL. II REFORZADO (INCLUYE SUMINISTRO E INSTALACIÓN)</v>
          </cell>
          <cell r="H503" t="str">
            <v>ML</v>
          </cell>
          <cell r="I503">
            <v>6273775</v>
          </cell>
        </row>
        <row r="504">
          <cell r="F504">
            <v>3991</v>
          </cell>
          <cell r="G504" t="str">
            <v>TUBERIA CONCRETO D=92" CL. III REFORZADO (INCLUYE SUMINISTRO E INSTALACIÓN)</v>
          </cell>
          <cell r="H504" t="str">
            <v>ML</v>
          </cell>
          <cell r="I504">
            <v>6377162</v>
          </cell>
        </row>
        <row r="505">
          <cell r="F505">
            <v>3992</v>
          </cell>
          <cell r="G505" t="str">
            <v>TUBERIA CONCRETO D=24" CL. IV REFORZADO (INCLUYE SUMINISTRO E INSTALACIÓN)</v>
          </cell>
          <cell r="H505" t="str">
            <v>ML</v>
          </cell>
          <cell r="I505">
            <v>728317</v>
          </cell>
        </row>
        <row r="506">
          <cell r="F506">
            <v>3993</v>
          </cell>
          <cell r="G506" t="str">
            <v>TUBERIA CONCRETO D=27" CL. IV REFORZADO (INCLUYE SUMINISTRO E INSTALACIÓN)</v>
          </cell>
          <cell r="H506" t="str">
            <v>ML</v>
          </cell>
          <cell r="I506">
            <v>958552</v>
          </cell>
        </row>
        <row r="507">
          <cell r="F507">
            <v>3994</v>
          </cell>
          <cell r="G507" t="str">
            <v>TUBERIA CONCRETO D=30" CL. IV REFORZADO (INCLUYE SUMINISTRO E INSTALACIÓN)</v>
          </cell>
          <cell r="H507" t="str">
            <v>ML</v>
          </cell>
          <cell r="I507">
            <v>1170381</v>
          </cell>
        </row>
        <row r="508">
          <cell r="F508">
            <v>3995</v>
          </cell>
          <cell r="G508" t="str">
            <v>TUBERIA CONCRETO D=36" CL. IV REFORZADO (INCLUYE SUMINISTRO E INSTALACIÓN)</v>
          </cell>
          <cell r="H508" t="str">
            <v>ML</v>
          </cell>
          <cell r="I508">
            <v>1466082</v>
          </cell>
        </row>
        <row r="509">
          <cell r="F509">
            <v>3996</v>
          </cell>
          <cell r="G509" t="str">
            <v>TUBERIA CONCRETO D=40" CL. IV REFORZADO (INCLUYE SUMINISTRO E INSTALACIÓN)</v>
          </cell>
          <cell r="H509" t="str">
            <v>ML</v>
          </cell>
          <cell r="I509">
            <v>1820320</v>
          </cell>
        </row>
        <row r="510">
          <cell r="F510">
            <v>3997</v>
          </cell>
          <cell r="G510" t="str">
            <v>TUBERIA CONCRETO D=44" CL. IV REFORZADO (INCLUYE SUMINISTRO E INSTALACIÓN)</v>
          </cell>
          <cell r="H510" t="str">
            <v>ML</v>
          </cell>
          <cell r="I510">
            <v>2048525</v>
          </cell>
        </row>
        <row r="511">
          <cell r="F511">
            <v>3998</v>
          </cell>
          <cell r="G511" t="str">
            <v>TUBERIA CONCRETO D=48" CL. IV REFORZADO (INCLUYE SUMINISTRO E INSTALACIÓN)</v>
          </cell>
          <cell r="H511" t="str">
            <v>ML</v>
          </cell>
          <cell r="I511">
            <v>2437033</v>
          </cell>
        </row>
        <row r="512">
          <cell r="F512">
            <v>3999</v>
          </cell>
          <cell r="G512" t="str">
            <v>TUBERIA CONCRETO D=52" CL. IV REFORZADO (INCLUYE SUMINISTRO E INSTALACIÓN)</v>
          </cell>
          <cell r="H512" t="str">
            <v>ML</v>
          </cell>
          <cell r="I512">
            <v>2757817</v>
          </cell>
        </row>
        <row r="513">
          <cell r="F513">
            <v>4000</v>
          </cell>
          <cell r="G513" t="str">
            <v>TUBERIA CONCRETO D=56" CL. IV REFORZADO (INCLUYE SUMINISTRO E INSTALACIÓN)</v>
          </cell>
          <cell r="H513" t="str">
            <v>ML</v>
          </cell>
          <cell r="I513">
            <v>2959124</v>
          </cell>
        </row>
        <row r="514">
          <cell r="F514">
            <v>4001</v>
          </cell>
          <cell r="G514" t="str">
            <v>TUBERIA CONCRETO D=60" CL. IV REFORZADO (INCLUYE SUMINISTRO E INSTALACIÓN)</v>
          </cell>
          <cell r="H514" t="str">
            <v>ML</v>
          </cell>
          <cell r="I514">
            <v>3403880</v>
          </cell>
        </row>
        <row r="515">
          <cell r="F515">
            <v>4002</v>
          </cell>
          <cell r="G515" t="str">
            <v>TUBERIA CONCRETO D=64" CL. IV REFORZADO (INCLUYE SUMINISTRO E INSTALACIÓN)</v>
          </cell>
          <cell r="H515" t="str">
            <v>ML</v>
          </cell>
          <cell r="I515">
            <v>3831094</v>
          </cell>
        </row>
        <row r="516">
          <cell r="F516">
            <v>4004</v>
          </cell>
          <cell r="G516" t="str">
            <v>TUBERIA CONCRETO D=68" CL. IV REFORZADO (INCLUYE SUMINISTRO E INSTALACIÓN)</v>
          </cell>
          <cell r="H516" t="str">
            <v>ML</v>
          </cell>
          <cell r="I516">
            <v>4295399</v>
          </cell>
        </row>
        <row r="517">
          <cell r="F517">
            <v>4005</v>
          </cell>
          <cell r="G517" t="str">
            <v>TUBERIA CONCRETO D=72" CL. IV REFORZADO (INCLUYE SUMINISTRO E INSTALACIÓN)</v>
          </cell>
          <cell r="H517" t="str">
            <v>ML</v>
          </cell>
          <cell r="I517">
            <v>4768408</v>
          </cell>
        </row>
        <row r="518">
          <cell r="F518">
            <v>4006</v>
          </cell>
          <cell r="G518" t="str">
            <v>TUBERIA CONCRETO D=80" CL. IV REFORZADO (INCLUYE SUMINISTRO E INSTALACIÓN)</v>
          </cell>
          <cell r="H518" t="str">
            <v>ML</v>
          </cell>
          <cell r="I518">
            <v>5836699</v>
          </cell>
        </row>
        <row r="519">
          <cell r="F519">
            <v>4007</v>
          </cell>
          <cell r="G519" t="str">
            <v>TUBERIA CONCRETO D=86" CL. IV REFORZADO (INCLUYE SUMINISTRO E INSTALACIÓN)</v>
          </cell>
          <cell r="H519" t="str">
            <v>ML</v>
          </cell>
          <cell r="I519">
            <v>6941821</v>
          </cell>
        </row>
        <row r="520">
          <cell r="F520">
            <v>4008</v>
          </cell>
          <cell r="G520" t="str">
            <v>TUBERIA CONCRETO D=92" CL. IV REFORZADO (INCLUYE SUMINISTRO E INSTALACIÓN)</v>
          </cell>
          <cell r="H520" t="str">
            <v>ML</v>
          </cell>
          <cell r="I520">
            <v>7560974</v>
          </cell>
        </row>
        <row r="521">
          <cell r="F521">
            <v>4009</v>
          </cell>
          <cell r="G521" t="str">
            <v>GEOTEXTIL NT 3000 PARA SUBDRENES/FILTROS (INCLUYE SUMINISTRO E INSTALACIÓN)</v>
          </cell>
          <cell r="H521" t="str">
            <v>M2</v>
          </cell>
          <cell r="I521">
            <v>8678</v>
          </cell>
        </row>
        <row r="522">
          <cell r="F522">
            <v>4010</v>
          </cell>
          <cell r="G522" t="str">
            <v>GEOTEXTIL NT 4000 PARA SUBDRENES/FILTROS (INCLUYE SUMINISTRO E INSTALACIÓN)</v>
          </cell>
          <cell r="H522" t="str">
            <v>M2</v>
          </cell>
          <cell r="I522">
            <v>10868</v>
          </cell>
        </row>
        <row r="523">
          <cell r="F523">
            <v>4011</v>
          </cell>
          <cell r="G523" t="str">
            <v>GEOTEXTIL NT 5000 PARA SUBDRENES/FILTROS (INCLUYE SUMINISTRO E INSTALACIÓN)</v>
          </cell>
          <cell r="H523" t="str">
            <v>M2</v>
          </cell>
          <cell r="I523">
            <v>12702</v>
          </cell>
        </row>
        <row r="524">
          <cell r="F524">
            <v>4012</v>
          </cell>
          <cell r="G524" t="str">
            <v>GEOTEXTIL NT 6000 PARA SUBDRENES/FILTROS (INCLUYE SUMINISTRO E INSTALACIÓN)</v>
          </cell>
          <cell r="H524" t="str">
            <v>M2</v>
          </cell>
          <cell r="I524">
            <v>12702</v>
          </cell>
        </row>
        <row r="525">
          <cell r="F525">
            <v>4013</v>
          </cell>
          <cell r="G525" t="str">
            <v>GEOTEXTIL NT 7000 PARA SEPARACION SUBRASANTE/CAPAS GRANULARES (INCLUYE SUMINISTRO E INSTALACIÓN)</v>
          </cell>
          <cell r="H525" t="str">
            <v>M2</v>
          </cell>
          <cell r="I525">
            <v>21268</v>
          </cell>
        </row>
        <row r="526">
          <cell r="F526">
            <v>4014</v>
          </cell>
          <cell r="G526" t="str">
            <v>GEOTEXTIL NT 3000 PARA SEPARACION SUBRASANTE/CAPAS GRANULARES (INCLUYE SUMINISTRO E INSTALACIÓN)</v>
          </cell>
          <cell r="H526" t="str">
            <v>M2</v>
          </cell>
          <cell r="I526">
            <v>8678</v>
          </cell>
        </row>
        <row r="527">
          <cell r="F527">
            <v>4015</v>
          </cell>
          <cell r="G527" t="str">
            <v>GEOTEXTIL NT 4000 PARA SEPARACION SUBRASANTE/CAPAS GRANULARES (INCLUYE SUMINISTRO E INSTALACIÓN)</v>
          </cell>
          <cell r="H527" t="str">
            <v>M2</v>
          </cell>
          <cell r="I527">
            <v>10868</v>
          </cell>
        </row>
        <row r="528">
          <cell r="F528">
            <v>4016</v>
          </cell>
          <cell r="G528" t="str">
            <v>GEOTEXTIL NT 5000 PARA SEPARACION SUBRASANTE/CAPAS GRANULARES (INCLUYE SUMINISTRO E INSTALACIÓN)</v>
          </cell>
          <cell r="H528" t="str">
            <v>M2</v>
          </cell>
          <cell r="I528">
            <v>12702</v>
          </cell>
        </row>
        <row r="529">
          <cell r="F529">
            <v>4017</v>
          </cell>
          <cell r="G529" t="str">
            <v>GEOTEXTIL NT 6000 PARA SEPARACION SUBRASANTE/CAPAS GRANULARES (INCLUYE SUMINISTRO E INSTALACIÓN)</v>
          </cell>
          <cell r="H529" t="str">
            <v>M2</v>
          </cell>
          <cell r="I529">
            <v>12702</v>
          </cell>
        </row>
        <row r="530">
          <cell r="F530">
            <v>4018</v>
          </cell>
          <cell r="G530" t="str">
            <v>GEOTEXTIL NT 7000 PARA SUBDRENES/FILTROS (INCLUYE SUMINISTRO E INSTALACIÓN)</v>
          </cell>
          <cell r="H530" t="str">
            <v>M2</v>
          </cell>
          <cell r="I530">
            <v>21268</v>
          </cell>
        </row>
        <row r="531">
          <cell r="F531">
            <v>4019</v>
          </cell>
          <cell r="G531" t="str">
            <v>GEOTEXTIL REPAV 400 PARA PAVIMENTACION Y REPAVIMENTACION (INCLUYE SUMINISTRO E INSTALACIÓN)</v>
          </cell>
          <cell r="H531" t="str">
            <v>M2</v>
          </cell>
          <cell r="I531">
            <v>7036</v>
          </cell>
        </row>
        <row r="532">
          <cell r="F532">
            <v>4020</v>
          </cell>
          <cell r="G532" t="str">
            <v>GEOTEXTIL REPAV 450 PARA PAVIMENTACION Y REPAVIMENTACION (INCLUYE SUMINISTRO E INSTALACIÓN)</v>
          </cell>
          <cell r="H532" t="str">
            <v>M2</v>
          </cell>
          <cell r="I532">
            <v>7994</v>
          </cell>
        </row>
        <row r="533">
          <cell r="F533">
            <v>4021</v>
          </cell>
          <cell r="G533" t="str">
            <v>GEOTEXTIL NT 4000 PARA ESTABILIZACION SUBRASANTE/CAPAS GRANULARES (INC. SUMINISTRO E INSTALACIÓN)</v>
          </cell>
          <cell r="H533" t="str">
            <v>M2</v>
          </cell>
          <cell r="I533">
            <v>10868</v>
          </cell>
        </row>
        <row r="534">
          <cell r="F534">
            <v>4022</v>
          </cell>
          <cell r="G534" t="str">
            <v>GEOTEXTIL NT 5000 PARA ESTABILIZACION SUBRASANTE/CAPAS GRANULARES (INC. SUMINISTRO E INSTALACIÓN)</v>
          </cell>
          <cell r="H534" t="str">
            <v>M2</v>
          </cell>
          <cell r="I534">
            <v>12702</v>
          </cell>
        </row>
        <row r="535">
          <cell r="F535">
            <v>4023</v>
          </cell>
          <cell r="G535" t="str">
            <v>GEOTEXTIL NT 6000 PARA ESTABILIZACION SUBRASANTE/CAPAS GRANULARES (INC. SUMINISTRO E INSTALACIÓN)</v>
          </cell>
          <cell r="H535" t="str">
            <v>M2</v>
          </cell>
          <cell r="I535">
            <v>12702</v>
          </cell>
        </row>
        <row r="536">
          <cell r="F536">
            <v>4024</v>
          </cell>
          <cell r="G536" t="str">
            <v>GEOTEXTIL NT 7000 PARA ESTABILIZACION SUBRASANTE/CAPAS GRANULARES (INC. SUMINISTRO E INSTALACIÓN)</v>
          </cell>
          <cell r="H536" t="str">
            <v>M2</v>
          </cell>
          <cell r="I536">
            <v>21268</v>
          </cell>
        </row>
        <row r="537">
          <cell r="F537">
            <v>4026</v>
          </cell>
          <cell r="G537" t="str">
            <v>GEOTEXTIL T, RESIST. ULTIMA (TIRA ANCHA)=30 KN/M PARA SUBDRENES/FILTROS (INCLUYE SUMINISTRO E INSTALACIÓN)</v>
          </cell>
          <cell r="H537" t="str">
            <v>M2</v>
          </cell>
          <cell r="I537">
            <v>8209</v>
          </cell>
        </row>
        <row r="538">
          <cell r="F538">
            <v>4027</v>
          </cell>
          <cell r="G538" t="str">
            <v>GEOTEXTIL T, RESIST. ULTIMA (TIRA ANCHA)=40 KN/M PARA SUBDRENES/FILTROS (INCLUYE SUMINISTRO E INSTALACIÓN)</v>
          </cell>
          <cell r="H538" t="str">
            <v>M2</v>
          </cell>
          <cell r="I538">
            <v>8268</v>
          </cell>
        </row>
        <row r="539">
          <cell r="F539">
            <v>4028</v>
          </cell>
          <cell r="G539" t="str">
            <v>GEOTEXTIL T, RESIST. ULTIMA (TIRA ANCHA)=60 KN/M PARA SUBDRENES/FILTROS (INCLUYE SUMINISTRO E INSTALACIÓN)</v>
          </cell>
          <cell r="H539" t="str">
            <v>M2</v>
          </cell>
          <cell r="I539">
            <v>14015</v>
          </cell>
        </row>
        <row r="540">
          <cell r="F540">
            <v>4029</v>
          </cell>
          <cell r="G540" t="str">
            <v>GEOTEXTIL T, RESIST. ULTIMA (TIRA ANCHA)=90 KN/M PARA SUBDRENES/FILTROS (INCLUYE SUMINISTRO E INSTALACIÓN)</v>
          </cell>
          <cell r="H540" t="str">
            <v>M2</v>
          </cell>
          <cell r="I540">
            <v>24279</v>
          </cell>
        </row>
        <row r="541">
          <cell r="F541">
            <v>4030</v>
          </cell>
          <cell r="G541" t="str">
            <v>GEOTEXTIL T, RESIST. ULTIMA (TIRA ANCHA)=30 KN/M PARA SEPARACION SUBRASANTE/CAPAS GRANULARES (INC. SUMIN. E INSTALACIÓN)</v>
          </cell>
          <cell r="H541" t="str">
            <v>M2</v>
          </cell>
          <cell r="I541">
            <v>8209</v>
          </cell>
        </row>
        <row r="542">
          <cell r="F542">
            <v>4032</v>
          </cell>
          <cell r="G542" t="str">
            <v>GEOTEXTIL T, RESIST. ULTIMA (TIRA ANCHA)=40 KN/M PARA SEPARACION SUBRASANTE/CAPAS GRANULARES (INC. SUMIN. E INSTALACIÓN)</v>
          </cell>
          <cell r="H542" t="str">
            <v>M2</v>
          </cell>
          <cell r="I542">
            <v>8268</v>
          </cell>
        </row>
        <row r="543">
          <cell r="F543">
            <v>4033</v>
          </cell>
          <cell r="G543" t="str">
            <v>GEOTEXTIL T, RESIST. ULTIMA (TIRA ANCHA)=60 KN/M PARA SEPARACION SUBRASANTE/CAPAS GRANULARES (INC. SUMIN. E INSTALACIÓN)</v>
          </cell>
          <cell r="H543" t="str">
            <v>M2</v>
          </cell>
          <cell r="I543">
            <v>14015</v>
          </cell>
        </row>
        <row r="544">
          <cell r="F544">
            <v>4034</v>
          </cell>
          <cell r="G544" t="str">
            <v>GEOTEXTIL T, RESIST. ULTIMA (TIRA ANCHA)=90 KN/M PARA SEPARACION SUBRASANTE/CAPAS GRANULARES (INC. SUMIN. E INSTALACIÓN)</v>
          </cell>
          <cell r="H544" t="str">
            <v>M2</v>
          </cell>
          <cell r="I544">
            <v>24279</v>
          </cell>
        </row>
        <row r="545">
          <cell r="F545">
            <v>4036</v>
          </cell>
          <cell r="G545" t="str">
            <v>GEOTEXTIL T, RESIST. ULTIMA (TIRA ANCHA)=40 KN/M PARA ESTABILIZACION SUBRASANTE/CAPAS GRANULARES (INC. SUMIN. E INST.)</v>
          </cell>
          <cell r="H545" t="str">
            <v>M2</v>
          </cell>
          <cell r="I545">
            <v>8268</v>
          </cell>
        </row>
        <row r="546">
          <cell r="F546">
            <v>4037</v>
          </cell>
          <cell r="G546" t="str">
            <v>GEOTEXTIL T, RESIST. ULTIMA (TIRA ANCHA)=60 KN/M PARA ESTABILIZACION SUBRASANTE/CAPAS GRANULARES (INC. SUMIN. E INST.)</v>
          </cell>
          <cell r="H546" t="str">
            <v>M2</v>
          </cell>
          <cell r="I546">
            <v>14015</v>
          </cell>
        </row>
        <row r="547">
          <cell r="F547">
            <v>4038</v>
          </cell>
          <cell r="G547" t="str">
            <v>GEOTEXTIL T, RESIST. ULTIMA (TIRA ANCHA)=90 KN/M PARA ESTABILIZACION SUBRASANTE/CAPAS GRANULARES (INC. SUMIN. E INST.)</v>
          </cell>
          <cell r="H547" t="str">
            <v>M2</v>
          </cell>
          <cell r="I547">
            <v>24279</v>
          </cell>
        </row>
        <row r="548">
          <cell r="F548">
            <v>4039</v>
          </cell>
          <cell r="G548" t="str">
            <v>SARDINEL H=0.20M, E=0.15M CONCRETO 3000 PSI (FUNDIDO EN SITIO, CONCRETO PREMEZCLADO. INC. SUMIN, FORMALET. Y CONST.)</v>
          </cell>
          <cell r="H548" t="str">
            <v>ML</v>
          </cell>
          <cell r="I548">
            <v>25703</v>
          </cell>
        </row>
        <row r="549">
          <cell r="F549">
            <v>4040</v>
          </cell>
          <cell r="G549" t="str">
            <v>SARDINEL H=0.25M, E=0.15M CONCRETO 3000 PSI (FUNDIDO EN SITIO, CONCRETO PREMEZCLADO. INC. SUMIN, FORMALET. Y CONST.)</v>
          </cell>
          <cell r="H549" t="str">
            <v>ML</v>
          </cell>
          <cell r="I549">
            <v>29577</v>
          </cell>
        </row>
        <row r="550">
          <cell r="F550">
            <v>4041</v>
          </cell>
          <cell r="G550" t="str">
            <v>SARDINEL H=0.40M, E=0.15M CONCRETO 3000 PSI (FUNDIDO EN SITIO, CONCRETO PREMEZCLADO. INC. SUMIN, FORMALET. Y CONST.)</v>
          </cell>
          <cell r="H550" t="str">
            <v>ML</v>
          </cell>
          <cell r="I550">
            <v>41147</v>
          </cell>
        </row>
        <row r="551">
          <cell r="F551">
            <v>4042</v>
          </cell>
          <cell r="G551" t="str">
            <v>SARDINEL H=0.30M, E=0.15M CONCRETO 3000 PSI (FUNDIDO EN SITIO, CONCRETO HECHO EN OBRA. INC. SUMIN, FORMALET. Y CONST.)</v>
          </cell>
          <cell r="H551" t="str">
            <v>ML</v>
          </cell>
          <cell r="I551">
            <v>31766</v>
          </cell>
        </row>
        <row r="552">
          <cell r="F552">
            <v>4043</v>
          </cell>
          <cell r="G552" t="str">
            <v>SARDINEL H=0.30M, E=0.15M CONCRETO 3000 PSI (FUNDIDO EN SITIO, CONCRETO PREMEZCLADO. INC. SUMIN, FORMALET. Y CONST.)</v>
          </cell>
          <cell r="H552" t="str">
            <v>ML</v>
          </cell>
          <cell r="I552">
            <v>33450</v>
          </cell>
        </row>
        <row r="553">
          <cell r="F553">
            <v>4044</v>
          </cell>
          <cell r="G553" t="str">
            <v>BORDE SEPARADOR VERDE TIPO A170 (SUMINISTRO E INSTALACIÓN. INCLUYE 3CM MORTERO 2000 PSI)</v>
          </cell>
          <cell r="H553" t="str">
            <v>ML</v>
          </cell>
          <cell r="I553">
            <v>455847</v>
          </cell>
        </row>
        <row r="554">
          <cell r="F554">
            <v>4045</v>
          </cell>
          <cell r="G554" t="str">
            <v>SEPARADOR 'NEW JERSEY' MONODIRECCIONAL 1.5M X 0.6M X 1.1M (PREFABRICADO. INCLUYE SUM. E INST. NO INC. MATERIAL DE BASE)</v>
          </cell>
          <cell r="H554" t="str">
            <v>ML</v>
          </cell>
          <cell r="I554">
            <v>333080</v>
          </cell>
        </row>
        <row r="555">
          <cell r="F555">
            <v>4046</v>
          </cell>
          <cell r="G555" t="str">
            <v>BORDE SEPARADOR VERDE TIPO A170 (SUMINISTRO E INSTALACIÓN. NO INCLUYE MATERIAL DE BASE)</v>
          </cell>
          <cell r="H555" t="str">
            <v>ML</v>
          </cell>
          <cell r="I555">
            <v>449693</v>
          </cell>
        </row>
        <row r="556">
          <cell r="F556">
            <v>4047</v>
          </cell>
          <cell r="G556" t="str">
            <v>BORDILLO PREFABRICADO A80 (SUMINISTRO E INSTALACIÓN. INCLUYE 3CM MORTERO DE NIVELACIÓN 1:5)</v>
          </cell>
          <cell r="H556" t="str">
            <v>ML</v>
          </cell>
          <cell r="I556">
            <v>60775</v>
          </cell>
        </row>
        <row r="557">
          <cell r="F557">
            <v>4048</v>
          </cell>
          <cell r="G557" t="str">
            <v>BORDILLO PREFABRICADO A80 (SUMINISTRO E INSTALACIÓN. NO INCLUYE MATERIAL DE BASE)</v>
          </cell>
          <cell r="H557" t="str">
            <v>ML</v>
          </cell>
          <cell r="I557">
            <v>58892</v>
          </cell>
        </row>
        <row r="558">
          <cell r="F558">
            <v>4049</v>
          </cell>
          <cell r="G558" t="str">
            <v>CAÑUELA TIPO A120 (SUMINISTRO E INSTALACIÓN. INCLUYE 3CM MORTERO 2000 PSI)</v>
          </cell>
          <cell r="H558" t="str">
            <v>ML</v>
          </cell>
          <cell r="I558">
            <v>68150</v>
          </cell>
        </row>
        <row r="559">
          <cell r="F559">
            <v>4050</v>
          </cell>
          <cell r="G559" t="str">
            <v>CAÑUELA TIPO A120 (SUMINISTRO E INSTALACIÓN. NO INCLUYE MATERIAL DE BASE)</v>
          </cell>
          <cell r="H559" t="str">
            <v>ML</v>
          </cell>
          <cell r="I559">
            <v>62942</v>
          </cell>
        </row>
        <row r="560">
          <cell r="F560">
            <v>4051</v>
          </cell>
          <cell r="G560" t="str">
            <v>ANDEN CONCRETO 3000 PSI (210 KG/CM2) HECHO EN OBRA E=0.10M (INCLUYE MEZCLA, FORMALETEO, FUNDIDA Y CURADO)</v>
          </cell>
          <cell r="H560" t="str">
            <v>M2</v>
          </cell>
          <cell r="I560">
            <v>64940</v>
          </cell>
        </row>
        <row r="561">
          <cell r="F561">
            <v>4052</v>
          </cell>
          <cell r="G561" t="str">
            <v>SARDINEL ESPECIAL A100 PARA RAMPA TIPO A (SUMINISTRO E INSTALACIÓN. INCLUYE 3CM MORTERO 2000 PSI)</v>
          </cell>
          <cell r="H561" t="str">
            <v>UN</v>
          </cell>
          <cell r="I561">
            <v>58301</v>
          </cell>
        </row>
        <row r="562">
          <cell r="F562">
            <v>4053</v>
          </cell>
          <cell r="G562" t="str">
            <v>SARDINEL ESPECIAL A100 PARA RAMPA TIPO A (SUMINISTRO E INSTALACIÓN. NO INCLUYE MATERIAL DE BASE)</v>
          </cell>
          <cell r="H562" t="str">
            <v>UN</v>
          </cell>
          <cell r="I562">
            <v>56197</v>
          </cell>
        </row>
        <row r="563">
          <cell r="F563">
            <v>4054</v>
          </cell>
          <cell r="G563" t="str">
            <v>SARDINEL TIPO A10 (SUMINISTRO E INSTALACIÓN. INCLUYE 3CM MORTERO 2000 PSI)</v>
          </cell>
          <cell r="H563" t="str">
            <v>ML</v>
          </cell>
          <cell r="I563">
            <v>77295</v>
          </cell>
        </row>
        <row r="564">
          <cell r="F564">
            <v>4055</v>
          </cell>
          <cell r="G564" t="str">
            <v>SARDINEL TIPO A10 (SUMINISTRO E INSTALACIÓN. NO INCLUYE MATERIAL DE BASE)</v>
          </cell>
          <cell r="H564" t="str">
            <v>ML</v>
          </cell>
          <cell r="I564">
            <v>73823</v>
          </cell>
        </row>
        <row r="565">
          <cell r="F565">
            <v>4061</v>
          </cell>
          <cell r="G565" t="str">
            <v>ADOQUIN DE ARCILLA TR. PESADO 20X10X8CM (SUMINISTRO E INSTALACIÓN. INCLUYE BASE 4CM ARENA NIVELACIÓN Y ARENA DE SELLO)</v>
          </cell>
          <cell r="H565" t="str">
            <v>M2</v>
          </cell>
          <cell r="I565">
            <v>76119</v>
          </cell>
        </row>
        <row r="566">
          <cell r="F566">
            <v>4064</v>
          </cell>
          <cell r="G566" t="str">
            <v>PISO EN ADOQUIN DE ARCILLA 20X10X6CM (SUMINISTRO E INSTALACIÓN. INCLUYE BASE 3CM ARENA NIVELACION Y ARENA DE SELLO)</v>
          </cell>
          <cell r="H566" t="str">
            <v>M2</v>
          </cell>
          <cell r="I566">
            <v>58619</v>
          </cell>
        </row>
        <row r="567">
          <cell r="F567">
            <v>4068</v>
          </cell>
          <cell r="G567" t="str">
            <v>PISO EN LOSETA PREFABRICADA A30 (SUMINISTRO E INSTALACIÓN. INCLUYE BASE 4CM MORTERO 1:5 Y ARENA DE SELLO)</v>
          </cell>
          <cell r="H567" t="str">
            <v>M2</v>
          </cell>
          <cell r="I567">
            <v>77606</v>
          </cell>
        </row>
        <row r="568">
          <cell r="F568">
            <v>4069</v>
          </cell>
          <cell r="G568" t="str">
            <v>PISO EN LOSETA PREFABRICADA A30 (SUMINISTRO E INSTALACIÓN. INCLUYE BASE 4CM MORTERO 2000 PSI Y ARENA DE SELLO)</v>
          </cell>
          <cell r="H568" t="str">
            <v>M2</v>
          </cell>
          <cell r="I568">
            <v>88199</v>
          </cell>
        </row>
        <row r="569">
          <cell r="F569">
            <v>4073</v>
          </cell>
          <cell r="G569" t="str">
            <v>PISO EN LOSETA PREFABRICADA A50 (SUMINISTRO E INSTALACIÓN. INCLUYE BASE 4CM MORTERO 2000 PSI Y ARENA DE SELLO)</v>
          </cell>
          <cell r="H569" t="str">
            <v>M2</v>
          </cell>
          <cell r="I569">
            <v>112760</v>
          </cell>
        </row>
        <row r="570">
          <cell r="F570">
            <v>4074</v>
          </cell>
          <cell r="G570" t="str">
            <v>PISO EN LOSETA PREFABRICADA A50 (SUMINISTRO E INSTALACIÓN. INCLUYE BASE 4CM ARENA NIVELACION Y ARENA DE SELLO)</v>
          </cell>
          <cell r="H570" t="str">
            <v>M2</v>
          </cell>
          <cell r="I570">
            <v>95926</v>
          </cell>
        </row>
        <row r="571">
          <cell r="F571">
            <v>4075</v>
          </cell>
          <cell r="G571" t="str">
            <v>PISO EN LOSETA PREFABRICADA A50 (SUMINISTRO E INSTALACIÓN. INCLUYE BASE 4CM MORTERO 1:5 Y ARENA DE SELLO)</v>
          </cell>
          <cell r="H571" t="str">
            <v>M2</v>
          </cell>
          <cell r="I571">
            <v>103219</v>
          </cell>
        </row>
        <row r="572">
          <cell r="F572">
            <v>4077</v>
          </cell>
          <cell r="G572" t="str">
            <v>PISO EN LOSETA PREFABRICADA A60 (SUMINISTRO E INSTALACIÓN. INCLUYE BASE 4CM ARENA NIVELACION Y ARENA DE SELLO)</v>
          </cell>
          <cell r="H572" t="str">
            <v>M2</v>
          </cell>
          <cell r="I572">
            <v>107826</v>
          </cell>
        </row>
        <row r="573">
          <cell r="F573">
            <v>4078</v>
          </cell>
          <cell r="G573" t="str">
            <v>PISO EN LOSETA PREFABRICADA A60 (SUMINISTRO E INSTALACIÓN. INCLUYE BASE 4CM MORTERO 1:5 Y ARENA DE SELLO)</v>
          </cell>
          <cell r="H573" t="str">
            <v>M2</v>
          </cell>
          <cell r="I573">
            <v>115119</v>
          </cell>
        </row>
        <row r="574">
          <cell r="F574">
            <v>4079</v>
          </cell>
          <cell r="G574" t="str">
            <v>PISO EN LOSETA PREFABRICADA A60 (SUMINISTRO E INSTALACIÓN. INCLUYE BASE 4CM MORTERO 2000 PSI Y ARENA DE SELLO)</v>
          </cell>
          <cell r="H574" t="str">
            <v>M2</v>
          </cell>
          <cell r="I574">
            <v>125712</v>
          </cell>
        </row>
        <row r="575">
          <cell r="F575">
            <v>4080</v>
          </cell>
          <cell r="G575" t="str">
            <v>BOLARDO EN CONCRETO TIPO M60 (SUMINISTRO E INSTALACIÓN. INCLUYE BASE EN CONCRETO 1500 PSI, HECHO EN OBRA)</v>
          </cell>
          <cell r="H575" t="str">
            <v>UN</v>
          </cell>
          <cell r="I575">
            <v>193771</v>
          </cell>
        </row>
        <row r="576">
          <cell r="F576">
            <v>4081</v>
          </cell>
          <cell r="G576" t="str">
            <v>BOLARDO EN CONCRETO TIPO M61 (SUMINISTRO E INSTALACIÓN. INCLUYE BASE EN CONCRETO 1500 PSI, HECHO EN OBRA)</v>
          </cell>
          <cell r="H576" t="str">
            <v>UN</v>
          </cell>
          <cell r="I576">
            <v>168986</v>
          </cell>
        </row>
        <row r="577">
          <cell r="F577">
            <v>4082</v>
          </cell>
          <cell r="G577" t="str">
            <v>BOLARDO EN HIERRO TIPO M62 (SUMINISTRO E INSTALACIÓN. INCLUYE BASE EN CONCRETO 1500 PSI, HECHO EN OBRA)</v>
          </cell>
          <cell r="H577" t="str">
            <v>UN</v>
          </cell>
          <cell r="I577">
            <v>182335</v>
          </cell>
        </row>
        <row r="578">
          <cell r="F578">
            <v>4083</v>
          </cell>
          <cell r="G578" t="str">
            <v>BOLARDO EN HIERRO TIPO M63 (SUMINISTRO E INSTALACIÓN. INCLUYE BASE EN CONCRETO 1500 PSI PREMEZCLADO)</v>
          </cell>
          <cell r="H578" t="str">
            <v>UN</v>
          </cell>
          <cell r="I578">
            <v>176609</v>
          </cell>
        </row>
        <row r="579">
          <cell r="F579">
            <v>4085</v>
          </cell>
          <cell r="G579" t="str">
            <v>PIEZA REMATE A105 PARA RAMPA TIPO A (SUMINISTRO E INSTALACIÓN. INCLUYE 3CM MORTERO 2000 PSI)</v>
          </cell>
          <cell r="H579" t="str">
            <v>UN</v>
          </cell>
          <cell r="I579">
            <v>99187</v>
          </cell>
        </row>
        <row r="580">
          <cell r="F580">
            <v>4086</v>
          </cell>
          <cell r="G580" t="str">
            <v>PIEZA REMATE A105 PARA RAMPA TIPO A (SUMINISTRO E INSTALACIÓN. NO INCLUYE MATERIAL DE BASE)</v>
          </cell>
          <cell r="H580" t="str">
            <v>UN</v>
          </cell>
          <cell r="I580">
            <v>93559</v>
          </cell>
        </row>
        <row r="581">
          <cell r="F581">
            <v>4087</v>
          </cell>
          <cell r="G581" t="str">
            <v>PIEZA REMATE A105 PARA RAMPA TIPO A (SUMINISTRO E INSTALACIÓN. INCLUYE 3CM MORTERO 1:5)</v>
          </cell>
          <cell r="H581" t="str">
            <v>UN</v>
          </cell>
          <cell r="I581">
            <v>96612</v>
          </cell>
        </row>
        <row r="582">
          <cell r="F582">
            <v>4088</v>
          </cell>
          <cell r="G582" t="str">
            <v>SARDINEL BAJO A85 PARA RAMPAS (SUMINISTRO E INSTALACIÓN. INCLUYE 3CM MORTERO 2000 PSI)</v>
          </cell>
          <cell r="H582" t="str">
            <v>ML</v>
          </cell>
          <cell r="I582">
            <v>68579</v>
          </cell>
        </row>
        <row r="583">
          <cell r="F583">
            <v>4089</v>
          </cell>
          <cell r="G583" t="str">
            <v>SARDINEL BAJO A85 PARA RAMPAS (SUMINISTRO E INSTALACIÓN. INCLUYE 3CM MORTERO 1:5)</v>
          </cell>
          <cell r="H583" t="str">
            <v>ML</v>
          </cell>
          <cell r="I583">
            <v>66990</v>
          </cell>
        </row>
        <row r="584">
          <cell r="F584">
            <v>4090</v>
          </cell>
          <cell r="G584" t="str">
            <v>SARDINEL BAJO A85 PARA RAMPAS (SUMINISTRO E INSTALACIÓN. NO INCLUYE MATERIAL DE BASE)</v>
          </cell>
          <cell r="H584" t="str">
            <v>ML</v>
          </cell>
          <cell r="I584">
            <v>65107</v>
          </cell>
        </row>
        <row r="585">
          <cell r="F585">
            <v>4091</v>
          </cell>
          <cell r="G585" t="str">
            <v>RAMPA TIPO A (B10) (BASE EN MORTERO 2000 PSI, DESARROLLO: 1 M.</v>
          </cell>
          <cell r="H585" t="str">
            <v>UN</v>
          </cell>
          <cell r="I585">
            <v>915366</v>
          </cell>
        </row>
        <row r="586">
          <cell r="F586">
            <v>4100</v>
          </cell>
          <cell r="G586" t="str">
            <v>TALA DE ARBOLES CLASE V (H&gt;30M. INCLUYE DESENRAÍCE, CARGUE, TRANSPORTE Y DISPOSICIÓN FINAL)</v>
          </cell>
          <cell r="H586" t="str">
            <v>UN</v>
          </cell>
          <cell r="I586">
            <v>851948</v>
          </cell>
        </row>
        <row r="587">
          <cell r="F587">
            <v>4101</v>
          </cell>
          <cell r="G587" t="str">
            <v>TALA DE ARBOLES CLASE II (5M &lt; H &lt; 10M. INCLUYE DESENRAÍCE, RETIRO Y DISPOSICIÓN FINAL)</v>
          </cell>
          <cell r="H587" t="str">
            <v>UN</v>
          </cell>
          <cell r="I587">
            <v>300234</v>
          </cell>
        </row>
        <row r="588">
          <cell r="F588">
            <v>4102</v>
          </cell>
          <cell r="G588" t="str">
            <v>3 DUCTOS D=4" Y 3 DUCTOS D=3" PVC-TDP (INCLUYE SUMINISTRO E INSTALACIÓN. NO INCLUYE RELLENOS) NORMA CS214</v>
          </cell>
          <cell r="H588" t="str">
            <v>ML</v>
          </cell>
          <cell r="I588">
            <v>132616</v>
          </cell>
        </row>
        <row r="589">
          <cell r="F589">
            <v>4103</v>
          </cell>
          <cell r="G589" t="str">
            <v>6 DUCTOS D=4" PVC-TDP (INCLUYE SUMINISTRO E INSTALACIÓN. NO INCLUYE RELLENOS) NORMA CS210.</v>
          </cell>
          <cell r="H589" t="str">
            <v>ML</v>
          </cell>
          <cell r="I589">
            <v>146399</v>
          </cell>
        </row>
        <row r="590">
          <cell r="F590">
            <v>4104</v>
          </cell>
          <cell r="G590" t="str">
            <v>CAJA DE INSPECCIÓN PARA ALUMBRADO PÚBLICO NORMA CODENSA CS 274 (ANDEN. INCLUYE BASE, MUROS, PAÑETE, MARCO Y TAPA). MEDIDAS EXTERNAS: 0.90 X 0.90M. MEDIDAS INTERNAS: 0.60 X 0.60M. ALTURA: 0.93M.</v>
          </cell>
          <cell r="H590" t="str">
            <v>UN</v>
          </cell>
          <cell r="I590">
            <v>620780</v>
          </cell>
        </row>
        <row r="591">
          <cell r="F591">
            <v>4105</v>
          </cell>
          <cell r="G591" t="str">
            <v>CAJA DE INSPECCIÓN SENCILLA PARA CANALIZACIÓN NORMA CODENSA CS 275 (ZVERDE. INCLUYE BASE, MUROS, PAÑETE, MARCO Y TAPA). MEDIDAS EXTERNAS: 1.49 X 0.99M. MEDIDAS INTERNAS: 1.19 X 0.69M. ALTURA: 1.37M.</v>
          </cell>
          <cell r="H591" t="str">
            <v>UN</v>
          </cell>
          <cell r="I591">
            <v>1074670</v>
          </cell>
        </row>
        <row r="592">
          <cell r="F592">
            <v>4106</v>
          </cell>
          <cell r="G592" t="str">
            <v>CAJA DE INSPECCIÓN SENCILLA PARA CANALIZACIÓN NORMA CODENSA CS 275 (ANDEN. INCLUYE BASE, MUROS, PAÑETE, MARCO Y TAPA). MEDIDAS EXTERNAS: 1.49 X 0.99M. MEDIDAS INTERNAS: 1.19 X 0.69M. ALTURA: 1.37M.</v>
          </cell>
          <cell r="H592" t="str">
            <v>UN</v>
          </cell>
          <cell r="I592">
            <v>1046764</v>
          </cell>
        </row>
        <row r="593">
          <cell r="F593">
            <v>4107</v>
          </cell>
          <cell r="G593" t="str">
            <v>CAJA DE INSPECCIÓN DOBLE PARA CANALIZACIÓN NORMA CODENSA CS 276 (ZVERDE. INCLUYE BASE, MUROS, PAÑETE, MARCO Y TAPAS). MEDIDAS EXTERNAS: 1.79 X 1.49M. MEDIDAS INTERNAS: 1.49 X 1.19M. ALTURA: 1.22M.</v>
          </cell>
          <cell r="H593" t="str">
            <v>UN</v>
          </cell>
          <cell r="I593">
            <v>1555864</v>
          </cell>
        </row>
        <row r="594">
          <cell r="F594">
            <v>4108</v>
          </cell>
          <cell r="G594" t="str">
            <v>CAJA DE INSPECCIÓN DOBLE PARA CANALIZACIÓN NORMA CODENSA CS 276 (ANDEN. INCLUYE BASE, MUROS, PAÑETE, MARCO Y TAPAS). MEDIDAS EXTERNAS: 1.79 X 1.49M. MEDIDAS INTERNAS: 1.49 X 1.19M. ALTURA: 1.22M.</v>
          </cell>
          <cell r="H594" t="str">
            <v>UN</v>
          </cell>
          <cell r="I594">
            <v>1471585</v>
          </cell>
        </row>
        <row r="595">
          <cell r="F595">
            <v>4110</v>
          </cell>
          <cell r="G595" t="str">
            <v>CAJA DE INSPECCIÓN TRIPLE PARA CANALIZACIÓN NORMA CODENSA CS 277 (INCLUYE BASE, MUROS, PAÑETE, MARCOS Y TAPAS). MEDIDAS EXTERNAS: 2.59 X 1.69M. MEDIDAS INTERNAS: 2.29 X 1.19M. ALTURA: 1.37M.</v>
          </cell>
          <cell r="H595" t="str">
            <v>UN</v>
          </cell>
          <cell r="I595">
            <v>2704054</v>
          </cell>
        </row>
        <row r="596">
          <cell r="F596">
            <v>4111</v>
          </cell>
          <cell r="G596" t="str">
            <v>MORTERO 1:4 IMPERMEABILIZADO (HECHO EN OBRA)</v>
          </cell>
          <cell r="H596" t="str">
            <v>M3</v>
          </cell>
          <cell r="I596">
            <v>487823</v>
          </cell>
        </row>
        <row r="597">
          <cell r="F597">
            <v>4113</v>
          </cell>
          <cell r="G597" t="str">
            <v>CIMENTACION DE POSTES H=10M, CR=1050KG (INCLUYE IZAJE, APLOMADO E HINCADO. INCLUYE RELLENOS) NORMA LA009.</v>
          </cell>
          <cell r="H597" t="str">
            <v>UN</v>
          </cell>
          <cell r="I597">
            <v>400833</v>
          </cell>
        </row>
        <row r="598">
          <cell r="F598">
            <v>4114</v>
          </cell>
          <cell r="G598" t="str">
            <v>CIMENTACION DE POSTES H=12M, CR=510KG (INCLUYE IZAJE, APLOMADO E HINCADO. INCLUYE RELLENOS) NORMA LA009.</v>
          </cell>
          <cell r="H598" t="str">
            <v>UN</v>
          </cell>
          <cell r="I598">
            <v>325881</v>
          </cell>
        </row>
        <row r="599">
          <cell r="F599">
            <v>4115</v>
          </cell>
          <cell r="G599" t="str">
            <v>CIMENTACION DE POSTES H=12M, CR=750KG (INCLUYE IZAJE, APLOMADO E HINCADO. INCLUYE RELLENOS) NORMA LA009.</v>
          </cell>
          <cell r="H599" t="str">
            <v>UN</v>
          </cell>
          <cell r="I599">
            <v>354925</v>
          </cell>
        </row>
        <row r="600">
          <cell r="F600">
            <v>4116</v>
          </cell>
          <cell r="G600" t="str">
            <v>CIMENTACION DE POSTES H=12M, CR=1050KG (INCLUYE IZAJE, APLOMADO E HINCADO. INCLUYE RELLENOS) NORMA LA009.</v>
          </cell>
          <cell r="H600" t="str">
            <v>UN</v>
          </cell>
          <cell r="I600">
            <v>414886</v>
          </cell>
        </row>
        <row r="601">
          <cell r="F601">
            <v>4117</v>
          </cell>
          <cell r="G601" t="str">
            <v>CIMENTACION DE POSTES H=12M, CR=1350KG (INCLUYE IZAJE, APLOMADO E HINCADO. INCLUYE RELLENOS) NORMA LA009.</v>
          </cell>
          <cell r="H601" t="str">
            <v>UN</v>
          </cell>
          <cell r="I601">
            <v>444867</v>
          </cell>
        </row>
        <row r="602">
          <cell r="F602">
            <v>4118</v>
          </cell>
          <cell r="G602" t="str">
            <v>CIMENTACION DE POSTES H=14M, CR=750KG (INCLUYE IZAJE, APLOMADO E HINCADO. INCLUYE RELLENOS) NORMA LA009.</v>
          </cell>
          <cell r="H602" t="str">
            <v>UN</v>
          </cell>
          <cell r="I602">
            <v>362420</v>
          </cell>
        </row>
        <row r="603">
          <cell r="F603">
            <v>4119</v>
          </cell>
          <cell r="G603" t="str">
            <v>CIMENTACION DE POSTES H=14M, CR=1050KG (INCLUYE IZAJE, APLOMADO E HINCADO. INCLUYE RELLENOS) NORMA LA009.</v>
          </cell>
          <cell r="H603" t="str">
            <v>UN</v>
          </cell>
          <cell r="I603">
            <v>429876</v>
          </cell>
        </row>
        <row r="604">
          <cell r="F604">
            <v>4120</v>
          </cell>
          <cell r="G604" t="str">
            <v>CIMENTACION DE POSTES H=14M, CR=1350KG (INCLUYE IZAJE, APLOMADO E HINCADO. INCLUYE RELLENOS) NORMA LA009.</v>
          </cell>
          <cell r="H604" t="str">
            <v>UN</v>
          </cell>
          <cell r="I604">
            <v>462667</v>
          </cell>
        </row>
        <row r="605">
          <cell r="F605">
            <v>4121</v>
          </cell>
          <cell r="G605" t="str">
            <v>CIMENTACION DE POSTES H=10M, CR=750KG (INCLUYE IZAJE, APLOMADO E HINCADO. INCLUYE RELLENOS) NORMA LA009.</v>
          </cell>
          <cell r="H605" t="str">
            <v>UN</v>
          </cell>
          <cell r="I605">
            <v>345556</v>
          </cell>
        </row>
        <row r="606">
          <cell r="F606">
            <v>4122</v>
          </cell>
          <cell r="G606" t="str">
            <v>CIMENTACION DE POSTES H=10M, CR=510KG (INCLUYE IZAJE, APLOMADO E HINCADO. INCLUYE RELLENOS) NORMA LA009.</v>
          </cell>
          <cell r="H606" t="str">
            <v>UN</v>
          </cell>
          <cell r="I606">
            <v>321197</v>
          </cell>
        </row>
        <row r="607">
          <cell r="F607">
            <v>4123</v>
          </cell>
          <cell r="G607" t="str">
            <v>CIMENTACION DE POSTES H=8M, CR=750KG (INCLUYE IZAJE, APLOMADO E HINCADO. INCLUYE RELLENOS) NORMA LA009.</v>
          </cell>
          <cell r="H607" t="str">
            <v>UN</v>
          </cell>
          <cell r="I607">
            <v>337124</v>
          </cell>
        </row>
        <row r="608">
          <cell r="F608">
            <v>4124</v>
          </cell>
          <cell r="G608" t="str">
            <v>CIMENTACION DE POSTES H=8M, CR=1050KG (INCLUYE IZAJE, APLOMADO E HINCADO. INCLUYE RELLENOS) NORMA LA009.</v>
          </cell>
          <cell r="H608" t="str">
            <v>UN</v>
          </cell>
          <cell r="I608">
            <v>385843</v>
          </cell>
        </row>
        <row r="609">
          <cell r="F609">
            <v>4125</v>
          </cell>
          <cell r="G609" t="str">
            <v>BASE EN CONCRETO 3000 PSI HECHO EN OBRA PARA POSTE METÁLICO H=12M (INCLUYE SUMINISTRO Y CONSTRUCCIÓN. INCLUYE REFUERZO) NORMA AP802.</v>
          </cell>
          <cell r="H609" t="str">
            <v>UN</v>
          </cell>
          <cell r="I609">
            <v>302728</v>
          </cell>
        </row>
        <row r="610">
          <cell r="F610">
            <v>4126</v>
          </cell>
          <cell r="G610" t="str">
            <v>BASE EN CONCRETO 3000 PSI HECHO EN OBRA PARA POSTE METÁLICO H=8, 9 Y 10M (INC. SUMINISTRO Y CONSTRUCCIÓN. INC. REFUERZO) NORMA AP802.</v>
          </cell>
          <cell r="H610" t="str">
            <v>UN</v>
          </cell>
          <cell r="I610">
            <v>270444</v>
          </cell>
        </row>
        <row r="611">
          <cell r="F611">
            <v>4127</v>
          </cell>
          <cell r="G611" t="str">
            <v>BASE EN CONCRETO 3000 PSI HECHO EN OBRA PARA POSTE METÁLICO H=14M (INCLUYE SUMINISTRO Y CONSTRUCCIÓN. INCLUYE REFUERZO) NORMA AP802.</v>
          </cell>
          <cell r="H611" t="str">
            <v>UN</v>
          </cell>
          <cell r="I611">
            <v>403184</v>
          </cell>
        </row>
        <row r="612">
          <cell r="F612">
            <v>4128</v>
          </cell>
          <cell r="G612" t="str">
            <v>4 DUCTOS D=4" PVC-TDP (INCLUYE SUMINISTRO E INSTALACIÓN. NO INCLUYE RELLENOS)</v>
          </cell>
          <cell r="H612" t="str">
            <v>ML</v>
          </cell>
          <cell r="I612">
            <v>98710</v>
          </cell>
        </row>
        <row r="613">
          <cell r="F613">
            <v>4129</v>
          </cell>
          <cell r="G613" t="str">
            <v>8 DUCTOS D=4" PVC-TDP (INCLUYE SUMINISTRO E INSTALACIÓN)</v>
          </cell>
          <cell r="H613" t="str">
            <v>ML</v>
          </cell>
          <cell r="I613">
            <v>199528</v>
          </cell>
        </row>
        <row r="614">
          <cell r="F614">
            <v>4130</v>
          </cell>
          <cell r="G614" t="str">
            <v>CAJA DE PASO SENCILLA ANDEN CONCRETO ETB (INCLUYE BASE, MUROS, PAÑETE, BORDILLO PERIMETRAL, MARCO Y TAPA). MEDIDAS EXTERNAS: 0.90 X 0.79M. MEDIDAS INTERNAS 0.60X0.50M. ALTURA: 0.96M.</v>
          </cell>
          <cell r="H614" t="str">
            <v>UN</v>
          </cell>
          <cell r="I614">
            <v>716581</v>
          </cell>
        </row>
        <row r="615">
          <cell r="F615">
            <v>4131</v>
          </cell>
          <cell r="G615" t="str">
            <v>CAJA DE PASO DOBLE ANDEN CONCRETO ETB (INCLUYE BASE, MUROS, PAÑETE, BORDILLO PERIMETRAL, MARCO Y TAPA). MEDIDAS EXTERNAS 1.36 X 0.89M. MEDIDAS INTERNAS: 1.06 X 0.60M. ALTURA: 0.96M.</v>
          </cell>
          <cell r="H615" t="str">
            <v>UN</v>
          </cell>
          <cell r="I615">
            <v>1163503</v>
          </cell>
        </row>
        <row r="616">
          <cell r="F616">
            <v>4132</v>
          </cell>
          <cell r="G616" t="str">
            <v>CAJA DE PASO SENCILLA EN CALZADA ETB (INCLUYE BASE, MUROS, PAÑETE, BORDILLO PERIMETRAL, MARCO Y TAPA). MEDIDAS EXTERNAS: 1.10 X 1.00M. MEDIDAS INTERNAS 0.60X0.50M. ALTURA: 1.33M.</v>
          </cell>
          <cell r="H616" t="str">
            <v>UN</v>
          </cell>
          <cell r="I616">
            <v>1232522</v>
          </cell>
        </row>
        <row r="617">
          <cell r="F617">
            <v>4133</v>
          </cell>
          <cell r="G617" t="str">
            <v>CAJA DE PASO DOBLE EN CALZADA ETB (INCLUYE BASE, MUROS, PAÑETE, BORDILLO PERIMETRAL, MARCO Y TAPA). MEDIDAS EXTERNAS: 1.80 X 1.01M. MEDIDAS INTERNAS: 1.30 X 0.50M. ALTURA: 1.33M.</v>
          </cell>
          <cell r="H617" t="str">
            <v>UN</v>
          </cell>
          <cell r="I617">
            <v>1700621</v>
          </cell>
        </row>
        <row r="618">
          <cell r="F618">
            <v>4134</v>
          </cell>
          <cell r="G618" t="str">
            <v>GROUTING 2000 PSI (INCLUYE SUMINISTRO Y COLOCACIÓN)</v>
          </cell>
          <cell r="H618" t="str">
            <v>M3</v>
          </cell>
          <cell r="I618">
            <v>584197</v>
          </cell>
        </row>
        <row r="619">
          <cell r="F619">
            <v>4135</v>
          </cell>
          <cell r="G619" t="str">
            <v>GROUTING 2500 PSI (INCLUYE SUMINISTRO Y COLOCACIÓN)</v>
          </cell>
          <cell r="H619" t="str">
            <v>M3</v>
          </cell>
          <cell r="I619">
            <v>602939</v>
          </cell>
        </row>
        <row r="620">
          <cell r="F620">
            <v>4136</v>
          </cell>
          <cell r="G620" t="str">
            <v>UNION PVC D=1/2" TIPO U.S. (SUMINISTRO E INSTALACIÓN)</v>
          </cell>
          <cell r="H620" t="str">
            <v>UN</v>
          </cell>
          <cell r="I620">
            <v>5188</v>
          </cell>
        </row>
        <row r="621">
          <cell r="F621">
            <v>4137</v>
          </cell>
          <cell r="G621" t="str">
            <v>ADOQUIN DE CONCRETO COLOR 20X10X8CM (SUMINISTRO E INSTALACIÓN. INCLUYE BASE 4CM ARENA NIVELACIÓN Y ARENA DE SELLO)</v>
          </cell>
          <cell r="H621" t="str">
            <v>M2</v>
          </cell>
          <cell r="I621">
            <v>111219</v>
          </cell>
        </row>
        <row r="622">
          <cell r="F622">
            <v>4138</v>
          </cell>
          <cell r="G622" t="str">
            <v>UNION DE REPARACION HD EL D=3" (SUMINISTRO E INSTALACIÓN)</v>
          </cell>
          <cell r="H622" t="str">
            <v>UN</v>
          </cell>
          <cell r="I622">
            <v>162778</v>
          </cell>
        </row>
        <row r="623">
          <cell r="F623">
            <v>4140</v>
          </cell>
          <cell r="G623" t="str">
            <v>BASE GRANULAR BG-A (SUMINISTRO, EXTENDIDO, NIVELACIÓN, HUMEDECIMIENTO Y COMPACTACIÓN CON VIBROCOMPACTADOR BENITIN DE 1 TONELADA)</v>
          </cell>
          <cell r="H623" t="str">
            <v>M3</v>
          </cell>
          <cell r="I623">
            <v>174154</v>
          </cell>
        </row>
        <row r="624">
          <cell r="F624">
            <v>4142</v>
          </cell>
          <cell r="G624" t="str">
            <v>SUBBASE GRANULAR SBG-A (SUMINISTRO, EXTENDIDO, NIVELACIÓN, HUMEDECIMIENTO Y COMPACTACIÓN CON VIBROCOMPACTADOR)</v>
          </cell>
          <cell r="H624" t="str">
            <v>M3</v>
          </cell>
          <cell r="I624">
            <v>158895</v>
          </cell>
        </row>
        <row r="625">
          <cell r="F625">
            <v>4143</v>
          </cell>
          <cell r="G625" t="str">
            <v>TUBERIA PVC SANITARIA D=4" TIPO U.S. (INCLUYE SUMINISTRO E INSTALACIÓN)</v>
          </cell>
          <cell r="H625" t="str">
            <v>ML</v>
          </cell>
          <cell r="I625">
            <v>37728</v>
          </cell>
        </row>
        <row r="626">
          <cell r="F626">
            <v>4144</v>
          </cell>
          <cell r="G626" t="str">
            <v>TUBERIA PVC SANITARIA D=6" TIPO U.S. (INCLUYE SUMINISTRO E INSTALACIÓN)</v>
          </cell>
          <cell r="H626" t="str">
            <v>ML</v>
          </cell>
          <cell r="I626">
            <v>76444</v>
          </cell>
        </row>
        <row r="627">
          <cell r="F627">
            <v>4154</v>
          </cell>
          <cell r="G627" t="str">
            <v>DESCAPOTE A MAQUINA EN MATERIAL COMUN (E=0.1M. INCLUYE CARGUE)</v>
          </cell>
          <cell r="H627" t="str">
            <v>M2</v>
          </cell>
          <cell r="I627">
            <v>907</v>
          </cell>
        </row>
        <row r="628">
          <cell r="F628">
            <v>4155</v>
          </cell>
          <cell r="G628" t="str">
            <v>EXCAVACION MECANICA EN ROCA (INCLUYE CARGUE)</v>
          </cell>
          <cell r="H628" t="str">
            <v>M3</v>
          </cell>
          <cell r="I628">
            <v>78008</v>
          </cell>
        </row>
        <row r="629">
          <cell r="F629">
            <v>4156</v>
          </cell>
          <cell r="G629" t="str">
            <v>BASE GRANULAR CLASE C (BG_C) (SUMINISTRO, EXTENDIDO, NIVELACIÓN, HUMEDECIMIENTO Y COMPACTACIÓN CON VIBROCOMPACTADOR)</v>
          </cell>
          <cell r="H629" t="str">
            <v>M3</v>
          </cell>
          <cell r="I629">
            <v>155094</v>
          </cell>
        </row>
        <row r="630">
          <cell r="F630">
            <v>4157</v>
          </cell>
          <cell r="G630" t="str">
            <v>BASE GRANULAR CLASE B (BG_B) (SUMINISTRO, EXTENDIDO, NIVELACIÓN, HUMEDECIMIENTO Y COMPACTACIÓN CON VIBROCOMPACTADOR)</v>
          </cell>
          <cell r="H630" t="str">
            <v>M3</v>
          </cell>
          <cell r="I630">
            <v>170564</v>
          </cell>
        </row>
        <row r="631">
          <cell r="F631">
            <v>4158</v>
          </cell>
          <cell r="G631" t="str">
            <v>BASE GRANULAR CLASE A (BG_A) (SUMINISTRO, EXTENDIDO, NIVELACIÓN, HUMEDECIMIENTO Y COMPACTACIÓN CON VIBROCOMPACTADOR)</v>
          </cell>
          <cell r="H631" t="str">
            <v>M3</v>
          </cell>
          <cell r="I631">
            <v>161282</v>
          </cell>
        </row>
        <row r="632">
          <cell r="F632">
            <v>4159</v>
          </cell>
          <cell r="G632" t="str">
            <v>SUBBASE GRANULAR CLASE C (SBG_C) (SUMINISTRO, EXTENDIDO, NIVELACIÓN, HUMEDECIMIENTO Y COMPACTACIÓN CON VIBROCOMPACTADOR)</v>
          </cell>
          <cell r="H632" t="str">
            <v>M3</v>
          </cell>
          <cell r="I632">
            <v>142718</v>
          </cell>
        </row>
        <row r="633">
          <cell r="F633">
            <v>4160</v>
          </cell>
          <cell r="G633" t="str">
            <v>SUBBASE GRANULAR CLASE B (SBG_B) (SUMINISTRO, EXTENDIDO, NIVELACIÓN, HUMEDECIMIENTO Y COMPACTACIÓN CON VIBROCOMPACTADOR)</v>
          </cell>
          <cell r="H633" t="str">
            <v>M3</v>
          </cell>
          <cell r="I633">
            <v>152000</v>
          </cell>
        </row>
        <row r="634">
          <cell r="F634">
            <v>4161</v>
          </cell>
          <cell r="G634" t="str">
            <v>SUBBASE GRANULAR CLASE A (SBG_A) (SUMINISTRO, EXTENDIDO, NIVELACIÓN, HUMEDECIMIENTO Y COMPACTACIÓN CON VIBROCOMPACTADOR)</v>
          </cell>
          <cell r="H634" t="str">
            <v>M3</v>
          </cell>
          <cell r="I634">
            <v>145812</v>
          </cell>
        </row>
        <row r="635">
          <cell r="F635">
            <v>4195</v>
          </cell>
          <cell r="G635" t="str">
            <v>AGREGADO PÉTREO DE PROTECCIÓN. (SUMINISTRO Y EXTENDIDO MANUAL)</v>
          </cell>
          <cell r="H635" t="str">
            <v>M2</v>
          </cell>
          <cell r="I635">
            <v>525</v>
          </cell>
        </row>
        <row r="636">
          <cell r="F636">
            <v>4197</v>
          </cell>
          <cell r="G636" t="str">
            <v>RIEGO DE LIGA CON EMULSION MODIFICADA CON POLIMEROS CRR-1M (SUMINISTRO, BARRIDO SUPERFICIE Y RIEGO MECANICO)</v>
          </cell>
          <cell r="H636" t="str">
            <v>M2</v>
          </cell>
          <cell r="I636">
            <v>3742</v>
          </cell>
        </row>
        <row r="637">
          <cell r="F637">
            <v>4198</v>
          </cell>
          <cell r="G637" t="str">
            <v>RIEGO DE LIGA CON EMULSION MODIFICADA CON POLIMEROS CRR-2M (SUMINISTRO, BARRIDO SUPERFICIE Y RIEGO MECANICO)</v>
          </cell>
          <cell r="H637" t="str">
            <v>M2</v>
          </cell>
          <cell r="I637">
            <v>3965</v>
          </cell>
        </row>
        <row r="638">
          <cell r="F638">
            <v>4200</v>
          </cell>
          <cell r="G638" t="str">
            <v>MEZCLA ASFÁLTICA EN CALIENTE TIPO DENSO MD20 ASFALTO CONVENCIONAL 60-70 (SUMINISTRO, EXTENDIDO, NIVELACIÓN Y COMPACTACIÓN  MECANICA CON VIBROCOMPACTADOR Y COMPACTADOR DE LLANTAS)</v>
          </cell>
          <cell r="H638" t="str">
            <v>M3</v>
          </cell>
          <cell r="I638">
            <v>1026911</v>
          </cell>
        </row>
        <row r="639">
          <cell r="F639">
            <v>4203</v>
          </cell>
          <cell r="G639" t="str">
            <v>MEZCLA ASFÁLTICA EN CALIENTE TIPO DENSO MD12 ASFALTO CONVENCIONAL 80-100 (CEMENTO ASFÁLTICO 80-100) (SUMINISTRO, EXTENDIDO, NIVELACIÓN Y COMPACTACIÓN MECANICA CON VIBROCOMPACTADOR Y COMPACTADOR DE LLANTAS)</v>
          </cell>
          <cell r="H639" t="str">
            <v>M3</v>
          </cell>
          <cell r="I639">
            <v>1060885</v>
          </cell>
        </row>
        <row r="640">
          <cell r="F640">
            <v>4207</v>
          </cell>
          <cell r="G640" t="str">
            <v>MEZCLA ASFÁLTICA EN CALIENTE TIPO DENSO MD10 ASFALTO CONVENCIONAL (CEMENTO ASFÁLTICO 80-100) (SUMINISTRO, EXTENDIDO, NIVELACIÓN Y COMPACTACIÓN MECANICA CON VIBROCOMPACTADOR Y COMPACTADOR DE LLANTAS)</v>
          </cell>
          <cell r="H640" t="str">
            <v>M3</v>
          </cell>
          <cell r="I640">
            <v>1159248</v>
          </cell>
        </row>
        <row r="641">
          <cell r="F641">
            <v>4229</v>
          </cell>
          <cell r="G641" t="str">
            <v>LOSA DE CONCRETO MR39 (SUMINISTRO, FORMALETEADO, COLOCACIÓN Y ACABADO. NO INCLUYE ACERO, CURADO, JUNTAS)</v>
          </cell>
          <cell r="H641" t="str">
            <v>M3</v>
          </cell>
          <cell r="I641">
            <v>640082</v>
          </cell>
        </row>
        <row r="642">
          <cell r="F642">
            <v>4230</v>
          </cell>
          <cell r="G642" t="str">
            <v>LOSA DE CONCRETO MR36 (SUMINISTRO, FORMALETEADO, COLOCACIÓN Y ACABADO. NO INCLUYE ACERO, CURADO, JUNTAS)</v>
          </cell>
          <cell r="H642" t="str">
            <v>M3</v>
          </cell>
          <cell r="I642">
            <v>637583</v>
          </cell>
        </row>
        <row r="643">
          <cell r="F643">
            <v>4232</v>
          </cell>
          <cell r="G643" t="str">
            <v>MALLA ELECTROSOLDADA 0.15X0.15M, D=5MM, 5MM (INCLUYE SUMINISTRO, FIJACIÓN E INSTALACIÓN)</v>
          </cell>
          <cell r="H643" t="str">
            <v>KG</v>
          </cell>
          <cell r="I643">
            <v>6562</v>
          </cell>
        </row>
        <row r="644">
          <cell r="F644">
            <v>4233</v>
          </cell>
          <cell r="G644" t="str">
            <v>MALLA ELECTROSOLDADA 0.15X0.15M, D=6MM, 6MM (INCLUYE SUMINISTRO, FIJACIÓN E INSTALACIÓN)</v>
          </cell>
          <cell r="H644" t="str">
            <v>KG</v>
          </cell>
          <cell r="I644">
            <v>6562</v>
          </cell>
        </row>
        <row r="645">
          <cell r="F645">
            <v>4234</v>
          </cell>
          <cell r="G645" t="str">
            <v>MALLA ELECTROSOLDADA 0.15X0.15M, D=7MM, 7MM (INCLUYE SUMINISTRO, FIJACIÓN E INSTALACIÓN)</v>
          </cell>
          <cell r="H645" t="str">
            <v>KG</v>
          </cell>
          <cell r="I645">
            <v>6562</v>
          </cell>
        </row>
        <row r="646">
          <cell r="F646">
            <v>4235</v>
          </cell>
          <cell r="G646" t="str">
            <v>MALLA ELECTROSOLDADA 0.15X0.15M, D=8MM, 8MM (INCLUYE SUMINISTRO, FIJACIÓN E INSTALACIÓN)</v>
          </cell>
          <cell r="H646" t="str">
            <v>KG</v>
          </cell>
          <cell r="I646">
            <v>6562</v>
          </cell>
        </row>
        <row r="647">
          <cell r="F647">
            <v>4236</v>
          </cell>
          <cell r="G647" t="str">
            <v>MALLA ELECTROSOLDADA 0.15X0.15M, D=4MM, 4MM (INCLUYE SUMINISTRO, FIJACIÓN E INSTALACIÓN)</v>
          </cell>
          <cell r="H647" t="str">
            <v>KG</v>
          </cell>
          <cell r="I647">
            <v>6562</v>
          </cell>
        </row>
        <row r="648">
          <cell r="F648">
            <v>4237</v>
          </cell>
          <cell r="G648" t="str">
            <v>MALLA ELECTROSOLDADA 0.20X0.20M, D=4MM, 4MM (INCLUYE SUMINISTRO, FIJACIÓN E INSTALACIÓN)</v>
          </cell>
          <cell r="H648" t="str">
            <v>KG</v>
          </cell>
          <cell r="I648">
            <v>6562</v>
          </cell>
        </row>
        <row r="649">
          <cell r="F649">
            <v>4238</v>
          </cell>
          <cell r="G649" t="str">
            <v>MALLA ELECTROSOLDADA 0.25X0.25M, D=4MM, 4MM (INCLUYE SUMINISTRO, FIJACIÓN E INSTALACIÓN)</v>
          </cell>
          <cell r="H649" t="str">
            <v>KG</v>
          </cell>
          <cell r="I649">
            <v>6562</v>
          </cell>
        </row>
        <row r="650">
          <cell r="F650">
            <v>4239</v>
          </cell>
          <cell r="G650" t="str">
            <v>CORTE Y AMPLIACIÓN DE JUNTA EN PAVIMENTO DE CONCRETO HIDRAULICO</v>
          </cell>
          <cell r="H650" t="str">
            <v>ML</v>
          </cell>
          <cell r="I650">
            <v>5058</v>
          </cell>
        </row>
        <row r="651">
          <cell r="F651">
            <v>4240</v>
          </cell>
          <cell r="G651" t="str">
            <v>DEMARCACION LINEA CONTINUA A=0.12M (E=2.3MM,TERMOPLÁSTICA. INC. SUMINISTRO Y APLICACIÓN CON EQUIPO. INCL. MICROESFERAS)</v>
          </cell>
          <cell r="H651" t="str">
            <v>ML</v>
          </cell>
          <cell r="I651">
            <v>14531</v>
          </cell>
        </row>
        <row r="652">
          <cell r="F652">
            <v>4241</v>
          </cell>
          <cell r="G652" t="str">
            <v>DEMARCACION LINEA DISCONTINUA A=0.12M (E=2.3MM,TERMOPLÁSTICA. INC. SUMINISTRO Y APLICACIÓN CON EQUIPO. INCL. MICROESFERA</v>
          </cell>
          <cell r="H652" t="str">
            <v>ML</v>
          </cell>
          <cell r="I652">
            <v>14531</v>
          </cell>
        </row>
        <row r="653">
          <cell r="F653">
            <v>4242</v>
          </cell>
          <cell r="G653" t="str">
            <v>DEMARCACION LINEA CONTINUA A=0.15M (E=2.3MM,TERMOPLÁSTICA. INC. SUMINISTRO Y APLICACIÓN CON EQUIPO. INCL. MICROESFERAS)</v>
          </cell>
          <cell r="H653" t="str">
            <v>ML</v>
          </cell>
          <cell r="I653">
            <v>18163</v>
          </cell>
        </row>
        <row r="654">
          <cell r="F654">
            <v>4243</v>
          </cell>
          <cell r="G654" t="str">
            <v>DEMARCACION LINEA DISCONTINUA A=0.15M (E=2.3MM,TERMOPLÁSTICA. INC. SUMINISTRO Y APLICACIÓN CON EQUIPO. INC MICROESFERAS)</v>
          </cell>
          <cell r="H654" t="str">
            <v>ML</v>
          </cell>
          <cell r="I654">
            <v>18163</v>
          </cell>
        </row>
        <row r="655">
          <cell r="F655">
            <v>4244</v>
          </cell>
          <cell r="G655" t="str">
            <v>FLECHA DIRECCIONAL "A LA DERECHA" (E=2.3MM,TERMOPLÁSTICA. INC. SUMINISTRO Y APLICACIÓN CON EQUIPO. INC MICROESFERAS). MARCA VIAL PARA VELOCIDADES MENORES O IGUALES A 60 KM/H AREA DE LA MARCA: 1.51M2</v>
          </cell>
          <cell r="H655" t="str">
            <v>UN</v>
          </cell>
          <cell r="I655">
            <v>182839</v>
          </cell>
        </row>
        <row r="656">
          <cell r="F656">
            <v>4245</v>
          </cell>
          <cell r="G656" t="str">
            <v>FLECHA DIRECCIONAL "DE FRENTE A LA DERECHA" (E=2.3MM,TERMOPLÁSTICA. INC. SUMIN. Y APLIC. CON EQUIPO. INC. MICROESFERAS). MARCA VIAL PARA VELOCIDADES MENORES O IGUALES A 60 KM/H AREA DE LA MARCA: 2.18M2</v>
          </cell>
          <cell r="H656" t="str">
            <v>UN</v>
          </cell>
          <cell r="I656">
            <v>263966</v>
          </cell>
        </row>
        <row r="657">
          <cell r="F657">
            <v>4246</v>
          </cell>
          <cell r="G657" t="str">
            <v>FLECHA DIRECCIONAL "DE FRENTE" (E=2.3MM,TERMOPLÁSTICA. INC. SUMINISTRO Y APLICACIÓN CON EQUIPO. INC MICROESFERAS). MARCA VIAL PARA VELOCIDADES MENORES O IGUALES A 60 KM/H AREA DE LA MARCA: 1.20 M2.</v>
          </cell>
          <cell r="H657" t="str">
            <v>UN</v>
          </cell>
          <cell r="I657">
            <v>145303</v>
          </cell>
        </row>
        <row r="658">
          <cell r="F658">
            <v>4247</v>
          </cell>
          <cell r="G658" t="str">
            <v>PINTURA TERMOPLASTICA (E=2.3MM. INCLUYE SUMINISTRO Y APLICACIÓN CON EQUIPO. INCLUYE MICROESFERAS)</v>
          </cell>
          <cell r="H658" t="str">
            <v>M2</v>
          </cell>
          <cell r="I658">
            <v>121085</v>
          </cell>
        </row>
        <row r="659">
          <cell r="F659">
            <v>4248</v>
          </cell>
          <cell r="G659" t="str">
            <v>DEMARCACION PASO PEATONAL-CEBRA (E=2.3MM,TERMOPLÁSTICA. INC. SUMINISTRO Y APLICACIÓN CON EQUIPO. INC MICROESFERAS)</v>
          </cell>
          <cell r="H659" t="str">
            <v>M2</v>
          </cell>
          <cell r="I659">
            <v>121085</v>
          </cell>
        </row>
        <row r="660">
          <cell r="F660">
            <v>4249</v>
          </cell>
          <cell r="G660" t="str">
            <v>DEMARCACION PASO PEATONAL-LINEA CONT. A=0.15M (E=2.3MM,TERMOPLÁSTICA. INC. SUMIN. Y APLIC. CON EQUIPO. INC MICROESFERAS)</v>
          </cell>
          <cell r="H660" t="str">
            <v>ML</v>
          </cell>
          <cell r="I660">
            <v>18163</v>
          </cell>
        </row>
        <row r="661">
          <cell r="F661">
            <v>4252</v>
          </cell>
          <cell r="G661" t="str">
            <v>PLACA CUBIERTA D=1.70M POZO INSPEC. (FUNDIDA EN SITIO. INC. SUM, FORMALET., REFUERZO E INST. INCL.TAPA EN POLIPROPILENO)</v>
          </cell>
          <cell r="H661" t="str">
            <v>UN</v>
          </cell>
          <cell r="I661">
            <v>1989596</v>
          </cell>
        </row>
        <row r="662">
          <cell r="F662">
            <v>4253</v>
          </cell>
          <cell r="G662" t="str">
            <v>PLACA CUBIERTA D=1.70M POZO INSPEC. (FUNDIDA EN SITIO. INC. SUMIN, FORMALET., REFUERZO E INST. INC. TAPA EN CONCRETO)</v>
          </cell>
          <cell r="H662" t="str">
            <v>UN</v>
          </cell>
          <cell r="I662">
            <v>824157</v>
          </cell>
        </row>
        <row r="663">
          <cell r="F663">
            <v>4261</v>
          </cell>
          <cell r="G663" t="str">
            <v>MORTERO 1:3 IMPERMEABILIZADO (HECHO EN OBRA)</v>
          </cell>
          <cell r="H663" t="str">
            <v>M3</v>
          </cell>
          <cell r="I663">
            <v>569944</v>
          </cell>
        </row>
        <row r="664">
          <cell r="F664">
            <v>4262</v>
          </cell>
          <cell r="G664" t="str">
            <v>EXCAVACION MECANICA PARA REDES PROFUNDIDAD 0M - 3.5M (INCLUYE CARGUE)</v>
          </cell>
          <cell r="H664" t="str">
            <v>M3</v>
          </cell>
          <cell r="I664">
            <v>5427</v>
          </cell>
        </row>
        <row r="665">
          <cell r="F665">
            <v>4264</v>
          </cell>
          <cell r="G665" t="str">
            <v>TUBERIA CONCRETO D=6" CL.I SIN REFUERZO (INCLUYE SUMINISTRO E INSTALACIÓN)</v>
          </cell>
          <cell r="H665" t="str">
            <v>ML</v>
          </cell>
          <cell r="I665">
            <v>52667</v>
          </cell>
        </row>
        <row r="666">
          <cell r="F666">
            <v>4265</v>
          </cell>
          <cell r="G666" t="str">
            <v>TUBERIA CONCRETO D=10" CL. II SIN REFUERZO (INCLUYE SUMINISTRO E INSTALACIÓN)</v>
          </cell>
          <cell r="H666" t="str">
            <v>ML</v>
          </cell>
          <cell r="I666">
            <v>118790</v>
          </cell>
        </row>
        <row r="667">
          <cell r="F667">
            <v>4266</v>
          </cell>
          <cell r="G667" t="str">
            <v>EXCAVACION MANUAL PARA REDES PROFUNDIDAD 2M - 3.50M (INCLUYE CARGUE)</v>
          </cell>
          <cell r="H667" t="str">
            <v>M3</v>
          </cell>
          <cell r="I667">
            <v>47630</v>
          </cell>
        </row>
        <row r="668">
          <cell r="F668">
            <v>4273</v>
          </cell>
          <cell r="G668" t="str">
            <v>CUADRILLA (OFICIAL + AYUDANTE).</v>
          </cell>
          <cell r="H668" t="str">
            <v>JR</v>
          </cell>
          <cell r="I668">
            <v>155437</v>
          </cell>
        </row>
        <row r="669">
          <cell r="F669">
            <v>4274</v>
          </cell>
          <cell r="G669" t="str">
            <v>CUADRILLA (OFICIAL + 2 AYUDANTES).</v>
          </cell>
          <cell r="H669" t="str">
            <v>JR</v>
          </cell>
          <cell r="I669">
            <v>219159</v>
          </cell>
        </row>
        <row r="670">
          <cell r="F670">
            <v>4275</v>
          </cell>
          <cell r="G670" t="str">
            <v>CUADRILLA (TUBERO + AYUDANTE)</v>
          </cell>
          <cell r="H670" t="str">
            <v>JR</v>
          </cell>
          <cell r="I670">
            <v>169435</v>
          </cell>
        </row>
        <row r="671">
          <cell r="F671">
            <v>4276</v>
          </cell>
          <cell r="G671" t="str">
            <v>CUADRILLA (TUBERO + 2 AYUDANTES).</v>
          </cell>
          <cell r="H671" t="str">
            <v>JR</v>
          </cell>
          <cell r="I671">
            <v>233157</v>
          </cell>
        </row>
        <row r="672">
          <cell r="F672">
            <v>4277</v>
          </cell>
          <cell r="G672" t="str">
            <v>CUADRILLA (TECNICO ELECTRICO + AYUDANTE).</v>
          </cell>
          <cell r="H672" t="str">
            <v>JR</v>
          </cell>
          <cell r="I672">
            <v>169435</v>
          </cell>
        </row>
        <row r="673">
          <cell r="F673">
            <v>4278</v>
          </cell>
          <cell r="G673" t="str">
            <v>CUADRILLA (OFICIAL + AYUDANTE)</v>
          </cell>
          <cell r="H673" t="str">
            <v>HR</v>
          </cell>
          <cell r="I673">
            <v>19429</v>
          </cell>
        </row>
        <row r="674">
          <cell r="F674">
            <v>4279</v>
          </cell>
          <cell r="G674" t="str">
            <v>CUADRILLA (OFICIAL + 2 AYUDANTES)</v>
          </cell>
          <cell r="H674" t="str">
            <v>HR</v>
          </cell>
          <cell r="I674">
            <v>27394</v>
          </cell>
        </row>
        <row r="675">
          <cell r="F675">
            <v>4280</v>
          </cell>
          <cell r="G675" t="str">
            <v>CUADRILLA (TUBERO + AYUDANTE).</v>
          </cell>
          <cell r="H675" t="str">
            <v>HR</v>
          </cell>
          <cell r="I675">
            <v>21180</v>
          </cell>
        </row>
        <row r="676">
          <cell r="F676">
            <v>4281</v>
          </cell>
          <cell r="G676" t="str">
            <v>CUADRILLA (TUBERO + 2 AYUDANTES)</v>
          </cell>
          <cell r="H676" t="str">
            <v>HR</v>
          </cell>
          <cell r="I676">
            <v>29145</v>
          </cell>
        </row>
        <row r="677">
          <cell r="F677">
            <v>4282</v>
          </cell>
          <cell r="G677" t="str">
            <v>CUADRILLA (TECNICO ELECTRICO + AYUDANTE)</v>
          </cell>
          <cell r="H677" t="str">
            <v>HR</v>
          </cell>
          <cell r="I677">
            <v>21180</v>
          </cell>
        </row>
        <row r="678">
          <cell r="F678">
            <v>4283</v>
          </cell>
          <cell r="G678" t="str">
            <v>CUADRILLA (TECNICO ELECTRICO + 2 AYUDANTES)</v>
          </cell>
          <cell r="H678" t="str">
            <v>JR</v>
          </cell>
          <cell r="I678">
            <v>233157</v>
          </cell>
        </row>
        <row r="679">
          <cell r="F679">
            <v>4284</v>
          </cell>
          <cell r="G679" t="str">
            <v>CUADRILLA (OFICIAL + 4 AYUDANTES).</v>
          </cell>
          <cell r="H679" t="str">
            <v>HR</v>
          </cell>
          <cell r="I679">
            <v>43322</v>
          </cell>
        </row>
        <row r="680">
          <cell r="F680">
            <v>4285</v>
          </cell>
          <cell r="G680" t="str">
            <v>CUADRILLA (OFICIAL + 4 AYUDANTES)</v>
          </cell>
          <cell r="H680" t="str">
            <v>JR</v>
          </cell>
          <cell r="I680">
            <v>346603</v>
          </cell>
        </row>
        <row r="681">
          <cell r="F681">
            <v>4286</v>
          </cell>
          <cell r="G681" t="str">
            <v>CUADRILLA (3 OFICIALES + 6 AYUDANTES).</v>
          </cell>
          <cell r="H681" t="str">
            <v>JR</v>
          </cell>
          <cell r="I681">
            <v>657475</v>
          </cell>
        </row>
        <row r="682">
          <cell r="F682">
            <v>4287</v>
          </cell>
          <cell r="G682" t="str">
            <v>CUADRILLA (OFICIAL + 3 AYUDANTES)</v>
          </cell>
          <cell r="H682" t="str">
            <v>HR</v>
          </cell>
          <cell r="I682">
            <v>35359</v>
          </cell>
        </row>
        <row r="683">
          <cell r="F683">
            <v>4288</v>
          </cell>
          <cell r="G683" t="str">
            <v>CUADRILLA (OFICIAL + 3 AYUDANTES).</v>
          </cell>
          <cell r="H683" t="str">
            <v>JR</v>
          </cell>
          <cell r="I683">
            <v>282881</v>
          </cell>
        </row>
        <row r="684">
          <cell r="F684">
            <v>4289</v>
          </cell>
          <cell r="G684" t="str">
            <v>DEMOLICIÓN MUROS E=0.15M (INCLUYE CARGUE)</v>
          </cell>
          <cell r="H684" t="str">
            <v>M2</v>
          </cell>
          <cell r="I684">
            <v>22916</v>
          </cell>
        </row>
        <row r="685">
          <cell r="F685">
            <v>4290</v>
          </cell>
          <cell r="G685" t="str">
            <v>DEMOLICIÓN MUROS E=0.25M (INCLUYE CARGUE)</v>
          </cell>
          <cell r="H685" t="str">
            <v>M2</v>
          </cell>
          <cell r="I685">
            <v>32318</v>
          </cell>
        </row>
        <row r="686">
          <cell r="F686">
            <v>4291</v>
          </cell>
          <cell r="G686" t="str">
            <v>CARCAMO PROTECCIÓN DE TUBERÍA Ø 8" NORMA EAAB NS-090 . 3V.2</v>
          </cell>
          <cell r="H686" t="str">
            <v>ML</v>
          </cell>
          <cell r="I686">
            <v>557565</v>
          </cell>
        </row>
        <row r="687">
          <cell r="F687">
            <v>4292</v>
          </cell>
          <cell r="G687" t="str">
            <v>CARCAMO DE PROTECCIÓN DE TUBERÍA Ø 10" NORMA EAAB NS-090 V. 1.2</v>
          </cell>
          <cell r="H687" t="str">
            <v>ML</v>
          </cell>
          <cell r="I687">
            <v>580413</v>
          </cell>
        </row>
        <row r="688">
          <cell r="F688">
            <v>4294</v>
          </cell>
          <cell r="G688" t="str">
            <v>CARCAMO DE PROTECCIÓN DE TUBERÍA Ø 16" NORMA EAAB NS-090 V. 1.2</v>
          </cell>
          <cell r="H688" t="str">
            <v>ML</v>
          </cell>
          <cell r="I688">
            <v>704459</v>
          </cell>
        </row>
        <row r="689">
          <cell r="F689">
            <v>4295</v>
          </cell>
          <cell r="G689" t="str">
            <v>CARCAMO DE PROTECCIÓN DE TUBERÍA Ø 18" NORMA EAAB NS-090 V. 1.2</v>
          </cell>
          <cell r="H689" t="str">
            <v>ML</v>
          </cell>
          <cell r="I689">
            <v>729151</v>
          </cell>
        </row>
        <row r="690">
          <cell r="F690">
            <v>4296</v>
          </cell>
          <cell r="G690" t="str">
            <v>CARCAMO DE PROTECCIÓN DE TUBERÍA Ø 20" NORMA EAAB NS-090 V. 1.2</v>
          </cell>
          <cell r="H690" t="str">
            <v>ML</v>
          </cell>
          <cell r="I690">
            <v>764513</v>
          </cell>
        </row>
        <row r="691">
          <cell r="F691">
            <v>4297</v>
          </cell>
          <cell r="G691" t="str">
            <v>CARCAMO DE PROTECCIÓN DE TUBERÍA Ø 24" NORMA EAAB NS-090 V. 1.2</v>
          </cell>
          <cell r="H691" t="str">
            <v>ML</v>
          </cell>
          <cell r="I691">
            <v>1005966</v>
          </cell>
        </row>
        <row r="692">
          <cell r="F692">
            <v>4298</v>
          </cell>
          <cell r="G692" t="str">
            <v>CARCAMO DE PROTECCIÓN DE TUBERÍA Ø 27" NORMA EAAB NS-090 V. 1.2</v>
          </cell>
          <cell r="H692" t="str">
            <v>ML</v>
          </cell>
          <cell r="I692">
            <v>1374376</v>
          </cell>
        </row>
        <row r="693">
          <cell r="F693">
            <v>4299</v>
          </cell>
          <cell r="G693" t="str">
            <v>CARCAMO DE PROTECCIÓN DE TUBERÍA Ø 30" NORMA EAAB NS-090 V. 1.2</v>
          </cell>
          <cell r="H693" t="str">
            <v>ML</v>
          </cell>
          <cell r="I693">
            <v>1541888</v>
          </cell>
        </row>
        <row r="694">
          <cell r="F694">
            <v>4300</v>
          </cell>
          <cell r="G694" t="str">
            <v>CARCAMO 2 A 4 VIAS COLOMBIA TELECOMUNICACIONES</v>
          </cell>
          <cell r="H694" t="str">
            <v>ML</v>
          </cell>
          <cell r="I694">
            <v>354322</v>
          </cell>
        </row>
        <row r="695">
          <cell r="F695">
            <v>4301</v>
          </cell>
          <cell r="G695" t="str">
            <v>CARCAMO 6 A 9 VIAS COLOMBIA TELECOMUNICACIONES</v>
          </cell>
          <cell r="H695" t="str">
            <v>ML</v>
          </cell>
          <cell r="I695">
            <v>390461</v>
          </cell>
        </row>
        <row r="696">
          <cell r="F696">
            <v>4302</v>
          </cell>
          <cell r="G696" t="str">
            <v>CARCAMO 12 A 20 VIAS COLOMBIA TELECOMUNICACIONES</v>
          </cell>
          <cell r="H696" t="str">
            <v>ML</v>
          </cell>
          <cell r="I696">
            <v>452466</v>
          </cell>
        </row>
        <row r="697">
          <cell r="F697">
            <v>4303</v>
          </cell>
          <cell r="G697" t="str">
            <v>CARCAMO 20 A 24 VIAS COLOMBIA TELECOMUNICACIONES</v>
          </cell>
          <cell r="H697" t="str">
            <v>ML</v>
          </cell>
          <cell r="I697">
            <v>513077</v>
          </cell>
        </row>
        <row r="698">
          <cell r="F698">
            <v>4304</v>
          </cell>
          <cell r="G698" t="str">
            <v>CARCAMO 24 A 36 VIAS COLOMBIA TELECOMUNICACIONES</v>
          </cell>
          <cell r="H698" t="str">
            <v>ML</v>
          </cell>
          <cell r="I698">
            <v>532355</v>
          </cell>
        </row>
        <row r="699">
          <cell r="F699">
            <v>4305</v>
          </cell>
          <cell r="G699" t="str">
            <v>CAMARA DOBLE TIPO "FS" COLOMBIA TELECOMUNICACIONES ESQUEMA CT-018</v>
          </cell>
          <cell r="H699" t="str">
            <v>UN</v>
          </cell>
          <cell r="I699">
            <v>374808</v>
          </cell>
        </row>
        <row r="700">
          <cell r="F700">
            <v>4306</v>
          </cell>
          <cell r="G700" t="str">
            <v>CAMARA TIPO "2FR" COLOMBIA TELECOMUNICACIONES DIBUJO CT-019</v>
          </cell>
          <cell r="H700" t="str">
            <v>UN</v>
          </cell>
          <cell r="I700">
            <v>912925</v>
          </cell>
        </row>
        <row r="701">
          <cell r="F701">
            <v>4307</v>
          </cell>
          <cell r="G701" t="str">
            <v>CAMARA TIPO "FR" COLOMBIA TELECOMUNICACIONES ESQUEMA CT-021</v>
          </cell>
          <cell r="H701" t="str">
            <v>UN</v>
          </cell>
          <cell r="I701">
            <v>560282</v>
          </cell>
        </row>
        <row r="702">
          <cell r="F702">
            <v>4308</v>
          </cell>
          <cell r="G702" t="str">
            <v>CAMARA TIPO "A" COLOMBIA TELECOMUNICACIONES DIBUJO CT-022</v>
          </cell>
          <cell r="H702" t="str">
            <v>UN</v>
          </cell>
          <cell r="I702">
            <v>4986851</v>
          </cell>
        </row>
        <row r="703">
          <cell r="F703">
            <v>4309</v>
          </cell>
          <cell r="G703" t="str">
            <v>CAMARA TIPO "LA" COLOMBIA TELECOMUNICACIONES DIBUJO CT-023</v>
          </cell>
          <cell r="H703" t="str">
            <v>UN</v>
          </cell>
          <cell r="I703">
            <v>4986851</v>
          </cell>
        </row>
        <row r="704">
          <cell r="F704">
            <v>4310</v>
          </cell>
          <cell r="G704" t="str">
            <v>CAMARA TIPO "ZA" COLOMBIA TELECOMUNICACIONES DIBUJO CT-024</v>
          </cell>
          <cell r="H704" t="str">
            <v>UN</v>
          </cell>
          <cell r="I704">
            <v>5384215</v>
          </cell>
        </row>
        <row r="705">
          <cell r="F705">
            <v>4311</v>
          </cell>
          <cell r="G705" t="str">
            <v>CAMARA TIPO "JA" COLOMBIA TELECOMUNICACIONES DIBUJO CT-025</v>
          </cell>
          <cell r="H705" t="str">
            <v>UN</v>
          </cell>
          <cell r="I705">
            <v>4985311</v>
          </cell>
        </row>
        <row r="706">
          <cell r="F706">
            <v>4312</v>
          </cell>
          <cell r="G706" t="str">
            <v>CAMARA TIPO "TA" COLOMBIA TELECOMUNICACIONES DIBUJO CT-026</v>
          </cell>
          <cell r="H706" t="str">
            <v>UN</v>
          </cell>
          <cell r="I706">
            <v>4985311</v>
          </cell>
        </row>
        <row r="707">
          <cell r="F707">
            <v>4313</v>
          </cell>
          <cell r="G707" t="str">
            <v>CAMARA TIPO "XA" COLOMBIA TELECOMUNICACIONES DIBUJO CT-027</v>
          </cell>
          <cell r="H707" t="str">
            <v>UN</v>
          </cell>
          <cell r="I707">
            <v>4983771</v>
          </cell>
        </row>
        <row r="708">
          <cell r="F708">
            <v>4314</v>
          </cell>
          <cell r="G708" t="str">
            <v>CAMARA TIPO "B" COLOMBIA TELECOMUNICACIONES DIBUJO CT-028</v>
          </cell>
          <cell r="H708" t="str">
            <v>UN</v>
          </cell>
          <cell r="I708">
            <v>4526917</v>
          </cell>
        </row>
        <row r="709">
          <cell r="F709">
            <v>4315</v>
          </cell>
          <cell r="G709" t="str">
            <v>CAMARA TIPO "LB" COLOMBIA TELECOMUNICACIONES DIBUJO CT-029</v>
          </cell>
          <cell r="H709" t="str">
            <v>UN</v>
          </cell>
          <cell r="I709">
            <v>4526917</v>
          </cell>
        </row>
        <row r="710">
          <cell r="F710">
            <v>4316</v>
          </cell>
          <cell r="G710" t="str">
            <v>CAMARA TIPO "ZB" COLOMBIA TELECOMUNICACIONES DIBUJO CT-030</v>
          </cell>
          <cell r="H710" t="str">
            <v>UN</v>
          </cell>
          <cell r="I710">
            <v>4956305</v>
          </cell>
        </row>
        <row r="711">
          <cell r="F711">
            <v>4317</v>
          </cell>
          <cell r="G711" t="str">
            <v>CAMARA TIPO "JB" COLOMBIA TELECOMUNICACIONES DIBUJO CT-031</v>
          </cell>
          <cell r="H711" t="str">
            <v>UN</v>
          </cell>
          <cell r="I711">
            <v>4515580</v>
          </cell>
        </row>
        <row r="712">
          <cell r="F712">
            <v>4318</v>
          </cell>
          <cell r="G712" t="str">
            <v>CAMARA TIPO "TB" COLOMBIA TELECOMUNICACIONES DIBUJO CT-032</v>
          </cell>
          <cell r="H712" t="str">
            <v>UN</v>
          </cell>
          <cell r="I712">
            <v>4515580</v>
          </cell>
        </row>
        <row r="713">
          <cell r="F713">
            <v>4319</v>
          </cell>
          <cell r="G713" t="str">
            <v>CAMARA TIPO "XB" COLOMBIA TELECOMUNICACIONES DIBUJO CT-033</v>
          </cell>
          <cell r="H713" t="str">
            <v>UN</v>
          </cell>
          <cell r="I713">
            <v>4513667</v>
          </cell>
        </row>
        <row r="714">
          <cell r="F714">
            <v>4320</v>
          </cell>
          <cell r="G714" t="str">
            <v>CAMARA TIPO "C" COLOMBIA TELECOMUNICACIONES DIBUJO CT-034</v>
          </cell>
          <cell r="H714" t="str">
            <v>UN</v>
          </cell>
          <cell r="I714">
            <v>3812298</v>
          </cell>
        </row>
        <row r="715">
          <cell r="F715">
            <v>4321</v>
          </cell>
          <cell r="G715" t="str">
            <v>CAMARA TIPO "LC" COLOMBIA TELECOMUNICACIONES DIBUJO CT-035</v>
          </cell>
          <cell r="H715" t="str">
            <v>UN</v>
          </cell>
          <cell r="I715">
            <v>3812298</v>
          </cell>
        </row>
        <row r="716">
          <cell r="F716">
            <v>4322</v>
          </cell>
          <cell r="G716" t="str">
            <v>CAMARA TIPO "ZC" COLOMBIA TELECOMUNICACIONES DIBUJO CT-036</v>
          </cell>
          <cell r="H716" t="str">
            <v>UN</v>
          </cell>
          <cell r="I716">
            <v>3812298</v>
          </cell>
        </row>
        <row r="717">
          <cell r="F717">
            <v>4323</v>
          </cell>
          <cell r="G717" t="str">
            <v>CAMARA TIPO "JC" COLOMBIA TELECOMUNICACIONES DIBUJO CT-037</v>
          </cell>
          <cell r="H717" t="str">
            <v>UN</v>
          </cell>
          <cell r="I717">
            <v>3796058</v>
          </cell>
        </row>
        <row r="718">
          <cell r="F718">
            <v>4324</v>
          </cell>
          <cell r="G718" t="str">
            <v>CAMARA TIPO "TC" COLOMBIA TELECOMUNICACIONES DIBUJO CT-038</v>
          </cell>
          <cell r="H718" t="str">
            <v>UN</v>
          </cell>
          <cell r="I718">
            <v>3796058</v>
          </cell>
        </row>
        <row r="719">
          <cell r="F719">
            <v>4325</v>
          </cell>
          <cell r="G719" t="str">
            <v>CAMARA TIPO "XC" COLOMBIA TELECOMUNICACIONES DIBUJO CT-039</v>
          </cell>
          <cell r="H719" t="str">
            <v>UN</v>
          </cell>
          <cell r="I719">
            <v>3794145</v>
          </cell>
        </row>
        <row r="720">
          <cell r="F720">
            <v>4326</v>
          </cell>
          <cell r="G720" t="str">
            <v>CAMARA TIPO "2XA" COLOMBIA TELECOMUNICACIONES DIBUJO CT-040</v>
          </cell>
          <cell r="H720" t="str">
            <v>UN</v>
          </cell>
          <cell r="I720">
            <v>6358288</v>
          </cell>
        </row>
        <row r="721">
          <cell r="F721">
            <v>4327</v>
          </cell>
          <cell r="G721" t="str">
            <v>CAMARA TIPO "2TA" COLOMBIA TELECOMUNICACIONES DIBUJO CT-041</v>
          </cell>
          <cell r="H721" t="str">
            <v>UN</v>
          </cell>
          <cell r="I721">
            <v>6315825</v>
          </cell>
        </row>
        <row r="722">
          <cell r="F722">
            <v>4328</v>
          </cell>
          <cell r="G722" t="str">
            <v>CAMARA TIPO "D" COLOMBIA TELECOMUNICACIONES DIBUJO CT-042</v>
          </cell>
          <cell r="H722" t="str">
            <v>UN</v>
          </cell>
          <cell r="I722">
            <v>3457411</v>
          </cell>
        </row>
        <row r="723">
          <cell r="F723">
            <v>4329</v>
          </cell>
          <cell r="G723" t="str">
            <v>CAMARA TIPO "F1" COLOMBIA TELECOMUNICACIONES DIBUJO CT-050</v>
          </cell>
          <cell r="H723" t="str">
            <v>UN</v>
          </cell>
          <cell r="I723">
            <v>769662</v>
          </cell>
        </row>
        <row r="724">
          <cell r="F724">
            <v>4330</v>
          </cell>
          <cell r="G724" t="str">
            <v>CAMARA DOBLE TIPO "F1" COLOMBIA TELECOMUNICACIONES ESQUEMA CT-049</v>
          </cell>
          <cell r="H724" t="str">
            <v>UN</v>
          </cell>
          <cell r="I724">
            <v>915279</v>
          </cell>
        </row>
        <row r="725">
          <cell r="F725">
            <v>4331</v>
          </cell>
          <cell r="G725" t="str">
            <v>CAMARA DOBLE TIPO "2FS" COLOMBIA TELECOMUNICACIONES ESQUEMA CT-055</v>
          </cell>
          <cell r="H725" t="str">
            <v>UN</v>
          </cell>
          <cell r="I725">
            <v>949538</v>
          </cell>
        </row>
        <row r="726">
          <cell r="F726">
            <v>4332</v>
          </cell>
          <cell r="G726" t="str">
            <v>CAMARA TIPO "JD" COLOMBIA TELECOMUNICACIONES DIBUJO CT-045</v>
          </cell>
          <cell r="H726" t="str">
            <v>UN</v>
          </cell>
          <cell r="I726">
            <v>3269130</v>
          </cell>
        </row>
        <row r="727">
          <cell r="F727">
            <v>4333</v>
          </cell>
          <cell r="G727" t="str">
            <v>CAMARA TIPO "LD" COLOMBIA TELECOMUNICACIONES DIBUJO CT-043</v>
          </cell>
          <cell r="H727" t="str">
            <v>UN</v>
          </cell>
          <cell r="I727">
            <v>3251042</v>
          </cell>
        </row>
        <row r="728">
          <cell r="F728">
            <v>4334</v>
          </cell>
          <cell r="G728" t="str">
            <v>CAMARA TIPO "XD" COLOMBIA TELECOMUNICACIONES ESQUEMA CT-047</v>
          </cell>
          <cell r="H728" t="str">
            <v>UN</v>
          </cell>
          <cell r="I728">
            <v>3272112</v>
          </cell>
        </row>
        <row r="729">
          <cell r="F729">
            <v>4335</v>
          </cell>
          <cell r="G729" t="str">
            <v>CAMARA TIPO "TD" COLOMBIA TELECOMUNICACIONES DIBUJO CT-046</v>
          </cell>
          <cell r="H729" t="str">
            <v>UN</v>
          </cell>
          <cell r="I729">
            <v>3259316</v>
          </cell>
        </row>
        <row r="730">
          <cell r="F730">
            <v>4336</v>
          </cell>
          <cell r="G730" t="str">
            <v>CAMARA TIPO "D/2" COLOMBIA TELECOMUNICACIONES DIBUJO CT-048</v>
          </cell>
          <cell r="H730" t="str">
            <v>UN</v>
          </cell>
          <cell r="I730">
            <v>2028590</v>
          </cell>
        </row>
        <row r="731">
          <cell r="F731">
            <v>4337</v>
          </cell>
          <cell r="G731" t="str">
            <v>CAMARA TIPO "F2" COLOMBIA TELECOMUNICACIONES DIBUJO CT-051</v>
          </cell>
          <cell r="H731" t="str">
            <v>UN</v>
          </cell>
          <cell r="I731">
            <v>397638</v>
          </cell>
        </row>
        <row r="732">
          <cell r="F732">
            <v>4338</v>
          </cell>
          <cell r="G732" t="str">
            <v>CAMARA TIPO "ZD" COLOMBIA TELECOMUNICACIONES DIBUJO CT-044</v>
          </cell>
          <cell r="H732" t="str">
            <v>UN</v>
          </cell>
          <cell r="I732">
            <v>3251042</v>
          </cell>
        </row>
        <row r="733">
          <cell r="F733">
            <v>4340</v>
          </cell>
          <cell r="G733" t="str">
            <v>INSTALACIÓN DUCTO DE PVC TIPOS DB O TDP Ø 4" A Ø 6"</v>
          </cell>
          <cell r="H733" t="str">
            <v>ML</v>
          </cell>
          <cell r="I733">
            <v>3433</v>
          </cell>
        </row>
        <row r="734">
          <cell r="F734">
            <v>4341</v>
          </cell>
          <cell r="G734"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H734" t="str">
            <v>ML</v>
          </cell>
          <cell r="I734">
            <v>198713</v>
          </cell>
        </row>
        <row r="735">
          <cell r="F735">
            <v>4342</v>
          </cell>
          <cell r="G735"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H735" t="str">
            <v>ML</v>
          </cell>
          <cell r="I735">
            <v>273478</v>
          </cell>
        </row>
        <row r="736">
          <cell r="F736">
            <v>4343</v>
          </cell>
          <cell r="G736"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H736" t="str">
            <v>ML</v>
          </cell>
          <cell r="I736">
            <v>444340</v>
          </cell>
        </row>
        <row r="737">
          <cell r="F737">
            <v>4344</v>
          </cell>
          <cell r="G737"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H737" t="str">
            <v>ML</v>
          </cell>
          <cell r="I737">
            <v>503700</v>
          </cell>
        </row>
        <row r="738">
          <cell r="F738">
            <v>4345</v>
          </cell>
          <cell r="G738"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H738" t="str">
            <v>ML</v>
          </cell>
          <cell r="I738">
            <v>525142</v>
          </cell>
        </row>
        <row r="739">
          <cell r="F739">
            <v>4346</v>
          </cell>
          <cell r="G739"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H739" t="str">
            <v>ML</v>
          </cell>
          <cell r="I739">
            <v>716605</v>
          </cell>
        </row>
        <row r="740">
          <cell r="F740">
            <v>4347</v>
          </cell>
          <cell r="G740"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H740" t="str">
            <v>ML</v>
          </cell>
          <cell r="I740">
            <v>938831</v>
          </cell>
        </row>
        <row r="741">
          <cell r="F741">
            <v>4348</v>
          </cell>
          <cell r="G741"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H741" t="str">
            <v>ML</v>
          </cell>
          <cell r="I741">
            <v>999529</v>
          </cell>
        </row>
        <row r="742">
          <cell r="F742">
            <v>4349</v>
          </cell>
          <cell r="G742"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H742" t="str">
            <v>ML</v>
          </cell>
          <cell r="I742">
            <v>1189471</v>
          </cell>
        </row>
        <row r="743">
          <cell r="F743">
            <v>4350</v>
          </cell>
          <cell r="G743"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H743" t="str">
            <v>ML</v>
          </cell>
          <cell r="I743">
            <v>1683515</v>
          </cell>
        </row>
        <row r="744">
          <cell r="F744">
            <v>4351</v>
          </cell>
          <cell r="G744"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H744" t="str">
            <v>ML</v>
          </cell>
          <cell r="I744">
            <v>283326</v>
          </cell>
        </row>
        <row r="745">
          <cell r="F745">
            <v>4352</v>
          </cell>
          <cell r="G745"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H745" t="str">
            <v>ML</v>
          </cell>
          <cell r="I745">
            <v>307805</v>
          </cell>
        </row>
        <row r="746">
          <cell r="F746">
            <v>4353</v>
          </cell>
          <cell r="G746"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H746" t="str">
            <v>ML</v>
          </cell>
          <cell r="I746">
            <v>427844</v>
          </cell>
        </row>
        <row r="747">
          <cell r="F747">
            <v>4354</v>
          </cell>
          <cell r="G747"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H747" t="str">
            <v>ML</v>
          </cell>
          <cell r="I747">
            <v>573288</v>
          </cell>
        </row>
        <row r="748">
          <cell r="F748">
            <v>4355</v>
          </cell>
          <cell r="G748"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H748" t="str">
            <v>ML</v>
          </cell>
          <cell r="I748">
            <v>546151</v>
          </cell>
        </row>
        <row r="749">
          <cell r="F749">
            <v>4356</v>
          </cell>
          <cell r="G749"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H749" t="str">
            <v>ML</v>
          </cell>
          <cell r="I749">
            <v>727814</v>
          </cell>
        </row>
        <row r="750">
          <cell r="F750">
            <v>4357</v>
          </cell>
          <cell r="G750"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H750" t="str">
            <v>ML</v>
          </cell>
          <cell r="I750">
            <v>402533</v>
          </cell>
        </row>
        <row r="751">
          <cell r="F751">
            <v>4358</v>
          </cell>
          <cell r="G751"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H751" t="str">
            <v>ML</v>
          </cell>
          <cell r="I751">
            <v>547895</v>
          </cell>
        </row>
        <row r="752">
          <cell r="F752">
            <v>4359</v>
          </cell>
          <cell r="G752"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H752" t="str">
            <v>ML</v>
          </cell>
          <cell r="I752">
            <v>433747</v>
          </cell>
        </row>
        <row r="753">
          <cell r="F753">
            <v>4360</v>
          </cell>
          <cell r="G753"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H753" t="str">
            <v>ML</v>
          </cell>
          <cell r="I753">
            <v>626576</v>
          </cell>
        </row>
        <row r="754">
          <cell r="F754">
            <v>4361</v>
          </cell>
          <cell r="G754"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H754" t="str">
            <v>ML</v>
          </cell>
          <cell r="I754">
            <v>645376</v>
          </cell>
        </row>
        <row r="755">
          <cell r="F755">
            <v>4362</v>
          </cell>
          <cell r="G755"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H755" t="str">
            <v>ML</v>
          </cell>
          <cell r="I755">
            <v>836183</v>
          </cell>
        </row>
        <row r="756">
          <cell r="F756">
            <v>4363</v>
          </cell>
          <cell r="G756"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H756" t="str">
            <v>ML</v>
          </cell>
          <cell r="I756">
            <v>673443</v>
          </cell>
        </row>
        <row r="757">
          <cell r="F757">
            <v>4384</v>
          </cell>
          <cell r="G757" t="str">
            <v>UNION DRESSER D=3" (SUMINISTRO E INSTALACIÓN)</v>
          </cell>
          <cell r="H757" t="str">
            <v>UN</v>
          </cell>
          <cell r="I757">
            <v>132850</v>
          </cell>
        </row>
        <row r="758">
          <cell r="F758">
            <v>4385</v>
          </cell>
          <cell r="G758" t="str">
            <v>UNION DRESSER D=4" (SUMINISTRO E INSTALACIÓN)</v>
          </cell>
          <cell r="H758" t="str">
            <v>UN</v>
          </cell>
          <cell r="I758">
            <v>159030</v>
          </cell>
        </row>
        <row r="759">
          <cell r="F759">
            <v>4386</v>
          </cell>
          <cell r="G759" t="str">
            <v>UNION DRESSER D=6" (SUMINISTRO E INSTALACIÓN)</v>
          </cell>
          <cell r="H759" t="str">
            <v>UN</v>
          </cell>
          <cell r="I759">
            <v>253014</v>
          </cell>
        </row>
        <row r="760">
          <cell r="F760">
            <v>4387</v>
          </cell>
          <cell r="G760" t="str">
            <v>UNION DRESSER D=8" (SUMINISTRO E INSTALACIÓN)</v>
          </cell>
          <cell r="H760" t="str">
            <v>UN</v>
          </cell>
          <cell r="I760">
            <v>400360</v>
          </cell>
        </row>
        <row r="761">
          <cell r="F761">
            <v>4388</v>
          </cell>
          <cell r="G761" t="str">
            <v>UNION DRESSER D=10" (SUMINISTRO E INSTALACIÓN)</v>
          </cell>
          <cell r="H761" t="str">
            <v>UN</v>
          </cell>
          <cell r="I761">
            <v>564162</v>
          </cell>
        </row>
        <row r="762">
          <cell r="F762">
            <v>4389</v>
          </cell>
          <cell r="G762" t="str">
            <v>UNION DRESSER D=12" (SUMINISTRO E INSTALACIÓN)</v>
          </cell>
          <cell r="H762" t="str">
            <v>UN</v>
          </cell>
          <cell r="I762">
            <v>922952</v>
          </cell>
        </row>
        <row r="763">
          <cell r="F763">
            <v>4390</v>
          </cell>
          <cell r="G763" t="str">
            <v>EXCAVACIÓN MANUAL EN MATERIAL COMÚN (INCL CARGUE, TRANSPORTE Y DISPOSICION FINAL)</v>
          </cell>
          <cell r="H763" t="str">
            <v>M3</v>
          </cell>
          <cell r="I763">
            <v>82116</v>
          </cell>
        </row>
        <row r="764">
          <cell r="F764">
            <v>4391</v>
          </cell>
          <cell r="G764" t="str">
            <v>ARENA LAVADA DE PEÑA PARA EMBOQUILLADO (INCLUYE SUMINISTRO, BARRIDO PARA SELLADO DE JUNTAS Y COMPACTACIÓN)</v>
          </cell>
          <cell r="H764" t="str">
            <v>M3</v>
          </cell>
          <cell r="I764">
            <v>144646</v>
          </cell>
        </row>
        <row r="765">
          <cell r="F765">
            <v>4392</v>
          </cell>
          <cell r="G765" t="str">
            <v>CUADRILLA (OFICIAL + 6 AYUDANTES)</v>
          </cell>
          <cell r="H765" t="str">
            <v>HR</v>
          </cell>
          <cell r="I765">
            <v>59251</v>
          </cell>
        </row>
        <row r="766">
          <cell r="F766">
            <v>4393</v>
          </cell>
          <cell r="G766" t="str">
            <v>CUADRILLA (3 OFICIALES + 6 AYUDANTES)</v>
          </cell>
          <cell r="H766" t="str">
            <v>HR</v>
          </cell>
          <cell r="I766">
            <v>82180</v>
          </cell>
        </row>
        <row r="767">
          <cell r="F767">
            <v>4394</v>
          </cell>
          <cell r="G767" t="str">
            <v>ADOQUIN DE CONCRETO TR. PESADO 20X10X8CM (SUMINISTRO E INSTALACIÓN. INCLUYE BASE 4CM ARENA NIVELACIÓN Y ARENA DE SELLO)</v>
          </cell>
          <cell r="H767" t="str">
            <v>M2</v>
          </cell>
          <cell r="I767">
            <v>108047</v>
          </cell>
        </row>
        <row r="768">
          <cell r="F768">
            <v>4395</v>
          </cell>
          <cell r="G768" t="str">
            <v>ADOQUIN DE CONCRETO TR. LIVIANO 20X10X6CM (SUMINISTRO E INSTALACIÓN. INCLUYE BASE 4CM ARENA NIVELACIÓN Y ARENA DE SELLO)</v>
          </cell>
          <cell r="H768" t="str">
            <v>M2</v>
          </cell>
          <cell r="I768">
            <v>89119</v>
          </cell>
        </row>
        <row r="769">
          <cell r="F769">
            <v>4396</v>
          </cell>
          <cell r="G769" t="str">
            <v>ADOQUIN DE ARCILLA TR. LIVIANO 20X10X6CM (SUMINISTRO E INSTALACIÓN. INCLUYE BASE 4CM ARENA NIVELACION Y ARENA DE SELLO)</v>
          </cell>
          <cell r="H769" t="str">
            <v>M2</v>
          </cell>
          <cell r="I769">
            <v>59635</v>
          </cell>
        </row>
        <row r="770">
          <cell r="F770">
            <v>4402</v>
          </cell>
          <cell r="G770" t="str">
            <v>VALVULA COMPUERTA ELASTICA VASTAGO NO ASCENDENTE EXTREMO LISO D=4" (SUMINISTRO E INSTALACIÓN)</v>
          </cell>
          <cell r="H770" t="str">
            <v>UN</v>
          </cell>
          <cell r="I770">
            <v>985899</v>
          </cell>
        </row>
        <row r="771">
          <cell r="F771">
            <v>4403</v>
          </cell>
          <cell r="G771" t="str">
            <v>VALVULA COMPUERTA ELASTICA VASTAGO NO ASCENDENTE EXTREMO LISO D=12" (SUMINISTRO E INSTALACIÓN)</v>
          </cell>
          <cell r="H771" t="str">
            <v>UN</v>
          </cell>
          <cell r="I771">
            <v>4694435</v>
          </cell>
        </row>
        <row r="772">
          <cell r="F772">
            <v>4404</v>
          </cell>
          <cell r="G772" t="str">
            <v>CODO HD 11.25° JUNTA HIDRAULICA PARA PVC D=2" (SUMINISTRO E INSTALACIÓN)</v>
          </cell>
          <cell r="H772" t="str">
            <v>UN</v>
          </cell>
          <cell r="I772">
            <v>117912</v>
          </cell>
        </row>
        <row r="773">
          <cell r="F773">
            <v>4405</v>
          </cell>
          <cell r="G773" t="str">
            <v>CODO HD 11.25° JUNTA HIDRAULICA PARA PVC D=3" (SUMINISTRO E INSTALACIÓN)</v>
          </cell>
          <cell r="H773" t="str">
            <v>UN</v>
          </cell>
          <cell r="I773">
            <v>164359</v>
          </cell>
        </row>
        <row r="774">
          <cell r="F774">
            <v>4406</v>
          </cell>
          <cell r="G774" t="str">
            <v>CODO HD 11.25° JUNTA HIDRAULICA PARA PVC D=6" (SUMINISTRO E INSTALACIÓN)</v>
          </cell>
          <cell r="H774" t="str">
            <v>UN</v>
          </cell>
          <cell r="I774">
            <v>378887</v>
          </cell>
        </row>
        <row r="775">
          <cell r="F775">
            <v>4407</v>
          </cell>
          <cell r="G775" t="str">
            <v>CODO HD 11.25° JUNTA HIDRAULICA PARA PVC D=4" (SUMINISTRO E INSTALACIÓN)</v>
          </cell>
          <cell r="H775" t="str">
            <v>UN</v>
          </cell>
          <cell r="I775">
            <v>220273</v>
          </cell>
        </row>
        <row r="776">
          <cell r="F776">
            <v>4408</v>
          </cell>
          <cell r="G776" t="str">
            <v>CODO HD 11.25° JUNTA HIDRAULICA PARA PVC D=8" (SUMINISTRO E INSTALACIÓN)</v>
          </cell>
          <cell r="H776" t="str">
            <v>UN</v>
          </cell>
          <cell r="I776">
            <v>627789</v>
          </cell>
        </row>
        <row r="777">
          <cell r="F777">
            <v>4409</v>
          </cell>
          <cell r="G777" t="str">
            <v>REDUCCION PVC TIPO U.M. 4"X2" (SUMINISTRO E INSTALACIÓN)</v>
          </cell>
          <cell r="H777" t="str">
            <v>UN</v>
          </cell>
          <cell r="I777">
            <v>122398</v>
          </cell>
        </row>
        <row r="778">
          <cell r="F778">
            <v>4410</v>
          </cell>
          <cell r="G778" t="str">
            <v>REDUCCION PVC TIPO U.M. 4"X3" (SUMINISTRO E INSTALACIÓN)</v>
          </cell>
          <cell r="H778" t="str">
            <v>UN</v>
          </cell>
          <cell r="I778">
            <v>141438</v>
          </cell>
        </row>
        <row r="779">
          <cell r="F779">
            <v>4411</v>
          </cell>
          <cell r="G779" t="str">
            <v>REDUCCION PVC TIPO U.M. 6"X4" (SUMINISTRO E INSTALACIÓN)</v>
          </cell>
          <cell r="H779" t="str">
            <v>UN</v>
          </cell>
          <cell r="I779">
            <v>335360</v>
          </cell>
        </row>
        <row r="780">
          <cell r="F780">
            <v>4412</v>
          </cell>
          <cell r="G780" t="str">
            <v>REDUCCION CONCENTRICA HD 6"X3" (SUMINISTRO E INSTALACIÓN)</v>
          </cell>
          <cell r="H780" t="str">
            <v>UN</v>
          </cell>
          <cell r="I780">
            <v>343319</v>
          </cell>
        </row>
        <row r="781">
          <cell r="F781">
            <v>4413</v>
          </cell>
          <cell r="G781" t="str">
            <v>REDUCCION CONCENTRICA HD 12"X6" (SUMINISTRO E INSTALACIÓN)</v>
          </cell>
          <cell r="H781" t="str">
            <v>UN</v>
          </cell>
          <cell r="I781">
            <v>1244865</v>
          </cell>
        </row>
        <row r="782">
          <cell r="F782">
            <v>4414</v>
          </cell>
          <cell r="G782" t="str">
            <v>REDUCCION CONCENTRICA HD 12"X8" (SUMINISTRO E INSTALACIÓN)</v>
          </cell>
          <cell r="H782" t="str">
            <v>UN</v>
          </cell>
          <cell r="I782">
            <v>1244865</v>
          </cell>
        </row>
        <row r="783">
          <cell r="F783">
            <v>4415</v>
          </cell>
          <cell r="G783" t="str">
            <v>TAPON PVC TIPO U.M. D=3" (SUMINISTRO E INSTALACIÓN)</v>
          </cell>
          <cell r="H783" t="str">
            <v>UN</v>
          </cell>
          <cell r="I783">
            <v>69823</v>
          </cell>
        </row>
        <row r="784">
          <cell r="F784">
            <v>4416</v>
          </cell>
          <cell r="G784" t="str">
            <v>TAPON PVC TIPO U.M. D=4" (SUMINISTRO E INSTALACIÓN)</v>
          </cell>
          <cell r="H784" t="str">
            <v>UN</v>
          </cell>
          <cell r="I784">
            <v>88957</v>
          </cell>
        </row>
        <row r="785">
          <cell r="F785">
            <v>4417</v>
          </cell>
          <cell r="G785" t="str">
            <v>TAPON PVC TIPO U.M. D=6" (SUMINISTRO E INSTALACIÓN)</v>
          </cell>
          <cell r="H785" t="str">
            <v>UN</v>
          </cell>
          <cell r="I785">
            <v>198576</v>
          </cell>
        </row>
        <row r="786">
          <cell r="F786">
            <v>4418</v>
          </cell>
          <cell r="G786" t="str">
            <v>UNION DE REPARACION PVC TIPO U.M. D=2" (SUMINISTRO E INSTALACIÓN)</v>
          </cell>
          <cell r="H786" t="str">
            <v>UN</v>
          </cell>
          <cell r="I786">
            <v>43667</v>
          </cell>
        </row>
        <row r="787">
          <cell r="F787">
            <v>4419</v>
          </cell>
          <cell r="G787" t="str">
            <v>UNION DE REPARACION PVC TIPO U.M. D=3" (SUMINISTRO E INSTALACIÓN)</v>
          </cell>
          <cell r="H787" t="str">
            <v>UN</v>
          </cell>
          <cell r="I787">
            <v>67142</v>
          </cell>
        </row>
        <row r="788">
          <cell r="F788">
            <v>4420</v>
          </cell>
          <cell r="G788" t="str">
            <v>UNION DE REPARACION PVC TIPO U.M. D=4" (SUMINISTRO E INSTALACIÓN)</v>
          </cell>
          <cell r="H788" t="str">
            <v>UN</v>
          </cell>
          <cell r="I788">
            <v>102009</v>
          </cell>
        </row>
        <row r="789">
          <cell r="F789">
            <v>4421</v>
          </cell>
          <cell r="G789" t="str">
            <v>ACOPLE UNIVERSAL, UNION ALFA O MULTIUSOS D=3" (SUMINISTRO E INSTALACIÓN)</v>
          </cell>
          <cell r="H789" t="str">
            <v>UN</v>
          </cell>
          <cell r="I789">
            <v>160421</v>
          </cell>
        </row>
        <row r="790">
          <cell r="F790">
            <v>4422</v>
          </cell>
          <cell r="G790" t="str">
            <v>ACOPLE UNIVERSAL, UNION ALFA O MULTIUSOS D=4" (SUMINISTRO E INSTALACIÓN)</v>
          </cell>
          <cell r="H790" t="str">
            <v>UN</v>
          </cell>
          <cell r="I790">
            <v>177787</v>
          </cell>
        </row>
        <row r="791">
          <cell r="F791">
            <v>4423</v>
          </cell>
          <cell r="G791" t="str">
            <v>ACOPLE UNIVERSAL, UNION ALFA O MULTIUSOS D=6" (SUMINISTRO E INSTALACIÓN)</v>
          </cell>
          <cell r="H791" t="str">
            <v>UN</v>
          </cell>
          <cell r="I791">
            <v>333545</v>
          </cell>
        </row>
        <row r="792">
          <cell r="F792">
            <v>4424</v>
          </cell>
          <cell r="G792" t="str">
            <v>ACOPLE UNIVERSAL, UNION ALFA O MULTIUSOS D=8" (SUMINISTRO E INSTALACIÓN)</v>
          </cell>
          <cell r="H792" t="str">
            <v>UN</v>
          </cell>
          <cell r="I792">
            <v>515000</v>
          </cell>
        </row>
        <row r="793">
          <cell r="F793">
            <v>4425</v>
          </cell>
          <cell r="G793" t="str">
            <v>ACOPLE UNIVERSAL, UNION ALFA O MULTIUSOS D=10" (SUMINISTRO E INSTALACIÓN)</v>
          </cell>
          <cell r="H793" t="str">
            <v>UN</v>
          </cell>
          <cell r="I793">
            <v>875942</v>
          </cell>
        </row>
        <row r="794">
          <cell r="F794">
            <v>4426</v>
          </cell>
          <cell r="G794" t="str">
            <v>ACOPLE UNIVERSAL, UNION ALFA O MULTIUSOS D=12" (SUMINISTRO E INSTALACIÓN)</v>
          </cell>
          <cell r="H794" t="str">
            <v>UN</v>
          </cell>
          <cell r="I794">
            <v>946629</v>
          </cell>
        </row>
        <row r="795">
          <cell r="F795">
            <v>4427</v>
          </cell>
          <cell r="G795" t="str">
            <v>ZAPATA EN CONCRETO PREMEZCLADO DE 3000 PSI (21Mpa), GRAVA COMÚN (Incluye Sumin., Formaleteo en madera, Colocación y Curado. No incl. Refuerzo ni bombeo).</v>
          </cell>
          <cell r="H795" t="str">
            <v>M3</v>
          </cell>
          <cell r="I795">
            <v>665512</v>
          </cell>
        </row>
        <row r="796">
          <cell r="F796">
            <v>4428</v>
          </cell>
          <cell r="G796" t="str">
            <v>VIGA DE AMARRE EN CONCRETO DE 3000 PSI GRAVA COMÚN SECCIÓN 20X20 (Para cerramiento de predios lotes IDU)</v>
          </cell>
          <cell r="H796" t="str">
            <v>ML</v>
          </cell>
          <cell r="I796">
            <v>40227</v>
          </cell>
        </row>
        <row r="797">
          <cell r="F797">
            <v>4429</v>
          </cell>
          <cell r="G797" t="str">
            <v>COLUMNA EN CONCRETO DE 3000 PSI GRAVA COMÚN SECCIÓN 20X20 (Para cerramiento de predios lotes IDU)</v>
          </cell>
          <cell r="H797" t="str">
            <v>ML</v>
          </cell>
          <cell r="I797">
            <v>47140</v>
          </cell>
        </row>
        <row r="798">
          <cell r="F798">
            <v>4431</v>
          </cell>
          <cell r="G798" t="str">
            <v>PAÑETE LISO MURO 1:3 (NO INCLUYE ANDAMIO)</v>
          </cell>
          <cell r="H798" t="str">
            <v>M2</v>
          </cell>
          <cell r="I798">
            <v>24083</v>
          </cell>
        </row>
        <row r="799">
          <cell r="F799">
            <v>4433</v>
          </cell>
          <cell r="G799"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H799" t="str">
            <v>ML</v>
          </cell>
          <cell r="I799">
            <v>825751</v>
          </cell>
        </row>
        <row r="800">
          <cell r="F800">
            <v>4434</v>
          </cell>
          <cell r="G800"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H800" t="str">
            <v>ML</v>
          </cell>
          <cell r="I800">
            <v>822436</v>
          </cell>
        </row>
        <row r="801">
          <cell r="F801">
            <v>4435</v>
          </cell>
          <cell r="G801"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H801" t="str">
            <v>ML</v>
          </cell>
          <cell r="I801">
            <v>1059956</v>
          </cell>
        </row>
        <row r="802">
          <cell r="F802">
            <v>4436</v>
          </cell>
          <cell r="G802"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H802" t="str">
            <v>ML</v>
          </cell>
          <cell r="I802">
            <v>924102</v>
          </cell>
        </row>
        <row r="803">
          <cell r="F803">
            <v>4437</v>
          </cell>
          <cell r="G803"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H803" t="str">
            <v>ML</v>
          </cell>
          <cell r="I803">
            <v>1123109</v>
          </cell>
        </row>
        <row r="804">
          <cell r="F804">
            <v>4438</v>
          </cell>
          <cell r="G804"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H804" t="str">
            <v>ML</v>
          </cell>
          <cell r="I804">
            <v>1189760</v>
          </cell>
        </row>
        <row r="805">
          <cell r="F805">
            <v>4439</v>
          </cell>
          <cell r="G805"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H805" t="str">
            <v>ML</v>
          </cell>
          <cell r="I805">
            <v>1438056</v>
          </cell>
        </row>
        <row r="806">
          <cell r="F806">
            <v>4440</v>
          </cell>
          <cell r="G806"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H806" t="str">
            <v>ML</v>
          </cell>
          <cell r="I806">
            <v>1201862</v>
          </cell>
        </row>
        <row r="807">
          <cell r="F807">
            <v>4441</v>
          </cell>
          <cell r="G807"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H807" t="str">
            <v>ML</v>
          </cell>
          <cell r="I807">
            <v>1555974</v>
          </cell>
        </row>
        <row r="808">
          <cell r="F808">
            <v>4442</v>
          </cell>
          <cell r="G808"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H808" t="str">
            <v>ML</v>
          </cell>
          <cell r="I808">
            <v>357514</v>
          </cell>
        </row>
        <row r="809">
          <cell r="F809">
            <v>4447</v>
          </cell>
          <cell r="G809" t="str">
            <v>CANALIZACION ZONA VERDE CUATRO (4) DUCTOS PVC TIPO DB-60 Ø6" DISPOSICIÓN LINEAL EPM NORMA RS1-005. DISPOSICIÓN LINEAL. INCLUYE: EXCAVACIÓN, RELLENOS, SIEMBRA DE GRAMA Y TRANSPORTE Y DISPOSICIÓN FINAL DE ESCOMBROS. NO INCLUYE: ENTIBADOS.</v>
          </cell>
          <cell r="H809" t="str">
            <v>ML</v>
          </cell>
          <cell r="I809">
            <v>514372</v>
          </cell>
        </row>
        <row r="810">
          <cell r="F810">
            <v>4461</v>
          </cell>
          <cell r="G810" t="str">
            <v>CANALIZACION ZONA VERDE TRES (3) DUCTOS PVC TIPO DB-60 Ø4" MAS DOS (2) DUCTOS PVC TIPO DB-60 Ø6" EPM NORMA RS1-019. INCLUYE: EXCAVACIÓN, RELLENOS, SIEMBRA DE GRAMA Y TRANSPORTE Y DISPOSICIÓN FINAL DE ESCOMBROS. NO INCLUYE: ENTIBADOS.</v>
          </cell>
          <cell r="H810" t="str">
            <v>ML</v>
          </cell>
          <cell r="I810">
            <v>434458</v>
          </cell>
        </row>
        <row r="811">
          <cell r="F811">
            <v>4477</v>
          </cell>
          <cell r="G811" t="str">
            <v>SUBBASE GRANULAR B-400 (SUMINISTRO, EXTENDIDO, NIVELACIÓN, HUMEDECIMIENTO Y COMPACTACIÓN CON VIBROCOMPACTADOR)</v>
          </cell>
          <cell r="H811" t="str">
            <v>M3</v>
          </cell>
          <cell r="I811">
            <v>90120</v>
          </cell>
        </row>
        <row r="812">
          <cell r="F812">
            <v>4478</v>
          </cell>
          <cell r="G812" t="str">
            <v>CUADRILLA (2 AYUDANTES).</v>
          </cell>
          <cell r="H812" t="str">
            <v>JR</v>
          </cell>
          <cell r="I812">
            <v>127444</v>
          </cell>
        </row>
        <row r="813">
          <cell r="F813">
            <v>4479</v>
          </cell>
          <cell r="G813" t="str">
            <v>CUADRILLA (2 AYUDANTES)</v>
          </cell>
          <cell r="H813" t="str">
            <v>HR</v>
          </cell>
          <cell r="I813">
            <v>15930</v>
          </cell>
        </row>
        <row r="814">
          <cell r="F814">
            <v>4481</v>
          </cell>
          <cell r="G814" t="str">
            <v>CARCAMO DOCE DUCTOS ETB</v>
          </cell>
          <cell r="H814" t="str">
            <v>ML</v>
          </cell>
          <cell r="I814">
            <v>269238</v>
          </cell>
        </row>
        <row r="815">
          <cell r="F815">
            <v>4485</v>
          </cell>
          <cell r="G815" t="str">
            <v>MEZCLA ASFÁLTICA EN CALIENTE TIPO DENSO MD20 ASF CONVENCIONAL 80-100 (SUMINISTRO, EXTENDIDO Y NIVELACIÓN MANUAL Y COMPACTACIÓN MECANICA) INCLUYE: VIBRO COMPACTADOR BENITIN DE 1 TONELADA - INCLUYE OPERARIO Y COMBUSTIBLE</v>
          </cell>
          <cell r="H815" t="str">
            <v>M3</v>
          </cell>
          <cell r="I815">
            <v>1066302</v>
          </cell>
        </row>
        <row r="816">
          <cell r="F816">
            <v>4486</v>
          </cell>
          <cell r="G816" t="str">
            <v>MEZCLA ASFÁLTICA EN CALIENTE TIPO DENSO MD10 ASF CONVENCIONAL (CEMENTO ASFÁLTICO 80-100) (SUMINISTRO, EXTENDIDO Y NIVELACIÓN MANUAL Y COMPACTACIÓN MECANICA CON VIBROCOMPACTADOR BENITIN DE 1 TONELADA)</v>
          </cell>
          <cell r="H816" t="str">
            <v>M3</v>
          </cell>
          <cell r="I816">
            <v>1160724</v>
          </cell>
        </row>
        <row r="817">
          <cell r="F817">
            <v>4487</v>
          </cell>
          <cell r="G817" t="str">
            <v>BASE GRANULAR CLASE A (BG_A) (SUMINISTRO, EXTENDIDO MANUAL, HUMEDECIMIENTO Y COMPACTACIÓN)</v>
          </cell>
          <cell r="H817" t="str">
            <v>M3</v>
          </cell>
          <cell r="I817">
            <v>163610</v>
          </cell>
        </row>
        <row r="818">
          <cell r="F818">
            <v>4488</v>
          </cell>
          <cell r="G818" t="str">
            <v>BASE GRANULAR CLASE B (BG_B) (SUMINISTRO, EXTENDIDO MANUAL, HUMEDECIMIENTO Y COMPACTACIÓN)</v>
          </cell>
          <cell r="H818" t="str">
            <v>M3</v>
          </cell>
          <cell r="I818">
            <v>172892</v>
          </cell>
        </row>
        <row r="819">
          <cell r="F819">
            <v>4489</v>
          </cell>
          <cell r="G819" t="str">
            <v>SUBBASE GRANULAR CLASE B (SBG_B) (SUMINISTRO, EXTENDIDO MANUAL, HUMEDECIMIENTO Y COMPACTACIÓN)</v>
          </cell>
          <cell r="H819" t="str">
            <v>M3</v>
          </cell>
          <cell r="I819">
            <v>154328</v>
          </cell>
        </row>
        <row r="820">
          <cell r="F820">
            <v>4490</v>
          </cell>
          <cell r="G820" t="str">
            <v>BACHEO EN PAVIMENTO FLEXIBLE E= 0.12M. (INCLUYE DEMOLICIÓN MANUAL Y CARGUE DE PAVIMENTO FLEXIBLE DE E=0.12M, TRANSPORTE Y DISPOSICIÓN FINAL DE ESCOMBROS, EXCAVACIÓN Y REPOSICIÓN BASE GRANULAR CLASE B (BG_B) E=0.25M, BASE ASFALTICA MD10)</v>
          </cell>
          <cell r="H820" t="str">
            <v>M2</v>
          </cell>
          <cell r="I820">
            <v>211326</v>
          </cell>
        </row>
        <row r="821">
          <cell r="F821">
            <v>4501</v>
          </cell>
          <cell r="G821" t="str">
            <v>FRESADO Y REPOSICIÓN DE PAVIMENTO FLEXIBLE E=0.12M</v>
          </cell>
          <cell r="H821" t="str">
            <v>M2</v>
          </cell>
          <cell r="I821">
            <v>153439</v>
          </cell>
        </row>
        <row r="822">
          <cell r="F822">
            <v>4502</v>
          </cell>
          <cell r="G822" t="str">
            <v>DEMOLICIÓN Y RECONSTRUCCIÓN DE LOSAS EN CONCRETO HIDRÁULICO MR45 E=0.18M</v>
          </cell>
          <cell r="H822" t="str">
            <v>M2</v>
          </cell>
          <cell r="I822">
            <v>227248</v>
          </cell>
        </row>
        <row r="823">
          <cell r="F823">
            <v>4505</v>
          </cell>
          <cell r="G823" t="str">
            <v>PARCHEO EN PAVIMENTO FLEXIBLE E=10CM. (INCLUYE DEMOLICIÓN MANUAL Y CARGUE DE PAVIMENTO FLEXIBLE DE E=0.10M, TRANSPORTE Y DISPOSICIÓN FINAL DE ESCOMBROS, IMPRIMACIÓN, COLOCACIÓN Y COMPACTACIÓN MD20 E=6CM Y MD12 E=4CM , RIEGO CRR-1, IMPRIMA CLR-0)</v>
          </cell>
          <cell r="H823" t="str">
            <v>M2</v>
          </cell>
          <cell r="I823">
            <v>134449</v>
          </cell>
        </row>
        <row r="824">
          <cell r="F824">
            <v>4506</v>
          </cell>
          <cell r="G824" t="str">
            <v>BACHEO EN PAVIMENTO FLEXIBLE E= 0.10M. (INCLUYE DEMOLICIÓN MANUAL Y CARGUE DE PAVIMENTO FLEXIBLE DE E=0.10M, TRANSPORTE Y DISPOSICIÓN FINAL DE ESCOMBROS, EXCAVACIÓN Y REPOSICIÓN BASE GRANULAR CLASE C (BG_C) E=0.25M, BASE ASFALTICA MD10)</v>
          </cell>
          <cell r="H824" t="str">
            <v>M2</v>
          </cell>
          <cell r="I824">
            <v>195445</v>
          </cell>
        </row>
        <row r="825">
          <cell r="F825">
            <v>4510</v>
          </cell>
          <cell r="G825" t="str">
            <v>FRESADO Y REPOSICIÓN DE PAVIMENTO FLEXIBLE E=0.10M</v>
          </cell>
          <cell r="H825" t="str">
            <v>M2</v>
          </cell>
          <cell r="I825">
            <v>130145</v>
          </cell>
        </row>
        <row r="826">
          <cell r="F826">
            <v>4513</v>
          </cell>
          <cell r="G826" t="str">
            <v>BASE GRANULAR CLASE C (BG_C) (SUMINISTRO, EXTENDIDO MANUAL, HUMEDECIMIENTO Y COMPACTACIÓN)</v>
          </cell>
          <cell r="H826" t="str">
            <v>M3</v>
          </cell>
          <cell r="I826">
            <v>157422</v>
          </cell>
        </row>
        <row r="827">
          <cell r="F827">
            <v>4514</v>
          </cell>
          <cell r="G827" t="str">
            <v>PARCHEO EN PAVIMENTO FLEXIBLE E=0.14M. (INCLUYE DEMOLICIÓN MANUAL Y CARGUE DE PAVIMENTO FLEXIBLE DE E=0.14M, TRANSPORTE Y DISPOSICIÓN FINAL DE ESCOMBROS, IMPRIMACIÓN, COLOCACIÓN Y COMPACTACIÓN MD20 E=10CM Y MD12 E=4CM , RIEGO CRR-1, IMPRIMA CLR-0)</v>
          </cell>
          <cell r="H827" t="str">
            <v>M2</v>
          </cell>
          <cell r="I827">
            <v>178916</v>
          </cell>
        </row>
        <row r="828">
          <cell r="F828">
            <v>4515</v>
          </cell>
          <cell r="G828" t="str">
            <v>BACHEO EN PAVIMENTO FLEXIBLE E= 0.14M. (INCLUYE DEMOLICIÓN MANUAL Y CARGUE DE PAVIMENTO FLEXIBLE DE E=0.14M, TRANSPORTE Y DISPOSICIÓN FINAL DE ESCOMBROS, EXCAVACIÓN Y REPOSICIÓN BASE GRANULAR CLASE A (BG_A) E=0.20M, BASE ASFALTICA MD10)</v>
          </cell>
          <cell r="H828" t="str">
            <v>M2</v>
          </cell>
          <cell r="I828">
            <v>231442</v>
          </cell>
        </row>
        <row r="829">
          <cell r="F829">
            <v>4516</v>
          </cell>
          <cell r="G829" t="str">
            <v>FRESADO Y REPOSICIÓN DE PAVIMENTO FLEXIBLE E=0.14M</v>
          </cell>
          <cell r="H829" t="str">
            <v>M2</v>
          </cell>
          <cell r="I829">
            <v>176737</v>
          </cell>
        </row>
        <row r="830">
          <cell r="F830">
            <v>4518</v>
          </cell>
          <cell r="G830" t="str">
            <v>SOBRECARPETA: RODADURA ASFÁLTICA E=0.04M</v>
          </cell>
          <cell r="H830" t="str">
            <v>M2</v>
          </cell>
          <cell r="I830">
            <v>50242</v>
          </cell>
        </row>
        <row r="831">
          <cell r="F831">
            <v>4519</v>
          </cell>
          <cell r="G831" t="str">
            <v>SOBRECARPETA: RODADURA ASFÁLTICA E=0.06M</v>
          </cell>
          <cell r="H831" t="str">
            <v>M2</v>
          </cell>
          <cell r="I831">
            <v>67526</v>
          </cell>
        </row>
        <row r="832">
          <cell r="F832">
            <v>4520</v>
          </cell>
          <cell r="G832" t="str">
            <v>SOBRECARPETA: RODADURA ASFÁLTICA e=0.08M</v>
          </cell>
          <cell r="H832" t="str">
            <v>M2</v>
          </cell>
          <cell r="I832">
            <v>86025</v>
          </cell>
        </row>
        <row r="833">
          <cell r="F833">
            <v>4522</v>
          </cell>
          <cell r="G833" t="str">
            <v>BACHEO EN PAVIMENTO FLEXIBLE E= 0.12M (ESTABILIZACIÓN DE BASE GRANULAR CON EMULSIÓN + CEMENTO 5% E=0.10M. INCLUYE DEMOLICIÓN Y CARGUE DE PAVIMENTO FLEXIBLE DE E=0.12M, TRANSPORTE Y DISPOSICIÓN ESCOMBROS, EXCAVACIÓN Y BASE (BG-B) E=0.10, MD 10)</v>
          </cell>
          <cell r="H833" t="str">
            <v>M2</v>
          </cell>
          <cell r="I833">
            <v>216566</v>
          </cell>
        </row>
        <row r="834">
          <cell r="F834">
            <v>4525</v>
          </cell>
          <cell r="G834" t="str">
            <v>SELLADO DE JUNTAS EN PAVIMENTO FLEXIBLE (INCLUYE LIMPIEZA, SUMINISTRO E INSTALACIÓN DE FONDO Y EMULSIÓN ASFÁLTICA CRR-1)</v>
          </cell>
          <cell r="H834" t="str">
            <v>ML</v>
          </cell>
          <cell r="I834">
            <v>7040</v>
          </cell>
        </row>
        <row r="835">
          <cell r="F835">
            <v>4541</v>
          </cell>
          <cell r="G835" t="str">
            <v>PARCHEO EN PAVIMENTO FLEXIBLE CON MD12. (INCLUYE DEMOLICIÓN MANUAL Y CARGUE DE PAVIMENTO FLEXIBLE, TRANSPORTE Y DISPOSICIÓN FINAL DE ESCOMBROS, IMPRIMACIÓN, COLOCACIÓN Y COMPACTACIÓN BASE ASFÁLTICA MD12, RIEGO CRR-1)</v>
          </cell>
          <cell r="H835" t="str">
            <v>M3</v>
          </cell>
          <cell r="I835">
            <v>1211126</v>
          </cell>
        </row>
        <row r="836">
          <cell r="F836">
            <v>4542</v>
          </cell>
          <cell r="G836" t="str">
            <v>PARCHEO EN PAVIMENTO FLEXIBLE CON MD-12. (INCLUYE DEMOLICIÓN MANUAL Y CARGUE DE PAVIMENTO FLEXIBLE, TRANSPORTE Y DISPOSICIÓN FINAL DE ESCOMBROS, IMPRIMACIÓN, COLOCACIÓN Y COMPACTACIÓN BASE ASFÁLTICA MD-12, RIEGO CRR-1)</v>
          </cell>
          <cell r="H836" t="str">
            <v>M3</v>
          </cell>
          <cell r="I836">
            <v>1211117</v>
          </cell>
        </row>
        <row r="837">
          <cell r="F837">
            <v>4543</v>
          </cell>
          <cell r="G837" t="str">
            <v>SARDINEL PREFABRICADO ALTO RAMPAS A86 (SUMINISTRO E INSTALACIÓN. INCLUYE 3CM MORTERO DE NIVELACIÓN 1:5)</v>
          </cell>
          <cell r="H837" t="str">
            <v>ML</v>
          </cell>
          <cell r="I837">
            <v>66990</v>
          </cell>
        </row>
        <row r="838">
          <cell r="F838">
            <v>4544</v>
          </cell>
          <cell r="G838" t="str">
            <v>SARDINEL PREFABRICADO ALTO RAMPAS A86 (SUMINISTRO E INSTALACIÓN. INCLUYE 3CM MORTERO DE NIVELACIÓN 2000 PSI)</v>
          </cell>
          <cell r="H838" t="str">
            <v>ML</v>
          </cell>
          <cell r="I838">
            <v>68579</v>
          </cell>
        </row>
        <row r="839">
          <cell r="F839">
            <v>4545</v>
          </cell>
          <cell r="G839" t="str">
            <v>SARDINEL PREFABRICADO ALTO RAMPAS A86 (SUMINISTRO E INSTALACIÓN. SIN MATERIAL DE BASE)</v>
          </cell>
          <cell r="H839" t="str">
            <v>ML</v>
          </cell>
          <cell r="I839">
            <v>65107</v>
          </cell>
        </row>
        <row r="840">
          <cell r="F840">
            <v>4549</v>
          </cell>
          <cell r="G840" t="str">
            <v>SUMIDERO ALCANTARILLADO COMBINADO EN ANDEN NS-047-1V4 EAAB</v>
          </cell>
          <cell r="H840" t="str">
            <v>UN</v>
          </cell>
          <cell r="I840">
            <v>6793514</v>
          </cell>
        </row>
        <row r="841">
          <cell r="F841">
            <v>4550</v>
          </cell>
          <cell r="G841" t="str">
            <v>SUMIDERO ALCANTARILLADO COMBINADO EN VIA NS-047-1V4 EAAB</v>
          </cell>
          <cell r="H841" t="str">
            <v>UN</v>
          </cell>
          <cell r="I841">
            <v>4768213</v>
          </cell>
        </row>
        <row r="842">
          <cell r="F842">
            <v>4551</v>
          </cell>
          <cell r="G842" t="str">
            <v>SUMIDERO ALCANTARILLADO PLUVIAL EN ANDEN NS-047-1V4 EAAB</v>
          </cell>
          <cell r="H842" t="str">
            <v>UN</v>
          </cell>
          <cell r="I842">
            <v>5341261</v>
          </cell>
        </row>
        <row r="843">
          <cell r="F843">
            <v>4553</v>
          </cell>
          <cell r="G843" t="str">
            <v>POZO DE INSPECCION D=1.7 M (INCL. SUMINISTRO E INSTALACION). INCLUYE CILINDRO POZO DE INSPECCION EN MAMPOSTERIA, CONO PREFABRICADO, PLACA FONDO.</v>
          </cell>
          <cell r="H843" t="str">
            <v>UN</v>
          </cell>
          <cell r="I843">
            <v>3309849</v>
          </cell>
        </row>
        <row r="844">
          <cell r="F844">
            <v>4555</v>
          </cell>
          <cell r="G844" t="str">
            <v>LOSA DE PAVIMENTO EN CONCRETO HIDRAULICO MR50 CON FORMALETA FIJA, HIERROS DE TRANSFERENCIA, HIERROS DE AMARRE, ADITIVOS</v>
          </cell>
          <cell r="H844" t="str">
            <v>M3</v>
          </cell>
          <cell r="I844">
            <v>733572</v>
          </cell>
        </row>
        <row r="845">
          <cell r="F845">
            <v>4556</v>
          </cell>
          <cell r="G845" t="str">
            <v>SUBBASE GRANULAR CLASE A (SBG_A) (SUMINISTRO, EXTENDIDO MANUAL, HUMEDECIMIENTO Y COMPACTACIÓN)</v>
          </cell>
          <cell r="H845" t="str">
            <v>M3</v>
          </cell>
          <cell r="I845">
            <v>148140</v>
          </cell>
        </row>
        <row r="846">
          <cell r="F846">
            <v>4557</v>
          </cell>
          <cell r="G846" t="str">
            <v>SUBBASE GRANULAR CLASE C (SBG_C) (SUMINISTRO, EXTENDIDO MANUAL, HUMEDECIMIENTO Y COMPACTACIÓN)</v>
          </cell>
          <cell r="H846" t="str">
            <v>M3</v>
          </cell>
          <cell r="I846">
            <v>145046</v>
          </cell>
        </row>
        <row r="847">
          <cell r="F847">
            <v>4558</v>
          </cell>
          <cell r="G847" t="str">
            <v>SUMIDERO ALCANTARILLADO PLUVIAL EN VIA NS-047-1V4 EAAB</v>
          </cell>
          <cell r="H847" t="str">
            <v>UN</v>
          </cell>
          <cell r="I847">
            <v>6822274</v>
          </cell>
        </row>
        <row r="848">
          <cell r="F848">
            <v>4559</v>
          </cell>
          <cell r="G848" t="str">
            <v>CONCRETO 1500 PSI (HECHO EN OBRA 1:3:5 CON ARENA Y GRAVILLA DE RÍO)</v>
          </cell>
          <cell r="H848" t="str">
            <v>M3</v>
          </cell>
          <cell r="I848">
            <v>368595</v>
          </cell>
        </row>
        <row r="849">
          <cell r="F849">
            <v>4560</v>
          </cell>
          <cell r="G849" t="str">
            <v>CONCRETO 2500 PSI (HECHO EN OBRA CON MATERIAL DE RÍO)</v>
          </cell>
          <cell r="H849" t="str">
            <v>M3</v>
          </cell>
          <cell r="I849">
            <v>397694</v>
          </cell>
        </row>
        <row r="850">
          <cell r="F850">
            <v>4561</v>
          </cell>
          <cell r="G850" t="str">
            <v>CONCRETO 3000 PSI (HECHO EN OBRA 1:2:2 CON MATERIAL DE RÍO)</v>
          </cell>
          <cell r="H850" t="str">
            <v>M3</v>
          </cell>
          <cell r="I850">
            <v>462577</v>
          </cell>
        </row>
        <row r="851">
          <cell r="F851">
            <v>4562</v>
          </cell>
          <cell r="G851" t="str">
            <v>RELLENO PARA ANDENES EN SUBBASE GRANULAR B-600 (SUMINISTRO, TRANSPORTE, EXTENDIDO, HUMEDECIMIENTO Y COMPACTACIÓN)</v>
          </cell>
          <cell r="H851" t="str">
            <v>M3</v>
          </cell>
          <cell r="I851">
            <v>121841</v>
          </cell>
        </row>
        <row r="852">
          <cell r="F852">
            <v>4563</v>
          </cell>
          <cell r="G852" t="str">
            <v>RELLENO PARA ANDENES EN SUBBASE GRANULAR B-200 (SUMINISTRO, EXTENDIDO, HUMEDECIMIENTO Y COMPACTACIÓN)</v>
          </cell>
          <cell r="H852" t="str">
            <v>M3</v>
          </cell>
          <cell r="I852">
            <v>86260</v>
          </cell>
        </row>
        <row r="853">
          <cell r="F853">
            <v>4564</v>
          </cell>
          <cell r="G853" t="str">
            <v>CONCRETO 2000 PSI (HECHO EN OBRA 1:3:3 CON MATERIAL DE RÍO)</v>
          </cell>
          <cell r="H853" t="str">
            <v>M3</v>
          </cell>
          <cell r="I853">
            <v>408756</v>
          </cell>
        </row>
        <row r="854">
          <cell r="F854">
            <v>4565</v>
          </cell>
          <cell r="G854" t="str">
            <v>CONCRETO 3500 PSI (HECHO EN OBRA CON MATERIAL DE RÍO)</v>
          </cell>
          <cell r="H854" t="str">
            <v>M3</v>
          </cell>
          <cell r="I854">
            <v>462069</v>
          </cell>
        </row>
        <row r="855">
          <cell r="F855">
            <v>4566</v>
          </cell>
          <cell r="G855" t="str">
            <v>CONCRETO 4000 PSI (HECHO EN OBRA CON MATERIAL DE RÍO)</v>
          </cell>
          <cell r="H855" t="str">
            <v>M3</v>
          </cell>
          <cell r="I855">
            <v>475493</v>
          </cell>
        </row>
        <row r="856">
          <cell r="F856">
            <v>4567</v>
          </cell>
          <cell r="G856" t="str">
            <v>MEZCLA ASFÁLTICA EN CALIENTE TIPO DENSO MD12 ASF CONVENCIONAL CON CEMENTO ASFÁLTICO 80-100 (SUMINISTRO, EXTENDIDO Y NIVELACIÓN MANUAL Y COMPACTACIÓN MECANICA CON VIBROCOMPACTADOR BENITIN DE 1 TONELADA INCLUYE OPERARIO Y COMBUSTIBLE)</v>
          </cell>
          <cell r="H856" t="str">
            <v>M3</v>
          </cell>
          <cell r="I856">
            <v>1076248</v>
          </cell>
        </row>
        <row r="857">
          <cell r="F857">
            <v>4568</v>
          </cell>
          <cell r="G857" t="str">
            <v>MEZCLA DENSA EN CALIENTE MD-12 Asfalto 80-100 (Suministro, Extendido y Nivelación Manual y Compactación mecánica con Vibrocompactador Benitín de 1 Tonelada, incluye operario y combustible)</v>
          </cell>
          <cell r="H857" t="str">
            <v>M3</v>
          </cell>
          <cell r="I857">
            <v>1076248</v>
          </cell>
        </row>
        <row r="858">
          <cell r="F858">
            <v>4569</v>
          </cell>
          <cell r="G858" t="str">
            <v>ESTOPEROLES DE 10 CM X 2.5 CM. SUMINISTRO E INSTALACION.</v>
          </cell>
          <cell r="H858" t="str">
            <v>UN</v>
          </cell>
          <cell r="I858">
            <v>8084</v>
          </cell>
        </row>
        <row r="859">
          <cell r="F859">
            <v>4578</v>
          </cell>
          <cell r="G859" t="str">
            <v>CONSTRUCCION DE BORDILLO PREFABRICADO A80. NO INCLUYE REDES</v>
          </cell>
          <cell r="H859" t="str">
            <v>ML</v>
          </cell>
          <cell r="I859">
            <v>82946</v>
          </cell>
        </row>
        <row r="860">
          <cell r="F860">
            <v>4581</v>
          </cell>
          <cell r="G860" t="str">
            <v>RETIRO DE ADOQUIN SOBRE MORTERO</v>
          </cell>
          <cell r="H860" t="str">
            <v>M2</v>
          </cell>
          <cell r="I860">
            <v>2429</v>
          </cell>
        </row>
        <row r="861">
          <cell r="F861">
            <v>4588</v>
          </cell>
          <cell r="G861" t="str">
            <v>CONSTRUCCIÓN DE ESCALERAS EN CONCRETO 3000 PSI GRAVA COMÚN. INCLUYE EXCAVACIÓN MANUAL, SUBBASE GRANULAR CLASE B, ACERO DE REFUERZO Y TRANSPORTE Y DISPOSICIÓN FINAL DE ESCOMBROS.</v>
          </cell>
          <cell r="H861" t="str">
            <v>M2</v>
          </cell>
          <cell r="I861">
            <v>405185</v>
          </cell>
        </row>
        <row r="862">
          <cell r="F862">
            <v>4592</v>
          </cell>
          <cell r="G862" t="str">
            <v>RETIRO DE ADOQUIN SOBRE ARENA</v>
          </cell>
          <cell r="H862" t="str">
            <v>M2</v>
          </cell>
          <cell r="I862">
            <v>1514</v>
          </cell>
        </row>
        <row r="863">
          <cell r="F863">
            <v>4593</v>
          </cell>
          <cell r="G863" t="str">
            <v>ADOQUIN DE ARCILLA TR. LIVIANO 20X10X6CM (SUMINISTRO E INSTALACIÓN. INCLUYE BASE 4CM MORTERO 2000 Y ARENA DE SELLO)</v>
          </cell>
          <cell r="H863" t="str">
            <v>M2</v>
          </cell>
          <cell r="I863">
            <v>81483</v>
          </cell>
        </row>
        <row r="864">
          <cell r="F864">
            <v>4598</v>
          </cell>
          <cell r="G864" t="str">
            <v>SELLO DE GRIETAS</v>
          </cell>
          <cell r="H864" t="str">
            <v>ML</v>
          </cell>
          <cell r="I864">
            <v>9652</v>
          </cell>
        </row>
        <row r="865">
          <cell r="F865">
            <v>4599</v>
          </cell>
          <cell r="G865" t="str">
            <v>TRATAMIENTO SUPERFICIAL SIMPLE</v>
          </cell>
          <cell r="H865" t="str">
            <v>M2</v>
          </cell>
          <cell r="I865">
            <v>56790</v>
          </cell>
        </row>
        <row r="866">
          <cell r="F866">
            <v>4600</v>
          </cell>
          <cell r="G866" t="str">
            <v>TRATAMIENTO SUPERFICIAL DOBLE</v>
          </cell>
          <cell r="H866" t="str">
            <v>M2</v>
          </cell>
          <cell r="I866">
            <v>124418</v>
          </cell>
        </row>
        <row r="867">
          <cell r="F867">
            <v>4601</v>
          </cell>
          <cell r="G867" t="str">
            <v>SOBRECARPETA: RODADURA ASFÁLTICA E=0.05M</v>
          </cell>
          <cell r="H867" t="str">
            <v>M2</v>
          </cell>
          <cell r="I867">
            <v>56917</v>
          </cell>
        </row>
        <row r="868">
          <cell r="F868">
            <v>4602</v>
          </cell>
          <cell r="G868" t="str">
            <v>RECONSTRUCCION TRATAMIENTO SUPERFICIAL DOBLE</v>
          </cell>
          <cell r="H868" t="str">
            <v>M2</v>
          </cell>
          <cell r="I868">
            <v>143119</v>
          </cell>
        </row>
        <row r="869">
          <cell r="F869">
            <v>4604</v>
          </cell>
          <cell r="G869" t="str">
            <v>DESCAPOTE A MAQUINA EN MATERIAL COMUN (E=0.1M. INCLUYE CARGUE). INCLUYE DISPOSICION FINAL DE ESCOMBROS</v>
          </cell>
          <cell r="H869" t="str">
            <v>M2</v>
          </cell>
          <cell r="I869">
            <v>5444</v>
          </cell>
        </row>
        <row r="870">
          <cell r="F870">
            <v>4606</v>
          </cell>
          <cell r="G870" t="str">
            <v>TRITURADO 3/4" E=0.1M. SUMINISTRO E INSTALACION.</v>
          </cell>
          <cell r="H870" t="str">
            <v>M2</v>
          </cell>
          <cell r="I870">
            <v>25674</v>
          </cell>
        </row>
        <row r="871">
          <cell r="F871">
            <v>4611</v>
          </cell>
          <cell r="G871" t="str">
            <v>CARCAMO TIPO PLACA DE PROTECCIÓN PARA TUBERÍA Ø 8" NORMA EAAB NS-090 . 3V.2. INCLUYE: DESPERDICIOS, COMPACTACIÓN Y DESPUNTES.</v>
          </cell>
          <cell r="H871" t="str">
            <v>ML</v>
          </cell>
          <cell r="I871">
            <v>169439</v>
          </cell>
        </row>
        <row r="872">
          <cell r="F872">
            <v>4612</v>
          </cell>
          <cell r="G872" t="str">
            <v>CARCAMO TIPO PLACA DE PROTECCIÓN PARA TUBERÍA Ø 10" NORMA EAAB NS-090 . 3V.2. INCLUYE: DESPERDICIOS, COMPACTACIÓN Y DESPUNTES.</v>
          </cell>
          <cell r="H872" t="str">
            <v>ML</v>
          </cell>
          <cell r="I872">
            <v>169921</v>
          </cell>
        </row>
        <row r="873">
          <cell r="F873">
            <v>4613</v>
          </cell>
          <cell r="G873" t="str">
            <v>TRANSPORTE Y DISPOSICION FINAL DE ESCOMBROS EN SITIO AUTORIZADO (DISTANCIA DE TRANSPORTE 28 KM)</v>
          </cell>
          <cell r="H873" t="str">
            <v>M3</v>
          </cell>
          <cell r="I873">
            <v>45039</v>
          </cell>
        </row>
        <row r="874">
          <cell r="F874">
            <v>4614</v>
          </cell>
          <cell r="G874" t="str">
            <v>CARCAMO TIPO PLACA DE PROTECCIÓN PARA TUBERÍA Ø 12" NORMA EAAB NS-090 . 3V.2. INCLUYE: DESPERDICIOS, COMPACTACIÓN Y DESPUNTES.</v>
          </cell>
          <cell r="H874" t="str">
            <v>ML</v>
          </cell>
          <cell r="I874">
            <v>170394</v>
          </cell>
        </row>
        <row r="875">
          <cell r="F875">
            <v>4615</v>
          </cell>
          <cell r="G875" t="str">
            <v>CARCAMO TIPO PLACA DE PROTECCIÓN PARA TUBERÍA Ø 16" NORMA EAAB NS-090 . 3V.2. INCLUYE: DESPERDICIOS, COMPACTACIÓN Y DESPUNTES.</v>
          </cell>
          <cell r="H875" t="str">
            <v>ML</v>
          </cell>
          <cell r="I875">
            <v>217834</v>
          </cell>
        </row>
        <row r="876">
          <cell r="F876">
            <v>4616</v>
          </cell>
          <cell r="G876" t="str">
            <v>CARCAMO TIPO PLACA DE PROTECCIÓN PARA TUBERÍA Ø 18" NORMA EAAB NS-090 . 3V.2. INCLUYE: DESPERDICIOS, COMPACTACIÓN Y DESPUNTES.</v>
          </cell>
          <cell r="H876" t="str">
            <v>ML</v>
          </cell>
          <cell r="I876">
            <v>218313</v>
          </cell>
        </row>
        <row r="877">
          <cell r="F877">
            <v>4617</v>
          </cell>
          <cell r="G877" t="str">
            <v>CARCAMO TIPO PLACA DE PROTECCIÓN PARA TUBERÍA Ø 20" NORMA EAAB NS-090 . 3V.2. INCLUYE: DESPERDICIOS, COMPACTACIÓN Y DESPUNTES.</v>
          </cell>
          <cell r="H877" t="str">
            <v>ML</v>
          </cell>
          <cell r="I877">
            <v>259601</v>
          </cell>
        </row>
        <row r="878">
          <cell r="F878">
            <v>4618</v>
          </cell>
          <cell r="G878" t="str">
            <v>CARCAMO TIPO PLACA DE PROTECCIÓN PARA TUBERÍA Ø 24" NORMA EAAB NS-090 . 3V.2. INCLUYE: DESPERDICIOS, COMPACTACIÓN Y DESPUNTES.</v>
          </cell>
          <cell r="H878" t="str">
            <v>ML</v>
          </cell>
          <cell r="I878">
            <v>269888</v>
          </cell>
        </row>
        <row r="879">
          <cell r="F879">
            <v>4619</v>
          </cell>
          <cell r="G879" t="str">
            <v>CARCAMO TIPO PLACA DE PROTECCIÓN PARA TUBERÍA Ø 27" NORMA EAAB NS-090 . 3V.2. INCLUYE: DESPERDICIOS, COMPACTACIÓN Y DESPUNTES.</v>
          </cell>
          <cell r="H879" t="str">
            <v>ML</v>
          </cell>
          <cell r="I879">
            <v>295803</v>
          </cell>
        </row>
        <row r="880">
          <cell r="F880">
            <v>4620</v>
          </cell>
          <cell r="G880" t="str">
            <v>CARCAMO TIPO PLACA DE PROTECCIÓN PARA TUBERÍA Ø 30" NORMA EAAB NS-090 . 3V.2. INCLUYE: DESPERDICIOS, COMPACTACIÓN Y DESPUNTES.</v>
          </cell>
          <cell r="H880" t="str">
            <v>ML</v>
          </cell>
          <cell r="I880">
            <v>319621</v>
          </cell>
        </row>
        <row r="881">
          <cell r="F881">
            <v>4621</v>
          </cell>
          <cell r="G881" t="str">
            <v>CARCAMO TIPO PLACA DE PROTECCIÓN PARA TUBERÍA Ø 32" NORMA EAAB NS-090 . 3V.2. INCLUYE: DESPERDICIOS, COMPACTACIÓN Y DESPUNTES.</v>
          </cell>
          <cell r="H881" t="str">
            <v>ML</v>
          </cell>
          <cell r="I881">
            <v>354397</v>
          </cell>
        </row>
        <row r="882">
          <cell r="F882">
            <v>4622</v>
          </cell>
          <cell r="G882" t="str">
            <v>CARCAMO TIPO PLACA DE PROTECCIÓN PARA TUBERÍA Ø 36" NORMA EAAB NS-090 . 3V.2. INCLUYE: DESPERDICIOS, COMPACTACIÓN Y DESPUNTES.</v>
          </cell>
          <cell r="H882" t="str">
            <v>ML</v>
          </cell>
          <cell r="I882">
            <v>372963</v>
          </cell>
        </row>
        <row r="883">
          <cell r="F883">
            <v>4624</v>
          </cell>
          <cell r="G883" t="str">
            <v>TUBERIA GRP 300MM (INCLUYE TRANSPORTE). SUMINISTRO E INSTALACION.</v>
          </cell>
          <cell r="H883" t="str">
            <v>ML</v>
          </cell>
          <cell r="I883">
            <v>492131</v>
          </cell>
        </row>
        <row r="884">
          <cell r="F884">
            <v>4625</v>
          </cell>
          <cell r="G884" t="str">
            <v>TUBERIA GRP 400MM (INCLUYE TRANSPORTE). SUMINISTRO E INSTALACION.</v>
          </cell>
          <cell r="H884" t="str">
            <v>ML</v>
          </cell>
          <cell r="I884">
            <v>647456</v>
          </cell>
        </row>
        <row r="885">
          <cell r="F885">
            <v>4626</v>
          </cell>
          <cell r="G885" t="str">
            <v>TUBERIA GRP 500MM (INCLUYE TRANSPORTE). SUMINISTRO E INSTALACION.</v>
          </cell>
          <cell r="H885" t="str">
            <v>ML</v>
          </cell>
          <cell r="I885">
            <v>843200</v>
          </cell>
        </row>
        <row r="886">
          <cell r="F886">
            <v>4627</v>
          </cell>
          <cell r="G886" t="str">
            <v>TUBERIA GRP 600MM (INCLUYE TRANSPORTE). SUMINISTRO E INSTALACION.</v>
          </cell>
          <cell r="H886" t="str">
            <v>ML</v>
          </cell>
          <cell r="I886">
            <v>983377</v>
          </cell>
        </row>
        <row r="887">
          <cell r="F887">
            <v>4628</v>
          </cell>
          <cell r="G887" t="str">
            <v>TUBERIA GRP 700MM (INCLUYE TRANSPORTE). SUMINISTRO E INSTALACION.</v>
          </cell>
          <cell r="H887" t="str">
            <v>ML</v>
          </cell>
          <cell r="I887">
            <v>1230413</v>
          </cell>
        </row>
        <row r="888">
          <cell r="F888">
            <v>4629</v>
          </cell>
          <cell r="G888" t="str">
            <v>TUBERIA GRP 800MM (INCLUYE TRANSPORTE). SUMINISTRO E INSTALACION.</v>
          </cell>
          <cell r="H888" t="str">
            <v>ML</v>
          </cell>
          <cell r="I888">
            <v>1493688</v>
          </cell>
        </row>
        <row r="889">
          <cell r="F889">
            <v>4630</v>
          </cell>
          <cell r="G889" t="str">
            <v>TUBERIA GRP 900MM (INCLUYE TRANSPORTE). SUMINISTRO E INSTALACION.</v>
          </cell>
          <cell r="H889" t="str">
            <v>ML</v>
          </cell>
          <cell r="I889">
            <v>1806642</v>
          </cell>
        </row>
        <row r="890">
          <cell r="F890">
            <v>4631</v>
          </cell>
          <cell r="G890" t="str">
            <v>TUBERIA GRP 1000MM (INCLUYE TRANSPORTE). SUMINISTRO E INSTALACION.</v>
          </cell>
          <cell r="H890" t="str">
            <v>ML</v>
          </cell>
          <cell r="I890">
            <v>2033151</v>
          </cell>
        </row>
        <row r="891">
          <cell r="F891">
            <v>4632</v>
          </cell>
          <cell r="G891" t="str">
            <v>TUBERIA GRP 1100MM (INCLUYE TRANSPORTE). SUMINISTRO E INSTALACION.</v>
          </cell>
          <cell r="H891" t="str">
            <v>ML</v>
          </cell>
          <cell r="I891">
            <v>2380673</v>
          </cell>
        </row>
        <row r="892">
          <cell r="F892">
            <v>4633</v>
          </cell>
          <cell r="G892" t="str">
            <v>TUBERIA GRP 1200MM (INCLUYE TRANSPORTE). SUMINISTRO E INSTALACION.</v>
          </cell>
          <cell r="H892" t="str">
            <v>ML</v>
          </cell>
          <cell r="I892">
            <v>2761973</v>
          </cell>
        </row>
        <row r="893">
          <cell r="F893">
            <v>4634</v>
          </cell>
          <cell r="G893" t="str">
            <v>TUBERIA GRP 1300MM (INCLUYE TRANSPORTE). SUMINISTRO E INSTALACION.</v>
          </cell>
          <cell r="H893" t="str">
            <v>ML</v>
          </cell>
          <cell r="I893">
            <v>3170652</v>
          </cell>
        </row>
        <row r="894">
          <cell r="F894">
            <v>4635</v>
          </cell>
          <cell r="G894" t="str">
            <v>TUBERIA GRP 1400MM (INCLUYE TRANSPORTE). SUMINISTRO E INSTALACION.</v>
          </cell>
          <cell r="H894" t="str">
            <v>ML</v>
          </cell>
          <cell r="I894">
            <v>3582663</v>
          </cell>
        </row>
        <row r="895">
          <cell r="F895">
            <v>4636</v>
          </cell>
          <cell r="G895" t="str">
            <v>TUBERIA GRP 1500MM (INCLUYE TRANSPORTE). SUMINISTRO E INSTALACION.</v>
          </cell>
          <cell r="H895" t="str">
            <v>ML</v>
          </cell>
          <cell r="I895">
            <v>4074720</v>
          </cell>
        </row>
        <row r="896">
          <cell r="F896">
            <v>4637</v>
          </cell>
          <cell r="G896" t="str">
            <v>TUBERIA GRP 1600MM (INCLUYE TRANSPORTE). SUMINISTRO E INSTALACION.</v>
          </cell>
          <cell r="H896" t="str">
            <v>ML</v>
          </cell>
          <cell r="I896">
            <v>4585108</v>
          </cell>
        </row>
        <row r="897">
          <cell r="F897">
            <v>4638</v>
          </cell>
          <cell r="G897" t="str">
            <v>TUBERIA GRP 1700MM (INCLUYE TRANSPORTE). SUMINISTRO E INSTALACION.</v>
          </cell>
          <cell r="H897" t="str">
            <v>ML</v>
          </cell>
          <cell r="I897">
            <v>5128779</v>
          </cell>
        </row>
        <row r="898">
          <cell r="F898">
            <v>4639</v>
          </cell>
          <cell r="G898" t="str">
            <v>CONSTRUCCIÓN DE PAVIMENTO FLEXIBLE MD10 E=0.08M Y MD20 E= 0.18M (NO INCLUYE SARDINEL)</v>
          </cell>
          <cell r="H898" t="str">
            <v>M2</v>
          </cell>
          <cell r="I898">
            <v>413879</v>
          </cell>
        </row>
        <row r="899">
          <cell r="F899">
            <v>4640</v>
          </cell>
          <cell r="G899" t="str">
            <v>CONSTRUCCIÓN DE PAVIMENTO FLEXIBLE MD10 E=0.06M Y MD20 E= 0.18M (NO INCLUYE SARDINEL)</v>
          </cell>
          <cell r="H899" t="str">
            <v>M2</v>
          </cell>
          <cell r="I899">
            <v>388713</v>
          </cell>
        </row>
        <row r="900">
          <cell r="F900">
            <v>4641</v>
          </cell>
          <cell r="G900" t="str">
            <v>ACOPLE GRP 300MM. SUMINISTRO E INSTALACION.</v>
          </cell>
          <cell r="H900" t="str">
            <v>UN</v>
          </cell>
          <cell r="I900">
            <v>703105</v>
          </cell>
        </row>
        <row r="901">
          <cell r="F901">
            <v>4642</v>
          </cell>
          <cell r="G901" t="str">
            <v>ACOPLE GRP 350MM. SUMINISTRO E INSTALACION.</v>
          </cell>
          <cell r="H901" t="str">
            <v>UN</v>
          </cell>
          <cell r="I901">
            <v>747448</v>
          </cell>
        </row>
        <row r="902">
          <cell r="F902">
            <v>4643</v>
          </cell>
          <cell r="G902" t="str">
            <v>ACOPLE GRP 400MM. SUMINISTRO E INSTALACION.</v>
          </cell>
          <cell r="H902" t="str">
            <v>UN</v>
          </cell>
          <cell r="I902">
            <v>796740</v>
          </cell>
        </row>
        <row r="903">
          <cell r="F903">
            <v>4644</v>
          </cell>
          <cell r="G903" t="str">
            <v>ACOPLE GRP 500MM. SUMINISTRO E INSTALACION.</v>
          </cell>
          <cell r="H903" t="str">
            <v>UN</v>
          </cell>
          <cell r="I903">
            <v>865400</v>
          </cell>
        </row>
        <row r="904">
          <cell r="F904">
            <v>4645</v>
          </cell>
          <cell r="G904" t="str">
            <v>ACOPLE GRP 600MM. SUMINISTRO E INSTALACION.</v>
          </cell>
          <cell r="H904" t="str">
            <v>UN</v>
          </cell>
          <cell r="I904">
            <v>1181920</v>
          </cell>
        </row>
        <row r="905">
          <cell r="F905">
            <v>4646</v>
          </cell>
          <cell r="G905" t="str">
            <v>ACOPLE GRP 700MM. SUMINISTRO E INSTALACION.</v>
          </cell>
          <cell r="H905" t="str">
            <v>UN</v>
          </cell>
          <cell r="I905">
            <v>1302224</v>
          </cell>
        </row>
        <row r="906">
          <cell r="F906">
            <v>4647</v>
          </cell>
          <cell r="G906" t="str">
            <v>ACOPLE GRP 800MM. SUMINISTRO E INSTALACION.</v>
          </cell>
          <cell r="H906" t="str">
            <v>UN</v>
          </cell>
          <cell r="I906">
            <v>1459934</v>
          </cell>
        </row>
        <row r="907">
          <cell r="F907">
            <v>4648</v>
          </cell>
          <cell r="G907" t="str">
            <v>ACOPLE GRP 900MM. SUMINISTRO E INSTALACION.</v>
          </cell>
          <cell r="H907" t="str">
            <v>UN</v>
          </cell>
          <cell r="I907">
            <v>1622133</v>
          </cell>
        </row>
        <row r="908">
          <cell r="F908">
            <v>4649</v>
          </cell>
          <cell r="G908" t="str">
            <v>ACOPLE GRP 1000MM. SUMINISTRO E INSTALACION.</v>
          </cell>
          <cell r="H908" t="str">
            <v>UN</v>
          </cell>
          <cell r="I908">
            <v>982197</v>
          </cell>
        </row>
        <row r="909">
          <cell r="F909">
            <v>4650</v>
          </cell>
          <cell r="G909" t="str">
            <v>ACOPLE GRP 1100MM. SUMINISTRO E INSTALACION.</v>
          </cell>
          <cell r="H909" t="str">
            <v>UN</v>
          </cell>
          <cell r="I909">
            <v>1048540</v>
          </cell>
        </row>
        <row r="910">
          <cell r="F910">
            <v>4651</v>
          </cell>
          <cell r="G910" t="str">
            <v>ACOPLE GRP 1200MM. SUMINISTRO E INSTALACION.</v>
          </cell>
          <cell r="H910" t="str">
            <v>UN</v>
          </cell>
          <cell r="I910">
            <v>1234138</v>
          </cell>
        </row>
        <row r="911">
          <cell r="F911">
            <v>4652</v>
          </cell>
          <cell r="G911" t="str">
            <v>ACOPLE GRP 1300MM. SUMINISTRO E INSTALACION.</v>
          </cell>
          <cell r="H911" t="str">
            <v>UN</v>
          </cell>
          <cell r="I911">
            <v>1631095</v>
          </cell>
        </row>
        <row r="912">
          <cell r="F912">
            <v>4653</v>
          </cell>
          <cell r="G912" t="str">
            <v>ACOPLE GRP 1400MM. SUMINISTRO E INSTALACION.</v>
          </cell>
          <cell r="H912" t="str">
            <v>UN</v>
          </cell>
          <cell r="I912">
            <v>1737674</v>
          </cell>
        </row>
        <row r="913">
          <cell r="F913">
            <v>4654</v>
          </cell>
          <cell r="G913" t="str">
            <v>ACOPLE GRP 1500MM. SUMINISTRO E INSTALACION.</v>
          </cell>
          <cell r="H913" t="str">
            <v>UN</v>
          </cell>
          <cell r="I913">
            <v>1874063</v>
          </cell>
        </row>
        <row r="914">
          <cell r="F914">
            <v>4655</v>
          </cell>
          <cell r="G914" t="str">
            <v>ACOPLE GRP 1600MM. SUMINISTRO E INSTALACION.</v>
          </cell>
          <cell r="H914" t="str">
            <v>UN</v>
          </cell>
          <cell r="I914">
            <v>2064393</v>
          </cell>
        </row>
        <row r="915">
          <cell r="F915">
            <v>4656</v>
          </cell>
          <cell r="G915" t="str">
            <v>ACOPLE GRP 1700MM. SUMINISTRO E INSTALACION.</v>
          </cell>
          <cell r="H915" t="str">
            <v>UN</v>
          </cell>
          <cell r="I915">
            <v>2184551</v>
          </cell>
        </row>
        <row r="916">
          <cell r="F916">
            <v>4657</v>
          </cell>
          <cell r="G916" t="str">
            <v>ACOPLE GRP 1800MM. SUMINISTRO E INSTALACION.</v>
          </cell>
          <cell r="H916" t="str">
            <v>UN</v>
          </cell>
          <cell r="I916">
            <v>2424792</v>
          </cell>
        </row>
        <row r="917">
          <cell r="F917">
            <v>4658</v>
          </cell>
          <cell r="G917" t="str">
            <v>ACOPLE GRP 2000MM. SUMINISTRO E INSTALACION.</v>
          </cell>
          <cell r="H917" t="str">
            <v>UN</v>
          </cell>
          <cell r="I917">
            <v>2654547</v>
          </cell>
        </row>
        <row r="918">
          <cell r="F918">
            <v>4659</v>
          </cell>
          <cell r="G918" t="str">
            <v>TUBERIA GRP 1800MM (INCLUYE TRANSPORTE). SUMINISTRO E INSTALACION.</v>
          </cell>
          <cell r="H918" t="str">
            <v>ML</v>
          </cell>
          <cell r="I918">
            <v>5710496</v>
          </cell>
        </row>
        <row r="919">
          <cell r="F919">
            <v>4660</v>
          </cell>
          <cell r="G919" t="str">
            <v>TUBERIA GRP 2000MM (INCLUYE TRANSPORTE). SUMINISTRO E INSTALACION.</v>
          </cell>
          <cell r="H919" t="str">
            <v>ML</v>
          </cell>
          <cell r="I919">
            <v>6934266</v>
          </cell>
        </row>
        <row r="920">
          <cell r="F920">
            <v>4661</v>
          </cell>
          <cell r="G920" t="str">
            <v>TUBERIA GRP 2400MM (INCLUYE TRANSPORTE). SUMINISTRO E INSTALACION.</v>
          </cell>
          <cell r="H920" t="str">
            <v>ML</v>
          </cell>
          <cell r="I920">
            <v>9765824</v>
          </cell>
        </row>
        <row r="921">
          <cell r="F921">
            <v>4662</v>
          </cell>
          <cell r="G921" t="str">
            <v>ACOPLE GRP 2400MM. SUMINISTRO E INSTALACION.</v>
          </cell>
          <cell r="H921" t="str">
            <v>UN</v>
          </cell>
          <cell r="I921">
            <v>3174433</v>
          </cell>
        </row>
        <row r="922">
          <cell r="F922">
            <v>4663</v>
          </cell>
          <cell r="G922" t="str">
            <v>PARCHEO EN PAVIMENTO FLEXIBLE E=0.12M. (INCLUYE DEMOLICIÓN MANUAL Y CARGUE DE PAVIMENTO FLEXIBLE DE E=0.12M, TRANSPORTE Y DISPOSICIÓN FINAL DE ESCOMBROS, IMPRIMACIÓN, COLOCACIÓN Y COMPACTACIÓN MD20 E=8CM Y MD12 E=4CM , RIEGO CRR-1, IMPRIMA CLR-0)</v>
          </cell>
          <cell r="H922" t="str">
            <v>M2</v>
          </cell>
          <cell r="I922">
            <v>156682</v>
          </cell>
        </row>
        <row r="923">
          <cell r="F923">
            <v>4668</v>
          </cell>
          <cell r="G923" t="str">
            <v>GEOTEXTIL NT 1600 PARA SEPARACION SUBRASANTE/CAPAS GRANULARES (INCLUYE SUMINISTRO E INSTALACIÓN)</v>
          </cell>
          <cell r="H923" t="str">
            <v>M2</v>
          </cell>
          <cell r="I923">
            <v>5667</v>
          </cell>
        </row>
        <row r="924">
          <cell r="F924">
            <v>4669</v>
          </cell>
          <cell r="G924" t="str">
            <v>GEOTEXTIL NT 1800 PARA SEPARACION SUBRASANTE/CAPAS GRANULARES (INCLUYE SUMINISTRO E INSTALACIÓN)</v>
          </cell>
          <cell r="H924" t="str">
            <v>M2</v>
          </cell>
          <cell r="I924">
            <v>6625</v>
          </cell>
        </row>
        <row r="925">
          <cell r="F925">
            <v>4670</v>
          </cell>
          <cell r="G925" t="str">
            <v>GEOTEXTIL NT 2000 PARA SEPARACION SUBRASANTE/CAPAS GRANULARES (INCLUYE SUMINISTRO E INSTALACIÓN)</v>
          </cell>
          <cell r="H925" t="str">
            <v>M2</v>
          </cell>
          <cell r="I925">
            <v>6494</v>
          </cell>
        </row>
        <row r="926">
          <cell r="F926">
            <v>4671</v>
          </cell>
          <cell r="G926" t="str">
            <v>GEOTEXTIL NT 2500 PARA SEPARACION SUBRASANTE/CAPAS GRANULARES (INCLUYE SUMINISTRO E INSTALACIÓN)</v>
          </cell>
          <cell r="H926" t="str">
            <v>M2</v>
          </cell>
          <cell r="I926">
            <v>7720</v>
          </cell>
        </row>
        <row r="927">
          <cell r="F927">
            <v>4672</v>
          </cell>
          <cell r="G927" t="str">
            <v>GEOTEXTIL NT 1600 PARA SUBDRENES/FILTROS (INCLUYE SUMINISTRO E INSTALACIÓN)</v>
          </cell>
          <cell r="H927" t="str">
            <v>M2</v>
          </cell>
          <cell r="I927">
            <v>5667</v>
          </cell>
        </row>
        <row r="928">
          <cell r="F928">
            <v>4673</v>
          </cell>
          <cell r="G928" t="str">
            <v>GEOTEXTIL NT 1800 PARA SUBDRENES/FILTROS (INCLUYE SUMINISTRO E INSTALACIÓN)</v>
          </cell>
          <cell r="H928" t="str">
            <v>M2</v>
          </cell>
          <cell r="I928">
            <v>6625</v>
          </cell>
        </row>
        <row r="929">
          <cell r="F929">
            <v>4674</v>
          </cell>
          <cell r="G929" t="str">
            <v>GEOTEXTIL NT 2000 PARA SUBDRENES/FILTROS (INCLUYE SUMINISTRO E INSTALACIÓN)</v>
          </cell>
          <cell r="H929" t="str">
            <v>M2</v>
          </cell>
          <cell r="I929">
            <v>7173</v>
          </cell>
        </row>
        <row r="930">
          <cell r="F930">
            <v>4675</v>
          </cell>
          <cell r="G930" t="str">
            <v>CANECA TIPO M120 (EN MALLA METÁLICA. INCLUYE SUMINISTRO E INSTALACIÓN. INCLUYE BASE EN CONCRETO 3000 PSI, PREMEZCLADO</v>
          </cell>
          <cell r="H930" t="str">
            <v>UN</v>
          </cell>
          <cell r="I930">
            <v>360072</v>
          </cell>
        </row>
        <row r="931">
          <cell r="F931">
            <v>4676</v>
          </cell>
          <cell r="G931" t="str">
            <v>GEOTEXTIL NT 2500 PARA SUBDRENES/FILTROS (INCLUYE SUMINISTRO E INSTALACIÓN)</v>
          </cell>
          <cell r="H931" t="str">
            <v>M2</v>
          </cell>
          <cell r="I931">
            <v>7720</v>
          </cell>
        </row>
        <row r="932">
          <cell r="F932">
            <v>4678</v>
          </cell>
          <cell r="G932" t="str">
            <v>ADOQUIN DE ARCILLA TR.PESADO 0.20X10X8CM (SUMINISTRO E INSTALACIÓN. INCLUYE BASE 4CM MORTERO 2000 Y ARENA DE SELLO)</v>
          </cell>
          <cell r="H932" t="str">
            <v>M2</v>
          </cell>
          <cell r="I932">
            <v>97967</v>
          </cell>
        </row>
        <row r="933">
          <cell r="F933">
            <v>4686</v>
          </cell>
          <cell r="G933" t="str">
            <v>REPOSICION BOLARDO M63 INCLUYE EXCAVACION CARGUE Y DISPOSICION FINAL DE ESCOMBROS Y BASE EN CONCRETO DE 1500PSI</v>
          </cell>
          <cell r="H933" t="str">
            <v>UN</v>
          </cell>
          <cell r="I933">
            <v>190842</v>
          </cell>
        </row>
        <row r="934">
          <cell r="F934">
            <v>4687</v>
          </cell>
          <cell r="G934" t="str">
            <v>REPOSICION BOLARDO M61 INCLUYE EXCAVACION CARGUE Y DISPOSICION FINAL DE ESCOMBROS Y BASE EN CONCRETO DE 1500PSI</v>
          </cell>
          <cell r="H934" t="str">
            <v>UN</v>
          </cell>
          <cell r="I934">
            <v>142049</v>
          </cell>
        </row>
        <row r="935">
          <cell r="F935">
            <v>4688</v>
          </cell>
          <cell r="G935" t="str">
            <v>REPOSICION DE PROTECTOR DE ARBOL DE UN TUBO M91. INCLUYE EXCAVACION. TRANSPORTE Y DISPOSICION FINAL, INSTALA. NUEVO PROT</v>
          </cell>
          <cell r="H935" t="str">
            <v>UN</v>
          </cell>
          <cell r="I935">
            <v>219223</v>
          </cell>
        </row>
        <row r="936">
          <cell r="F936">
            <v>4689</v>
          </cell>
          <cell r="G936" t="str">
            <v>BOLARDO EN CONCRETO TIPO M60 (SUMINISTRO E INSTALACIÓN. INCLUYE BASE EN CONCRETO 3000 PSI, HECHO EN OBRA)</v>
          </cell>
          <cell r="H936" t="str">
            <v>UN</v>
          </cell>
          <cell r="I936">
            <v>201695</v>
          </cell>
        </row>
        <row r="937">
          <cell r="F937">
            <v>4690</v>
          </cell>
          <cell r="G937" t="str">
            <v>BOLARDO EN CONCRETO TIPO M60 (SUMINISTRO E INSTALACIÓN. INCLUYE BASE EN CONCRETO 3000 PSI, PREMEZCLADO)</v>
          </cell>
          <cell r="H937" t="str">
            <v>UN</v>
          </cell>
          <cell r="I937">
            <v>203790</v>
          </cell>
        </row>
        <row r="938">
          <cell r="F938">
            <v>4691</v>
          </cell>
          <cell r="G938" t="str">
            <v>BOLARDO EN CONCRETO TIPO M60 (SUMINISTRO E INSTALACIÓN. NO INCLUYE BASE EN CONCRETO)</v>
          </cell>
          <cell r="H938" t="str">
            <v>UN</v>
          </cell>
          <cell r="I938">
            <v>160895</v>
          </cell>
        </row>
        <row r="939">
          <cell r="F939">
            <v>4692</v>
          </cell>
          <cell r="G939" t="str">
            <v>BOLARDO EN CONCRETO TIPO M61 (SUMINISTRO E INSTALACIÓN. INCLUYE BASE EN CONCRETO 3000 PSI, HECHO EN OBRA)</v>
          </cell>
          <cell r="H939" t="str">
            <v>UN</v>
          </cell>
          <cell r="I939">
            <v>176910</v>
          </cell>
        </row>
        <row r="940">
          <cell r="F940">
            <v>4693</v>
          </cell>
          <cell r="G940" t="str">
            <v>BOLARDO EN CONCRETO TIPO M61 (SUMINISTRO E INSTALACIÓN. INCLUYE BASE EN CONCRETO 3000 PSI, PREMEZCLADO)</v>
          </cell>
          <cell r="H940" t="str">
            <v>UN</v>
          </cell>
          <cell r="I940">
            <v>179005</v>
          </cell>
        </row>
        <row r="941">
          <cell r="F941">
            <v>4694</v>
          </cell>
          <cell r="G941" t="str">
            <v>BOLARDO EN CONCRETO TIPO M61 (SUMINISTRO E INSTALACIÓN. NO INCLUYE BASE EN CONCRETO 3000)</v>
          </cell>
          <cell r="H941" t="str">
            <v>UN</v>
          </cell>
          <cell r="I941">
            <v>141939</v>
          </cell>
        </row>
        <row r="942">
          <cell r="F942">
            <v>4695</v>
          </cell>
          <cell r="G942" t="str">
            <v>PINTURA SOBRE ESTRUCTURA METÁLICA GALVANIZADA. INCLUYE LIMPIEZA SSPC-SP3, BARRERA EPOXICA e=3mils, ACABADO URETANO e=3mils</v>
          </cell>
          <cell r="H942" t="str">
            <v>KG</v>
          </cell>
          <cell r="I942">
            <v>2638</v>
          </cell>
        </row>
        <row r="943">
          <cell r="F943">
            <v>4696</v>
          </cell>
          <cell r="G943" t="str">
            <v>PINTURA SOBRE ESTRUCTURA METÁLICA . INCLUYE LIMPIEZA SSPC-SP5, IMPRIMANTE EPOXICO RICO ZINC Y BARRERA EPOXICA, ACABADO URETANO e=3mils POR CAPA</v>
          </cell>
          <cell r="H943" t="str">
            <v>KG</v>
          </cell>
          <cell r="I943">
            <v>2612</v>
          </cell>
        </row>
        <row r="944">
          <cell r="F944">
            <v>4697</v>
          </cell>
          <cell r="G944" t="str">
            <v>BOLARDO EN HIERRO TIPO M62 (SUMINISTRO E INSTALACIÓN. INCLUYE BASE EN CONCRETO 3000 PSI, PREMEZCLADO)</v>
          </cell>
          <cell r="H944" t="str">
            <v>UN</v>
          </cell>
          <cell r="I944">
            <v>184561</v>
          </cell>
        </row>
        <row r="945">
          <cell r="F945">
            <v>4698</v>
          </cell>
          <cell r="G945" t="str">
            <v>BOLARDO EN HIERRO TIPO M62 (SUMINISTRO E INSTALACIÓN. INCLUYE BASE EN CONCRETO 3000 PSI, HECHO EN OBRA)</v>
          </cell>
          <cell r="H945" t="str">
            <v>UN</v>
          </cell>
          <cell r="I945">
            <v>183963</v>
          </cell>
        </row>
        <row r="946">
          <cell r="F946">
            <v>4699</v>
          </cell>
          <cell r="G946" t="str">
            <v>BOLARDO EN HIERRO TIPO M63 (SUMINISTRO E INSTALACIÓN. INCLUYE BASE EN CONCRETO 3000 PSI PREMEZCLADO)</v>
          </cell>
          <cell r="H946" t="str">
            <v>UN</v>
          </cell>
          <cell r="I946">
            <v>182262</v>
          </cell>
        </row>
        <row r="947">
          <cell r="F947">
            <v>4700</v>
          </cell>
          <cell r="G947" t="str">
            <v>BOLARDO EN HIERRO TIPO M63 (SUMINISTRO E INSTALACIÓN. INCLUYE BASE EN CONCRETO 3000 PSI, HECHO EN OBRA)</v>
          </cell>
          <cell r="H947" t="str">
            <v>UN</v>
          </cell>
          <cell r="I947">
            <v>176737</v>
          </cell>
        </row>
        <row r="948">
          <cell r="F948">
            <v>4703</v>
          </cell>
          <cell r="G948" t="str">
            <v>RETIRO DE LOSETA A-50 SOBRE ARENA</v>
          </cell>
          <cell r="H948" t="str">
            <v>M2</v>
          </cell>
          <cell r="I948">
            <v>2392</v>
          </cell>
        </row>
        <row r="949">
          <cell r="F949">
            <v>4704</v>
          </cell>
          <cell r="G949" t="str">
            <v>RETIRO DE LOSETA A-50 SOBRE MORTERO</v>
          </cell>
          <cell r="H949" t="str">
            <v>M2</v>
          </cell>
          <cell r="I949">
            <v>2548</v>
          </cell>
        </row>
        <row r="950">
          <cell r="F950">
            <v>4709</v>
          </cell>
          <cell r="G950" t="str">
            <v>PARCHEO EN PAVIMENTO FLEXIBLE E=0.10M CON MD12. (INCLUYE DEMOLICIÓN MANUAL Y CARGUE DE PAVIMENTO FLEXIBLE DE E=0.10M, TRANSPORTE Y DISPOSICIÓN FINAL DE ESCOMBROS, IMPRIMACIÓN, COLOCACIÓN Y COMPACTACIÓN BASE ASFÁLTICA MD20, IMPRIMA CLR-0)</v>
          </cell>
          <cell r="H950" t="str">
            <v>M2</v>
          </cell>
          <cell r="I950">
            <v>131931</v>
          </cell>
        </row>
        <row r="951">
          <cell r="F951">
            <v>4710</v>
          </cell>
          <cell r="G951" t="str">
            <v>DEMARCACION CON PINTURA TERMOPLASTICA PARA CICLORUTAS (INCLUYE SUMINISTRO, APLICACION CON MICROESFERA) A=10 CM</v>
          </cell>
          <cell r="H951" t="str">
            <v>ML</v>
          </cell>
          <cell r="I951">
            <v>12109</v>
          </cell>
        </row>
        <row r="952">
          <cell r="F952">
            <v>4711</v>
          </cell>
          <cell r="G952" t="str">
            <v>FLECHA DE FRENTE PARA CICLORRUTA EN PINTURA TERMOPLASTICA. (INCLUYE SUMINISTRO, APLICACION CON MICROESFERA)</v>
          </cell>
          <cell r="H952" t="str">
            <v>UN</v>
          </cell>
          <cell r="I952">
            <v>35599</v>
          </cell>
        </row>
        <row r="953">
          <cell r="F953">
            <v>4712</v>
          </cell>
          <cell r="G953" t="str">
            <v>MEZCLA ASFALTICA CON ASFALTO CAUCHO (SUMINISTRO, EXTENDIDO, NIVELACIÓN Y COMPACTACIÓN MECANICA)</v>
          </cell>
          <cell r="H953" t="str">
            <v>M3</v>
          </cell>
          <cell r="I953">
            <v>1458944</v>
          </cell>
        </row>
        <row r="954">
          <cell r="F954">
            <v>4737</v>
          </cell>
          <cell r="G954" t="str">
            <v>PILOTE D=80 CM CONCRETO TREMIE DE 3000 PSI. (INCL. EXCAVACIÓN, CARGUE, MOVILIZACIÓN, MONTAJE Y DESMONTAJE EQUIPO, Y CONCRETO)</v>
          </cell>
          <cell r="H954" t="str">
            <v>ML</v>
          </cell>
          <cell r="I954">
            <v>930488</v>
          </cell>
        </row>
        <row r="955">
          <cell r="F955">
            <v>4738</v>
          </cell>
          <cell r="G955" t="str">
            <v>PILOTE D=70 CM CONCRETO TREMIE DE 3000 PSI. (INCL. EXCAVACIÓN, CARGUE, MOVILIZACIÓN, MONTAJE Y DESMONTAJE EQUIPO, Y CONCRETO)</v>
          </cell>
          <cell r="H955" t="str">
            <v>ML</v>
          </cell>
          <cell r="I955">
            <v>705764</v>
          </cell>
        </row>
        <row r="956">
          <cell r="F956">
            <v>4739</v>
          </cell>
          <cell r="G956" t="str">
            <v>PILOTE D=90 CM CONCRETO TREMIE DE 3000 PSI. (INCL. EXCAVACIÓN, CARGUE, MOVILIZACIÓN, MONTAJE Y DESMONTAJE EQUIPO, Y CONCRETO)</v>
          </cell>
          <cell r="H956" t="str">
            <v>ML</v>
          </cell>
          <cell r="I956">
            <v>1016292</v>
          </cell>
        </row>
        <row r="957">
          <cell r="F957">
            <v>4740</v>
          </cell>
          <cell r="G957" t="str">
            <v>PILOTE D=100 CM CONCRETO TREMIE DE 3000 PSI. (INCL. EXCAVACIÓN, CARGUE, MOVILIZACIÓN, MONTAJE Y DESMONTAJE EQUIPO, Y CONCRETO)</v>
          </cell>
          <cell r="H957" t="str">
            <v>ML</v>
          </cell>
          <cell r="I957">
            <v>1112143</v>
          </cell>
        </row>
        <row r="958">
          <cell r="F958">
            <v>4741</v>
          </cell>
          <cell r="G958" t="str">
            <v>PILOTE D=110 CM CONCRETO TREMIE DE 3000 PSI. (INCL. EXCAVACIÓN, CARGUE, MOVILIZACIÓN, MONTAJE Y DESMONTAJE EQUIPO, Y CONCRETO)</v>
          </cell>
          <cell r="H958" t="str">
            <v>ML</v>
          </cell>
          <cell r="I958">
            <v>1516118</v>
          </cell>
        </row>
        <row r="959">
          <cell r="F959">
            <v>4742</v>
          </cell>
          <cell r="G959" t="str">
            <v>PILOTE D=120 CM CONCRETO TREMIE DE 3000 PSI. (INCL. EXCAVACIÓN, CARGUE, MOVILIZACIÓN, MONTAJE Y DESMONTAJE EQUIPO, Y CONCRETO)</v>
          </cell>
          <cell r="H959" t="str">
            <v>ML</v>
          </cell>
          <cell r="I959">
            <v>1632179</v>
          </cell>
        </row>
        <row r="960">
          <cell r="F960">
            <v>4743</v>
          </cell>
          <cell r="G960" t="str">
            <v>BASE GRANULAR CLASE B (BG_B) CON RECICLADO DE CONCRETO (SUMINISTRO, EXTENDIDO, NIVELACIÓN, HUMEDECIMIENTO Y COMPACTACIÓN CON VIBROCOMPACTADOR)</v>
          </cell>
          <cell r="H960" t="str">
            <v>M3</v>
          </cell>
          <cell r="I960">
            <v>157570</v>
          </cell>
        </row>
        <row r="961">
          <cell r="F961">
            <v>4744</v>
          </cell>
          <cell r="G961" t="str">
            <v>BASE GRANULAR CLASE A (BG_A) CON RECICLADO DE CONCRETO HIDRAULICO (SUMINISTRO, EXTENDIDO, NIVELACIÓN, HUMEDECIMIENTO Y COMPACTACIÓN CON VIBROCOMPACTADOR)</v>
          </cell>
          <cell r="H961" t="str">
            <v>M3</v>
          </cell>
          <cell r="I961">
            <v>166542</v>
          </cell>
        </row>
        <row r="962">
          <cell r="F962">
            <v>4745</v>
          </cell>
          <cell r="G962" t="str">
            <v>BASE GRANULAR CLASE C (BG_C) CON RECICLADO DE CONCRETO (SUMINISTRO, EXTENDIDO, NIVELACIÓN, HUMEDECIMIENTO Y COMPACTACIÓN CON VIBROCOMPACTADOR)</v>
          </cell>
          <cell r="H962" t="str">
            <v>M3</v>
          </cell>
          <cell r="I962">
            <v>155094</v>
          </cell>
        </row>
        <row r="963">
          <cell r="F963">
            <v>4746</v>
          </cell>
          <cell r="G963" t="str">
            <v>SUBBASE GRANULAR CLASE A (SBG_A) CON RECICLADO DE CONCRETO HIDRAULICO (SUMINISTRO, EXTENDIDO, NIVELACIÓN, HUMEDECIMIENTO Y COMPACTACIÓN CON VIBROCOMPACTADOR)</v>
          </cell>
          <cell r="H963" t="str">
            <v>M3</v>
          </cell>
          <cell r="I963">
            <v>152000</v>
          </cell>
        </row>
        <row r="964">
          <cell r="F964">
            <v>4747</v>
          </cell>
          <cell r="G964" t="str">
            <v>SUBBASE GRANULAR CLASE B (SBG_B) CON RECICLADO DE CONCRETO (SUMINISTRO, EXTENDIDO, NIVELACIÓN, HUMEDECIMIENTO Y COMPACTACIÓN CON VIBROCOMPACTADOR)</v>
          </cell>
          <cell r="H964" t="str">
            <v>M3</v>
          </cell>
          <cell r="I964">
            <v>152000</v>
          </cell>
        </row>
        <row r="965">
          <cell r="F965">
            <v>4748</v>
          </cell>
          <cell r="G965" t="str">
            <v>SUBBASE GRANULAR CLASE C (SBG_C) CON RECICLADO DE CONCRETO HIDRAULICO (SUMINISTRO, EXTENDIDO, NIVELACIÓN, HUMEDECIMIENTO Y COMPACTACIÓN CON VIBROCOMPACTADOR)</v>
          </cell>
          <cell r="H965" t="str">
            <v>M3</v>
          </cell>
          <cell r="I965">
            <v>144265</v>
          </cell>
        </row>
        <row r="966">
          <cell r="F966">
            <v>4749</v>
          </cell>
          <cell r="G966" t="str">
            <v>SUBBASE GRANULAR CON RECICLADO DE CONCRETO ASFALTICO (SUMINISTRO, EXTENDIDO, NIVELACIÓN, HUMEDECIMIENTO Y COMPACTACIÓN CON VIBROCOMPACTADOR)</v>
          </cell>
          <cell r="H966" t="str">
            <v>M3</v>
          </cell>
          <cell r="I966">
            <v>161997</v>
          </cell>
        </row>
        <row r="967">
          <cell r="F967">
            <v>4751</v>
          </cell>
          <cell r="G967" t="str">
            <v>FRANJA DE AJUSTE EN CONCRETO 3000 PSI E= 10 CM ANCHO ENTRE 12-20CM</v>
          </cell>
          <cell r="H967" t="str">
            <v>ML</v>
          </cell>
          <cell r="I967">
            <v>12856</v>
          </cell>
        </row>
        <row r="968">
          <cell r="F968">
            <v>4753</v>
          </cell>
          <cell r="G968" t="str">
            <v>SUBBASE GRANULAR CLASE A (SBG_A) CON RECICLADO DE CONCRETO HIDRAULICO (SUMINISTRO, EXTENDIDO MANUAL, HUMEDECIMIENTO Y COMPACTACIÓN CON VIBROCOMPACTADOR)</v>
          </cell>
          <cell r="H968" t="str">
            <v>M3</v>
          </cell>
          <cell r="I968">
            <v>154328</v>
          </cell>
        </row>
        <row r="969">
          <cell r="F969">
            <v>4754</v>
          </cell>
          <cell r="G969" t="str">
            <v>SUBBASE GRANULAR CLASE B (SBG_B) CON RECICLADO DE CONCRETO HIDRAULICO (SUMINISTRO, EXTENDIDO MANUAL, HUMEDECIMIENTO Y COMPACTACIÓN)</v>
          </cell>
          <cell r="H969" t="str">
            <v>M3</v>
          </cell>
          <cell r="I969">
            <v>154328</v>
          </cell>
        </row>
        <row r="970">
          <cell r="F970">
            <v>4755</v>
          </cell>
          <cell r="G970" t="str">
            <v>SUBBASE GRANULAR CLASE C (SBG_C) CON RECICLADO DE CONCRETO HIDRAULICO (SUMINISTRO, EXTENDIDO MANUAL, HUMEDECIMIENTO Y COMPACTACIÓN)</v>
          </cell>
          <cell r="H970" t="str">
            <v>M3</v>
          </cell>
          <cell r="I970">
            <v>146593</v>
          </cell>
        </row>
        <row r="971">
          <cell r="F971">
            <v>4758</v>
          </cell>
          <cell r="G971" t="str">
            <v>SELLO DE FISURAS</v>
          </cell>
          <cell r="H971" t="str">
            <v>ML</v>
          </cell>
          <cell r="I971">
            <v>7384</v>
          </cell>
        </row>
        <row r="972">
          <cell r="F972">
            <v>4759</v>
          </cell>
          <cell r="G972" t="str">
            <v>RETIRO DE PISO EN ALUMINIO EN PUENTE PEATONAL TIPO TRANSMILENIO PARA TABLERO Y ESCALERA</v>
          </cell>
          <cell r="H972" t="str">
            <v>ML</v>
          </cell>
          <cell r="I972">
            <v>39534</v>
          </cell>
        </row>
        <row r="973">
          <cell r="F973">
            <v>4760</v>
          </cell>
          <cell r="G973" t="str">
            <v>PISO EN LAMINA DE ALUMINIO PARA TABLERO DE PUENTE PEATONAL TIPO TRANSMILENIO. SUMINISTRO E INSTALACION.</v>
          </cell>
          <cell r="H973" t="str">
            <v>M2</v>
          </cell>
          <cell r="I973">
            <v>534289</v>
          </cell>
        </row>
        <row r="974">
          <cell r="F974">
            <v>4761</v>
          </cell>
          <cell r="G974" t="str">
            <v>PISO EN LAMINA DE ALUMINIO PARA ESCALERA DE PUENTE PEATONAL TIPO TRANSMILENIO. SUMINISTRO E INSTALACION.</v>
          </cell>
          <cell r="H974" t="str">
            <v>ML</v>
          </cell>
          <cell r="I974">
            <v>249633</v>
          </cell>
        </row>
        <row r="975">
          <cell r="F975">
            <v>4762</v>
          </cell>
          <cell r="G975" t="str">
            <v>RETIRO DE PISOS EN PANELES PREFABRICADOS EN CONCRETO REFORZADO PARA ESTACIONES TRANSMILENIO</v>
          </cell>
          <cell r="H975" t="str">
            <v>ML</v>
          </cell>
          <cell r="I975">
            <v>36661</v>
          </cell>
        </row>
        <row r="976">
          <cell r="F976">
            <v>4764</v>
          </cell>
          <cell r="G976" t="str">
            <v>AJUSTE DE TORNILLO EN PISO DE PUENTES PEATONALES METALICOS TIPO TRANSMILENIO</v>
          </cell>
          <cell r="H976" t="str">
            <v>UN</v>
          </cell>
          <cell r="I976">
            <v>1596</v>
          </cell>
        </row>
        <row r="977">
          <cell r="F977">
            <v>4765</v>
          </cell>
          <cell r="G977" t="str">
            <v>TORNILLO EN PISO DE PUENTES PEATONALES METALICOS TIPO TRANSMILENIO. SUMINISTRO E INSTALACION.</v>
          </cell>
          <cell r="H977" t="str">
            <v>UN</v>
          </cell>
          <cell r="I977">
            <v>1913</v>
          </cell>
        </row>
        <row r="978">
          <cell r="F978">
            <v>4776</v>
          </cell>
          <cell r="G978" t="str">
            <v>LIMPIEZA DE CUNETAS (INCLUYE CARGUE DE MATERIAL)</v>
          </cell>
          <cell r="H978" t="str">
            <v>M2</v>
          </cell>
          <cell r="I978">
            <v>2275</v>
          </cell>
        </row>
        <row r="979">
          <cell r="F979">
            <v>4777</v>
          </cell>
          <cell r="G979" t="str">
            <v>LIMPIEZA DE VALLADOS (INCLUYE CARGUE DE MATERIAL)</v>
          </cell>
          <cell r="H979" t="str">
            <v>M2</v>
          </cell>
          <cell r="I979">
            <v>4648</v>
          </cell>
        </row>
        <row r="980">
          <cell r="F980">
            <v>4778</v>
          </cell>
          <cell r="G980" t="str">
            <v>LIMPIEZA DE ALCANTARILLAS (INCLUYE LIMPIEZA DE TUBERIA DE 24", BOX, RECTIFICACION DE DESCOLES PARA UN ANCHO DE VIA PROMEDIO DE 10MT. (INCLUYE CARGUE DE MATERIAL)</v>
          </cell>
          <cell r="H980" t="str">
            <v>UN</v>
          </cell>
          <cell r="I980">
            <v>56752</v>
          </cell>
        </row>
        <row r="981">
          <cell r="F981">
            <v>4779</v>
          </cell>
          <cell r="G981" t="str">
            <v>LIMPIEZA DE ALCANTARILLAS (INCLUYE LIMPIEZA DE TUBERIA DE 36", BOX, RECTIFICACION DE DESCOLES PARA UN ANCHO DE VIA PROMEDIO DE 10MT. (INCLUYE CARGUE DE MATERIAL)</v>
          </cell>
          <cell r="H981" t="str">
            <v>UN</v>
          </cell>
          <cell r="I981">
            <v>128443</v>
          </cell>
        </row>
        <row r="982">
          <cell r="F982">
            <v>4780</v>
          </cell>
          <cell r="G982" t="str">
            <v>LIMPIEZA DE DERECHOS DE VIA (INCLUYE CARGUE)</v>
          </cell>
          <cell r="H982" t="str">
            <v>KM</v>
          </cell>
          <cell r="I982">
            <v>284958</v>
          </cell>
        </row>
        <row r="983">
          <cell r="F983">
            <v>4781</v>
          </cell>
          <cell r="G983" t="str">
            <v>REMOCION DE DERRUMBES MENORES (INCLUYE CARGUE DE MATERIAL)</v>
          </cell>
          <cell r="H983" t="str">
            <v>M3</v>
          </cell>
          <cell r="I983">
            <v>12947</v>
          </cell>
        </row>
        <row r="984">
          <cell r="F984">
            <v>4782</v>
          </cell>
          <cell r="G984" t="str">
            <v>CONFORMACION DE LA CALZADA EXISTENTE</v>
          </cell>
          <cell r="H984" t="str">
            <v>M2</v>
          </cell>
          <cell r="I984">
            <v>1055</v>
          </cell>
        </row>
        <row r="985">
          <cell r="F985">
            <v>4783</v>
          </cell>
          <cell r="G985" t="str">
            <v>CONSTRUCCIÓN DE CUNETA EN CONCRETO 3000 PSI HECHO EN OBRA.</v>
          </cell>
          <cell r="H985" t="str">
            <v>M3</v>
          </cell>
          <cell r="I985">
            <v>628896</v>
          </cell>
        </row>
        <row r="986">
          <cell r="F986">
            <v>4784</v>
          </cell>
          <cell r="G986" t="str">
            <v>PROCESO DE INSTALACION DE RECICLADO DE MATERIAL DE PAVIMENTO ASFALTICO (INCLUYE EXTENDIDO, NIVELACION Y COMPACTACION)</v>
          </cell>
          <cell r="H986" t="str">
            <v>M3</v>
          </cell>
          <cell r="I986">
            <v>20631</v>
          </cell>
        </row>
        <row r="987">
          <cell r="F987">
            <v>4786</v>
          </cell>
          <cell r="G987" t="str">
            <v>CONSTRUCCIÓN CANALETA DE AGUAS LLUVIAS DE 0.4 X 0.4 MT EN CONCRETO DE 3000 PSI GRAVA COMÚN INCLUYE REJILLA PREFABRICADA.</v>
          </cell>
          <cell r="H987" t="str">
            <v>ML</v>
          </cell>
          <cell r="I987">
            <v>261871</v>
          </cell>
        </row>
        <row r="988">
          <cell r="F988">
            <v>4787</v>
          </cell>
          <cell r="G988" t="str">
            <v>CODO PVC 45° D=1 1/2" (SUMINISTRO E INSTALACIÓN)</v>
          </cell>
          <cell r="H988" t="str">
            <v>UN</v>
          </cell>
          <cell r="I988">
            <v>15495</v>
          </cell>
        </row>
        <row r="989">
          <cell r="F989">
            <v>4788</v>
          </cell>
          <cell r="G989" t="str">
            <v>GEODREN PLANAR H=1.0 M. SUMINISTRO E INSTALACION.</v>
          </cell>
          <cell r="H989" t="str">
            <v>ML</v>
          </cell>
          <cell r="I989">
            <v>40152</v>
          </cell>
        </row>
        <row r="990">
          <cell r="F990">
            <v>4789</v>
          </cell>
          <cell r="G990" t="str">
            <v>1 DUCTO D=1 1/2" CONDUIT PVC (NO INCLUYE RELLENOS). SUMINISTRO E INSTALACION.</v>
          </cell>
          <cell r="H990" t="str">
            <v>ML</v>
          </cell>
          <cell r="I990">
            <v>11195</v>
          </cell>
        </row>
        <row r="991">
          <cell r="F991">
            <v>4790</v>
          </cell>
          <cell r="G991" t="str">
            <v>1 DUCTO D= 2" PVC PESADO DB (NO INCLUYE RELLENOS). SUMINISTRO E INSTALACION.</v>
          </cell>
          <cell r="H991" t="str">
            <v>ML</v>
          </cell>
          <cell r="I991">
            <v>11466</v>
          </cell>
        </row>
        <row r="992">
          <cell r="F992">
            <v>4791</v>
          </cell>
          <cell r="G992" t="str">
            <v>1 DUCTO D= 4" PVC TDP (NO INCLUYE RELLENOS). SUMINISTRO E INSTALACION.</v>
          </cell>
          <cell r="H992" t="str">
            <v>ML</v>
          </cell>
          <cell r="I992">
            <v>26925</v>
          </cell>
        </row>
        <row r="993">
          <cell r="F993">
            <v>4792</v>
          </cell>
          <cell r="G993" t="str">
            <v>RELLENO EN RECEBO COMUN (SUMINISTRO E INSTALACIÓN EXTENDIDO MANUAL, HUMEDECIMIENTO Y COMPACTACIÓN TRANSPORTE A 28 KM).</v>
          </cell>
          <cell r="H993" t="str">
            <v>M3</v>
          </cell>
          <cell r="I993">
            <v>78519</v>
          </cell>
        </row>
        <row r="994">
          <cell r="F994">
            <v>4794</v>
          </cell>
          <cell r="G994" t="str">
            <v>LLAMA AMARILLA (INCLUYE TIERRA NEGRA, TRANSPORTE Y DISPOSICIÓN FINA DE ESCOMBROS A 28 KM. SUMINISTRO Y PLANTACION.</v>
          </cell>
          <cell r="H994" t="str">
            <v>M2</v>
          </cell>
          <cell r="I994">
            <v>49067</v>
          </cell>
        </row>
        <row r="995">
          <cell r="F995">
            <v>4795</v>
          </cell>
          <cell r="G995" t="str">
            <v>COLA DE ZORRO (INCLUYE TIERRA NEGRA, TRANSPORTE Y DISPOSICIÓN FINA DE ESCOMBROS A 28 KM). SUMINISTRO Y PLANTACION.</v>
          </cell>
          <cell r="H995" t="str">
            <v>M2</v>
          </cell>
          <cell r="I995">
            <v>59067</v>
          </cell>
        </row>
        <row r="996">
          <cell r="F996">
            <v>4797</v>
          </cell>
          <cell r="G996" t="str">
            <v>EUCALIPTO POMARROSO H=1.5MT (INCLUYE SIEMBRA, CAJA, TIERRA, ABONO, TUTOR, TRANSPORTE Y DISPOSICIÓN FINA DE ESCOMBROS A 21 KM). SUMINISTRO Y PLANTACION.</v>
          </cell>
          <cell r="H996" t="str">
            <v>UN</v>
          </cell>
          <cell r="I996">
            <v>183365</v>
          </cell>
        </row>
        <row r="997">
          <cell r="F997">
            <v>4798</v>
          </cell>
          <cell r="G997" t="str">
            <v>CHICALA H=1.5MT (INCLUYE SIEMBRA, CAJA, TIERRA, ABONO, TUTOR, TRANSPORTE Y DISPOSICIÓN FINAL DE ESCOMBROS 28 KM). SUMINISTRO Y PLANTACION.</v>
          </cell>
          <cell r="H997" t="str">
            <v>UN</v>
          </cell>
          <cell r="I997">
            <v>156051</v>
          </cell>
        </row>
        <row r="998">
          <cell r="F998">
            <v>4800</v>
          </cell>
          <cell r="G998" t="str">
            <v>JAZMIN CHINO H=1.5MT (INCLUYE SIEMBRA, CAJA, TIERRA, ABONO, TUTOR, TRANSPORTE Y DISPOSICIÓN FINAL DE ESCOMBROS 28KM. SUMINISTRO Y PLANTACION.</v>
          </cell>
          <cell r="H998" t="str">
            <v>UN</v>
          </cell>
          <cell r="I998">
            <v>181051</v>
          </cell>
        </row>
        <row r="999">
          <cell r="F999">
            <v>4801</v>
          </cell>
          <cell r="G999" t="str">
            <v>TUBERIA PVC PRESION E.L. D=1 1/2" RDE 21 PSI 200 (INCLUYE LIMPIEZA Y SOLDADURA). SUMINISTRO E INSTALACION.</v>
          </cell>
          <cell r="H999" t="str">
            <v>ML</v>
          </cell>
          <cell r="I999">
            <v>16693</v>
          </cell>
        </row>
        <row r="1000">
          <cell r="F1000">
            <v>4802</v>
          </cell>
          <cell r="G1000" t="str">
            <v>BLOQUEO Y TRANSPLANTE DE ARBOLES 1 - 5MT (INCLUYE TRANSPORTE, RECOLECCIÓN).</v>
          </cell>
          <cell r="H1000" t="str">
            <v>UN</v>
          </cell>
          <cell r="I1000">
            <v>1000000</v>
          </cell>
        </row>
        <row r="1001">
          <cell r="F1001">
            <v>4803</v>
          </cell>
          <cell r="G1001" t="str">
            <v>BLOQUEO Y TRANSPLANTE DE ARBOLES 5 - 10 MT (INCLUYE TRANSPORTE, RECOLECCIÓN).</v>
          </cell>
          <cell r="H1001" t="str">
            <v>UN</v>
          </cell>
          <cell r="I1001">
            <v>1500000</v>
          </cell>
        </row>
        <row r="1002">
          <cell r="F1002">
            <v>4804</v>
          </cell>
          <cell r="G1002" t="str">
            <v>BLOQUEO Y TRANSPLANTE DE ARBOLES 10 - 15 MT (INCLUYE TRANSPORTE, RECOLECCIÓN).</v>
          </cell>
          <cell r="H1002" t="str">
            <v>UN</v>
          </cell>
          <cell r="I1002">
            <v>2000000</v>
          </cell>
        </row>
        <row r="1003">
          <cell r="F1003">
            <v>4805</v>
          </cell>
          <cell r="G1003" t="str">
            <v>TUBERIA DE ACERO AL CARBON SIN COSTURA SCH40 D=3". SUMINISTRO E INSTALACION.</v>
          </cell>
          <cell r="H1003" t="str">
            <v>ML</v>
          </cell>
          <cell r="I1003">
            <v>119597</v>
          </cell>
        </row>
        <row r="1004">
          <cell r="F1004">
            <v>4806</v>
          </cell>
          <cell r="G1004" t="str">
            <v>CUADRILLA (TUBERO + 4 AYUDANTES).</v>
          </cell>
          <cell r="H1004" t="str">
            <v>JR</v>
          </cell>
          <cell r="I1004">
            <v>360601</v>
          </cell>
        </row>
        <row r="1005">
          <cell r="F1005">
            <v>4807</v>
          </cell>
          <cell r="G1005" t="str">
            <v>CUADRILLA (TUBERO + 4 AYUDANTES)</v>
          </cell>
          <cell r="H1005" t="str">
            <v>HR</v>
          </cell>
          <cell r="I1005">
            <v>45073</v>
          </cell>
        </row>
        <row r="1006">
          <cell r="F1006">
            <v>4808</v>
          </cell>
          <cell r="G1006" t="str">
            <v>TUBERIA DE ACERO AL CARBON SIN COSTURA SCH40 D=4". SUMINISTRO E INSTALACION.</v>
          </cell>
          <cell r="H1006" t="str">
            <v>ML</v>
          </cell>
          <cell r="I1006">
            <v>158461</v>
          </cell>
        </row>
        <row r="1007">
          <cell r="F1007">
            <v>4809</v>
          </cell>
          <cell r="G1007" t="str">
            <v>TUBERIA DE ACERO AL CARBON SIN COSTURA SCH40 D=6". SUMINISTRO E INSTALACION.</v>
          </cell>
          <cell r="H1007" t="str">
            <v>ML</v>
          </cell>
          <cell r="I1007">
            <v>234219</v>
          </cell>
        </row>
        <row r="1008">
          <cell r="F1008">
            <v>4810</v>
          </cell>
          <cell r="G1008" t="str">
            <v>TUBERIA DE ACERO AL CARBON SIN COSTURA SCH40 D=8". SUMINISTRO E INSTALACION.</v>
          </cell>
          <cell r="H1008" t="str">
            <v>ML</v>
          </cell>
          <cell r="I1008">
            <v>308705</v>
          </cell>
        </row>
        <row r="1009">
          <cell r="F1009">
            <v>4812</v>
          </cell>
          <cell r="G1009" t="str">
            <v>SARDINEL ESPECIAL A 110 PARA RAMPA TIPO B (SUMINISTRO E INSTALACION. INCLUYE 3CM MORTERO 1:5 HECHO EN OBRA).</v>
          </cell>
          <cell r="H1009" t="str">
            <v>ML</v>
          </cell>
          <cell r="I1009">
            <v>145592</v>
          </cell>
        </row>
        <row r="1010">
          <cell r="F1010">
            <v>4813</v>
          </cell>
          <cell r="G1010" t="str">
            <v>RETIRO DE BOLARDO EN CONCRETO TIPO M-60. INCLUYE REPARACION DEL SITIO CON CONCRETO DE 1500PSI HECHO EN OBRA (40X40X10CM) Y SUBBASE GRANULAR SBG_200 E=0.35. NO INCLUYE RETIRO DE ESCOMBROS. INCLUYE DEMOLICION Y EXCAVACION.</v>
          </cell>
          <cell r="H1010" t="str">
            <v>UN</v>
          </cell>
          <cell r="I1010">
            <v>25388</v>
          </cell>
        </row>
        <row r="1011">
          <cell r="F1011">
            <v>4814</v>
          </cell>
          <cell r="G1011" t="str">
            <v>FRANJA DE AJUSTE DE ANCHO VARIABLE ENTRE 0.10 A 0.18MT Y PROFUNDIDAD VARIABLE ENTRE 0.06 Y 0.15MT EN CONCRETO DE 2500 PSI PREMEZCLADO.</v>
          </cell>
          <cell r="H1011" t="str">
            <v>ML</v>
          </cell>
          <cell r="I1011">
            <v>10285</v>
          </cell>
        </row>
        <row r="1012">
          <cell r="F1012">
            <v>4826</v>
          </cell>
          <cell r="G1012" t="str">
            <v>RESINA TERMOPLASTICA COLOR BLANCO PARA PICTOGRAMA BICICLETA (0.8X1.2MT) EN CICLORRUTAS. SUMINISTRO Y APLICACION.</v>
          </cell>
          <cell r="H1012" t="str">
            <v>UN</v>
          </cell>
          <cell r="I1012">
            <v>116242</v>
          </cell>
        </row>
        <row r="1013">
          <cell r="F1013">
            <v>4827</v>
          </cell>
          <cell r="G1013" t="str">
            <v>PINTURA ACRILICA DE TRAFICO COLOR BLANCA PARA CUADROS CRUCE CICLORRUTA DE 0.4MT X 0.4MT. SUMINISTRO Y APLICACION.</v>
          </cell>
          <cell r="H1013" t="str">
            <v>UN</v>
          </cell>
          <cell r="I1013">
            <v>5632</v>
          </cell>
        </row>
        <row r="1014">
          <cell r="F1014">
            <v>4828</v>
          </cell>
          <cell r="G1014" t="str">
            <v>PINTURA EN ESMALTE ALQUÍDICO DE 3 MILS ESP. DE PINTURA SECA PARA BARANDAS EXISTENTES, INCL. SUM. DE MATERIALES, ESMALTE, PREPAR. DE SUPERFICIE MEDIANTE LIMPIEZA MANUAL O MECÁNICA, EQUIPO DE PINTURA, M DE O HERRAMIENTA MENOR.</v>
          </cell>
          <cell r="H1014" t="str">
            <v>ML</v>
          </cell>
          <cell r="I1014">
            <v>19876</v>
          </cell>
        </row>
        <row r="1015">
          <cell r="F1015">
            <v>4829</v>
          </cell>
          <cell r="G1015" t="str">
            <v>PLACA EN CONCRETO MR41 ACELERADO A TRES DIAS PARA LOSAS REFORZADAS PARA PUENTES PEATONALES EN CONCRETO. SUMINISTRO E INSTALACION. INCLUYE CORTE Y SELLO DE JUNTAS.</v>
          </cell>
          <cell r="H1015" t="str">
            <v>M3</v>
          </cell>
          <cell r="I1015">
            <v>1017625</v>
          </cell>
        </row>
        <row r="1016">
          <cell r="F1016">
            <v>4832</v>
          </cell>
          <cell r="G1016" t="str">
            <v>SEGREGADOR BICICLETA (TACHON PLASTICO O CAUCHO ALTA RESISTENCIA COMO POLIPROPILENO DE ALTO IMPACTO, CON ESTRUCTURA DE REFUERZO, ELEMENTOS REFLECTIVOS DE ALTA EFICIENCIA. TIPO TRANSMILENIO 40.5CMX15CMX8.5CM). SUMIN. E INSTAL.</v>
          </cell>
          <cell r="H1016" t="str">
            <v>UN</v>
          </cell>
          <cell r="I1016">
            <v>45784</v>
          </cell>
        </row>
        <row r="1017">
          <cell r="F1017">
            <v>4833</v>
          </cell>
          <cell r="G1017" t="str">
            <v>RETIRO DE CANECAS, SEÑALES DE TRANSITO PROTECTORES DE ARBOLES. INCLUYE REPARACION DEL SITIO EN CONCRETO DE 1500 PSI HECHO EN OBRA Y SUBBASE GRANULAR B-200 E=0.35M DISTANCIA DE TRANSPORTE 21KM.</v>
          </cell>
          <cell r="H1017" t="str">
            <v>UN</v>
          </cell>
          <cell r="I1017">
            <v>10646</v>
          </cell>
        </row>
        <row r="1018">
          <cell r="F1018">
            <v>4834</v>
          </cell>
          <cell r="G1018" t="str">
            <v>PIEZA DE REMATE PARA RAMPA PEATONAL, LONGITUD 1,40MTS FUNDIDO EN SITIO EN CONCRETO PREMEZCLADO DE 3000 PSI (GRAVA COMUN) INCLUYE FORMALETA EN MADERA. SUMINISTRO Y CONSTRUCCION.</v>
          </cell>
          <cell r="H1018" t="str">
            <v>UN</v>
          </cell>
          <cell r="I1018">
            <v>145270</v>
          </cell>
        </row>
        <row r="1019">
          <cell r="F1019">
            <v>4835</v>
          </cell>
          <cell r="G1019" t="str">
            <v>BASE GRANULAR BG-A ESTABILIZADA CON CEMENTO AL 5% (INCLUYE SUMINISTRO TRANSPORTE, COLOCACIÓN Y COMPACTACION).</v>
          </cell>
          <cell r="H1019" t="str">
            <v>M3</v>
          </cell>
          <cell r="I1019">
            <v>261290</v>
          </cell>
        </row>
        <row r="1020">
          <cell r="F1020">
            <v>4836</v>
          </cell>
          <cell r="G1020" t="str">
            <v>BASE GRANULAR CLASE A (BG_A) ESTABILIZADA AL 4% CON EMULSIÓN ASFÁLTICA CRL-1 (INCLUYE SUMINISTRO TRANSPORTE, COLOCACION Y COMPACTACION).</v>
          </cell>
          <cell r="H1020" t="str">
            <v>M3</v>
          </cell>
          <cell r="I1020">
            <v>458447</v>
          </cell>
        </row>
        <row r="1021">
          <cell r="F1021">
            <v>4837</v>
          </cell>
          <cell r="G1021" t="str">
            <v>RELLENO CON MEZCLA DE GRAVILLA DE 3/4" Y ARENA DE RIO (RELACIÓN 1:1) SUMINISTRO Y COLOCACIÓN. (INCLUYE TRANSPORTE, SUMINISTRO, EXTENDIDO MANUAL Y COLOCACIÓN).</v>
          </cell>
          <cell r="H1021" t="str">
            <v>M3</v>
          </cell>
          <cell r="I1021">
            <v>188730</v>
          </cell>
        </row>
        <row r="1022">
          <cell r="F1022">
            <v>4838</v>
          </cell>
          <cell r="G1022" t="str">
            <v>RELLENO CON GRAVA ENTRE 3/4" Y 1/2" PARA FILTROS (RELACIÓN 1:1) SUMINISTRO Y COLOCACIÓN. (INCLUYE TRANSPORTE, SUMINISTRO, EXTENDIDO MANUAL Y COLOCACIÓN).</v>
          </cell>
          <cell r="H1022" t="str">
            <v>M3</v>
          </cell>
          <cell r="I1022">
            <v>153905</v>
          </cell>
        </row>
        <row r="1023">
          <cell r="F1023">
            <v>4839</v>
          </cell>
          <cell r="G1023" t="str">
            <v>EMPATES DE TUBERÍA EN PVC A PVC 6" LINEAL SEGÚN NORMA NS-023. SUMINISTRO E INSTALACIÓN. (INCLUYE ACCESORIOS).</v>
          </cell>
          <cell r="H1023" t="str">
            <v>UN</v>
          </cell>
          <cell r="I1023">
            <v>548881</v>
          </cell>
        </row>
        <row r="1024">
          <cell r="F1024">
            <v>4840</v>
          </cell>
          <cell r="G1024" t="str">
            <v>EMPATES DE TUBERÍA EN PVC A PVC 3" LINEAL SEGÚN NORMA NS-023 (INCLUYE ACCESORIOS). SUMINISTRO E INSTALACIÓN.</v>
          </cell>
          <cell r="H1024" t="str">
            <v>UN</v>
          </cell>
          <cell r="I1024">
            <v>167748</v>
          </cell>
        </row>
        <row r="1025">
          <cell r="F1025">
            <v>4841</v>
          </cell>
          <cell r="G1025" t="str">
            <v>EMPATES DE TUBERÍA EN PVC A PVC 4" LINEAL SEGÚN NORMA NS-023 (INCLUYE ACCESORIOS). SUMINISTRO E INSTALACIÓN.</v>
          </cell>
          <cell r="H1025" t="str">
            <v>UN</v>
          </cell>
          <cell r="I1025">
            <v>241991</v>
          </cell>
        </row>
        <row r="1026">
          <cell r="F1026">
            <v>4842</v>
          </cell>
          <cell r="G1026" t="str">
            <v>EMPATES DE TUBERÍA EN PVC A AC 4" LINEAL SEGÚN NORMA NS-023 SUMINISTRO E INSTALACIÓN. (INCLUYE ACCESORIOS).</v>
          </cell>
          <cell r="H1026" t="str">
            <v>UN</v>
          </cell>
          <cell r="I1026">
            <v>394898</v>
          </cell>
        </row>
        <row r="1027">
          <cell r="F1027">
            <v>4843</v>
          </cell>
          <cell r="G1027" t="str">
            <v>EMPATES DE TUBERÍA EN PVC A AC 3" LINEAL SEGÚN NORMA NS-023. SUMINISTRO E INSTALACIÓN. (INCLUYE ACCESORIOS).</v>
          </cell>
          <cell r="H1027" t="str">
            <v>UN</v>
          </cell>
          <cell r="I1027">
            <v>292965</v>
          </cell>
        </row>
        <row r="1028">
          <cell r="F1028">
            <v>4844</v>
          </cell>
          <cell r="G1028" t="str">
            <v>EMPATES DE TUBERÍA EN PVC A PVC 12" LINEAL SEGÚN NORMA NS-023 (INCLUYE ACCESORIOS). SUMINISTRO E INSTALACIÓN.</v>
          </cell>
          <cell r="H1028" t="str">
            <v>UN</v>
          </cell>
          <cell r="I1028">
            <v>2811129</v>
          </cell>
        </row>
        <row r="1029">
          <cell r="F1029">
            <v>4845</v>
          </cell>
          <cell r="G1029" t="str">
            <v>EMPATES DE TUBERÍA EN PVC A PVC 8" LINEAL SEGÚN NORMA NS-023. SUMINISTRO E INSTALACIÓN. (INCLUYE ACCESORIOS).</v>
          </cell>
          <cell r="H1029" t="str">
            <v>UN</v>
          </cell>
          <cell r="I1029">
            <v>996484</v>
          </cell>
        </row>
        <row r="1030">
          <cell r="F1030">
            <v>4846</v>
          </cell>
          <cell r="G1030" t="str">
            <v>DEMOLICIÓN MANUAL DE CAJA DOBLE CS 276 (INCLUYE DEMOLICIÓN DE PLACA PISO, TAPA, MUROS Y CAÑUELAS Y CARGUE).</v>
          </cell>
          <cell r="H1030" t="str">
            <v>UN</v>
          </cell>
          <cell r="I1030">
            <v>130845</v>
          </cell>
        </row>
        <row r="1031">
          <cell r="F1031">
            <v>4848</v>
          </cell>
          <cell r="G1031" t="str">
            <v>DEMOLICION DE TUBERIAS DE ACUEDUCTO Y ALCANTARILLADO Ø &lt; 36" (INCLUYE MARTILLO NEUMÁTICO DE 60 LB Y CARGUE).</v>
          </cell>
          <cell r="H1031" t="str">
            <v>ML</v>
          </cell>
          <cell r="I1031">
            <v>8538</v>
          </cell>
        </row>
        <row r="1032">
          <cell r="F1032">
            <v>4849</v>
          </cell>
          <cell r="G1032" t="str">
            <v>DEMOLICION O RETIRO MANUAL DE TUBERIAS DE AC Ø &lt; 12" (INCLUYE CARGUE).</v>
          </cell>
          <cell r="H1032" t="str">
            <v>ML</v>
          </cell>
          <cell r="I1032">
            <v>2618</v>
          </cell>
        </row>
        <row r="1033">
          <cell r="F1033">
            <v>4850</v>
          </cell>
          <cell r="G1033" t="str">
            <v>DEMOLICION DE POZOS, CAJAS Y CAMARAS DE EMPRESAS DE SERVICIOS PÚBLICOS (INCLUYE MARTILLO NEUMÁTICO DE 60 LB, COMPRESOR Y CARGUE).</v>
          </cell>
          <cell r="H1033" t="str">
            <v>M3</v>
          </cell>
          <cell r="I1033">
            <v>249161</v>
          </cell>
        </row>
        <row r="1034">
          <cell r="F1034">
            <v>4851</v>
          </cell>
          <cell r="G1034" t="str">
            <v>REPARACIÓN DE ACOMETIDA HIDRÁULICA DE LA CAJILLA HACIA EL PREDIO (INCLUYE EL RETIRO DE LA TUBERÍA EXISTENTE E INSTALACIÓN DE TUBERÍA NUEVA).</v>
          </cell>
          <cell r="H1034" t="str">
            <v>UN</v>
          </cell>
          <cell r="I1034">
            <v>27164</v>
          </cell>
        </row>
        <row r="1035">
          <cell r="F1035">
            <v>4853</v>
          </cell>
          <cell r="G1035" t="str">
            <v>CONCRETO GRAVA COMÚN 3500 PSI (245 KG/CM2) PARA ESTRIBOS Y SUPERESTRUCTURA, SUMINISTRO Y COLOCACIÓN. (INCLUYE FORMALETA. NO INCLUYE REFUERZO NI CURADO).</v>
          </cell>
          <cell r="H1035" t="str">
            <v>M3</v>
          </cell>
          <cell r="I1035">
            <v>640053</v>
          </cell>
        </row>
        <row r="1036">
          <cell r="F1036">
            <v>4854</v>
          </cell>
          <cell r="G1036" t="str">
            <v>CONCRETO GRAVA COMÚN 4000 PSI (280 KG/CM2) PARA ESTRIBOS Y SUPERESTRUCTURA, SUMINISTRO Y COLOCACIÓN. (INCLUYE FORMALETA. NO INCLUYE REFUERZO NI CURADO).</v>
          </cell>
          <cell r="H1036" t="str">
            <v>M3</v>
          </cell>
          <cell r="I1036">
            <v>652547</v>
          </cell>
        </row>
        <row r="1037">
          <cell r="F1037">
            <v>4855</v>
          </cell>
          <cell r="G1037" t="str">
            <v>CONSTRUCCIÓN DE FRANJA DE AJUSTE EN CONCRETO PREMEZCLADO GRAVA COMÚN 3000 PSI, ESPESOR PROMEDIO 10 CM..</v>
          </cell>
          <cell r="H1037" t="str">
            <v>M2</v>
          </cell>
          <cell r="I1037">
            <v>52096</v>
          </cell>
        </row>
        <row r="1038">
          <cell r="F1038">
            <v>4856</v>
          </cell>
          <cell r="G1038" t="str">
            <v>PISOS EN LOSETA PREFABRICADA A55 TÁCTIL ALERTA O A56 GUIA 40X40X6 CM. SUMINISTRO E INSTALACIÓN. (INCLUYE 4CM DE MORTERO 1:5 HECHO EN OBRA PARA BASE Y ARENA DE PEÑA PARA SELLO).</v>
          </cell>
          <cell r="H1038" t="str">
            <v>M2</v>
          </cell>
          <cell r="I1038">
            <v>103717</v>
          </cell>
        </row>
        <row r="1039">
          <cell r="F1039">
            <v>4857</v>
          </cell>
          <cell r="G1039" t="str">
            <v>IMPRIMACIÓN CON EMULSIÓN ASFÁLTICA CRL-1 (INCLUYE SUMINISTRO, BARRIDO DE SUPERFICIE Y RIEGO MECANICO).</v>
          </cell>
          <cell r="H1039" t="str">
            <v>M2</v>
          </cell>
          <cell r="I1039">
            <v>2857</v>
          </cell>
        </row>
        <row r="1040">
          <cell r="F1040">
            <v>4858</v>
          </cell>
          <cell r="G1040" t="str">
            <v>KIT DE NIVELACIÓN PARA HIDRANTE DE DIÁMETRO DE 6", LONGITUD 400MM. SUMINISTRO E INSTALACIÓN. (INCLUYE TRANSPORTE Y TODOS LOS ELEMENTOS NECESARIOS PARA SU INSTALACIÓN).</v>
          </cell>
          <cell r="H1040" t="str">
            <v>UN</v>
          </cell>
          <cell r="I1040">
            <v>1019194</v>
          </cell>
        </row>
        <row r="1041">
          <cell r="F1041">
            <v>4859</v>
          </cell>
          <cell r="G1041" t="str">
            <v>BORDE CONTENEDOR DE RAICES A 70 (INCLUYE SUMINISTRO E INSTALACIÓN, INCLUYE BASE DE 3CM EN MORTERO 1:3 HECHO EN OBRA)</v>
          </cell>
          <cell r="H1041" t="str">
            <v>ML</v>
          </cell>
          <cell r="I1041">
            <v>38594</v>
          </cell>
        </row>
        <row r="1042">
          <cell r="F1042">
            <v>4860</v>
          </cell>
          <cell r="G1042" t="str">
            <v>DEMARCACIÓN PICTOGRAMA TRIÁNGULOS CEDA EL PASO EN PINTURA TERMOPLÁSTICA. (E=2.3MM. INCLUYE SUMINISTRO Y APLICACIÓN CON EQUIPO. INCLUYE MICROESFERAS( (A= 1.434M2). INCLUYE PICTOGRAMA.</v>
          </cell>
          <cell r="H1042" t="str">
            <v>UN</v>
          </cell>
          <cell r="I1042">
            <v>173636</v>
          </cell>
        </row>
        <row r="1043">
          <cell r="F1043">
            <v>4861</v>
          </cell>
          <cell r="G1043" t="str">
            <v>GRAVILLA DE 3/4" PEGADA CON MORTERO 1:3, E= 0.20M PARA ENTREGA A CANAL (INCLUYE SUMINISTRO E INSTALACIÓN).</v>
          </cell>
          <cell r="H1043" t="str">
            <v>M2</v>
          </cell>
          <cell r="I1043">
            <v>111926</v>
          </cell>
        </row>
        <row r="1044">
          <cell r="F1044">
            <v>4862</v>
          </cell>
          <cell r="G1044" t="str">
            <v>TUBERÍA CONCRETO D= 32" CL. III REFORZADA. SUMINISTRO E INSTALACIÓN.</v>
          </cell>
          <cell r="H1044" t="str">
            <v>ML</v>
          </cell>
          <cell r="I1044">
            <v>1069363</v>
          </cell>
        </row>
        <row r="1045">
          <cell r="F1045">
            <v>4863</v>
          </cell>
          <cell r="G1045" t="str">
            <v>DEMARCACIÓN DE LINEA DE PASO PEATONAL CONTINUA A= 0.3MT, E= 2.3MM TERMOPLÁSTICA. INCLUYE SUMINISTRO Y APLICACIÓN CON EQUIPO. INCLUYE MICROESFERAS.</v>
          </cell>
          <cell r="H1045" t="str">
            <v>ML</v>
          </cell>
          <cell r="I1045">
            <v>36326</v>
          </cell>
        </row>
        <row r="1046">
          <cell r="F1046">
            <v>4864</v>
          </cell>
          <cell r="G1046" t="str">
            <v>DEMARCACIÓN DE LINEA SENDERO PEATONAL CONTINUA A= 0.4MT, E= 2.3MM TERMOPLÁSTICA. INCLUYE SUMINISTRO Y APLICACIÓN CON EQUIPO. INCLUYE MICROESFERAS.</v>
          </cell>
          <cell r="H1046" t="str">
            <v>ML</v>
          </cell>
          <cell r="I1046">
            <v>48435</v>
          </cell>
        </row>
        <row r="1047">
          <cell r="F1047">
            <v>4865</v>
          </cell>
          <cell r="G1047" t="str">
            <v>DEMARCACIÓN LINEA DE CANALIZACIÓN A= 0.2MT, E= 2.3MM TERMOPLÁSTICA. INCLUYE SUMINISTRO Y APLICACIÓN CON EQUIPO. INCLUYE MICROESFERAS.</v>
          </cell>
          <cell r="H1047" t="str">
            <v>ML</v>
          </cell>
          <cell r="I1047">
            <v>24218</v>
          </cell>
        </row>
        <row r="1048">
          <cell r="F1048">
            <v>4866</v>
          </cell>
          <cell r="G1048" t="str">
            <v>DEMARCACIÓN ZONA ANTIBLOQUEO A= 0.4MT, E= 2.3MM TERMOPLÁSTICA. INCLUYE SUMINISTRO Y APLICACIÓN CON EQUIPO. INCLUYE MICROESFERAS.</v>
          </cell>
          <cell r="H1048" t="str">
            <v>ML</v>
          </cell>
          <cell r="I1048">
            <v>48435</v>
          </cell>
        </row>
        <row r="1049">
          <cell r="F1049">
            <v>4867</v>
          </cell>
          <cell r="G1049" t="str">
            <v>DEMARCACIÓN LINEA DE PARE A= 0.6MT, E= 2.3MM TERMOPLÁSTICA. INCLUYE SUMINISTRO Y APLICACIÓN CON EQUIPO. INCLUYE MICROESFERAS.</v>
          </cell>
          <cell r="H1049" t="str">
            <v>ML</v>
          </cell>
          <cell r="I1049">
            <v>72652</v>
          </cell>
        </row>
        <row r="1050">
          <cell r="F1050">
            <v>4869</v>
          </cell>
          <cell r="G1050" t="str">
            <v>DEMOLICIÓN MANUAL DE CAJA SENCILLA CS 275 (INCLUYE DEMOLICIÓN DE PLACA PISO, TAPA, MUROS Y CAÑUELAS Y CARGUE).</v>
          </cell>
          <cell r="H1050" t="str">
            <v>UN</v>
          </cell>
          <cell r="I1050">
            <v>65423</v>
          </cell>
        </row>
        <row r="1051">
          <cell r="F1051">
            <v>4870</v>
          </cell>
          <cell r="G1051" t="str">
            <v>DEMOLICIÓN MANUAL DE CÁMARA T-14 (INCLUYE DEMOLICIÓN DE PLACA PISO, TAPA, MUROS Y CAÑUELAS Y CARGUE).</v>
          </cell>
          <cell r="H1051" t="str">
            <v>UN</v>
          </cell>
          <cell r="I1051">
            <v>65423</v>
          </cell>
        </row>
        <row r="1052">
          <cell r="F1052">
            <v>4871</v>
          </cell>
          <cell r="G1052" t="str">
            <v>DEMOLICIÓN MANUAL DE CÁMARA DE PASO SENCILLA ETB (INCLUYE DEMOLICIÓN DE PLACA PISO, TAPA, MUROS Y CAÑUELAS Y CARGUE).</v>
          </cell>
          <cell r="H1052" t="str">
            <v>UN</v>
          </cell>
          <cell r="I1052">
            <v>32712</v>
          </cell>
        </row>
        <row r="1053">
          <cell r="F1053">
            <v>4872</v>
          </cell>
          <cell r="G1053" t="str">
            <v>REDUCCIÓN CONCENTRICA HD EL 4" X 3". SUMINISTRO E INSTALACIÓN.</v>
          </cell>
          <cell r="H1053" t="str">
            <v>UN</v>
          </cell>
          <cell r="I1053">
            <v>171834</v>
          </cell>
        </row>
        <row r="1054">
          <cell r="F1054">
            <v>4873</v>
          </cell>
          <cell r="G1054" t="str">
            <v>REDUCCIÓN CONCENTRICA HD EL 8" X 6". SUMINISTRO E INSTALACIÓN.</v>
          </cell>
          <cell r="H1054" t="str">
            <v>UN</v>
          </cell>
          <cell r="I1054">
            <v>464240</v>
          </cell>
        </row>
        <row r="1055">
          <cell r="F1055">
            <v>4874</v>
          </cell>
          <cell r="G1055" t="str">
            <v>REDUCCIÓN HD 6" X 4" J.H. SUMINISTRO E INSTALACIÓN.</v>
          </cell>
          <cell r="H1055" t="str">
            <v>UN</v>
          </cell>
          <cell r="I1055">
            <v>441410</v>
          </cell>
        </row>
        <row r="1056">
          <cell r="F1056">
            <v>4875</v>
          </cell>
          <cell r="G1056" t="str">
            <v>REDUCCIÓN HD 4" X 2" J.H. SUMINISTRO E INSTALACIÓN.</v>
          </cell>
          <cell r="H1056" t="str">
            <v>UN</v>
          </cell>
          <cell r="I1056">
            <v>162992</v>
          </cell>
        </row>
        <row r="1057">
          <cell r="F1057">
            <v>4876</v>
          </cell>
          <cell r="G1057" t="str">
            <v>RELOCALIZACIÓN DE MEDIDOR DE ACUEDUCTO D= 3/4" (INCLUYE: 1MT TUBERÍA GALVANIZADA D= 3/4", SOLDADURA, CINTA DE TEFLON, REPOSICIÓN DE CAJILLA EN POLIPROPILENO DE ALTA RESISTENCIA CON TAPA. NO INCLUYE MEDIDOR).</v>
          </cell>
          <cell r="H1057" t="str">
            <v>UN</v>
          </cell>
          <cell r="I1057">
            <v>331919</v>
          </cell>
        </row>
        <row r="1058">
          <cell r="F1058">
            <v>4877</v>
          </cell>
          <cell r="G1058" t="str">
            <v>RELOCALIZACIÓN DE MEDIDOR DE ACUEDUCTO D= 1" (INCLUYE: 1MT TUBERÍA GALVANIZADA D= 1", SOLDADURA, CINTA DE TEFLON, REPOSICIÓN DE CAJILLA EN POLIPROPILENO DE ALTA RESISTENCIA CON TAPA. NO INCLUYE MEDIDOR).</v>
          </cell>
          <cell r="H1058" t="str">
            <v>UN</v>
          </cell>
          <cell r="I1058">
            <v>293683</v>
          </cell>
        </row>
        <row r="1059">
          <cell r="F1059">
            <v>4878</v>
          </cell>
          <cell r="G1059" t="str">
            <v>CONEXIONES KIT SILLA YEE 200 X 160 PVC. SUMINISTRO E INSTALACIÓN.</v>
          </cell>
          <cell r="H1059" t="str">
            <v>UN</v>
          </cell>
          <cell r="I1059">
            <v>118217</v>
          </cell>
        </row>
        <row r="1060">
          <cell r="F1060">
            <v>4879</v>
          </cell>
          <cell r="G1060" t="str">
            <v>CONEXIONES KIT SILLA YEE 315 X 160 PVC. SUMINISTRO E INSTALACIÓN.</v>
          </cell>
          <cell r="H1060" t="str">
            <v>UN</v>
          </cell>
          <cell r="I1060">
            <v>209978</v>
          </cell>
        </row>
        <row r="1061">
          <cell r="F1061">
            <v>4880</v>
          </cell>
          <cell r="G1061" t="str">
            <v>26 DUCTOS D= 4" DE PVC TDP. SUMINISTRO E INSTALACIÓN. (NO INCLUYE RELLENO).</v>
          </cell>
          <cell r="H1061" t="str">
            <v>ML</v>
          </cell>
          <cell r="I1061">
            <v>658811</v>
          </cell>
        </row>
        <row r="1062">
          <cell r="F1062">
            <v>4882</v>
          </cell>
          <cell r="G1062" t="str">
            <v>EUCALIPTO POMARROSO H= 1.5M (INCLUYE SIEMBRA, CAJA, TIERRA NEGRA, ABONO Y TUTOR. INCLUYE TRANSPORTE Y DISPOSICIÓN FINAL DE ESCOMBROS EN SITIO AUTORIZADO (DISTANCIA DE TRANSPORTE 28 KM). SUMINISTRO Y PLANTACION.</v>
          </cell>
          <cell r="H1062" t="str">
            <v>UN</v>
          </cell>
          <cell r="I1062">
            <v>196551</v>
          </cell>
        </row>
        <row r="1063">
          <cell r="F1063">
            <v>4883</v>
          </cell>
          <cell r="G1063" t="str">
            <v>PASTO KYKUYO CORTADO A MÁQUINA (INCLUYE SUMINISTRO Y RIEGO DE TIERRA FÉRTIL DE 10CM DE ESPESOR E INSTALACIÓN Y SIEMBRA DE PASTO Y SALADO Y NIVELACIÓN. SUMINISTRO Y PLANTACION.</v>
          </cell>
          <cell r="H1063" t="str">
            <v>M2</v>
          </cell>
          <cell r="I1063">
            <v>10500</v>
          </cell>
        </row>
        <row r="1064">
          <cell r="F1064">
            <v>4884</v>
          </cell>
          <cell r="G1064" t="str">
            <v>NOGAL H= 1.5M (INCLUYE SIEMBRA, CAJA, TIERRA NEGRA, ABONO Y TUTOR. INCLUYE TRANSPORTE Y DISPOSICIÓN FINAL DE ESCOMBROS EN SITIO AUTORIZADO (DISTANCIA DE TRANSPORTE 28 KM). SUMINISTRO Y PLANTACION.</v>
          </cell>
          <cell r="H1064" t="str">
            <v>UN</v>
          </cell>
          <cell r="I1064">
            <v>187451</v>
          </cell>
        </row>
        <row r="1065">
          <cell r="F1065">
            <v>4885</v>
          </cell>
          <cell r="G1065" t="str">
            <v>ROBLE H= 1.5M (INCLUYE SIEMBRA, CAJA, TIERRA NEGRA, ABONO Y TUTOR. INCLUYE TRANSPORTE Y DISPOSICIÓN FINAL DE ESCOMBROS EN SITIO AUTORIZADO (DISTANCIA DE TRANSPORTE 28 KM). SUMINISTRO Y PLANTACION.</v>
          </cell>
          <cell r="H1065" t="str">
            <v>UN</v>
          </cell>
          <cell r="I1065">
            <v>194051</v>
          </cell>
        </row>
        <row r="1066">
          <cell r="F1066">
            <v>4886</v>
          </cell>
          <cell r="G1066" t="str">
            <v>CAUCHO SABANERO H= 1.5M (INCLUYE SIEMBRA, CAJA, TIERRA NEGRA, ABONO Y TUTOR. INCLUYE TRANSPORTE Y DISPOSICIÓN FINAL DE ESCOMBROS EN SITIO AUTORIZADO (DISTANCIA DE TRANSPORTE 28 KM). SUMINISTRO Y PLANTACION.</v>
          </cell>
          <cell r="H1066" t="str">
            <v>UN</v>
          </cell>
          <cell r="I1066">
            <v>186551</v>
          </cell>
        </row>
        <row r="1067">
          <cell r="F1067">
            <v>4887</v>
          </cell>
          <cell r="G1067" t="str">
            <v>MAGNÓLIO H= 1.5M (INCLUYE SIEMBRA, CAJA, TIERRA NEGRA, ABONO Y TUTOR. INCLUYE TRANSPORTE Y DISPOSICIÓN FINAL DE ESCOMBROS EN SITIO AUTORIZADO (DISTANCIA DE TRANSPORTE 28 KM). SUMINISTRO Y PLANTACION.</v>
          </cell>
          <cell r="H1067" t="str">
            <v>UN</v>
          </cell>
          <cell r="I1067">
            <v>483551</v>
          </cell>
        </row>
        <row r="1068">
          <cell r="F1068">
            <v>4888</v>
          </cell>
          <cell r="G1068" t="str">
            <v>YARUMO H= 1.5M (INCLUYE SIEMBRA, CAJA, TIERRA NEGRA, ABONO Y TUTOR. INCLUYE TRANSPORTE Y DISPOSICIÓN FINAL DE ESCOMBROS EN SITIO AUTORIZADO (DISTANCIA DE TRANSPORTE 28 KM). SUMINISTRO Y PLANTACION.</v>
          </cell>
          <cell r="H1068" t="str">
            <v>UN</v>
          </cell>
          <cell r="I1068">
            <v>189051</v>
          </cell>
        </row>
        <row r="1069">
          <cell r="F1069">
            <v>4889</v>
          </cell>
          <cell r="G1069" t="str">
            <v>CONSTRUCCIÓN DE CAJA DE INSPECCIÓN CS 285. INCLUYE TAPA PREFABRICADA Y MARCO.</v>
          </cell>
          <cell r="H1069" t="str">
            <v>UN</v>
          </cell>
          <cell r="I1069">
            <v>1460575</v>
          </cell>
        </row>
        <row r="1070">
          <cell r="F1070">
            <v>4890</v>
          </cell>
          <cell r="G1070" t="str">
            <v>NIVELACIÓN DE CAJA CS 274 EN ANDEN H= 0.40M (INCLUYE CONCRETO 2500 PSI HECHO EN OBRA, LADRILLO TOLETE RECOCIDO 24X12X6. MORTERO 1:5 HECHO EN OBRA. INCLUYE REPOSICIÓN DE MARCO Y TAPA PREFABRICADA).</v>
          </cell>
          <cell r="H1070" t="str">
            <v>UN</v>
          </cell>
          <cell r="I1070">
            <v>483786</v>
          </cell>
        </row>
        <row r="1071">
          <cell r="F1071">
            <v>4891</v>
          </cell>
          <cell r="G1071" t="str">
            <v>NIVELACIÓN DE CAJA CS 275 EN ANDEN H= 0.40M (INCLUYE CONCRETO 2500 PSI HECHO EN OBRA, LADRILLO TOLETE RECOCIDO 24X12X6. MORTERO 1:5 HECHO EN OBRA. INCLUYE REPOSICIÓN DE MARCO Y TAPA PREFABRICADA).</v>
          </cell>
          <cell r="H1071" t="str">
            <v>UN</v>
          </cell>
          <cell r="I1071">
            <v>745829</v>
          </cell>
        </row>
        <row r="1072">
          <cell r="F1072">
            <v>4892</v>
          </cell>
          <cell r="G1072" t="str">
            <v>TUBERIA CONCRETO ALTA RESISTENCIA D= 10" (INCLUYE SUMINISTRO, INSTALACIÓN Y MORTERO 2000 PSI PARA RECUBRIMIENTO DE JUNTA).</v>
          </cell>
          <cell r="H1072" t="str">
            <v>ML</v>
          </cell>
          <cell r="I1072">
            <v>298752</v>
          </cell>
        </row>
        <row r="1073">
          <cell r="F1073">
            <v>4894</v>
          </cell>
          <cell r="G1073" t="str">
            <v>CUADRILLA (TUBERO + 3 AYUDANTES).</v>
          </cell>
          <cell r="H1073" t="str">
            <v>JR</v>
          </cell>
          <cell r="I1073">
            <v>296879</v>
          </cell>
        </row>
        <row r="1074">
          <cell r="F1074">
            <v>4895</v>
          </cell>
          <cell r="G1074" t="str">
            <v>CUADRILLA (TUBERO + 3 AYUDANTES)</v>
          </cell>
          <cell r="H1074" t="str">
            <v>HR</v>
          </cell>
          <cell r="I1074">
            <v>37110</v>
          </cell>
        </row>
        <row r="1075">
          <cell r="F1075">
            <v>4896</v>
          </cell>
          <cell r="G1075" t="str">
            <v>TUBERIA CONCRETO ALTA RESISTENCIA D= 12" (INCLUYE SUMINISTRO, INSTALACIÓN Y MORTERO 2000 PSI PARA RECUBRIMIENTO DE JUNTA).</v>
          </cell>
          <cell r="H1075" t="str">
            <v>ML</v>
          </cell>
          <cell r="I1075">
            <v>372452</v>
          </cell>
        </row>
        <row r="1076">
          <cell r="F1076">
            <v>4898</v>
          </cell>
          <cell r="G1076" t="str">
            <v>REDUCCION HD 4"X2" J.H. (SUMINISTRO E INSTALACIÓN).</v>
          </cell>
          <cell r="H1076" t="str">
            <v>UN</v>
          </cell>
          <cell r="I1076">
            <v>157245</v>
          </cell>
        </row>
        <row r="1077">
          <cell r="F1077">
            <v>4899</v>
          </cell>
          <cell r="G1077" t="str">
            <v>REDUCCION HD 4"X 3" J.H. (SUMINISTRO E INSTALACIÓN).</v>
          </cell>
          <cell r="H1077" t="str">
            <v>UN</v>
          </cell>
          <cell r="I1077">
            <v>181045</v>
          </cell>
        </row>
        <row r="1078">
          <cell r="F1078">
            <v>4900</v>
          </cell>
          <cell r="G1078" t="str">
            <v>REDUCCION HD 8"X 6" J.H. (SUMINISTRO E INSTALACIÓN).</v>
          </cell>
          <cell r="H1078" t="str">
            <v>UN</v>
          </cell>
          <cell r="I1078">
            <v>559465</v>
          </cell>
        </row>
        <row r="1079">
          <cell r="F1079">
            <v>4901</v>
          </cell>
          <cell r="G1079" t="str">
            <v>KIT DE NIVELACIÓN PARA HIDRANTE TRÁFICO DE DIÁMETRO DE 4", LONGITUD 400MM. SUMINISTRO E INSTALACIÓN (INCLUYE TRANSPORTE Y TODOS LOS ELEMENTOS NECESARIOS PARA SU INSTALACIÓN).</v>
          </cell>
          <cell r="H1079" t="str">
            <v>UN</v>
          </cell>
          <cell r="I1079">
            <v>801197</v>
          </cell>
        </row>
        <row r="1080">
          <cell r="F1080">
            <v>4902</v>
          </cell>
          <cell r="G1080" t="str">
            <v>RAMPA TIPO A (B5) (BASE EN MORTERO 2000 PSI, DESARROLLO DE 1.40M).</v>
          </cell>
          <cell r="H1080" t="str">
            <v>UN</v>
          </cell>
          <cell r="I1080">
            <v>1221665</v>
          </cell>
        </row>
        <row r="1081">
          <cell r="F1081">
            <v>4903</v>
          </cell>
          <cell r="G1081" t="str">
            <v>PIEZA DE REMATE PARA RAMPA PEATONAL, SUMINISTRO Y CONSTRUCCION. LONGITUD 1,20MTS FUNDIDO EN SITIO EN CONCRETO PREMEZCLADO DE 3000 PSI (GRAVA COMUN) INCLUYE FORMALETA EN MADERA</v>
          </cell>
          <cell r="H1081" t="str">
            <v>UN</v>
          </cell>
          <cell r="I1081">
            <v>132548</v>
          </cell>
        </row>
        <row r="1082">
          <cell r="F1082">
            <v>4904</v>
          </cell>
          <cell r="G1082" t="str">
            <v>PISO EN CONCRETO COLOR OCRE 4000 PSI ESTAMPADO TIPO ESPINA DE PESCADO E=0.12M (INCLUYE SUMINISTRO Y COLOCACIÓN DE CONCRETO, MOLDE DESMOLDANTE, COLOR ENDURECEDOR DE CUARZO, SELLANTE. INCLUYE CORTE Y SELLADO DE JUNTAS..</v>
          </cell>
          <cell r="H1082" t="str">
            <v>M2</v>
          </cell>
          <cell r="I1082">
            <v>177948</v>
          </cell>
        </row>
        <row r="1083">
          <cell r="F1083">
            <v>4905</v>
          </cell>
          <cell r="G1083" t="str">
            <v>GEODREN VIAL DE 100MM X 1.0M. SUMINISTRO E INSTALACIÓN. (INCLUYE EXCAVACIÓN MANUAL E= 30CM Y RELLENO EN MATERIAL SELECCIONADO PROVENIENTE DE EXCAVACIÓN..</v>
          </cell>
          <cell r="H1083" t="str">
            <v>ML</v>
          </cell>
          <cell r="I1083">
            <v>87629</v>
          </cell>
        </row>
        <row r="1084">
          <cell r="F1084">
            <v>4907</v>
          </cell>
          <cell r="G1084" t="str">
            <v>SUBBASE GRANULAR PEATONAL SBG_PEA. SUMINISTRO, EXTENDIDO MANUAL, NIVELACIÓN, HUMEDECIMIENTO Y COMPACTACIÓN</v>
          </cell>
          <cell r="H1084" t="str">
            <v>M3</v>
          </cell>
          <cell r="I1084">
            <v>123234</v>
          </cell>
        </row>
        <row r="1085">
          <cell r="F1085">
            <v>4908</v>
          </cell>
          <cell r="G1085" t="str">
            <v>MATERIAL SELECCIONADO. SUMINISTRO, EXTENDIDO MANUAL, NIVELACIÓN, HUMEDECIMIENTO Y COMPACTACIÓN.</v>
          </cell>
          <cell r="H1085" t="str">
            <v>M3</v>
          </cell>
          <cell r="I1085">
            <v>92892</v>
          </cell>
        </row>
        <row r="1086">
          <cell r="F1086">
            <v>4909</v>
          </cell>
          <cell r="G1086" t="str">
            <v>RAMPA VEHICULAR FUNDIDA EN EL SITIO EN CONCRETO PREMEZCLADO DE 3000 PSI (GRAVA COMUN) SUM, CONSTR. E INSTALACIÓN. INCLUYE ACABADO EN ADOQUIN DE ARCILLA TIPO TRÁFICO PESADO O SIMILAR, BASE DE 4CM EN MORTERO DE 2000 PSI.</v>
          </cell>
          <cell r="H1086" t="str">
            <v>M2</v>
          </cell>
          <cell r="I1086">
            <v>170389</v>
          </cell>
        </row>
        <row r="1087">
          <cell r="F1087">
            <v>4910</v>
          </cell>
          <cell r="G1087" t="str">
            <v>CONCRETO GRAVA COMUN DE 3000 PSI (210 KG/CM2) PARA RAMPAS DE EMPALME E= 0.20M PROMEDIO, SUMINISTRO Y COLOCACIÓN (INCLUYE EQUIPOS, SUMINISTRO E INSTALACIÓN DE FORMALETA, CURADO DE CONCRETO, MANO DE OBRA).</v>
          </cell>
          <cell r="H1087" t="str">
            <v>M2</v>
          </cell>
          <cell r="I1087">
            <v>157229</v>
          </cell>
        </row>
        <row r="1088">
          <cell r="F1088">
            <v>4911</v>
          </cell>
          <cell r="G1088" t="str">
            <v>SARDINEL CHAFLANADO DE H-MAX 0.50M Y A- PROM 0.15M PARA SEPARADORES. SUM. Y CONST. FUNDIDO EN SITIO EN CONCRETO PREMEZCLADO DE 3000 PSI (GRAVA COMUN) INCLUYE FORMALETA METÁLICA PARA SARDINEL. NO INCLUYE REFUERZO.</v>
          </cell>
          <cell r="H1088" t="str">
            <v>ML</v>
          </cell>
          <cell r="I1088">
            <v>56282</v>
          </cell>
        </row>
        <row r="1089">
          <cell r="F1089">
            <v>4912</v>
          </cell>
          <cell r="G1089" t="str">
            <v>NIVELACIÓN DE CAJA ETB T-14 H= 0.30M INCLUYE PLACA SUPERIOR EN CONCRETO DE 3000 PSI HECHO EN OBRA 1:2:2, ACERO DE REFUERZO, BLOQUE PARA CÁMARA TELEFÓNICA.</v>
          </cell>
          <cell r="H1089" t="str">
            <v>UN</v>
          </cell>
          <cell r="I1089">
            <v>2521591</v>
          </cell>
        </row>
        <row r="1090">
          <cell r="F1090">
            <v>4913</v>
          </cell>
          <cell r="G1090" t="str">
            <v>NIVELACIÓN DE CAJA ETB T-13 H= 0.30M (INCLUYE CONCRETO, ACERO DE REFUERZO, BLOQUE PARA CÁMARA TELEFÓNICA, MORTERO, ARO Y TAPA ETB).</v>
          </cell>
          <cell r="H1090" t="str">
            <v>UN</v>
          </cell>
          <cell r="I1090">
            <v>2102965</v>
          </cell>
        </row>
        <row r="1091">
          <cell r="F1091">
            <v>4914</v>
          </cell>
          <cell r="G1091" t="str">
            <v>NIVELACIÓN DE CAJA DOBLE DE PASO ETB H= 0.30M (INCLUYE REPOSICIÓN DE MARCO Y TAPA Y BORDILLO PERIMETRAL EN CONCRETO DE 3000 PSI HECHO EN OBRA 1:2:2 CON ARENA DE RIO Y TRITURADO DE 3/4", ACERO DE REFUERZO DE 3/8" Y 1/2".</v>
          </cell>
          <cell r="H1091" t="str">
            <v>UN</v>
          </cell>
          <cell r="I1091">
            <v>1116583</v>
          </cell>
        </row>
        <row r="1092">
          <cell r="F1092">
            <v>4915</v>
          </cell>
          <cell r="G1092" t="str">
            <v>SARDINEL CURVO FUNDIDO EN SITIO EN CONCRETO PREMEZCLADO DE 3000 PSI (GRAVA COMUN) E= 0.20M H= 0.35M SUMINISTRO Y CONSTRUCCIÓN (INCLUYE FORMALETA METÁLICA, ACERO DE REFUERZO Y ALAMBRE NEGRO.</v>
          </cell>
          <cell r="H1092" t="str">
            <v>ML</v>
          </cell>
          <cell r="I1092">
            <v>52502</v>
          </cell>
        </row>
        <row r="1093">
          <cell r="F1093">
            <v>4918</v>
          </cell>
          <cell r="G1093" t="str">
            <v>JUNTA DE DILATACIÓN ELASTOMÉRICA 250 TAMAÑO 64 X 70 MM (INCLUYE SUMINISTRO E INSTALACIÓN Y TODOS LOS COSTOS DE SUMINISTRO E INSTALACIÓN DE MATERIAL PARA ANCLAJE..</v>
          </cell>
          <cell r="H1093" t="str">
            <v>ML</v>
          </cell>
          <cell r="I1093">
            <v>147381</v>
          </cell>
        </row>
        <row r="1094">
          <cell r="F1094">
            <v>4919</v>
          </cell>
          <cell r="G1094" t="str">
            <v>ADOQUIN EN CONCRETO 200X100X60MM A25 (SUMINISTRO E INSTALACIÓN. INCLUYE BASE 4CM MORTERO 2000 PSI Y ARENA DE SELLO).</v>
          </cell>
          <cell r="H1094" t="str">
            <v>M2</v>
          </cell>
          <cell r="I1094">
            <v>104211</v>
          </cell>
        </row>
        <row r="1095">
          <cell r="F1095">
            <v>4920</v>
          </cell>
          <cell r="G1095" t="str">
            <v>CANECA DE ACERO INOXIDABLE M121 TIPO BARCELONA (SUMINISTRO E INSTALACIÓN. INCLUYE CONCRETO PARA ANCLAJE DE 3000 PSI PREMEZCLADO GRAVA COMÚN.</v>
          </cell>
          <cell r="H1095" t="str">
            <v>UN</v>
          </cell>
          <cell r="I1095">
            <v>572615</v>
          </cell>
        </row>
        <row r="1096">
          <cell r="F1096">
            <v>4921</v>
          </cell>
          <cell r="G1096" t="str">
            <v>POSTE DE REFERENCIA TIPO INVIAS. INCLUYE SUMINISTRO E INSTALACIÓN. (INCLUYE CONCRETO 2000 PSI PARA ANCLAJE , CONCRETO 2500 PSI PARA POSTE, CONCRETOS HECHOS EN OBRA, INCLUYE REFUERZO, FORMALETA Y PINTURA REFLECTIVA.</v>
          </cell>
          <cell r="H1096" t="str">
            <v>UN</v>
          </cell>
          <cell r="I1096">
            <v>138032</v>
          </cell>
        </row>
        <row r="1097">
          <cell r="F1097">
            <v>4922</v>
          </cell>
          <cell r="G1097" t="str">
            <v>CUADRILLA (3 AYUDANTES)</v>
          </cell>
          <cell r="H1097" t="str">
            <v>JR</v>
          </cell>
          <cell r="I1097">
            <v>191166</v>
          </cell>
        </row>
        <row r="1098">
          <cell r="F1098">
            <v>4923</v>
          </cell>
          <cell r="G1098" t="str">
            <v>CUADRILLA (3 AYUDANTES).</v>
          </cell>
          <cell r="H1098" t="str">
            <v>HR</v>
          </cell>
          <cell r="I1098">
            <v>23895</v>
          </cell>
        </row>
        <row r="1099">
          <cell r="F1099">
            <v>4925</v>
          </cell>
          <cell r="G1099" t="str">
            <v>FRESADO ESTABILIZADO AL 5% CON EMULSIÓN CRL-1 (INCLUYE TRANSPORTE DE MATERIAL FRESADO AL FRENTE DE OBRA DE 40 KM, SUMINISTRO DE EMULSIÓN, INSTALACIÓN MECANICA DE MATERIAL ESTABILIZADO).</v>
          </cell>
          <cell r="H1099" t="str">
            <v>M3</v>
          </cell>
          <cell r="I1099">
            <v>334048</v>
          </cell>
        </row>
        <row r="1100">
          <cell r="F1100">
            <v>4926</v>
          </cell>
          <cell r="G1100" t="str">
            <v>FRESADO ESTABILIZADO AL 5% CON EMULSIÓN CRL-1 (INCLUYE TRANSPORTE DE MATERIAL FRESADO AL FRENTE DE OBRA DE 10 KM, SUMINISTRO DE EMULSIÓN, INSTALACIÓN MECANICO DE MATERIAL ESTABILIZADO).</v>
          </cell>
          <cell r="H1100" t="str">
            <v>M3</v>
          </cell>
          <cell r="I1100">
            <v>290578</v>
          </cell>
        </row>
        <row r="1101">
          <cell r="F1101">
            <v>4928</v>
          </cell>
          <cell r="G1101" t="str">
            <v>CANALIZACIÓN DE TRÁFICO (INSTALACIÓN, MANTENIMIENTO Y DESINSTALACIÓN MENSUAL) CON SEÑALIZADORES TUBULARES COLOMBINA PLÁSTICA Y TRIPLE CINTA DE SEÑALIZACIÓN (INCLUYE ALQUILER DE SEÑALIZADORES TUBULARES). LONGITUD 3 METROS.</v>
          </cell>
          <cell r="H1101" t="str">
            <v>UN/MES</v>
          </cell>
          <cell r="I1101">
            <v>8482</v>
          </cell>
        </row>
        <row r="1102">
          <cell r="F1102">
            <v>4930</v>
          </cell>
          <cell r="G1102" t="str">
            <v>BANDERERO (INCLUYE ALQUILER DE PALETA PARE-SIGA EN POLIETILENO).</v>
          </cell>
          <cell r="H1102" t="str">
            <v>H/ME</v>
          </cell>
          <cell r="I1102">
            <v>1911904</v>
          </cell>
        </row>
        <row r="1103">
          <cell r="F1103">
            <v>4931</v>
          </cell>
          <cell r="G1103" t="str">
            <v>ALQUILER KIT DE EMERGENCIAS (INCLUYE EXTINTOR DE 5 LBS, CAMILLA EN MADERA PRIMEROS AUXILIOS, INMOVILIZADOR CABEZA, CONO DE H= 1.0M Y BOTIQUÍN.</v>
          </cell>
          <cell r="H1103" t="str">
            <v>UN/MES</v>
          </cell>
          <cell r="I1103">
            <v>33157</v>
          </cell>
        </row>
        <row r="1104">
          <cell r="F1104">
            <v>4933</v>
          </cell>
          <cell r="G1104" t="str">
            <v>AVISO PUNTO CREA 1.50M X 0.90M (MATERIAL DE IMPRESIÓN VINILO PARA EXTERIORES. INCLUYE SUMINISTRO E INSTALACIÓN).</v>
          </cell>
          <cell r="H1104" t="str">
            <v>UN</v>
          </cell>
          <cell r="I1104">
            <v>500000</v>
          </cell>
        </row>
        <row r="1105">
          <cell r="F1105">
            <v>4934</v>
          </cell>
          <cell r="G1105" t="str">
            <v>ALQUILER CARPA VESTIER 2.0M X 2.0M CON ESTRUCTURA, TECHO Y LATERALES EN LONA.</v>
          </cell>
          <cell r="H1105" t="str">
            <v>UN/MES</v>
          </cell>
          <cell r="I1105">
            <v>104209</v>
          </cell>
        </row>
        <row r="1106">
          <cell r="F1106">
            <v>4936</v>
          </cell>
          <cell r="G1106" t="str">
            <v>ACCESO TEMPORAL A VIVIENDA EN MADERA. SUMINISTRO Y CONSTRUCCIÓN.</v>
          </cell>
          <cell r="H1106" t="str">
            <v>UN</v>
          </cell>
          <cell r="I1106">
            <v>29703</v>
          </cell>
        </row>
        <row r="1107">
          <cell r="F1107">
            <v>4937</v>
          </cell>
          <cell r="G1107" t="str">
            <v>BARRERA DE CONTENCIÓN MATERIAL DE ARRASTRE (INCLUYE SUMINISTRO Y COLOCACIÓN DE MALLA DE GALLINERO 1 1/4" Y POLISOMBRA 47%).</v>
          </cell>
          <cell r="H1107" t="str">
            <v>M2</v>
          </cell>
          <cell r="I1107">
            <v>9190</v>
          </cell>
        </row>
        <row r="1108">
          <cell r="F1108">
            <v>4945</v>
          </cell>
          <cell r="G1108" t="str">
            <v>ALQUILER DE CERRAMIENTO TIPO 1: CONSTA DE SEÑALIZADORES TUBULARES PLÁSTICOS, TRIPLE CINTA PELIGRO CAL. 4, POLISOMBRA 65% PARA CERRAMIENTO. (INCLUYE INSTALACIÓN, MANTENIMIENTO Y DESINSTALACIÓN).</v>
          </cell>
          <cell r="H1108" t="str">
            <v>ML/MES</v>
          </cell>
          <cell r="I1108">
            <v>8579</v>
          </cell>
        </row>
        <row r="1109">
          <cell r="F1109">
            <v>4946</v>
          </cell>
          <cell r="G1109" t="str">
            <v>ALQUILER DE CERRAMIENTO TIPO 2: CONSTA DE POSTES ROLLIZOS DE 1.90MT DE ALTURA LIBRE CON BASE EN CONCRETO 1500 PSI DE 30CM X 30CM, DOBLE CINTA PELIGRO CAL. 4, TELA PARA CERRAMIENTO.(INCL INSTALACION, MANTENIMIENTO Y DESINSTALACIÓN).</v>
          </cell>
          <cell r="H1109" t="str">
            <v>ML/MES</v>
          </cell>
          <cell r="I1109">
            <v>19577</v>
          </cell>
        </row>
        <row r="1110">
          <cell r="F1110">
            <v>4947</v>
          </cell>
          <cell r="G1110" t="str">
            <v>LAVADO DE ESTRUCTURA EN CONCRETO Y/O METÁLICAS. INCLUYE ALQUILER DE HIDROLAVADORA 1300W MOTOR A GASOLINA PRESIÓN 3200 PSI. INCLUYE IMPLEMENTOS DE ASEO (DETERGENTE INDUSTRIAL), AGUA, COMBUSTIBLE Y MANO DE OBRA.</v>
          </cell>
          <cell r="H1110" t="str">
            <v>M2</v>
          </cell>
          <cell r="I1110">
            <v>4059</v>
          </cell>
        </row>
        <row r="1111">
          <cell r="F1111">
            <v>4949</v>
          </cell>
          <cell r="G1111" t="str">
            <v>CONTENEDOR DE RAÍCES TIPO B21 (TIPO B) (1.40M X 1.40M X 1.40M)INCLUYE MUROS EN CONCRETO GRAVA COMÚN 3000 PSI (210 KG/CM2), SUMINISTRO CONSTRUCCIÓN Y FILTRO EN GRAVILLA 1/2", FORMALETA Y REFUERZO. NO INCLUYE TIERRA NEGRA.</v>
          </cell>
          <cell r="H1111" t="str">
            <v>UN</v>
          </cell>
          <cell r="I1111">
            <v>994189</v>
          </cell>
        </row>
        <row r="1112">
          <cell r="F1112">
            <v>4950</v>
          </cell>
          <cell r="G1112" t="str">
            <v>SEMÁFORO VEHICULAR DE POLICARBONATO (3X200), LENTES DE POLICARBONATO DE 8", TRES LUCES, SISTEMA DE ILUMINACIÓN A LEDS. SUMINISTRO E INSTALACIÓN.</v>
          </cell>
          <cell r="H1112" t="str">
            <v>UN</v>
          </cell>
          <cell r="I1112">
            <v>4376187</v>
          </cell>
        </row>
        <row r="1113">
          <cell r="F1113">
            <v>4951</v>
          </cell>
          <cell r="G1113" t="str">
            <v>SEMÁFORO PEATONAL DE POLICARBONATO (2X200), LENTES DE POLICARBONATO DE 8", DOS LUCES, SISTEMA DE ILUMINACIÓN A LEDS. SUMINISTRO E INSTALACIÓN.</v>
          </cell>
          <cell r="H1113" t="str">
            <v>UN</v>
          </cell>
          <cell r="I1113">
            <v>3093046</v>
          </cell>
        </row>
        <row r="1114">
          <cell r="F1114">
            <v>4952</v>
          </cell>
          <cell r="G1114" t="str">
            <v>POSTE TIPO MASTIL T1 (3.60M) EN TUBO SCH 40 GALVANIZADO Y PINTADO. SUMINISTRO E INSTALACIÓN.</v>
          </cell>
          <cell r="H1114" t="str">
            <v>UN</v>
          </cell>
          <cell r="I1114">
            <v>2556001</v>
          </cell>
        </row>
        <row r="1115">
          <cell r="F1115">
            <v>4953</v>
          </cell>
          <cell r="G1115" t="str">
            <v>POSTE TIPO MENSULA T2 (5.50M) EN TUBO SCH 40 GALVANIZADO Y PINTADO. SUMINISTRO E INSTALACIÓN.</v>
          </cell>
          <cell r="H1115" t="str">
            <v>UN</v>
          </cell>
          <cell r="I1115">
            <v>4830924</v>
          </cell>
        </row>
        <row r="1116">
          <cell r="F1116">
            <v>4959</v>
          </cell>
          <cell r="G1116" t="str">
            <v>ACERO LISO PARA TRANSFERENCIA DE LOSAS D= 1 1/4" (NO INCLUYE CANASTILLA). SUMINISTRO E INSTALACIÓN.</v>
          </cell>
          <cell r="H1116" t="str">
            <v>KG</v>
          </cell>
          <cell r="I1116">
            <v>6487</v>
          </cell>
        </row>
        <row r="1117">
          <cell r="F1117">
            <v>4960</v>
          </cell>
          <cell r="G1117" t="str">
            <v>FLECHA DIRECCIONAL "DE FRENTE A LA IZQUIERDA" (E=2.3MM,TERMOPLÁSTICA. INC. SUMIN. Y APLIC. CON EQUIPO. INC. MICROESFERAS).</v>
          </cell>
          <cell r="H1117" t="str">
            <v>UN</v>
          </cell>
          <cell r="I1117">
            <v>263966</v>
          </cell>
        </row>
        <row r="1118">
          <cell r="F1118">
            <v>4961</v>
          </cell>
          <cell r="G1118" t="str">
            <v>DEMARCACIÓN LINEA DE CRUCE DE BICICLETA A= 0.4MT, E= 2.3MM TERMOPLÁSTICA. INCLUYE SUMINISTRO Y APLICACIÓN CON EQUIPO. INCLUYE MICROESFERAS..</v>
          </cell>
          <cell r="H1118" t="str">
            <v>ML</v>
          </cell>
          <cell r="I1118">
            <v>48435</v>
          </cell>
        </row>
        <row r="1119">
          <cell r="F1119">
            <v>4962</v>
          </cell>
          <cell r="G1119" t="str">
            <v>DEMARCACIÓN LINEAL CARRIL CICLORRUTA A= 0.1MT, L= 1.20MT E= 2.3MM EN PINTURA TERMOPLÁSTICA. INCLUYE SUMINISTRO Y APLICACIÓN CON EQUIPO. INCLUYE MICROESFERAS..</v>
          </cell>
          <cell r="H1119" t="str">
            <v>ML</v>
          </cell>
          <cell r="I1119">
            <v>12109</v>
          </cell>
        </row>
        <row r="1120">
          <cell r="F1120">
            <v>4963</v>
          </cell>
          <cell r="G1120" t="str">
            <v>DEMARCACIÓN LINEAL BORDE CICLORRUTA A= 0.1MT, E= 2.3MM EN PINTURA TERMOPLÁSTICA. INCLUYE SUMINISTRO Y APLICACIÓN CON EQUIPO. INCLUYE MICROESFERAS..</v>
          </cell>
          <cell r="H1120" t="str">
            <v>ML</v>
          </cell>
          <cell r="I1120">
            <v>12109</v>
          </cell>
        </row>
        <row r="1121">
          <cell r="F1121">
            <v>4964</v>
          </cell>
          <cell r="G1121" t="str">
            <v>DEMARCACIÓN LINEAL PARADA CICLORRUTA A= 0.1MT, E= 2.3MM EN PINTURA TERMOPLÁSTICA. INCLUYE SUMINISTRO Y APLICACIÓN CON EQUIPO. INCLUYE MICROESFERAS..</v>
          </cell>
          <cell r="H1121" t="str">
            <v>ML</v>
          </cell>
          <cell r="I1121">
            <v>12109</v>
          </cell>
        </row>
        <row r="1122">
          <cell r="F1122">
            <v>4965</v>
          </cell>
          <cell r="G1122" t="str">
            <v>NEOPRENO REFORZADO 0.40 X 0.90 X 1" DOBLE REFUERZO SUMINISTRO E INSTALACIÓN (INCLUYE LIMPIEZA DE LA SUPERFICIE CON CHORRO DE AIRE A PRESIÓN, HERRAMIENTA MENOR Y COMPRESOR).</v>
          </cell>
          <cell r="H1122" t="str">
            <v>UN</v>
          </cell>
          <cell r="I1122">
            <v>634428</v>
          </cell>
        </row>
        <row r="1123">
          <cell r="F1123">
            <v>4966</v>
          </cell>
          <cell r="G1123" t="str">
            <v>DESMONTE SEÑAL VERTICAL.</v>
          </cell>
          <cell r="H1123" t="str">
            <v>UN</v>
          </cell>
          <cell r="I1123">
            <v>4017</v>
          </cell>
        </row>
        <row r="1124">
          <cell r="F1124">
            <v>4967</v>
          </cell>
          <cell r="G1124" t="str">
            <v>EMPATE EN LÍNEA DE TUBERÍA DE ACERO (HA) A TUBERÍA PVC 8". SUMINISTRO E INSTALACIÓN. (INCLUYE ACOPLE UNIVERSAL D= 8" R1, UNIÓN DE REPARACIÓN D=8" Y 1MT DE TUBERÍA PVC D= 8" RDE 21).</v>
          </cell>
          <cell r="H1124" t="str">
            <v>UN</v>
          </cell>
          <cell r="I1124">
            <v>1027026</v>
          </cell>
        </row>
        <row r="1125">
          <cell r="F1125">
            <v>4968</v>
          </cell>
          <cell r="G1125" t="str">
            <v>EMPATE EN LÍNEA DE TUBERÍA DE ACERO (HA) A TUBERÍA PVC 4". SUMINISTRO E INSTALACIÓN. (INCLUYE ACOPLE UNIVERSAL D= 4", UNIÓN DE REPARACIÓN D=4" Y 1MT DE TUBERÍA PVC D= 4" RDE 21).</v>
          </cell>
          <cell r="H1125" t="str">
            <v>UN</v>
          </cell>
          <cell r="I1125">
            <v>338118</v>
          </cell>
        </row>
        <row r="1126">
          <cell r="F1126">
            <v>4969</v>
          </cell>
          <cell r="G1126" t="str">
            <v>EMPATE EN LÍNEA DE TUBERÍA DE ACERO (HA) A TUBERÍA PVC 3". SUMINISTRO E INSTALACIÓN. (INCLUYE ACOPLE UNIVERSAL D= 3", UNIÓN DE REPARACIÓN D=3" Y 1MT DE TUBERÍA PVC D= 3" RDE 21).</v>
          </cell>
          <cell r="H1126" t="str">
            <v>UN</v>
          </cell>
          <cell r="I1126">
            <v>273071</v>
          </cell>
        </row>
        <row r="1127">
          <cell r="F1127">
            <v>4970</v>
          </cell>
          <cell r="G1127" t="str">
            <v>EMPATE EN LÍNEA DE TUBERÍA DE ACERO (HA) A ASBESTO CEMENTO (AC) 8".SUMINISTRO E INSTALACIÓN. (INCLUYE DOS ACOPLES UNIVERSAL D= 8" R1 Y 1MT DE TUBERÍA PVC D= 8" RDE 21).</v>
          </cell>
          <cell r="H1127" t="str">
            <v>UN</v>
          </cell>
          <cell r="I1127">
            <v>607042</v>
          </cell>
        </row>
        <row r="1128">
          <cell r="F1128">
            <v>4971</v>
          </cell>
          <cell r="G1128" t="str">
            <v>EMPATES EN LÍNEA DE TUBERÍA EN PVC A HD 12". SUMINISTRO E INSTALACIÓN. (INCLUYE ADAPTADOR BRIDA 12" R2, UNIÓN DE REPARACIÓN 12" Y 1MT DE TUBERÍA PVC D= 12" RDE 21).</v>
          </cell>
          <cell r="H1128" t="str">
            <v>UN</v>
          </cell>
          <cell r="I1128">
            <v>2533903</v>
          </cell>
        </row>
        <row r="1129">
          <cell r="F1129">
            <v>4972</v>
          </cell>
          <cell r="G1129" t="str">
            <v>EMPATES EN LÍNEA DE TUBERÍA EN PVC A AC 6". SUM E INST. (INCL ACOPLE UNIVERSAL R1 - R2 D= 6", UNIÓN PVC U.M. D= 6", UNIÓN GIBAULT HD PARA AC CL. 25 D= 6", UNION DE REPARACIÓN D= 6 Y 1 METRO DE TUBERÍA PVC D= 6" RDE 21).</v>
          </cell>
          <cell r="H1129" t="str">
            <v>UN</v>
          </cell>
          <cell r="I1129">
            <v>1153510</v>
          </cell>
        </row>
        <row r="1130">
          <cell r="F1130">
            <v>4973</v>
          </cell>
          <cell r="G1130" t="str">
            <v>EMPATES EN LÍNEA DE TUBERÍA EN PVC A AC 8". SUM E INST. (INCL ACOPLE UNIVERSAL R1- R2 D= 8", UNIÓN PVC U.M. D= 8", UNIÓN GIBAULT HD PARA AC CL. 25 D= 8", UNION DE REPARACIÓN D= 8 Y 1 METRO DE TUBERÍA PVC D= 8" RDE 21).</v>
          </cell>
          <cell r="H1130" t="str">
            <v>UN</v>
          </cell>
          <cell r="I1130">
            <v>1783236</v>
          </cell>
        </row>
        <row r="1131">
          <cell r="F1131">
            <v>4974</v>
          </cell>
          <cell r="G1131" t="str">
            <v>EMPATES EN LÍNEA DE TUBERÍA EN PVC A AC 12". SUM E INST. (INCL ACOPLE UNIVERSAL R1- R2 D= 12", UNIÓN PVC U.M. D= 12", UNIÓN GIBAULT HD PARA AC CL. 25 D= 12", UNION DE REPARACIÓN D= 12 Y 1 METRO DE TUB PVC D= 12" RDE 21).</v>
          </cell>
          <cell r="H1131" t="str">
            <v>UN</v>
          </cell>
          <cell r="I1131">
            <v>4595946</v>
          </cell>
        </row>
        <row r="1132">
          <cell r="F1132">
            <v>4975</v>
          </cell>
          <cell r="G1132" t="str">
            <v>EMPATE EN LÍNEA DE TUBERÍA EN PVC A HF 4". SUM E INST. (INCL UNIÓN DE REPARACIÓN PVC U.M. D=4", ADAPTADOR MACHO PVC US D=4", UNIÓN GIBAULT HD CL. 25 D= 4" Y 1MT DE TUBERÍA PVC D= 4" RDE 21).</v>
          </cell>
          <cell r="H1132" t="str">
            <v>UN</v>
          </cell>
          <cell r="I1132">
            <v>406165</v>
          </cell>
        </row>
        <row r="1133">
          <cell r="F1133">
            <v>4976</v>
          </cell>
          <cell r="G1133" t="str">
            <v>EMPATES EN LÍNEA DE TUBERÍA EN PVC A HF 6". SUM E INST. (INCL UNIÓN GIBAULT D=6", UNIÓN PVC U.M. D= 6", UNIÓN, UNION DE REPARACIÓN D= 6 Y 1 METRO DE TUBERÍA PVC D= 6" RDE 21).</v>
          </cell>
          <cell r="H1133" t="str">
            <v>UN</v>
          </cell>
          <cell r="I1133">
            <v>828333</v>
          </cell>
        </row>
        <row r="1134">
          <cell r="F1134">
            <v>4977</v>
          </cell>
          <cell r="G1134" t="str">
            <v>EMPATE EN LÍNEA DE TUBERÍA EN PVC A HG 4". SUM E INST. (INCL UNIÓN DE REPARACIÓN PVC U.M. D=4", ADAPTADOR MACHO PVC US D=4", UNIÓN GIBAULT HD CL. 25 D= 4" Y 1MT DE TUBERÍA PVC D= 4" RDE 21).</v>
          </cell>
          <cell r="H1134" t="str">
            <v>UN</v>
          </cell>
          <cell r="I1134">
            <v>406165</v>
          </cell>
        </row>
        <row r="1135">
          <cell r="F1135">
            <v>4978</v>
          </cell>
          <cell r="G1135" t="str">
            <v>CONSTRUCCIÓN DE CAJA PARA VALVULA D= 3", D= 4", D= 6" Y D= 8" (NORMA EAAB NS-027) DE 0.4M X0.5M H=2.0M (INCLUYE MARCO Y TAPA).</v>
          </cell>
          <cell r="H1135" t="str">
            <v>UN</v>
          </cell>
          <cell r="I1135">
            <v>606304</v>
          </cell>
        </row>
        <row r="1136">
          <cell r="F1136">
            <v>4979</v>
          </cell>
          <cell r="G1136" t="str">
            <v>CONSTRUCCIÓN DE CAJA PARA VALVULA D= 10", D= 12" DE 0.5M X0.6M H=2.0M (INCLUYE TAPA VÁLVULA DE SEGURIDAD).</v>
          </cell>
          <cell r="H1136" t="str">
            <v>UN</v>
          </cell>
          <cell r="I1136">
            <v>619122</v>
          </cell>
        </row>
        <row r="1137">
          <cell r="F1137">
            <v>4980</v>
          </cell>
          <cell r="G1137" t="str">
            <v>2 DUCTOS D=3" Y 9 DUCTOS D=6" PVC A TDP. SUMINISTRO E INSTALACIÓN. (NO INCLUYE RELLENOS).</v>
          </cell>
          <cell r="H1137" t="str">
            <v>ML</v>
          </cell>
          <cell r="I1137">
            <v>560527</v>
          </cell>
        </row>
        <row r="1138">
          <cell r="F1138">
            <v>4981</v>
          </cell>
          <cell r="G1138" t="str">
            <v>ENTIBADO EC-2 CONTÍNUO MADERA CON PERFILES METÁLICOS Y PARALES TELESCÓPICOS. SUMINISTRO E INSTALACIÓN.</v>
          </cell>
          <cell r="H1138" t="str">
            <v>M2</v>
          </cell>
          <cell r="I1138">
            <v>80549</v>
          </cell>
        </row>
        <row r="1139">
          <cell r="F1139">
            <v>4982</v>
          </cell>
          <cell r="G1139" t="str">
            <v>ACOMETIDA DOMICILIARIA DE 1/2". SUMINISTRO E INSTALACIÓN. (INCLUYE TUBERIA PF D=1/2", REGISTROS Y ACCESORIOS, LOG. PROM. = 6.50M).</v>
          </cell>
          <cell r="H1139" t="str">
            <v>UN</v>
          </cell>
          <cell r="I1139">
            <v>168373</v>
          </cell>
        </row>
        <row r="1140">
          <cell r="F1140">
            <v>4983</v>
          </cell>
          <cell r="G1140" t="str">
            <v>PROTECTOR DE RAMPA EN TUBERÍA A.N. 2". SUMINISTRO E INSTALACIÓN. INCLUYE ANCLAJES EN CONCRETO PREMEZCLADO DE 3000 PSI (GRAVA COMUN).</v>
          </cell>
          <cell r="H1140" t="str">
            <v>UN</v>
          </cell>
          <cell r="I1140">
            <v>51620</v>
          </cell>
        </row>
        <row r="1141">
          <cell r="F1141">
            <v>4984</v>
          </cell>
          <cell r="G1141" t="str">
            <v>RELOCALIZACIÓN DE MEDIDOR DE ACUEDUCTO D= 1/2" (INCLUYE 1.0M TUBERÍA GALVANIZADA D= 1/2", SOLDADURA, CINTA DE TEFLON, Y REPOSICIÓN DE CAJILLA EN POLIPROPILENO DE ALTA RESISTENCIA CON TAPA, NO INCLUYE MEDIDOR.).</v>
          </cell>
          <cell r="H1141" t="str">
            <v>UN</v>
          </cell>
          <cell r="I1141">
            <v>279244</v>
          </cell>
        </row>
        <row r="1142">
          <cell r="F1142">
            <v>4985</v>
          </cell>
          <cell r="G1142" t="str">
            <v>CONCRETO GRAVA COMÚN 4000 PSI (280 KG/CM2) PARA PLACAS DE ACCESO. SUMINISTRO Y COLOCACIÓN. (INCLUYE EQUIPOS, SUMINISTRO E INSTALACIÓN DE FORMALETA, CURADO DEL CONCRETO, MANO DE OBRA).</v>
          </cell>
          <cell r="H1142" t="str">
            <v>M3</v>
          </cell>
          <cell r="I1142">
            <v>649999</v>
          </cell>
        </row>
        <row r="1143">
          <cell r="F1143">
            <v>4986</v>
          </cell>
          <cell r="G1143" t="str">
            <v>CONCRETO GRAVA COMÚN 4000 PSI (280 KG/CM2) PARA CÁMARAS ESPECIALES DE INTERCONEXIÓN DE ALCANTARILLADO (PREMEZCLADO, INCLUYE SUMINISTRO, FORMALETA Y COLOCACIÓN. NO INCLUYE REFUERZO NI CURADO).</v>
          </cell>
          <cell r="H1143" t="str">
            <v>M3</v>
          </cell>
          <cell r="I1143">
            <v>891471</v>
          </cell>
        </row>
        <row r="1144">
          <cell r="F1144">
            <v>4987</v>
          </cell>
          <cell r="G1144" t="str">
            <v>PEDESTAL PARA EQUIPO DE CONTROL EN CONCRETO DE 3000 PSI (1.0M X 1.0M X 1.0M).</v>
          </cell>
          <cell r="H1144" t="str">
            <v>UN</v>
          </cell>
          <cell r="I1144">
            <v>1558042</v>
          </cell>
        </row>
        <row r="1145">
          <cell r="F1145">
            <v>4988</v>
          </cell>
          <cell r="G1145" t="str">
            <v>MOVILIZACIÓN DE EQUIPO DESDE LA OBRA HASTA SITIO AUTORIZADO EN CUMPLIMIENTO DEL PMT DENTRO DEL AREA DE INFLUENCIA DE LA OBRA (INCLUYE CARGUE, DESCARGUE Y CARROS ESCOLTA). EL VIAJE ES IDA Y VUELTA.</v>
          </cell>
          <cell r="H1145" t="str">
            <v>VIAJE</v>
          </cell>
          <cell r="I1145">
            <v>888145</v>
          </cell>
        </row>
        <row r="1146">
          <cell r="F1146">
            <v>4989</v>
          </cell>
          <cell r="G1146" t="str">
            <v>SARDINEL ESPECIAL A 110 PARA RAMPA TIPO B (SUMINISTRO E INSTALACION. INCLUYE 3CM MORTERO 2000 PSI)</v>
          </cell>
          <cell r="H1146" t="str">
            <v>ML</v>
          </cell>
          <cell r="I1146">
            <v>148769</v>
          </cell>
        </row>
        <row r="1147">
          <cell r="F1147">
            <v>4990</v>
          </cell>
          <cell r="G1147" t="str">
            <v>RAMPA TIPO B (B12) LONGITUD=3.00M, DESARROLLO=0.40MT (INCLUYE MATERIAL DE BASE MORTERO 2000 PSI)</v>
          </cell>
          <cell r="H1147" t="str">
            <v>UN</v>
          </cell>
          <cell r="I1147">
            <v>446307</v>
          </cell>
        </row>
        <row r="1148">
          <cell r="F1148">
            <v>4991</v>
          </cell>
          <cell r="G1148" t="str">
            <v>SARDINEL ESPECIAL A 110 PARA RAMPA TIPO B (SUMINISTRO E INSTALACION. NO INCLUYE MATERIAL DE BASE)</v>
          </cell>
          <cell r="H1148" t="str">
            <v>ML</v>
          </cell>
          <cell r="I1148">
            <v>141826</v>
          </cell>
        </row>
        <row r="1149">
          <cell r="F1149">
            <v>4992</v>
          </cell>
          <cell r="G1149" t="str">
            <v>RAMPA TIPO B (B12) LONGITUD=3.00M, DESARROLLO=0.40MT (INCLUYE MATERIAL DE BASE MORTERO 1:5 HECHO EN OBRA)</v>
          </cell>
          <cell r="H1149" t="str">
            <v>UN</v>
          </cell>
          <cell r="I1149">
            <v>436776</v>
          </cell>
        </row>
        <row r="1150">
          <cell r="F1150">
            <v>4993</v>
          </cell>
          <cell r="G1150" t="str">
            <v>RAMPA TIPO B (B12) LONGITUD=3.00M, DESARROLLO=0.40MT (NO INCLUYE MATERIAL DE BASE)</v>
          </cell>
          <cell r="H1150" t="str">
            <v>UN</v>
          </cell>
          <cell r="I1150">
            <v>425478</v>
          </cell>
        </row>
        <row r="1151">
          <cell r="F1151">
            <v>4994</v>
          </cell>
          <cell r="G1151" t="str">
            <v>SUBBASE GRANULAR CLASE A (SBG_A) ESTABILIZADA CON CEMENTO AL 4% (SUMINISTRO, EXTENDIDO, NIVELACIÓN, HUMEDECIMIENTO Y COMPACTACIÓN CON VIBROCOMPACTADOR)</v>
          </cell>
          <cell r="H1151" t="str">
            <v>M3</v>
          </cell>
          <cell r="I1151">
            <v>145812</v>
          </cell>
        </row>
        <row r="1152">
          <cell r="F1152">
            <v>4995</v>
          </cell>
          <cell r="G1152" t="str">
            <v>SUBBASE GRANULAR CLASE A (SBG_A) ESTABILIZADA CON CEMENTO AL 4% (SUMINISTRO, EXTENDIDO, NIVELACIÓN, HUMEDECIMIENTO Y COMPACTACIÓN CON VIBROCOMPACTADOR) DISTANCIA DE TRANSPORTE 28 KM</v>
          </cell>
          <cell r="H1152" t="str">
            <v>M3</v>
          </cell>
          <cell r="I1152">
            <v>211765</v>
          </cell>
        </row>
        <row r="1153">
          <cell r="F1153">
            <v>4996</v>
          </cell>
          <cell r="G1153" t="str">
            <v>CODO HD 22,5° EXTREMO LISO PARA PVC D=8" (SUMINISTRO E INSTALACIÓN)</v>
          </cell>
          <cell r="H1153" t="str">
            <v>UN</v>
          </cell>
          <cell r="I1153">
            <v>528981</v>
          </cell>
        </row>
        <row r="1154">
          <cell r="F1154">
            <v>4997</v>
          </cell>
          <cell r="G1154" t="str">
            <v>ELIMINACIÓN DE SETO (H&gt; 2M) INCLUYE DESENRAIZAMIENTO, TRANSPORTE Y DISPOSICIÓN FINAL DE ESCOMBROS EN SITIO AUTORIZADO (DISTANCIA DE TRANSPORTE 28 KM)</v>
          </cell>
          <cell r="H1154" t="str">
            <v>ML</v>
          </cell>
          <cell r="I1154">
            <v>22714</v>
          </cell>
        </row>
        <row r="1155">
          <cell r="F1155">
            <v>5000</v>
          </cell>
          <cell r="G1155" t="str">
            <v>1 DUCTO D= 3" PVC-TDP CON 3 CABLES. SUMINISTRO E INSTALACIÓN. INCL. EXCAV. EXTENDIDO, HUMEDECIMIENTO Y COMPACTACIÓN DE RELLENOS PARA REDES EN ARENA DE PEÑA Y EN MATERIAL SELECC. PROVENIENTE DE LA EXCAVACIÓN.</v>
          </cell>
          <cell r="H1155" t="str">
            <v>ML</v>
          </cell>
          <cell r="I1155">
            <v>132863</v>
          </cell>
        </row>
        <row r="1156">
          <cell r="F1156">
            <v>5001</v>
          </cell>
          <cell r="G1156" t="str">
            <v>CONSTRUCCIÓN DE BASE MOTOR. INCLUYE SUMINISTRO Y COLOCACIÓN DE CONCRETO 3000 PSI HECHO EN OBRA 1:2:2, ARENA DE RIO Y TRITURADO 3/4". INCLUYE ACERO DE REFUERZO Y SISTEMA DE ANCLAJE PARA POSTE METÁLICO.</v>
          </cell>
          <cell r="H1156" t="str">
            <v>UN</v>
          </cell>
          <cell r="I1156">
            <v>879206</v>
          </cell>
        </row>
        <row r="1157">
          <cell r="F1157">
            <v>5002</v>
          </cell>
          <cell r="G1157" t="str">
            <v>1 DUCTO D= 3" PVC-TDP CON 2 CABLES. SUMINISTRO E INSTALACIÓN. INCL. EXCAV. EXTENDIDO, HUMEDECIMIENTO Y COMPACTACIÓN DE RELLENOS PARA REDES EN ARENA DE PEÑA Y EN MATERIAL SELECC. PROVENIENTE DE LA EXCAVACIÓN.</v>
          </cell>
          <cell r="H1157" t="str">
            <v>ML</v>
          </cell>
          <cell r="I1157">
            <v>103632</v>
          </cell>
        </row>
        <row r="1158">
          <cell r="F1158">
            <v>5003</v>
          </cell>
          <cell r="G1158" t="str">
            <v>CONSTRUCCIÓN DE BASE PARA INSTALACIÓN DE SEMÁFORO FERROVIARIO. INCLUYE SUMINISTRO Y COLOCACIÓN DE CONCRETO 3000 PSI HECHO EN OBRA 1:2:2, ARENA DE RIO Y TRITURADO DE 3/4". INCLUYE ACERO DE REFUERZO.</v>
          </cell>
          <cell r="H1158" t="str">
            <v>UN</v>
          </cell>
          <cell r="I1158">
            <v>54364</v>
          </cell>
        </row>
        <row r="1159">
          <cell r="F1159">
            <v>5004</v>
          </cell>
          <cell r="G1159" t="str">
            <v>CUADRILLA (OFICIAL + 10 AYUDANTES)</v>
          </cell>
          <cell r="H1159" t="str">
            <v>HR</v>
          </cell>
          <cell r="I1159">
            <v>91108</v>
          </cell>
        </row>
        <row r="1160">
          <cell r="F1160">
            <v>5005</v>
          </cell>
          <cell r="G1160" t="str">
            <v>CUADRILLA (OFICIAL + 10 AYUDANTES).</v>
          </cell>
          <cell r="H1160" t="str">
            <v>JR</v>
          </cell>
          <cell r="I1160">
            <v>728930</v>
          </cell>
        </row>
        <row r="1161">
          <cell r="F1161">
            <v>5010</v>
          </cell>
          <cell r="G1161" t="str">
            <v>DESMONTE, INSTALACIÓN Y NIVELACIÓN DE RIELES (INCLUYE EQUIPO DE OXICORTE Y RETIRO CON EQUIPO)</v>
          </cell>
          <cell r="H1161" t="str">
            <v>UN</v>
          </cell>
          <cell r="I1161">
            <v>310023</v>
          </cell>
        </row>
        <row r="1162">
          <cell r="F1162">
            <v>5015</v>
          </cell>
          <cell r="G1162" t="str">
            <v>CAJA DE INSPECCION 0.80X0.8M. SUMINISTRO Y CONSTRUCCION. (H=0.6M. INCLUYE MARCO Y TAPA, NO INCLUYE BASE Y CAÑUELA).</v>
          </cell>
          <cell r="H1162" t="str">
            <v>UN</v>
          </cell>
          <cell r="I1162">
            <v>525385</v>
          </cell>
        </row>
        <row r="1163">
          <cell r="F1163">
            <v>5017</v>
          </cell>
          <cell r="G1163" t="str">
            <v>CONEXIÓN GEODRÉN VIAL 100MMX1.00M A POZO EXISTENTE (INC. EXCAVACION MANUAL, TRANSPORTE Y DISPOSICIÓN FINAL, RELLENOS EN BASE GRANULAR CLASE B,SUMINISTRO E INSTALACION TUBERIA SANITARIA PVC D=4" Y ACCESORIOS PVC SANITARIA.</v>
          </cell>
          <cell r="H1163" t="str">
            <v>UN</v>
          </cell>
          <cell r="I1163">
            <v>444556</v>
          </cell>
        </row>
        <row r="1164">
          <cell r="F1164">
            <v>5019</v>
          </cell>
          <cell r="G1164" t="str">
            <v>TEE HD 22,5° EXTREMO LISO 4"X2" (SUMINISTRO E INSTALACION).</v>
          </cell>
          <cell r="H1164" t="str">
            <v>UN</v>
          </cell>
          <cell r="I1164">
            <v>231288</v>
          </cell>
        </row>
        <row r="1165">
          <cell r="F1165">
            <v>5021</v>
          </cell>
          <cell r="G1165" t="str">
            <v>TUBERIA DE ACERO SIN COSTURAS ASTM-A-53 SCH40 D=12". SUMINISTRO E INSTALACION. (INCLUYE TRANSPORTE).</v>
          </cell>
          <cell r="H1165" t="str">
            <v>ML</v>
          </cell>
          <cell r="I1165">
            <v>507750</v>
          </cell>
        </row>
        <row r="1166">
          <cell r="F1166">
            <v>5023</v>
          </cell>
          <cell r="G1166" t="str">
            <v>2 DUCTOS D=2" PVC PESADO DB. SUMINISTRO E INSTALACION. (NO INCLUYE RELLENOS).</v>
          </cell>
          <cell r="H1166" t="str">
            <v>ML</v>
          </cell>
          <cell r="I1166">
            <v>23634</v>
          </cell>
        </row>
        <row r="1167">
          <cell r="F1167">
            <v>5024</v>
          </cell>
          <cell r="G1167" t="str">
            <v>VADO PARA ACCESIBILIDAD A MOVILIDAD REDUCIDA EN ANCHO=3.20M, DESARROLLO=2.00M, SUMINISTRO Y CONSTRUCCION, EN ESPACIO PUBLICO EXISTENTE. ALTO ESTANDAR DE ANDEN DE 0.20M (INC. BASE ARENA NIVELADA, ARENA SELLO, RELLENO.</v>
          </cell>
          <cell r="H1167" t="str">
            <v>UN</v>
          </cell>
          <cell r="I1167">
            <v>1346177</v>
          </cell>
        </row>
        <row r="1168">
          <cell r="F1168">
            <v>5025</v>
          </cell>
          <cell r="G1168" t="str">
            <v>VADO PARA ACCESIBILIDAD A MOVILIDAD REDUCIDA EN ANCHO=3.20M, DESARROLLO=2.00M, SUMINISTRO Y CONSTRUCCION, EN ESPACIO PUBLICO EXISTENTE. ALTO ESTANDAR DE ANDEN DE 0.20M (INC. BASE ARENA NIVELADA, ARENA SELLO, (A=1M2).</v>
          </cell>
          <cell r="H1168" t="str">
            <v>M2</v>
          </cell>
          <cell r="I1168">
            <v>224253</v>
          </cell>
        </row>
        <row r="1169">
          <cell r="F1169">
            <v>5026</v>
          </cell>
          <cell r="G1169" t="str">
            <v>ESQUINA DEPRIMIDA ANCHO DE ANDEN =4.50M. SUMINISTRO Y CONSTRUCCION. (INCLUYE RELLENO DE 1.70M PENDIENTE 10% H ANDEN=0.20M(INCLUYE RELLENO, LOSETA PREFABRICADA,BASE ARENA NIVELACION Y SELLO, LOSA EN CONCRETO).</v>
          </cell>
          <cell r="H1169" t="str">
            <v>UN</v>
          </cell>
          <cell r="I1169">
            <v>5122196</v>
          </cell>
        </row>
        <row r="1170">
          <cell r="F1170">
            <v>5028</v>
          </cell>
          <cell r="G1170" t="str">
            <v>CONSTRUCCION Y ADECUACION DE SEPARADOR CENTRAL CON PASO A NIVEL CERO PARA ACCESIBILIDAD A MOVILIDAD REDUCIDA DE ANCHO=4,00M. EN ESPACIO PUBLICO EXISTENTE ALTO ESTANDAR DE ANDEN EN CONCRETRO DE 0.20M.</v>
          </cell>
          <cell r="H1170" t="str">
            <v>UN</v>
          </cell>
          <cell r="I1170">
            <v>4557067</v>
          </cell>
        </row>
        <row r="1171">
          <cell r="F1171">
            <v>5032</v>
          </cell>
          <cell r="G1171" t="str">
            <v>FUCCIA H=1.3MT (INCLUYE TIERRA, ABONO, TUTOR, TRANSPORTE Y DISPOSICIÓN FINAL DE ESCOMBROS A 28 KM). SUMINISTRO Y PLANTACION.</v>
          </cell>
          <cell r="H1171" t="str">
            <v>UN</v>
          </cell>
          <cell r="I1171">
            <v>186551</v>
          </cell>
        </row>
        <row r="1172">
          <cell r="F1172">
            <v>5033</v>
          </cell>
          <cell r="G1172" t="str">
            <v>DURAZNILLO H=1.5MT (INCLUYE TIERRA, ABONO, TUTOR, TRANSPORTE Y DISPOSICIÓN FINAL DE ESCOMBROS A 28 KM). SUMINISTRO Y PLANTACION.</v>
          </cell>
          <cell r="H1172" t="str">
            <v>UN</v>
          </cell>
          <cell r="I1172">
            <v>206551</v>
          </cell>
        </row>
        <row r="1173">
          <cell r="F1173">
            <v>5036</v>
          </cell>
          <cell r="G1173" t="str">
            <v>GUAYACAN H=1.5MT (INCLUYE TIERRA, ABONO, TUTOR, TRANSPORTE Y DISPOSICIÓN FINAL DE ESCOMBROS A 28 KM). SUMINISTRO Y PLANTACION.</v>
          </cell>
          <cell r="H1173" t="str">
            <v>UN</v>
          </cell>
          <cell r="I1173">
            <v>197551</v>
          </cell>
        </row>
        <row r="1174">
          <cell r="F1174">
            <v>5037</v>
          </cell>
          <cell r="G1174" t="str">
            <v>ARRAYAN H=1.3MT (INCLUYE TIERRA, ABONO, TUTOR, TRANSPORTE Y DISPOSICIÓN FINAL DE ESCOMBROS A 28 KM). SUMINISTRO Y PLANTACION.</v>
          </cell>
          <cell r="H1174" t="str">
            <v>UN</v>
          </cell>
          <cell r="I1174">
            <v>140551</v>
          </cell>
        </row>
        <row r="1175">
          <cell r="F1175">
            <v>5038</v>
          </cell>
          <cell r="G1175" t="str">
            <v>CARBONERO H=1.5MT (INCLUYE TIERRA, ABONO, TUTOR, TRANSPORTE Y DISPOSICIÓN FINAL DE ESCOMBROS A 28 KM). SUMINISTRO Y PLANTACION.</v>
          </cell>
          <cell r="H1175" t="str">
            <v>UN</v>
          </cell>
          <cell r="I1175">
            <v>190551</v>
          </cell>
        </row>
        <row r="1176">
          <cell r="F1176">
            <v>5044</v>
          </cell>
          <cell r="G1176" t="str">
            <v>CUBRESUELOS BALSAMINA (INCLUYE 20 UNIDADES POR M2 Y TRANSPORTE Y DISPOSICIÓN FINAL DE ESCOMBROS A 28 KM). SUMINISTRO Y PLANTACION.</v>
          </cell>
          <cell r="H1176" t="str">
            <v>M2</v>
          </cell>
          <cell r="I1176">
            <v>59067</v>
          </cell>
        </row>
        <row r="1177">
          <cell r="F1177">
            <v>5045</v>
          </cell>
          <cell r="G1177" t="str">
            <v>FALSO PIMIENTO H=1.3M (INCLUYE SIEMBRA, TIERRA, ABONO Y TUTOR) INCLUYE TRANSPORTE Y DISPOSICIÓN FINAL DE ESCOMBROS EN SITIO AUTORIZADO A 28 KM). SUMINISTRO Y PLANTACION.</v>
          </cell>
          <cell r="H1177" t="str">
            <v>UN</v>
          </cell>
          <cell r="I1177">
            <v>187051</v>
          </cell>
        </row>
        <row r="1178">
          <cell r="F1178">
            <v>5046</v>
          </cell>
          <cell r="G1178" t="str">
            <v>CUBRESUELOS SUELDA (INCLUYE 20 UNIDADES POR M2 Y TRANSPORTE Y DISPOSICIÓN FINAL DE ESCOMBROS EN SITIO AUTORIZADO (DISTANCIA DE TRANSPORTE 28 KM)). SUMINISTRO Y PLANTACION.</v>
          </cell>
          <cell r="H1178" t="str">
            <v>M2</v>
          </cell>
          <cell r="I1178">
            <v>59067</v>
          </cell>
        </row>
        <row r="1179">
          <cell r="F1179">
            <v>5047</v>
          </cell>
          <cell r="G1179" t="str">
            <v>ADOQUIN EN CONCRETO COLOR OCRE A25 (20X10X6cm) (Suministro e instalación. Incluye base 4cm mortero 2000 PSI y arena de sello)</v>
          </cell>
          <cell r="H1179" t="str">
            <v>M2</v>
          </cell>
          <cell r="I1179">
            <v>112263</v>
          </cell>
        </row>
        <row r="1180">
          <cell r="F1180">
            <v>5048</v>
          </cell>
          <cell r="G1180" t="str">
            <v>ADOQUIN ECOLOGICO EN CONCRETO DE 40 X 40 X 8CM. SUMINISTRO E INSTALACION. (INCLUYE SUMINISTRO, EXTENDIDO, NIVELACIÓN Y COMPACTACIÓN DE RECEBO E=0,15M, 0,02M DE TIERRA, GRAMA Y MANO DE OBRA)</v>
          </cell>
          <cell r="H1180" t="str">
            <v>M2</v>
          </cell>
          <cell r="I1180">
            <v>77010</v>
          </cell>
        </row>
        <row r="1181">
          <cell r="F1181">
            <v>5049</v>
          </cell>
          <cell r="G1181" t="str">
            <v>REDUCTOR DE VELOCIDAD BAJO EN CONCRETO PREMEZCLADO 4000 PSI GRAVA COMÚN. SUMINISTRO E INSTALACION. (INCLUYE FORMALETA, REFUERZO, CURADO Y PINTURA.</v>
          </cell>
          <cell r="H1181" t="str">
            <v>M2</v>
          </cell>
          <cell r="I1181">
            <v>323826</v>
          </cell>
        </row>
        <row r="1182">
          <cell r="F1182">
            <v>5050</v>
          </cell>
          <cell r="G1182" t="str">
            <v>DEMOLICIÓN MANUAL DE CAMARA DE PASO DOBLE ETB (INCLUYE DEMOLICIÓN DE PLACA PISO, TAPA, MUROS Y CAÑUELAS Y CARGUE)</v>
          </cell>
          <cell r="H1182" t="str">
            <v>UN</v>
          </cell>
          <cell r="I1182">
            <v>130845</v>
          </cell>
        </row>
        <row r="1183">
          <cell r="F1183">
            <v>5051</v>
          </cell>
          <cell r="G1183" t="str">
            <v>PILOTE PREEXCAVADOS EN CONCRETO TREMIE DE 3000PSI (210 KG/CM2) ACELERADO A 2 DIAS (INC. ACELERANTE, ALQUILER DE EQUIPO DE PERFORACION CON OPERARIO, MANO DE OBRA, TRANSPORTE Y DISPOSICION FINAL DE ESCOMBROS AUTORIZADOA 21KM.</v>
          </cell>
          <cell r="H1183" t="str">
            <v>M3</v>
          </cell>
          <cell r="I1183">
            <v>1710505</v>
          </cell>
        </row>
        <row r="1184">
          <cell r="F1184">
            <v>5052</v>
          </cell>
          <cell r="G1184" t="str">
            <v>ESTRIBOS CONCRETO GRAVA COMUN 3000PSI (210KG/CM2) ACELERADO A 2 DIAS (INCLUYE ACELERANTE, FORMALETA, CURADO DE CONCRETO Y MANO DE OBRA).</v>
          </cell>
          <cell r="H1184" t="str">
            <v>M3</v>
          </cell>
          <cell r="I1184">
            <v>961750</v>
          </cell>
        </row>
        <row r="1185">
          <cell r="F1185">
            <v>5053</v>
          </cell>
          <cell r="G1185" t="str">
            <v>IZAJE Y MONTAJE DE VIGA EN CONCRETO L=30MT APROX INCLUYE DOS GRUAS TELESCOPICAS 50TON PERSONAL PARA IZAJE Y MONTAJE</v>
          </cell>
          <cell r="H1185" t="str">
            <v>UN</v>
          </cell>
          <cell r="I1185">
            <v>5441479</v>
          </cell>
        </row>
        <row r="1186">
          <cell r="F1186">
            <v>5054</v>
          </cell>
          <cell r="G1186" t="str">
            <v>CUADRILLA (2OFICIAL + 4 AYUDANTES)</v>
          </cell>
          <cell r="H1186" t="str">
            <v>JR</v>
          </cell>
          <cell r="I1186">
            <v>438318</v>
          </cell>
        </row>
        <row r="1187">
          <cell r="F1187">
            <v>5055</v>
          </cell>
          <cell r="G1187" t="str">
            <v>DESCABECE DE PILOTES (INCLUYE TRANSPORTE Y DISPOSICIÓN FINAL DE ESCOMBROS EN SITIO AUTORIZADO A 21 KM.</v>
          </cell>
          <cell r="H1187" t="str">
            <v>M3</v>
          </cell>
          <cell r="I1187">
            <v>181391</v>
          </cell>
        </row>
        <row r="1188">
          <cell r="F1188">
            <v>5056</v>
          </cell>
          <cell r="G1188" t="str">
            <v>ESQUINA DEPRIMIDA ANCHO DE ANDEN =4.50M RAMPA L=1.7M. SUMINISTRO Y CONSTRUCCION.(INCLUYE RELLENO DE 1.70M PENDIENTE 10% H ANDEN=0.20M(INCLUYE RELLENO, LOSETA PREFABRICADA,BASE ARENA NIVELACION Y SELLO, LOSA EN CONCRETO).</v>
          </cell>
          <cell r="H1188" t="str">
            <v>M2</v>
          </cell>
          <cell r="I1188">
            <v>252448</v>
          </cell>
        </row>
        <row r="1189">
          <cell r="F1189">
            <v>5057</v>
          </cell>
          <cell r="G1189" t="str">
            <v>PANEL PREFABRICADO EN CONCRETO REFORZADO CON FIBRA DE VIDRIO PARA CONFORMACION DE MUROS, PARA ESTACIONES DEL SISTEMA TRANSMILENIO. SUMINISTRO E INSTALACION.</v>
          </cell>
          <cell r="H1189" t="str">
            <v>M2</v>
          </cell>
          <cell r="I1189">
            <v>237308</v>
          </cell>
        </row>
        <row r="1190">
          <cell r="F1190">
            <v>5058</v>
          </cell>
          <cell r="G1190" t="str">
            <v>FILOS (INCLUYE SUMINISTRO Y COLOCACIÓN DE MORTERO 1:4 IMPERMEABILIZADO HECHO EN OBRA)</v>
          </cell>
          <cell r="H1190" t="str">
            <v>ML</v>
          </cell>
          <cell r="I1190">
            <v>7913</v>
          </cell>
        </row>
        <row r="1191">
          <cell r="F1191">
            <v>5060</v>
          </cell>
          <cell r="G1191" t="str">
            <v>PINTURA BASE AGUA SOBRE MUROS 3 MANOS (INCLUYE SUMINISTRO Y COLOCACIÓN DE PINTURA BASE EN AGUA PARA EXTERIORES)</v>
          </cell>
          <cell r="H1191" t="str">
            <v>M2</v>
          </cell>
          <cell r="I1191">
            <v>8133</v>
          </cell>
        </row>
        <row r="1192">
          <cell r="F1192">
            <v>5061</v>
          </cell>
          <cell r="G1192" t="str">
            <v>ENCHAPE EN GRANITO PARA INTERIORES 33 X 33 CM2 (INCLUYE SUMINISTRO Y COLOCACIÓN DE 3CM DE ADHESIVO PREMEZCLADO, LECHADA DE CEMENTO Y BOQUILLA)</v>
          </cell>
          <cell r="H1192" t="str">
            <v>M2</v>
          </cell>
          <cell r="I1192">
            <v>82076</v>
          </cell>
        </row>
        <row r="1193">
          <cell r="F1193">
            <v>5062</v>
          </cell>
          <cell r="G1193" t="str">
            <v>ZOCALO MEDIA CAÑA EN GRANITO PARA INTERIORES H=7.2CM (INCLUYE SUMINISTRO Y COLOCACIÓN DE MATERIAL DE PEGA)</v>
          </cell>
          <cell r="H1193" t="str">
            <v>ML</v>
          </cell>
          <cell r="I1193">
            <v>33215</v>
          </cell>
        </row>
        <row r="1194">
          <cell r="F1194">
            <v>5063</v>
          </cell>
          <cell r="G1194" t="str">
            <v>ENCHAPE EN PORCELANATO BEIGE 60 X 60CM2 (INCLUYE SUMINISTRO Y COLOCACIÓN DE 3CM DE ADHESIVO PREMEZCLADO, LECHADA DE CEMENTO, BOQUILLA)</v>
          </cell>
          <cell r="H1194" t="str">
            <v>M2</v>
          </cell>
          <cell r="I1194">
            <v>85016</v>
          </cell>
        </row>
        <row r="1195">
          <cell r="F1195">
            <v>5064</v>
          </cell>
          <cell r="G1195" t="str">
            <v>GUARDA ESCOBA EN PORCELANATO H=10CM (INCLUYE SUMINISTRO Y COLOCACIÓN DE 3CM DE ADHESIVO PREMEZCLADO, LECHADA DE CEMENTO Y BOQUILLA)</v>
          </cell>
          <cell r="H1195" t="str">
            <v>ML</v>
          </cell>
          <cell r="I1195">
            <v>12622</v>
          </cell>
        </row>
        <row r="1196">
          <cell r="F1196">
            <v>5066</v>
          </cell>
          <cell r="G1196" t="str">
            <v>FLANCHE LATERAL, REMATE DE CUBIERTA EN LAMINA GALVANIZADA CAL. 16 Y PINTADA. DESARROLLO 0.30M. SUMINISTRO E INSTALACIÓN. (NO INCLUYE ANDAMIO)</v>
          </cell>
          <cell r="H1196" t="str">
            <v>ML</v>
          </cell>
          <cell r="I1196">
            <v>46709</v>
          </cell>
        </row>
        <row r="1197">
          <cell r="F1197">
            <v>5067</v>
          </cell>
          <cell r="G1197" t="str">
            <v>REMATE DE CUBIERTA Y CORTAGOTERA EN LAMINA GALVANIZADA CAL. 16 Y PINTADA. DESARROLLO 0.15M (NO INCLUYE ANDAMIO). SUMINISTRO E INSTALACION.</v>
          </cell>
          <cell r="H1197" t="str">
            <v>ML</v>
          </cell>
          <cell r="I1197">
            <v>31956</v>
          </cell>
        </row>
        <row r="1198">
          <cell r="F1198">
            <v>5068</v>
          </cell>
          <cell r="G1198" t="str">
            <v>DISPENSADOR METALICO PARA JABON LIQUIDO PARA INSTALAR EN MESON RECARGA DE JABON INFERIOR PUSH SUPERIOR DOCOL O SIMILAR. SUMINISTRO E INSTALACION.</v>
          </cell>
          <cell r="H1198" t="str">
            <v>UN</v>
          </cell>
          <cell r="I1198">
            <v>107882</v>
          </cell>
        </row>
        <row r="1199">
          <cell r="F1199">
            <v>5069</v>
          </cell>
          <cell r="G1199" t="str">
            <v>JUEGO DE INCRUSTACIONES COMPLETO (INCLUYE JABONERA, PORTAROLLO Y TOALLERO). SUMINISTRO E INSTALACION.</v>
          </cell>
          <cell r="H1199" t="str">
            <v>UN</v>
          </cell>
          <cell r="I1199">
            <v>138803</v>
          </cell>
        </row>
        <row r="1200">
          <cell r="F1200">
            <v>5070</v>
          </cell>
          <cell r="G1200" t="str">
            <v>LAVAPLATOS EN ACERO INOXIDABLE DE SOBREPONER CON ALETA CR DE 1.0 X 0.50 MTS. SUMINISTRO E INSTALACION.</v>
          </cell>
          <cell r="H1200" t="str">
            <v>UN</v>
          </cell>
          <cell r="I1200">
            <v>157025</v>
          </cell>
        </row>
        <row r="1201">
          <cell r="F1201">
            <v>5071</v>
          </cell>
          <cell r="G1201" t="str">
            <v>CONCRETO 2000PSI PARA MUERTOS (PREMEZCLADO. INCLUYE SUMINISTRO FORMALETEO Y COLOCACIÓN. NO INCLUYE REFUERZO, CURADO)</v>
          </cell>
          <cell r="H1201" t="str">
            <v>M3</v>
          </cell>
          <cell r="I1201">
            <v>947685</v>
          </cell>
        </row>
        <row r="1202">
          <cell r="F1202">
            <v>5073</v>
          </cell>
          <cell r="G1202" t="str">
            <v>TUBERIA PVC SANITARIA D=2" (INCLUYE SUMINISTRO E INSTALACIÓN)</v>
          </cell>
          <cell r="H1202" t="str">
            <v>ML</v>
          </cell>
          <cell r="I1202">
            <v>18485</v>
          </cell>
        </row>
        <row r="1203">
          <cell r="F1203">
            <v>5074</v>
          </cell>
          <cell r="G1203" t="str">
            <v>TAPON DE PRUEBA PVC SANITARIA D=2" (INCLUYE SUMINISTRO E INSTALACIÓN)</v>
          </cell>
          <cell r="H1203" t="str">
            <v>UN</v>
          </cell>
          <cell r="I1203">
            <v>4411</v>
          </cell>
        </row>
        <row r="1204">
          <cell r="F1204">
            <v>5075</v>
          </cell>
          <cell r="G1204" t="str">
            <v>TAPON DE PRUEBA PVC SANITARIA D=4" (INCLUYE SUMINISTRO E INSTALACIÓN)</v>
          </cell>
          <cell r="H1204" t="str">
            <v>UN</v>
          </cell>
          <cell r="I1204">
            <v>7752</v>
          </cell>
        </row>
        <row r="1205">
          <cell r="F1205">
            <v>5076</v>
          </cell>
          <cell r="G1205" t="str">
            <v>CODO 45° PVC SANITARIA D=4" (INCLUYE SUMINISTRO E INSTALACIÓN).</v>
          </cell>
          <cell r="H1205" t="str">
            <v>UN</v>
          </cell>
          <cell r="I1205">
            <v>22257</v>
          </cell>
        </row>
        <row r="1206">
          <cell r="F1206">
            <v>5077</v>
          </cell>
          <cell r="G1206" t="str">
            <v>CODO 45°CXE PVC SANITARIA D=2" (INCLUYE SUMINISTRO E INSTALACIÓN).</v>
          </cell>
          <cell r="H1206" t="str">
            <v>UN</v>
          </cell>
          <cell r="I1206">
            <v>7736</v>
          </cell>
        </row>
        <row r="1207">
          <cell r="F1207">
            <v>5078</v>
          </cell>
          <cell r="G1207" t="str">
            <v>CODO 90° CXE PVC SANITARIA D=4" (INCLUYE SUMINISTRO E INSTALACIÓN).</v>
          </cell>
          <cell r="H1207" t="str">
            <v>UN</v>
          </cell>
          <cell r="I1207">
            <v>24000</v>
          </cell>
        </row>
        <row r="1208">
          <cell r="F1208">
            <v>5079</v>
          </cell>
          <cell r="G1208" t="str">
            <v>YEE PVC SANITARIA D=2" (INCLUYE SUMINISTRO E INSTALACIÓN).</v>
          </cell>
          <cell r="H1208" t="str">
            <v>UN</v>
          </cell>
          <cell r="I1208">
            <v>12158</v>
          </cell>
        </row>
        <row r="1209">
          <cell r="F1209">
            <v>5080</v>
          </cell>
          <cell r="G1209" t="str">
            <v>YEE PVC SANITARIA D=4" (INCLUYE SUMINISTRO E INSTALACIÓN).</v>
          </cell>
          <cell r="H1209" t="str">
            <v>UN</v>
          </cell>
          <cell r="I1209">
            <v>37058</v>
          </cell>
        </row>
        <row r="1210">
          <cell r="F1210">
            <v>5081</v>
          </cell>
          <cell r="G1210" t="str">
            <v>YEE DOBLE PVC SANITARIA D=4" (INCLUYE SUMINISTRO E INSTALACIÓN).</v>
          </cell>
          <cell r="H1210" t="str">
            <v>UN</v>
          </cell>
          <cell r="I1210">
            <v>62238</v>
          </cell>
        </row>
        <row r="1211">
          <cell r="F1211">
            <v>5082</v>
          </cell>
          <cell r="G1211" t="str">
            <v>PUNTO SANITARIO 4" PARA FLUXOMETRO ( INCLUYE SUMINISTRO E INSTALACIÓN. INCLUYE CODO 45°, TUBERIA PVC SANITARIA, UNION, SOLDADURA Y CINTA TEFLON).</v>
          </cell>
          <cell r="H1211" t="str">
            <v>UN</v>
          </cell>
          <cell r="I1211">
            <v>97379</v>
          </cell>
        </row>
        <row r="1212">
          <cell r="F1212">
            <v>5083</v>
          </cell>
          <cell r="G1212" t="str">
            <v>TUBERIA PVC E.L. D= 1 1/4" 200 PSI (INCLUYE SUMINISTRO E INSTALACIÓN, SOLDADURA).</v>
          </cell>
          <cell r="H1212" t="str">
            <v>ML</v>
          </cell>
          <cell r="I1212">
            <v>14598</v>
          </cell>
        </row>
        <row r="1213">
          <cell r="F1213">
            <v>5084</v>
          </cell>
          <cell r="G1213" t="str">
            <v>TUBERIA PVC E.L. D= 1 RDE 13.5 - 315 PSI (INCLUYE SUMINISTRO E INSTALACIÓN, SOLDADURA).</v>
          </cell>
          <cell r="H1213" t="str">
            <v>ML</v>
          </cell>
          <cell r="I1213">
            <v>12318</v>
          </cell>
        </row>
        <row r="1214">
          <cell r="F1214">
            <v>5085</v>
          </cell>
          <cell r="G1214" t="str">
            <v>TEE PVC E.L. D= 1 1/2" (INCLUYE SUMINISTRO E INSTALACIÓN, SOLDADURA).</v>
          </cell>
          <cell r="H1214" t="str">
            <v>UN</v>
          </cell>
          <cell r="I1214">
            <v>16075</v>
          </cell>
        </row>
        <row r="1215">
          <cell r="F1215">
            <v>5086</v>
          </cell>
          <cell r="G1215" t="str">
            <v>TEE PVC E.L. D= 1 1/4" (INCLUYE SUMINISTRO E INSTALACIÓN, SOLDADURA).</v>
          </cell>
          <cell r="H1215" t="str">
            <v>UN</v>
          </cell>
          <cell r="I1215">
            <v>12520</v>
          </cell>
        </row>
        <row r="1216">
          <cell r="F1216">
            <v>5087</v>
          </cell>
          <cell r="G1216" t="str">
            <v>TEE PVC E.L. D= 1" (INCLUYE SUMINISTRO E INSTALACIÓN, SOLDADURA).</v>
          </cell>
          <cell r="H1216" t="str">
            <v>UN</v>
          </cell>
          <cell r="I1216">
            <v>6976</v>
          </cell>
        </row>
        <row r="1217">
          <cell r="F1217">
            <v>5088</v>
          </cell>
          <cell r="G1217" t="str">
            <v>CODO 90° PVC E.L. D= 1 1/4" (INCLUYE SUMINISTRO E INSTALACIÓN, SOLDADURA).</v>
          </cell>
          <cell r="H1217" t="str">
            <v>UN</v>
          </cell>
          <cell r="I1217">
            <v>8418</v>
          </cell>
        </row>
        <row r="1218">
          <cell r="F1218">
            <v>5089</v>
          </cell>
          <cell r="G1218" t="str">
            <v>CODO 90° PVC E.L. D= 1" (INCLUYE SUMINISTRO E INSTALACIÓN, SOLDADURA).</v>
          </cell>
          <cell r="H1218" t="str">
            <v>UN</v>
          </cell>
          <cell r="I1218">
            <v>6017</v>
          </cell>
        </row>
        <row r="1219">
          <cell r="F1219">
            <v>5090</v>
          </cell>
          <cell r="G1219" t="str">
            <v>CODO 90° PVC E.L. D= 1 1/2" (INCLUYE SUMINISTRO E INSTALACIÓN, SOLDADURA).</v>
          </cell>
          <cell r="H1219" t="str">
            <v>UN</v>
          </cell>
          <cell r="I1219">
            <v>13304</v>
          </cell>
        </row>
        <row r="1220">
          <cell r="F1220">
            <v>5091</v>
          </cell>
          <cell r="G1220" t="str">
            <v>REDUCCION PVC E.L. D= 1 1/2" A 1 1/4" (INCLUYE SUMINISTRO E INSTALACIÓN, SOLDADURA).</v>
          </cell>
          <cell r="H1220" t="str">
            <v>UN</v>
          </cell>
          <cell r="I1220">
            <v>8985</v>
          </cell>
        </row>
        <row r="1221">
          <cell r="F1221">
            <v>5092</v>
          </cell>
          <cell r="G1221" t="str">
            <v>REDUCCION PVC E.L. D= 1 1/4" A 1" (INCLUYE SUMINISTRO E INSTALACIÓN, SOLDADURA).</v>
          </cell>
          <cell r="H1221" t="str">
            <v>UN</v>
          </cell>
          <cell r="I1221">
            <v>6608</v>
          </cell>
        </row>
        <row r="1222">
          <cell r="F1222">
            <v>5093</v>
          </cell>
          <cell r="G1222" t="str">
            <v>REDUCCION PVC E.L. D= 1" A 3/4" (INCLUYE SUMINISTRO E INSTALACIÓN, SOLDADURA).</v>
          </cell>
          <cell r="H1222" t="str">
            <v>UN</v>
          </cell>
          <cell r="I1222">
            <v>5074</v>
          </cell>
        </row>
        <row r="1223">
          <cell r="F1223">
            <v>5094</v>
          </cell>
          <cell r="G1223" t="str">
            <v>REDUCCION PVC E.L. D=3/4" A 1/2" (INCLUYE SUMINISTRO E INSTALACIÓN, SOLDADURA).</v>
          </cell>
          <cell r="H1223" t="str">
            <v>UN</v>
          </cell>
          <cell r="I1223">
            <v>4226</v>
          </cell>
        </row>
        <row r="1224">
          <cell r="F1224">
            <v>5095</v>
          </cell>
          <cell r="G1224" t="str">
            <v>REGISTRO BOLA 1/2" TIPO PESADO (INCLUYE SUMINISTRO E INSTALACIÓN, SOLDADURA Y CINTA TEFLON)</v>
          </cell>
          <cell r="H1224" t="str">
            <v>UN</v>
          </cell>
          <cell r="I1224">
            <v>28099</v>
          </cell>
        </row>
        <row r="1225">
          <cell r="F1225">
            <v>5096</v>
          </cell>
          <cell r="G1225" t="str">
            <v>REGISTRO BOLA 1" TIPO PESADO (INCLUYE SUMINISTRO E INSTALACIÓN, SOLDADURA Y CINTA TEFLÓN)</v>
          </cell>
          <cell r="H1225" t="str">
            <v>UN</v>
          </cell>
          <cell r="I1225">
            <v>33347</v>
          </cell>
        </row>
        <row r="1226">
          <cell r="F1226">
            <v>5097</v>
          </cell>
          <cell r="G1226" t="str">
            <v>REGISTRO DE BOLA 1 1/4" TIPO PESADO (INCLUYE SUMINISTRO E INSTALACIÓN, SOLDADURA Y CINTA TEFLON)</v>
          </cell>
          <cell r="H1226" t="str">
            <v>UN</v>
          </cell>
          <cell r="I1226">
            <v>43383</v>
          </cell>
        </row>
        <row r="1227">
          <cell r="F1227">
            <v>5098</v>
          </cell>
          <cell r="G1227" t="str">
            <v>PUNTO HIDRAULICO D=1" PARA SANITARIO FLUXOMETRO (INCLUYE SUMINISTRO E INSTALACIÓN, INCLUYE CODO 45°, TUBERIA PVC E.L., TEE PVC E.L., SOLDADURA Y CINTA TEFLON)</v>
          </cell>
          <cell r="H1227" t="str">
            <v>UN</v>
          </cell>
          <cell r="I1227">
            <v>53343</v>
          </cell>
        </row>
        <row r="1228">
          <cell r="F1228">
            <v>5099</v>
          </cell>
          <cell r="G1228" t="str">
            <v>PUNTO HIDRAULICO D=1/2" PARA SANITARIO FLUXOMETRO (INCLUYE SUMINISTRO E INSTALACIÓN, INCLUYE CODO 45°, TUBERIA PVC E.L., TEE PVC E.L., SOLDADURA Y CINTA TEFLON)</v>
          </cell>
          <cell r="H1228" t="str">
            <v>UN</v>
          </cell>
          <cell r="I1228">
            <v>47867</v>
          </cell>
        </row>
        <row r="1229">
          <cell r="F1229">
            <v>5101</v>
          </cell>
          <cell r="G1229" t="str">
            <v>CONDUCTOR RED DE BAJA TENSION 31/0 + 12 600V CU CONDUCTORES DE LA PARCIAL ENTRE LOS VAGONES NORTE Y SUR. SUMINISTRO E INSTALACION.</v>
          </cell>
          <cell r="H1229" t="str">
            <v>ML</v>
          </cell>
          <cell r="I1229">
            <v>150132</v>
          </cell>
        </row>
        <row r="1230">
          <cell r="F1230">
            <v>5102</v>
          </cell>
          <cell r="G1230" t="str">
            <v>ACOMETIDA TRIFASICA 36+18AWG THHN-600VCU. SUMINISTRO E INSTALACION. ACOMETIDA DESDE EL ARMARIO VAGON NORTE QUE ALIMENTA LAS TOMAS MONOFASICAS Y TRIFASICAS DE SERVICIO POR DEBAJO DEL PISO INSTALADO EN TUBERIA METALICA DE 1"</v>
          </cell>
          <cell r="H1230" t="str">
            <v>ML</v>
          </cell>
          <cell r="I1230">
            <v>56297</v>
          </cell>
        </row>
        <row r="1231">
          <cell r="F1231">
            <v>5103</v>
          </cell>
          <cell r="G1231" t="str">
            <v>ACOMETIDA TRIFASICA 3X2/0+1X1/0AWG THHN600V CU, SUMINISTRO E INSTALACION, ACOMETIDA PARCIAL ENTRE ARMARIOS DE VAGON NORTE Y SUR PARA ALIMENTACION DE TABLERO DE NORMAL DE VAGON SUR, VA POR TUBERIA EMT 2" POR DEBAJO DEL PISO.</v>
          </cell>
          <cell r="H1231" t="str">
            <v>ML</v>
          </cell>
          <cell r="I1231">
            <v>212970</v>
          </cell>
        </row>
        <row r="1232">
          <cell r="F1232">
            <v>5105</v>
          </cell>
          <cell r="G1232" t="str">
            <v>SALIDA PARA TOMA MONOFASICA DOBLE (TOMA DE SERVICIO VAGONES) ES LA SALIDA DESDE LA CAJA METALICA MAS CERCANA EN EL PISO DEL VAGON HASTA LA TOMA EN LA COLUMNA INTERIOR DEL VAGON.</v>
          </cell>
          <cell r="H1232" t="str">
            <v>UN</v>
          </cell>
          <cell r="I1232">
            <v>117556</v>
          </cell>
        </row>
        <row r="1233">
          <cell r="F1233">
            <v>5106</v>
          </cell>
          <cell r="G1233" t="str">
            <v>SALIDA PARA TOMA TRIFASICA DE SEGURIDAD 1" EMT ES LA SALIDA DESDE LA CAJA METALICA MAS CERCANA EN EL PISO DEL VAGON (CORRESPONDIENTE A LA ACOMETIDA DE TOMA DE SERV) HASTA LA TOMA EN LA COLUMNA INTERIOR DEL VAGON.</v>
          </cell>
          <cell r="H1233" t="str">
            <v>UN</v>
          </cell>
          <cell r="I1233">
            <v>354730</v>
          </cell>
        </row>
        <row r="1234">
          <cell r="F1234">
            <v>5107</v>
          </cell>
          <cell r="G1234" t="str">
            <v>SALIDA PARA TOTEMS NORTE Y SUR EN TUBERIA EMT DE 1" Y CONDUCTOR 2X10 CU. INCLUYE SUMINISTRO DE SOPORTARIA, ANDAMIO Y PERSONAL PARA TRABAJO EN ALTURA. SUMINISTRO E INSTALACION.</v>
          </cell>
          <cell r="H1234" t="str">
            <v>ML</v>
          </cell>
          <cell r="I1234">
            <v>50488</v>
          </cell>
        </row>
        <row r="1235">
          <cell r="F1235">
            <v>5108</v>
          </cell>
          <cell r="G1235" t="str">
            <v>BALA CON BOMBILLOS AHORRADORES 2X20 W 120V INSTALADOS EN EL TECHO DE LAS TAQUILLAS. SUMINISTRO E INSTALACION. INCLUYE SUMINISTRO E INSTALACION DE INTERRUPTOR Y APERTURA DE HUECO EN CIELO RASO FALSO PARA FIJACION.</v>
          </cell>
          <cell r="H1235" t="str">
            <v>UN</v>
          </cell>
          <cell r="I1235">
            <v>377327</v>
          </cell>
        </row>
        <row r="1236">
          <cell r="F1236">
            <v>5109</v>
          </cell>
          <cell r="G1236" t="str">
            <v>SALIDA PARA MOTORES PUERTAS EMT 3/4" ES LA SALIDA DESDE LA CAJA METALICA MAS CERCANA EN EL TECHO DEL VAGON, HASTA LA SALIDA EN EL COSTADO DEL VAGON. INCLUYE TUBERIA PARA EL CIRCUITO DIGITAL DE MANDO.</v>
          </cell>
          <cell r="H1236" t="str">
            <v>UN</v>
          </cell>
          <cell r="I1236">
            <v>162531</v>
          </cell>
        </row>
        <row r="1237">
          <cell r="F1237">
            <v>5110</v>
          </cell>
          <cell r="G1237" t="str">
            <v>2 DUCTOS D= 3" PVC SE INSTALA EN EL PISO AL LADO DE LOS VAGONES PARA EL SISTEMA DE ENERGIA Y/O COMUNICACIONES. INCLUYE APERTURA DE ZANJA, COMPACTACION Y RETIRO DE ESCOMBROS</v>
          </cell>
          <cell r="H1237" t="str">
            <v>ML</v>
          </cell>
          <cell r="I1237">
            <v>44476</v>
          </cell>
        </row>
        <row r="1238">
          <cell r="F1238">
            <v>5111</v>
          </cell>
          <cell r="G1238" t="str">
            <v>1 DUCTO DE 3/4" EMT (PARA SALIDAS DE PUBLICIDAD) CON ESTA TUBERIA SE ALIMENTAN LAS SALIDAS DE PUBLIMILENIO EN CADA VAGON, SALIENDO DE LOS ARMARIOS.</v>
          </cell>
          <cell r="H1238" t="str">
            <v>ML</v>
          </cell>
          <cell r="I1238">
            <v>15310</v>
          </cell>
        </row>
        <row r="1239">
          <cell r="F1239">
            <v>5112</v>
          </cell>
          <cell r="G1239" t="str">
            <v>1 DUCTO DE 1" EMT CON ESTA TUBERIA SE INTERCONECTAN LAS PARCIALES DE VAGONES NORTE Y SUR Y LA ACOMETIDA DE LAS LAMPARAS EN LAS TRANSICIONES POR DEBAJO DEL PISO DE LOS VAGONES.</v>
          </cell>
          <cell r="H1239" t="str">
            <v>ML</v>
          </cell>
          <cell r="I1239">
            <v>28713</v>
          </cell>
        </row>
        <row r="1240">
          <cell r="F1240">
            <v>5113</v>
          </cell>
          <cell r="G1240" t="str">
            <v>SALIDA PARA LAMPARA FLUORESCENTE EMT 3/4". ES LA SALIDA DESDE LA CAJA METALICA ANTERIOR EN EL TECHO DEL VAGON HASTA LA CAJA DE SALIDA PROPIA DE LA LAMPARA.</v>
          </cell>
          <cell r="H1240" t="str">
            <v>UN</v>
          </cell>
          <cell r="I1240">
            <v>272288</v>
          </cell>
        </row>
        <row r="1241">
          <cell r="F1241">
            <v>5122</v>
          </cell>
          <cell r="G1241" t="str">
            <v>SANITARIO LINEA INSTITUCIONAL COLOR BLANCO (VALVULA ANTIVANDALICA TIPO PUSH METALICO, CROMADO) SUMINISTRO E INSTALACION</v>
          </cell>
          <cell r="H1241" t="str">
            <v>UN</v>
          </cell>
          <cell r="I1241">
            <v>420880</v>
          </cell>
        </row>
        <row r="1242">
          <cell r="F1242">
            <v>5123</v>
          </cell>
          <cell r="G1242" t="str">
            <v>SANITARIO LINEA INSTITUCIONAL PARA DISCAPACITADOS COLOR BLANCO (VALVULA ANTIVANDALICA TIPO PUSH METALICO, CROMADO) SUMINISTRO E INSTALACION.</v>
          </cell>
          <cell r="H1242" t="str">
            <v>UN</v>
          </cell>
          <cell r="I1242">
            <v>1062106</v>
          </cell>
        </row>
        <row r="1243">
          <cell r="F1243">
            <v>5124</v>
          </cell>
          <cell r="G1243" t="str">
            <v>ORINAL MEDIANO DE COLGAR TIPO INSTITUCIONAL COLOR BLANCO (VALVULA ANTIVANDALICA TIPO PUSH METALICO, CROMADO) SUMINISTRO E INSTALACION</v>
          </cell>
          <cell r="H1243" t="str">
            <v>UN</v>
          </cell>
          <cell r="I1243">
            <v>353279</v>
          </cell>
        </row>
        <row r="1244">
          <cell r="F1244">
            <v>5125</v>
          </cell>
          <cell r="G1244" t="str">
            <v>DISPENSADOR PARA PAPEL HIGIENICO DE SOBREPONER EN LA PARED PARA ROLLO DE 200M Y 400M EN ACERO INOXIDABLE 304 SATINADO CON LLAVE. SUMINISTRO E INSTALACION.</v>
          </cell>
          <cell r="H1244" t="str">
            <v>UN</v>
          </cell>
          <cell r="I1244">
            <v>84925</v>
          </cell>
        </row>
        <row r="1245">
          <cell r="F1245">
            <v>5126</v>
          </cell>
          <cell r="G1245" t="str">
            <v>GRIFERIA PARA LAVAMANOS DE MESON TIPO PUSH METALICO CROMADO. SUMINISTRO E INSTALACION.</v>
          </cell>
          <cell r="H1245" t="str">
            <v>UN</v>
          </cell>
          <cell r="I1245">
            <v>162680</v>
          </cell>
        </row>
        <row r="1246">
          <cell r="F1246">
            <v>5127</v>
          </cell>
          <cell r="G1246" t="str">
            <v>SECADOR ELECTRICO PARA MANOS TIPO MANOS LIBRES, CARCAZA OVALADA METALICA ACERO INOXIDABLE 304 SATINADO CAL. 1.2MM MOTOR SIN ESCOBILLAS, RANGO DE DETECCION DEL SENSOR AJUSTABLE, DE 10 CM A 30 CM. SUMINISTRO E INSTALACION.</v>
          </cell>
          <cell r="H1246" t="str">
            <v>UN</v>
          </cell>
          <cell r="I1246">
            <v>367052</v>
          </cell>
        </row>
        <row r="1247">
          <cell r="F1247">
            <v>5128</v>
          </cell>
          <cell r="G1247" t="str">
            <v>VALVULA ANTIVANDALICA PARA ORINAL. SUMINISTRO E INSTALACION.</v>
          </cell>
          <cell r="H1247" t="str">
            <v>UN</v>
          </cell>
          <cell r="I1247">
            <v>316445</v>
          </cell>
        </row>
        <row r="1248">
          <cell r="F1248">
            <v>5129</v>
          </cell>
          <cell r="G1248" t="str">
            <v>PISO EN LAMINA ALFAJOR CAL. 3MM ANCHO 31CM PARA PLATAFORMA DE DESCENSO PASAJEROS VAGONES. INCLUYE ANGULO 1/8" X 1", IMPRIMANTE EPOXICO, PINTURA EPOXICA PARA BARRERAS Y SOLDADURA. SUMINISTRO E INSTALACION.</v>
          </cell>
          <cell r="H1248" t="str">
            <v>ML</v>
          </cell>
          <cell r="I1248">
            <v>261401</v>
          </cell>
        </row>
        <row r="1249">
          <cell r="F1249">
            <v>5131</v>
          </cell>
          <cell r="G1249" t="str">
            <v>BARANDA METALICA M-82 PREFABRICADA (INCLUYE INSTALACIÓN, DADOS DE CONCRETO 3000 PSI GRAVA COMÚN DE 0.20 X 0.20 MT Y PINTURA). SUMINISTRO E INSTALACION.</v>
          </cell>
          <cell r="H1249" t="str">
            <v>ML</v>
          </cell>
          <cell r="I1249">
            <v>175185</v>
          </cell>
        </row>
        <row r="1250">
          <cell r="F1250">
            <v>5132</v>
          </cell>
          <cell r="G1250" t="str">
            <v>BAJANTE ALL PVC SANITARIA D=4" (INCLUYE SUMINISTRO E INSTALACIÓN, INCLUYE UNIÓN PROPORCIONAL CADA 6MT, INCLUYE SOPORTE Y DOS TORNILLOS INOXIDABLES PROPORCIONALES CADA 3MT, SOLDADURA Y CITA TEFLON).</v>
          </cell>
          <cell r="H1250" t="str">
            <v>ML</v>
          </cell>
          <cell r="I1250">
            <v>57824</v>
          </cell>
        </row>
        <row r="1251">
          <cell r="F1251">
            <v>5135</v>
          </cell>
          <cell r="G1251" t="str">
            <v>DEMARCACION LINEA CEDA EL PASO DISCONTINUA DE 0.8MT ESPACIADO 0.4MT E=2.3MM EN PINTURA TERMOPLASTICA, INCLUYE SUMINISTRO Y APLICACION CON EQUIPO, INCLUYE MICROESFERAS.</v>
          </cell>
          <cell r="H1251" t="str">
            <v>ML</v>
          </cell>
          <cell r="I1251">
            <v>7140</v>
          </cell>
        </row>
        <row r="1252">
          <cell r="F1252">
            <v>5136</v>
          </cell>
          <cell r="G1252" t="str">
            <v>DEMARCACION LINEA CARRIL A=0.12M L=3.0 SEPARACION=5.0M E=2.3MM, EN PINTURA TERMOPLASTICA. INCLUYE SUMINISTRO Y APLICACION CON EQUIPO. INCLUYE MICROESFERAS.</v>
          </cell>
          <cell r="H1252" t="str">
            <v>M2</v>
          </cell>
          <cell r="I1252">
            <v>9596</v>
          </cell>
        </row>
        <row r="1253">
          <cell r="F1253">
            <v>5143</v>
          </cell>
          <cell r="G1253" t="str">
            <v>FRANJA EN ADHESIVO VINILICO ESMERILADO EFECTO STAND BLASTED FROSTED CRYSTAL, SUMINISTRO E INSTALACION, GARANTIA DE 5 AÑOS AL EXTERIOR. SEGUN MANUAL DE IMAGEN DE TRANSMILENIO S.A.</v>
          </cell>
          <cell r="H1253" t="str">
            <v>UN</v>
          </cell>
          <cell r="I1253">
            <v>71400</v>
          </cell>
        </row>
        <row r="1254">
          <cell r="F1254">
            <v>5144</v>
          </cell>
          <cell r="G1254" t="str">
            <v>FRANJA EN VINILO CON ADHESIVO EN VINILO ALTO 6CM, GARANTIA DE 5 AÑOS AL EXTERIOR SEGUN COLOR. SUMINISTRO E INSTALACION. SEGUN MANUAL DE IMAGEN DE TRANSMILENIO S.A.</v>
          </cell>
          <cell r="H1254" t="str">
            <v>UN</v>
          </cell>
          <cell r="I1254">
            <v>22967</v>
          </cell>
        </row>
        <row r="1255">
          <cell r="F1255">
            <v>5145</v>
          </cell>
          <cell r="G1255" t="str">
            <v>FRANJA EN VINILO CON ADHESIVO EN VINILO ALTO 3CM, SUMINISTRO E INSTALACION, GARANTIA DE 5 AÑOS AL EXTERIOR SEGUN COLOR. SEGUN MANUAL DE IMAGEN DE TRANSMILENIO S.A.</v>
          </cell>
          <cell r="H1255" t="str">
            <v>UN</v>
          </cell>
          <cell r="I1255">
            <v>14280</v>
          </cell>
        </row>
        <row r="1256">
          <cell r="F1256">
            <v>5159</v>
          </cell>
          <cell r="G1256" t="str">
            <v>YEE REDUCIDA PVC SANITARIA 4" X 2" (INCLUYE SUMINISTRO E INSTALACIÓN)</v>
          </cell>
          <cell r="H1256" t="str">
            <v>UN</v>
          </cell>
          <cell r="I1256">
            <v>32363</v>
          </cell>
        </row>
        <row r="1257">
          <cell r="F1257">
            <v>5160</v>
          </cell>
          <cell r="G1257" t="str">
            <v>PUNTO SANITARIO 2" PARA LAVAMANOS, LAVAPLATOS, ORINALES Y POCETAS (INCLUYE SUMINISTRO E INSTALACIÓN, INCLUYE CODO DE 45°, TUBERIA PVC SANITARIA, SIFON, UNIÓN, SOLDADURA Y CINTA TEFLON).</v>
          </cell>
          <cell r="H1257" t="str">
            <v>UN</v>
          </cell>
          <cell r="I1257">
            <v>66280</v>
          </cell>
        </row>
        <row r="1258">
          <cell r="F1258">
            <v>5161</v>
          </cell>
          <cell r="G1258" t="str">
            <v>INSPECCION VISUAL PARA MALLA VIAL ARTERIAL NO TRONCAL, BRIGADA DE REACCION REALIZACION INVENTARIO DE HUECOS Y PROCESAMIENTO DE LA INFORMACION.</v>
          </cell>
          <cell r="H1258" t="str">
            <v>M2</v>
          </cell>
          <cell r="I1258">
            <v>235</v>
          </cell>
        </row>
        <row r="1259">
          <cell r="F1259">
            <v>5162</v>
          </cell>
          <cell r="G1259" t="str">
            <v>PAVIMENTO ASF RECICLADO EN FRIO CEMENTO 3% (ADICIÓN EMULSIÓN ASFÁLTICA CRL-1 RECICLAJE EXTENDER, NIVELAR, Y COMPACTAR MECANICAMENTE. NO INCLUYE AGREGADOS PETREOS DE ADICIÓN).</v>
          </cell>
          <cell r="H1259" t="str">
            <v>M3</v>
          </cell>
          <cell r="I1259">
            <v>366383</v>
          </cell>
        </row>
        <row r="1260">
          <cell r="F1260">
            <v>5163</v>
          </cell>
          <cell r="G1260" t="str">
            <v>PAVIMENTO ASF RECICLADO EN FRIO CEMENTO 5% (ADICIÓN EMULSIÓN ASFALTICA CRL-1, RECICLAJE, EXTENDER, NIVELAR Y COMPACTAR MECANICAMENTE. NO INCLUYE AGREGADOS PETREOS DE ADICIÓN).</v>
          </cell>
          <cell r="H1260" t="str">
            <v>M3</v>
          </cell>
          <cell r="I1260">
            <v>385102</v>
          </cell>
        </row>
        <row r="1261">
          <cell r="F1261">
            <v>5164</v>
          </cell>
          <cell r="G1261" t="str">
            <v>PAVIMENTO ASF RECICLADO EN FRIO EMULSIÓN CRL-1 AL 3% (SUMINISTRO EMULSIÓN ASFÁLTICA CRL-1 RECICLAJE, EXTENDIDA, NIVELACIÓN Y COMPACTACIÓN MECANICA. NO INCLUYE AGREGADOS PETREOS DE ADICIÓN).</v>
          </cell>
          <cell r="H1261" t="str">
            <v>M3</v>
          </cell>
          <cell r="I1261">
            <v>194704</v>
          </cell>
        </row>
        <row r="1262">
          <cell r="F1262">
            <v>5165</v>
          </cell>
          <cell r="G1262" t="str">
            <v>PAVIMENTO ASF RECICLADO EN FRIO EMULSION CRL-1 AL 5% (SUMINISTRO EMULSIÓN ASFÁLTICA CRL-1, RECICLAJE, EXTENDIDA, NIVELACIÓN Y COMPACTACIÓN MECANICA. NO INCLUYE AGREGADOS PETREOS DE ADICIÓN).</v>
          </cell>
          <cell r="H1262" t="str">
            <v>M3</v>
          </cell>
          <cell r="I1262">
            <v>289495</v>
          </cell>
        </row>
        <row r="1263">
          <cell r="F1263">
            <v>5166</v>
          </cell>
          <cell r="G1263" t="str">
            <v>ALQUILER DE CERRAMIENTO TIPO 3, CONSTA DE SEÑALIZADORES TUBULARES PLASTICOS SEPARADOS ENTRE SI MAXIMO 3MTS TRIPLE CINTA PELIGRO CAL 4 (INCLUYE INSTALACIÓN, MANTENIMEINTO Y DESINSTALACIÓN).</v>
          </cell>
          <cell r="H1263" t="str">
            <v>ML/ME</v>
          </cell>
          <cell r="I1263">
            <v>6003</v>
          </cell>
        </row>
        <row r="1264">
          <cell r="F1264">
            <v>5167</v>
          </cell>
          <cell r="G1264" t="str">
            <v>PERSONAL DE BRIGADA Y ASEO (INCLUYE HERRAMIENTA MENOR). SUMINISTRO.</v>
          </cell>
          <cell r="H1264" t="str">
            <v>H/ME</v>
          </cell>
          <cell r="I1264">
            <v>1924146</v>
          </cell>
        </row>
        <row r="1265">
          <cell r="F1265">
            <v>5168</v>
          </cell>
          <cell r="G1265" t="str">
            <v>PROTECCION A SUMIDEROS (INCLUYE SUMINISTRO Y COLOCACIÓN DE BOLSAS DE LONA Y GEOTEXTIL NT 1600 O SIMILAR).</v>
          </cell>
          <cell r="H1265" t="str">
            <v>UN/MES</v>
          </cell>
          <cell r="I1265">
            <v>10121</v>
          </cell>
        </row>
        <row r="1266">
          <cell r="F1266">
            <v>5169</v>
          </cell>
          <cell r="G1266" t="str">
            <v>PLAFONADO DE POZOS (INCLUYE SUMINISTRO Y COLOCACIÓN DE PUNTILLA, TABLA BURRA DE 2.90 X0.28X0.025M, CINTA DE SEÑALIZACION CAL 4 ROLLO 500MX0.10M Y SEÑALIZACIÓN TUBULAR COLOMBINA PLÁSTICA).</v>
          </cell>
          <cell r="H1266" t="str">
            <v>UN</v>
          </cell>
          <cell r="I1266">
            <v>153543</v>
          </cell>
        </row>
        <row r="1267">
          <cell r="F1267">
            <v>5170</v>
          </cell>
          <cell r="G1267" t="str">
            <v>ALQUILER ELEMENTOS DE PROTECCION PERSONAL BASICO CONSTRUCCION VIAS CUADRILLAS 5 PERSONAS (PARA PERSONAL OPERATIVO DE LOS FRENTES DE OBRA).</v>
          </cell>
          <cell r="H1267" t="str">
            <v>UN/MES</v>
          </cell>
          <cell r="I1267">
            <v>290039</v>
          </cell>
        </row>
        <row r="1268">
          <cell r="F1268">
            <v>5171</v>
          </cell>
          <cell r="G1268" t="str">
            <v>ACOMETIDA DOMICILIARIA DE 3" A 1/2". SUMINISTRO E INSTALACION. (INCLUYE TUBERIA PF, REPOSICIÓN DE CAJILLA EN POLIPROPILENO PARA MEDIDOR, REGISTROS Y ACCESORIOS. LONGITUD PROMEDIO =6.5MT).</v>
          </cell>
          <cell r="H1268" t="str">
            <v>UN</v>
          </cell>
          <cell r="I1268">
            <v>390456</v>
          </cell>
        </row>
        <row r="1269">
          <cell r="F1269">
            <v>5172</v>
          </cell>
          <cell r="G1269" t="str">
            <v>ACOMETIDA DOMICILIARIA DE 4" A 1/2". SUMINISTRO E INSTALACION. (INCLUYE TUBERIA PF, REPOSICIÓN DE CAJILLA EN POLIPROPILENO PARA MEDIDOR, REGISTROS Y ACCESORIOS, LONGITUD PROMEDIO = 6.5MT).</v>
          </cell>
          <cell r="H1269" t="str">
            <v>UN</v>
          </cell>
          <cell r="I1269">
            <v>358124</v>
          </cell>
        </row>
        <row r="1270">
          <cell r="F1270">
            <v>5173</v>
          </cell>
          <cell r="G1270" t="str">
            <v>ACOMETIDA DOMICILIARIA DE 6" A 1/2". SUMINISTRO E INSTALACION. (INCLUYE TUBERIA PF REPOSICIÓN DE CAJILLA EN POLIPROPILENO PARA MEDIDOR, REGISTROS Y ACCESORIOS. LONGITUD PROMEDIO=6.5 MT).</v>
          </cell>
          <cell r="H1270" t="str">
            <v>UN</v>
          </cell>
          <cell r="I1270">
            <v>365491</v>
          </cell>
        </row>
        <row r="1271">
          <cell r="F1271">
            <v>5174</v>
          </cell>
          <cell r="G1271" t="str">
            <v>JARDIN VERTICAL, INCLUYE ESTRUCTURA Y/O PANEL DE SOPORTE INDEPENDIENTE ELEM.PARA SOPORTE Y SUJECIÓN DE JARDIN, SACOS Y/O CANGUROS PARA SIEMBRA DE JARDIN VERTICAL, MATERIAL VEGETAL. SUMINISTRO CONSTRUCCION E INSTALACION.</v>
          </cell>
          <cell r="H1271" t="str">
            <v>M2</v>
          </cell>
          <cell r="I1271">
            <v>65000</v>
          </cell>
        </row>
        <row r="1272">
          <cell r="F1272">
            <v>5175</v>
          </cell>
          <cell r="G1272" t="str">
            <v>MURETE CONTENEDOR DE ZONA VERDE H=0.60M A=0.40M. SUMINISTRO Y CONSTRUCCION. (INCLUYE SUMINISTRO Y COLOCACIÓN DE RECEBO COMÚN, GEOMEMBRANA HDPE 30MIL O SIMILAR Y ACERO DE REFUERZO PARA ANCLAJE)</v>
          </cell>
          <cell r="H1272" t="str">
            <v>ML</v>
          </cell>
          <cell r="I1272">
            <v>161803</v>
          </cell>
        </row>
        <row r="1273">
          <cell r="F1273">
            <v>5176</v>
          </cell>
          <cell r="G1273" t="str">
            <v>ELEMENTO SEGREGADOR DE CICLO RUTA TIPO PIEZA A130 EN CONCRETO DE 3000PSI (FUNDIDO EN SITIO, CONCRETO PREMEZCLADO. INCLUYE SUMINISTRO, FORMALETA Y CONSTRUCCIÓN).</v>
          </cell>
          <cell r="H1273" t="str">
            <v>ML</v>
          </cell>
          <cell r="I1273">
            <v>163678</v>
          </cell>
        </row>
        <row r="1274">
          <cell r="F1274">
            <v>5177</v>
          </cell>
          <cell r="G1274" t="str">
            <v>PARCHEO EN PAVIMENTO FLEXIBLE PARA ACCIONES DE MOVILIDAD. (INCLUYE CORTE, DEMOLICIÓN, CARGUE, TRANSPORTE Y DISPOSICIÓN FINAL DE ESCOMBROS, IMPRIMACIÓN, SUMINISTRO, EXTENDIDO Y COMPACTACIÓN MECANICA DE MEZCLA ASFÁLTICA) TRABAJO NOCTURNO.</v>
          </cell>
          <cell r="H1274" t="str">
            <v>M3</v>
          </cell>
          <cell r="I1274">
            <v>1522196</v>
          </cell>
        </row>
        <row r="1275">
          <cell r="F1275">
            <v>5178</v>
          </cell>
          <cell r="G1275" t="str">
            <v>CUADRILLA (OFICIAL + 6 AYUDANTES) HORARIO NOCTURNO</v>
          </cell>
          <cell r="H1275" t="str">
            <v>JR</v>
          </cell>
          <cell r="I1275">
            <v>639996</v>
          </cell>
        </row>
        <row r="1276">
          <cell r="F1276">
            <v>5180</v>
          </cell>
          <cell r="G1276" t="str">
            <v>FILTRO DE DRENAJE DE 0.6M X 1.0M. SUMINISTRO E INSTALACION. (INCLUYE TUBERIA PERFORADA D=4", GRAVA COMUN 1/2" Y GEOTEXTIL NT 4000 O SIMILAR).</v>
          </cell>
          <cell r="H1276" t="str">
            <v>ML</v>
          </cell>
          <cell r="I1276">
            <v>236043</v>
          </cell>
        </row>
        <row r="1277">
          <cell r="F1277">
            <v>5181</v>
          </cell>
          <cell r="G1277" t="str">
            <v>SARDINEL FUNDIDO EN SITIO EN CONCRETO PREMEZCLADO DE 3000PSI. SUMINISTRO Y CONSTRUCCION. (GRAVA COMÚN) E=0.20M H=0.35M (INCLUYE FORMALETA METÁLICA, ACERO DE REFUERZO Y ALAMBRE NEGRO).</v>
          </cell>
          <cell r="H1277" t="str">
            <v>ML</v>
          </cell>
          <cell r="I1277">
            <v>52510</v>
          </cell>
        </row>
        <row r="1278">
          <cell r="F1278">
            <v>5182</v>
          </cell>
          <cell r="G1278" t="str">
            <v>6 DUCTOS D=6" + 2 DUCTOS D=3" PVC TDP. SUMINISTRO E INSTALACION. (NO INCLUYE RELLENOS).</v>
          </cell>
          <cell r="H1278" t="str">
            <v>ML</v>
          </cell>
          <cell r="I1278">
            <v>385352</v>
          </cell>
        </row>
        <row r="1279">
          <cell r="F1279">
            <v>5183</v>
          </cell>
          <cell r="G1279" t="str">
            <v>7 DUCTOS D=4" PVC TDP. SUMINISTRO E INSTALACION. (NO INCLUYE RELLENOS).</v>
          </cell>
          <cell r="H1279" t="str">
            <v>ML</v>
          </cell>
          <cell r="I1279">
            <v>178788</v>
          </cell>
        </row>
        <row r="1280">
          <cell r="F1280">
            <v>5184</v>
          </cell>
          <cell r="G1280" t="str">
            <v>3 DUCTOS DE D=3" PVC TDP. SUMINISTRO E INSTALACION. (NO INCLUYE RELLENOS).</v>
          </cell>
          <cell r="H1280" t="str">
            <v>ML</v>
          </cell>
          <cell r="I1280">
            <v>62203</v>
          </cell>
        </row>
        <row r="1281">
          <cell r="F1281">
            <v>5185</v>
          </cell>
          <cell r="G1281" t="str">
            <v>NEOPRENO REFORZADO A 0.30 X 0.65 X 1" DOBLE REFUERZO, SUMINISTRO E INSTALACION (INCLUYE LIMPIEZA DE LA SUPERFICIE CON CHORRO DE AIRE A PRESION, HERRAMIENTA MENOR Y COMPRESOR).</v>
          </cell>
          <cell r="H1281" t="str">
            <v>UN</v>
          </cell>
          <cell r="I1281">
            <v>394161</v>
          </cell>
        </row>
        <row r="1282">
          <cell r="F1282">
            <v>5186</v>
          </cell>
          <cell r="G1282" t="str">
            <v>ACOMETIDA DOMICILIARIA DE 1/2" CON COLLAR DE DERIVACION DE 4" X 1/2". SUMINISTRO E INSTALACION. (INCLUYE TUBERIA PF, REGISTROS Y ACCESORIOS, LONGITUD PROMEDIO DE 6.5M, INCLUYE CAJILLA EN POLIPROPILENO PARA MEDIDOR)</v>
          </cell>
          <cell r="H1282" t="str">
            <v>UN</v>
          </cell>
          <cell r="I1282">
            <v>354767</v>
          </cell>
        </row>
        <row r="1283">
          <cell r="F1283">
            <v>5187</v>
          </cell>
          <cell r="G1283" t="str">
            <v>ACOMETIDA DOMICILIARIA DE 1/2" CON COLLAR DE DERIVACION DE 6" X 1/2". SUMINISTRO E INSTALACION. (INCLUYE TUBERIA PF, REGISTROS Y ACCESORIOS, LONGITUD PROMEDIO 6.5MT. INCLUYE CAJILLA EN POLIPROPILENO PARA MEDIDOR).</v>
          </cell>
          <cell r="H1283" t="str">
            <v>UN</v>
          </cell>
          <cell r="I1283">
            <v>380740</v>
          </cell>
        </row>
        <row r="1284">
          <cell r="F1284">
            <v>5188</v>
          </cell>
          <cell r="G1284" t="str">
            <v>BOYA PLASTICA DE 20 X 20 X 9CM DE ALTURA. SUMINISTRO E INSTALACION.</v>
          </cell>
          <cell r="H1284" t="str">
            <v>UN</v>
          </cell>
          <cell r="I1284">
            <v>45901</v>
          </cell>
        </row>
        <row r="1285">
          <cell r="F1285">
            <v>5189</v>
          </cell>
          <cell r="G1285" t="str">
            <v>HITO DE 75CM DE ALTURA Y 8 CM DE DIAMETRO CON REFLECTIVOS DE COLOR AMARILLO. SUMINISTRO E INSTALACION.</v>
          </cell>
          <cell r="H1285" t="str">
            <v>UN</v>
          </cell>
          <cell r="I1285">
            <v>74521</v>
          </cell>
        </row>
        <row r="1286">
          <cell r="F1286">
            <v>5190</v>
          </cell>
          <cell r="G1286" t="str">
            <v>CORTE CON EQUIPO DE OXICORTE PARA EL RETIRO DE LA JUNTA METALICA EXISTENTE EN EL PUENTE.</v>
          </cell>
          <cell r="H1286" t="str">
            <v>ML</v>
          </cell>
          <cell r="I1286">
            <v>9433</v>
          </cell>
        </row>
        <row r="1287">
          <cell r="F1287">
            <v>5191</v>
          </cell>
          <cell r="G1287" t="str">
            <v>DEMARCACION PICTOGRAMA CICLORUTA EN PINTURA TERMOPLASTICA (E=2.3MM INCLUYE SUMINISTRO Y APLICACIÓN CON EQUIPO, INCLUYE MICROESFERAS. AREA =2MT2).</v>
          </cell>
          <cell r="H1287" t="str">
            <v>UN</v>
          </cell>
          <cell r="I1287">
            <v>242170</v>
          </cell>
        </row>
        <row r="1288">
          <cell r="F1288">
            <v>5195</v>
          </cell>
          <cell r="G1288" t="str">
            <v>RETIRO, DEMONTE DE MATERIAL DE JUNTA DE DILATACIÓN EXISTENTE Y DEMOLICIÓN DE CONCRETO ADYACENTE A LA JUNTA, ANCHO VARIABLE DE 80 A 90CM. (INCLUYE CARGUE, TRANSPORTE Y RETIRO DE ESCOMBROS).</v>
          </cell>
          <cell r="H1288" t="str">
            <v>ML</v>
          </cell>
          <cell r="I1288">
            <v>40863</v>
          </cell>
        </row>
        <row r="1289">
          <cell r="F1289">
            <v>5196</v>
          </cell>
          <cell r="G1289" t="str">
            <v>DEMOLICIÓN DE CONCRETO: ESPESORES 8CM A 15CM. (INCLUYE RETIRO DE MATERIAL, TRANSPORTE Y DISPOSICIÓN FINAL DE ESCOMBROS EN SITIO AUTORIZADO).</v>
          </cell>
          <cell r="H1289" t="str">
            <v>M3</v>
          </cell>
          <cell r="I1289">
            <v>85531</v>
          </cell>
        </row>
        <row r="1290">
          <cell r="F1290">
            <v>5197</v>
          </cell>
          <cell r="G1290" t="str">
            <v>DEMOLICIÓN DE CONCRETO: ESPESORES 16CM A 25CM. (INCLUYE RETIRO DE MATERIAL, TRANSPORTE Y DISPOSICIÓN FINAL DE ESCOMBROS EN SITIO AUTORIZADO).</v>
          </cell>
          <cell r="H1290" t="str">
            <v>M3</v>
          </cell>
          <cell r="I1290">
            <v>91446</v>
          </cell>
        </row>
        <row r="1291">
          <cell r="F1291">
            <v>5199</v>
          </cell>
          <cell r="G1291" t="str">
            <v>CONCRETO SIN RETRACCIÓN, SUMINISTRO Y COLOCACIÓN, (CONCRELISTO RE 5000 O SIMILAR) CON FIBRA METÁLICA 80-60 O SIMILAR PARA VIGAS DE SOPORTE JUNTAS DE DILATACIÓN</v>
          </cell>
          <cell r="H1291" t="str">
            <v>M3</v>
          </cell>
          <cell r="I1291">
            <v>6354976</v>
          </cell>
        </row>
        <row r="1292">
          <cell r="F1292">
            <v>5200</v>
          </cell>
          <cell r="G1292" t="str">
            <v>GROUTING DE ALTA RESISTENCIA SIN RETRACCIÓN PARA RELLENO DE ZONA DE ANCLAJE PARA REEMPLAZO DE JUNTA EXISTENTE H=0.05M. SUMINISTRO Y COLOCACIÓN. (INCLUYE IMPRIMANTE DE ALTA ADHERENCIA Y CURADOR).</v>
          </cell>
          <cell r="H1292" t="str">
            <v>M2</v>
          </cell>
          <cell r="I1292">
            <v>754760</v>
          </cell>
        </row>
        <row r="1293">
          <cell r="F1293">
            <v>5201</v>
          </cell>
          <cell r="G1293" t="str">
            <v>JUNTA ELASTOMERICA TIPO AWGJ 70 DE 70MM DE RECORRIDO O SIMILAR. SUMINISTRO Y COLOCACIÓN. (INCLUYE PERNOS Y SOLDADURA).</v>
          </cell>
          <cell r="H1293" t="str">
            <v>ML</v>
          </cell>
          <cell r="I1293">
            <v>118922</v>
          </cell>
        </row>
        <row r="1294">
          <cell r="F1294">
            <v>5202</v>
          </cell>
          <cell r="G1294" t="str">
            <v>JUNTA METÁLICA CON ÁNGULO DE 3"X1/4". SUMINISTRO Y COLOCACIÓN. (PARA UN SOLO COSTADO DE LA JUNTA).</v>
          </cell>
          <cell r="H1294" t="str">
            <v>ML</v>
          </cell>
          <cell r="I1294">
            <v>84685</v>
          </cell>
        </row>
        <row r="1295">
          <cell r="F1295">
            <v>5204</v>
          </cell>
          <cell r="G1295" t="str">
            <v>LIMPIEZA PROFUNDA DE LA JUNTA PARA ANCHOS VARIABLES DE 5 A 30CM. (RETIRO DEL MATERIAL EN LA CAVIDAD EXISTENTE ENTRE LA SUPERFICIE EXTERNA DE LA VIGA Y EL ESPALDAR DEL ESTRIBO MEDIANTE EL USO DE HIDROLAVADO Y TALADRO LUEGO DEL VACIADO DE ESCOMBROS).</v>
          </cell>
          <cell r="H1295" t="str">
            <v>ML</v>
          </cell>
          <cell r="I1295">
            <v>7527</v>
          </cell>
        </row>
        <row r="1296">
          <cell r="F1296">
            <v>5205</v>
          </cell>
          <cell r="G1296" t="str">
            <v>SELLANTE BASE EN POLIMERO PARA SELLO DE FISURAS, SUMINISTRO Y COLOCACIÓN, (ANCHO JUNTA APROX. 25MM PROFUNDIDAD APROX. 12MM).</v>
          </cell>
          <cell r="H1296" t="str">
            <v>ML</v>
          </cell>
          <cell r="I1296">
            <v>34373</v>
          </cell>
        </row>
        <row r="1297">
          <cell r="F1297">
            <v>5207</v>
          </cell>
          <cell r="G1297" t="str">
            <v>SANEADO DE CONCRETO DE RECUBRIMIENTO. INCLUYE ESCARIFICACIÓN DE CONCRETO PROFUNDIDAD ENTRE 2CM Y 7CM, LIMPIEZA Y APLICACIÓN DE RECUBRIMIENTO ANTICORROSIVO PARA EL ACERO DE REFUERZO EXISTENTE Y MORTERO DE REPARACIÓN ESTRUCTURAL. NIVEL DE TRABAJO+3.0M</v>
          </cell>
          <cell r="H1297" t="str">
            <v>M2</v>
          </cell>
          <cell r="I1297">
            <v>184672</v>
          </cell>
        </row>
        <row r="1298">
          <cell r="F1298">
            <v>5208</v>
          </cell>
          <cell r="G1298" t="str">
            <v>LIMPIEZA MECÁNICA DE ACERO DE REFUERZO CON PULIDORA Y SUMINISTRO Y APLICACIÓN DE INHIBIDOR DE CORROSIÓN. NIVEL DE TRABAJO +3.0M.</v>
          </cell>
          <cell r="H1298" t="str">
            <v>ML</v>
          </cell>
          <cell r="I1298">
            <v>94848</v>
          </cell>
        </row>
        <row r="1299">
          <cell r="F1299">
            <v>5209</v>
          </cell>
          <cell r="G1299" t="str">
            <v>IMPRIMANTE Y PUENTE DE ADHERENCIA ENTRE CONCRETO FRESCO Y ENDURECIDO DE FRAGUADO LENTO. SUMINISTRO Y APLICACIÓN. EPÓXICO DE PEGA CONCRETO NUEVO A VIEJO QUE CUMPLA CON LA NORMA ASTM C-881 TIPO 5 GRADO II</v>
          </cell>
          <cell r="H1299" t="str">
            <v>M2</v>
          </cell>
          <cell r="I1299">
            <v>57961</v>
          </cell>
        </row>
        <row r="1300">
          <cell r="F1300">
            <v>5210</v>
          </cell>
          <cell r="G1300" t="str">
            <v>ESCARIFICACIÓN MECÁNICA ABUZARDADO Y CORTE CON DISCO DIAMANTADO PARA RECALCE DE ELEMENTOS ESTRUCTURALES PROFUNDIDAD VARIABLE ENTRE 5CM Y 20CM. INCLUYE TRANSPORTE DE ESCOMBROS.</v>
          </cell>
          <cell r="H1300" t="str">
            <v>M2</v>
          </cell>
          <cell r="I1300">
            <v>56791</v>
          </cell>
        </row>
        <row r="1301">
          <cell r="F1301">
            <v>5211</v>
          </cell>
          <cell r="G1301" t="str">
            <v>MORTERO ACRILICO DE REPARACIÓN ALTA RESISTENCIA, AUTOIMPRIMANTE. SUMINISTRO Y APLICACIÓN. INCLUYE COSTOS DE SUMINISTRO DE MATERIALES (RECUBRIMIENTO ANTICORROSIVO EN DOS CAPAS.</v>
          </cell>
          <cell r="H1301" t="str">
            <v>M2</v>
          </cell>
          <cell r="I1301">
            <v>44050</v>
          </cell>
        </row>
        <row r="1302">
          <cell r="F1302">
            <v>5212</v>
          </cell>
          <cell r="G1302" t="str">
            <v>MASILLA DE POLIURETANO MONOCOMPONENTE PARA SELLADO DE JUNTAS DE CONSTRUCCIÓN. SELLADOR ELÁSTICO DE POLIURETANO. SUMINISTRO Y COLOCACIÓN.</v>
          </cell>
          <cell r="H1302" t="str">
            <v>ML</v>
          </cell>
          <cell r="I1302">
            <v>21402</v>
          </cell>
        </row>
        <row r="1303">
          <cell r="F1303">
            <v>5214</v>
          </cell>
          <cell r="G1303" t="str">
            <v>LAMINA ALFAJOR 6MM CON SOPORTE EN NEOPRENO PARA PERMITIR FLUJO VEHICULAR SOBRE JUNTAS DEMOLIDAS. INCLUYE RETIRO Y POSTERIOR COLOCACIÓN Y TRANSPORTE.</v>
          </cell>
          <cell r="H1303" t="str">
            <v>M2</v>
          </cell>
          <cell r="I1303">
            <v>301349</v>
          </cell>
        </row>
        <row r="1304">
          <cell r="F1304">
            <v>5216</v>
          </cell>
          <cell r="G1304" t="str">
            <v>PINTURA EPÓXICA A DOS MANOS. SUMINISTRO Y APLICACIÓN.</v>
          </cell>
          <cell r="H1304" t="str">
            <v>M2</v>
          </cell>
          <cell r="I1304">
            <v>17416</v>
          </cell>
        </row>
        <row r="1305">
          <cell r="F1305">
            <v>5217</v>
          </cell>
          <cell r="G1305" t="str">
            <v>PINTURA ACRÍLICA BASE AGUA A=10CM PARA LINEAS DE DEMARCACIÓN, CON MICROESFERAS, ESPESOR SECO DE 9MILS Y 60% DE SÓLIDOS POR VOLUMEN, EN CALZADA. SUMINISTRO Y APLICACIÓN.</v>
          </cell>
          <cell r="H1305" t="str">
            <v>ML</v>
          </cell>
          <cell r="I1305">
            <v>3314</v>
          </cell>
        </row>
        <row r="1306">
          <cell r="F1306">
            <v>5218</v>
          </cell>
          <cell r="G1306" t="str">
            <v>PINTURA ACRILÍCA BASE AGUA A=10CM PARA LINEAS DE DEMARCACIÓN, EN CICLORUTA (EN ANDÉN), SIN MICROESFERAS, ESPESOR SECO DE 9MILS Y 60% DE SÓLIDOS POR VOLUMEN. SUMINISTRO Y APLICACIÓN.</v>
          </cell>
          <cell r="H1306" t="str">
            <v>ML</v>
          </cell>
          <cell r="I1306">
            <v>3485</v>
          </cell>
        </row>
        <row r="1307">
          <cell r="F1307">
            <v>5220</v>
          </cell>
          <cell r="G1307" t="str">
            <v>PINTURA EN PLASTICO EN FRIO METILMETACRILATO DE A=12CM PARA LINEAS DE DEMARCACIÓN, CON MICROESFERAS Y ESPESOR SECO SEGÚN NORMA NTC 4744. SUMINISTRO Y APLICACIÓN.</v>
          </cell>
          <cell r="H1307" t="str">
            <v>ML</v>
          </cell>
          <cell r="I1307">
            <v>12856</v>
          </cell>
        </row>
        <row r="1308">
          <cell r="F1308">
            <v>5221</v>
          </cell>
          <cell r="G1308" t="str">
            <v>PINTURA EN PLASTICO EN FRIO METILMETACRILATO DE A=15CM PARA LINEAS DE DEMARCACIÓN, CON MICROESFERAS Y ESPESOR SECO SEGÚN NORMA NTC 4744. SUMINISTRO Y APLICACIÓN.</v>
          </cell>
          <cell r="H1308" t="str">
            <v>ML</v>
          </cell>
          <cell r="I1308">
            <v>14690</v>
          </cell>
        </row>
        <row r="1309">
          <cell r="F1309">
            <v>5225</v>
          </cell>
          <cell r="G1309" t="str">
            <v>PINTURA DE TRÁFICO - IMPRIMANTE NEGRO A=15CM. SUMINISTRO Y APLICACIÓN.</v>
          </cell>
          <cell r="H1309" t="str">
            <v>ML</v>
          </cell>
          <cell r="I1309">
            <v>3844</v>
          </cell>
        </row>
        <row r="1310">
          <cell r="F1310">
            <v>5226</v>
          </cell>
          <cell r="G1310" t="str">
            <v>PINTURA DE TRÁFICO - IMPRIMANTE NEGRO A=20CM. SUMINISTRO Y APLICACIÓN.</v>
          </cell>
          <cell r="H1310" t="str">
            <v>ML</v>
          </cell>
          <cell r="I1310">
            <v>5125</v>
          </cell>
        </row>
        <row r="1311">
          <cell r="F1311">
            <v>5227</v>
          </cell>
          <cell r="G1311" t="str">
            <v>PINTURA DE TRÁFICO - IMPRIMANTE NEGRO. SUMINISTRO Y APLICACIÓN.</v>
          </cell>
          <cell r="H1311" t="str">
            <v>M2</v>
          </cell>
          <cell r="I1311">
            <v>26103</v>
          </cell>
        </row>
        <row r="1312">
          <cell r="F1312">
            <v>5228</v>
          </cell>
          <cell r="G1312" t="str">
            <v>BORRADO DE DEMARCACIÓN VIAL POR FRESADO CON MÁQUINA PARA LINEA A=0.12M.</v>
          </cell>
          <cell r="H1312" t="str">
            <v>ML</v>
          </cell>
          <cell r="I1312">
            <v>8330</v>
          </cell>
        </row>
        <row r="1313">
          <cell r="F1313">
            <v>5229</v>
          </cell>
          <cell r="G1313" t="str">
            <v>BORRADO DE DEMARCACIÓN VIAL POR FRESADO CON MÁQUINA PARA LINEA A=0.15M.</v>
          </cell>
          <cell r="H1313" t="str">
            <v>ML</v>
          </cell>
          <cell r="I1313">
            <v>10413</v>
          </cell>
        </row>
        <row r="1314">
          <cell r="F1314">
            <v>5230</v>
          </cell>
          <cell r="G1314" t="str">
            <v>BORRADO DE DEMARCACIÓN VIAL POR FRESADO CON MÁQUINA PARA LINEA A=0.20M.</v>
          </cell>
          <cell r="H1314" t="str">
            <v>ML</v>
          </cell>
          <cell r="I1314">
            <v>13912</v>
          </cell>
        </row>
        <row r="1315">
          <cell r="F1315">
            <v>5241</v>
          </cell>
          <cell r="G1315" t="str">
            <v>TACHA REFLECTIVA BIDIRECCIONAL (INCLUYE SUMINISTRO E INSTALACIÓN).</v>
          </cell>
          <cell r="H1315" t="str">
            <v>UN</v>
          </cell>
          <cell r="I1315">
            <v>12042</v>
          </cell>
        </row>
        <row r="1316">
          <cell r="F1316">
            <v>5242</v>
          </cell>
          <cell r="G1316" t="str">
            <v>RESALTOS EN CAUCHO ANCLADOS, LONGITUD 1M, ANCHO 30CM, ANCHO 4.5CM. (INCLUYE SUMINISTRO E INSTALACIÓN).</v>
          </cell>
          <cell r="H1316" t="str">
            <v>UN</v>
          </cell>
          <cell r="I1316">
            <v>189781</v>
          </cell>
        </row>
        <row r="1317">
          <cell r="F1317">
            <v>5244</v>
          </cell>
          <cell r="G1317" t="str">
            <v>ENTIBADO EC-1 CONTÍNUO MADERA CON PERFILES DE MADERA Y PARALES TELESCÓPICOS. SUMINISTRO E INSTALACIÓN.</v>
          </cell>
          <cell r="H1317" t="str">
            <v>M2</v>
          </cell>
          <cell r="I1317">
            <v>55237</v>
          </cell>
        </row>
        <row r="1318">
          <cell r="F1318">
            <v>5245</v>
          </cell>
          <cell r="G1318" t="str">
            <v>EMPATE EN LÍNEA DE TUBERÍA DE ACERO (HA) A TUBERÍA PVC 6". SUMINISTRO E INSTALACIÓN. (INCLUYE ACOPLE UNIVERSAL D= 6" R1, UNIÓN DE REPARACIÓN D=6" Y 1MT DE TUBERÍA PVC D= 6" RDE 21).</v>
          </cell>
          <cell r="H1318" t="str">
            <v>UN</v>
          </cell>
          <cell r="I1318">
            <v>608698</v>
          </cell>
        </row>
        <row r="1319">
          <cell r="F1319">
            <v>5246</v>
          </cell>
          <cell r="G1319" t="str">
            <v>EMPATE EN LÍNEA DE TUBERÍA DE ACERO (HA) A TUBERÍA PVC 12". SUMINISTRO E INSTALACIÓN. (INCLUYE ACOPLE UNIVERSAL D= 12" R1, UNIÓN DE REPARACIÓN D=12" Y 1MT DE TUBERÍA PVC D= 12" RDE 21).</v>
          </cell>
          <cell r="H1319" t="str">
            <v>UN</v>
          </cell>
          <cell r="I1319">
            <v>2490054</v>
          </cell>
        </row>
        <row r="1320">
          <cell r="F1320">
            <v>5247</v>
          </cell>
          <cell r="G1320" t="str">
            <v>EMPATE EN LÍNEA DE TUBERÍA DE ACERO (HA) A ASBESTO CEMENTO (AC) 6". SUMINISTRO E INSTALACIÓN. (INCLUYE DOS ACOPLES UNIVERSAL D= 6" R1 Y 1MT DE TUBERÍA PVC D= 6" RDE 21).</v>
          </cell>
          <cell r="H1320" t="str">
            <v>UN</v>
          </cell>
          <cell r="I1320">
            <v>635062</v>
          </cell>
        </row>
        <row r="1321">
          <cell r="F1321">
            <v>5248</v>
          </cell>
          <cell r="G1321" t="str">
            <v>TUBERIA CONDUIT PVC D= 1/2" (NO INCLUYE RELLENOS). SUMINISTRO E INSTALACIÓN.</v>
          </cell>
          <cell r="H1321" t="str">
            <v>ML</v>
          </cell>
          <cell r="I1321">
            <v>4792</v>
          </cell>
        </row>
        <row r="1322">
          <cell r="F1322">
            <v>5249</v>
          </cell>
          <cell r="G1322" t="str">
            <v>TUBERIA EN ACERO GALVANIZADA D= 2" (NO INCLUYE RELLENOS). SUMINISTRO E INSTALACIÓN.</v>
          </cell>
          <cell r="H1322" t="str">
            <v>ML</v>
          </cell>
          <cell r="I1322">
            <v>59178</v>
          </cell>
        </row>
        <row r="1323">
          <cell r="F1323">
            <v>5250</v>
          </cell>
          <cell r="G1323" t="str">
            <v>CARCAMO TIPO PLACA DE PROTECCIÓN DE TUBO EN POLIETILENO D= 2", 3", 4", 6" Y 8". (INCLUYE RELLENO EN ARENA DE PEÑA, REFUERZO, CONCRETO DE 2000 PSI Y 4000 PSI, FORMALETA Y TRANSPORTE DE PETREOS).</v>
          </cell>
          <cell r="H1323" t="str">
            <v>ML</v>
          </cell>
          <cell r="I1323">
            <v>180044</v>
          </cell>
        </row>
        <row r="1324">
          <cell r="F1324">
            <v>5251</v>
          </cell>
          <cell r="G1324" t="str">
            <v>CARCAMO TIPO PLACA PARA PROTECCIÓN DE TUBO EN POLIETILENO D= 10", 12", 14" Y 16" (INCLUYE RELLENO EN ARENA DE PEÑA, REFUERZO, CONCRETO DE 2000 PSI Y 4000 PSI, FORMALETA Y TRANSPORTE DE PETREOS).</v>
          </cell>
          <cell r="H1324" t="str">
            <v>ML</v>
          </cell>
          <cell r="I1324">
            <v>264435</v>
          </cell>
        </row>
        <row r="1325">
          <cell r="F1325">
            <v>5252</v>
          </cell>
          <cell r="G1325" t="str">
            <v>CAJA PARA SECCIONADOR MANIOBRA SUBESTACIÓN SEMISUMERGIBLE NORMA CODENSA CS290 (ANDEN. INCL BASE EN CONCRETO DE 1500 PSI. RECEBO COMPACTADO, MUROS, PAÑETE EN MORTERO IMPERMEAB. ACERO REFUERZO, ESCALERA DE GATO, MARCO Y TAPAS.</v>
          </cell>
          <cell r="H1325" t="str">
            <v>UN</v>
          </cell>
          <cell r="I1325">
            <v>3152308</v>
          </cell>
        </row>
        <row r="1326">
          <cell r="F1326">
            <v>5253</v>
          </cell>
          <cell r="G1326" t="str">
            <v>CAJA DE MANIOBRA ENTRADA Y SALIDA SUBESTACION SEMISUMERGIBLE NORMA CODENSA CTS535. SUMINISTRO E INSTALACION.</v>
          </cell>
          <cell r="H1326" t="str">
            <v>UN</v>
          </cell>
          <cell r="I1326">
            <v>13717831</v>
          </cell>
        </row>
        <row r="1327">
          <cell r="F1327">
            <v>5254</v>
          </cell>
          <cell r="G1327" t="str">
            <v>TUBERIA CONCRETO D=36" CL. V REFORZADO (INCLUYE SUMINISTRO, INSTALACIÓN, MORTERO 2000 PSI PARA CUBRIMIENTO DE JUNTA).</v>
          </cell>
          <cell r="H1327" t="str">
            <v>ML</v>
          </cell>
          <cell r="I1327">
            <v>1782672</v>
          </cell>
        </row>
        <row r="1328">
          <cell r="F1328">
            <v>5271</v>
          </cell>
          <cell r="G1328" t="str">
            <v>CONCRETO 2000 PSI GRAVA COMUN 1" (SUMINISTRO Y COLOCACIÓN. INCLUYE SUMINISTRO DE CONCRETO, FORMALETEADO, FUNDIDA Y CURADO.)</v>
          </cell>
          <cell r="H1328" t="str">
            <v>M3</v>
          </cell>
          <cell r="I1328">
            <v>601924</v>
          </cell>
        </row>
        <row r="1329">
          <cell r="F1329">
            <v>5272</v>
          </cell>
          <cell r="G1329" t="str">
            <v>2 DUCTOS D=6" PVC-TDP (NO INCLUYE RELLENOS NI EXCAVACIÓN). SUMINISTRO E INSTALACIÓN.</v>
          </cell>
          <cell r="H1329" t="str">
            <v>ML</v>
          </cell>
          <cell r="I1329">
            <v>110343</v>
          </cell>
        </row>
        <row r="1330">
          <cell r="F1330">
            <v>5273</v>
          </cell>
          <cell r="G1330" t="str">
            <v>3 DUCTOS D=6" PVC-TDP (NO INCLUYE RELLENOS NI EXCAVACIÓN). SUMINISTRO E INSTALACIÓN.</v>
          </cell>
          <cell r="H1330" t="str">
            <v>ML</v>
          </cell>
          <cell r="I1330">
            <v>165515</v>
          </cell>
        </row>
        <row r="1331">
          <cell r="F1331">
            <v>5274</v>
          </cell>
          <cell r="G1331" t="str">
            <v>5 DUCTOS D=6" PVC-TDP (NO INCLUYE RELLENOS NI EXCAVACIÓN). SUMINISTRO E INSTALACIÓN.</v>
          </cell>
          <cell r="H1331" t="str">
            <v>ML</v>
          </cell>
          <cell r="I1331">
            <v>275859</v>
          </cell>
        </row>
        <row r="1332">
          <cell r="F1332">
            <v>5275</v>
          </cell>
          <cell r="G1332" t="str">
            <v>10 DUCTOS D=6" PVC-TDP (NO INCLUYE RELLENOS NI EXCAVACIÓN). SUMINISTRO E INSTALACIÓN.</v>
          </cell>
          <cell r="H1332" t="str">
            <v>ML</v>
          </cell>
          <cell r="I1332">
            <v>551714</v>
          </cell>
        </row>
        <row r="1333">
          <cell r="F1333">
            <v>5276</v>
          </cell>
          <cell r="G1333" t="str">
            <v>11 DUCTOS D=6" PVC-TDP (NO INCLUYE RELLENOS NI EXCAVACIÓN). SUMINISTRO E INSTALACIÓN.</v>
          </cell>
          <cell r="H1333" t="str">
            <v>ML</v>
          </cell>
          <cell r="I1333">
            <v>606886</v>
          </cell>
        </row>
        <row r="1334">
          <cell r="F1334">
            <v>5277</v>
          </cell>
          <cell r="G1334" t="str">
            <v>20 DUCTOS D=4" PVC-TDP (NO INCLUYE RELLENOS NI EXCAVACIÓN). SUMINISTRO E INSTALACIÓN.</v>
          </cell>
          <cell r="H1334" t="str">
            <v>ML</v>
          </cell>
          <cell r="I1334">
            <v>505025</v>
          </cell>
        </row>
        <row r="1335">
          <cell r="F1335">
            <v>5278</v>
          </cell>
          <cell r="G1335" t="str">
            <v>28 DUCTOS D=4" PVC-TDP (NO INCLUYE RELLENOS NI EXCAVACIÓN). SUMINISTRO E INSTALACIÓN.</v>
          </cell>
          <cell r="H1335" t="str">
            <v>ML</v>
          </cell>
          <cell r="I1335">
            <v>707259</v>
          </cell>
        </row>
        <row r="1336">
          <cell r="F1336">
            <v>5279</v>
          </cell>
          <cell r="G1336" t="str">
            <v>5 DUCTOS D=4" PVC-TDP (NO INCLUYE RELLENOS NI EXCAVACIÓN). SUMINISTRO E INSTALACIÓN.</v>
          </cell>
          <cell r="H1336" t="str">
            <v>ML</v>
          </cell>
          <cell r="I1336">
            <v>126258</v>
          </cell>
        </row>
        <row r="1337">
          <cell r="F1337">
            <v>5280</v>
          </cell>
          <cell r="G1337" t="str">
            <v>CARCAMO DE PROTECCIÓN PARA TUBERIA DE TELEFONOS (DE 9 A 12 TUBOS). SUMINISTRO E INSTALACIÓN.</v>
          </cell>
          <cell r="H1337" t="str">
            <v>ML</v>
          </cell>
          <cell r="I1337">
            <v>240074</v>
          </cell>
        </row>
        <row r="1338">
          <cell r="F1338">
            <v>5286</v>
          </cell>
          <cell r="G1338" t="str">
            <v>ESTABILIZACIÓN DE BASE GRANULAR CON EMULSIÓN + CEMENTO 5% E= 0.20M</v>
          </cell>
          <cell r="H1338" t="str">
            <v>M2</v>
          </cell>
          <cell r="I1338">
            <v>14580</v>
          </cell>
        </row>
        <row r="1339">
          <cell r="F1339">
            <v>5312</v>
          </cell>
          <cell r="G1339" t="str">
            <v>CONCRETO 4000 PSI (280 KG/CM2) GRAVA COMUN PARA ALETAS Y ESPALDAR (INCLUYE FORMALETA. NO INCLUYE REFUERZO NI CURADO. INCLUYE SUMINISTRO Y COLOCACION).</v>
          </cell>
          <cell r="H1339" t="str">
            <v>M3</v>
          </cell>
          <cell r="I1339">
            <v>652570</v>
          </cell>
        </row>
        <row r="1340">
          <cell r="F1340">
            <v>5313</v>
          </cell>
          <cell r="G1340" t="str">
            <v>CONCRETO 3500 PSI (245 KG/CM2) GRAVA COMUN PARA CIMENTACIONES (INCLUYE FORMALETA. NO INCLUYE REFUERZO NI CURADO. INCLUYE SUMINISTRO Y COLOCACION).</v>
          </cell>
          <cell r="H1340" t="str">
            <v>M3</v>
          </cell>
          <cell r="I1340">
            <v>640077</v>
          </cell>
        </row>
        <row r="1341">
          <cell r="F1341">
            <v>5314</v>
          </cell>
          <cell r="G1341" t="str">
            <v>SEPARADOR NEW JERSEY MONODIRECCIONAL 0.375M X 0.90M X 0.15M (FUNDIDO EN SITIO. INCLUYE SUM. E INST. NO INC. MATERIAL DE BASE).</v>
          </cell>
          <cell r="H1341" t="str">
            <v>ML</v>
          </cell>
          <cell r="I1341">
            <v>611349</v>
          </cell>
        </row>
        <row r="1342">
          <cell r="F1342">
            <v>5315</v>
          </cell>
          <cell r="G1342" t="str">
            <v>CONCRETO 4000 PSI (280 KG/CM2) PARA MURO DE CONTENCION (GRAVA COMUN) SUMINISTRO Y COLOCACIÓN. INCLUYE FORMALETA. NO INCLUYE REFUERZO, NI CURADO). PARA TRABAJOS A NIVEL MENOR DE 1.50M.</v>
          </cell>
          <cell r="H1342" t="str">
            <v>M3</v>
          </cell>
          <cell r="I1342">
            <v>999176</v>
          </cell>
        </row>
        <row r="1343">
          <cell r="F1343">
            <v>5316</v>
          </cell>
          <cell r="G1343" t="str">
            <v>NIVELACION DE CAJA CS276 EN ANDEN H= 0.42M (INCLUYE CONCRETO 2500 PSI HECHO EN OBRA, LADRILLO TOLETE RECOCIDO 24X12X6. MORTERO 1:5 HECHO EN OBRA. INCL. REPOSICION DE MARCO Y TAPA PREFABRICADA</v>
          </cell>
          <cell r="H1343" t="str">
            <v>UN</v>
          </cell>
          <cell r="I1343">
            <v>1405918</v>
          </cell>
        </row>
        <row r="1344">
          <cell r="F1344">
            <v>5317</v>
          </cell>
          <cell r="G1344" t="str">
            <v>CONCRETO GRAVA COMÚN DE 5000 PSI (350 KG/CM2) PARA SUPER ESTRUCTURA ACELERADO A 2 DÍAS. (CONCRETO GRAVA COMÚN.INCLUYE ACELERANTE, FORMALETA, CURADO DE CONCRETO Y MANO DE OBRA).</v>
          </cell>
          <cell r="H1344" t="str">
            <v>M3</v>
          </cell>
          <cell r="I1344">
            <v>980230</v>
          </cell>
        </row>
        <row r="1345">
          <cell r="F1345">
            <v>5318</v>
          </cell>
          <cell r="G1345" t="str">
            <v>CAMARA GRP 2500 * 2500 * 1200 (INCLUYE TUBERIA , CHIMENEA 2.5M Y ACCESORIOS. SUMINISTRO E INSTALACION.</v>
          </cell>
          <cell r="H1345" t="str">
            <v>UN</v>
          </cell>
          <cell r="I1345">
            <v>45346039</v>
          </cell>
        </row>
        <row r="1346">
          <cell r="F1346">
            <v>5319</v>
          </cell>
          <cell r="G1346" t="str">
            <v>CAMARA GRP 2600 * 2600 * 1200 (INCLUYE TUBERIA , CHIMENEA 2.5M Y ACCESORIOS. SUMINISTRO E INSTALACION.</v>
          </cell>
          <cell r="H1346" t="str">
            <v>UN</v>
          </cell>
          <cell r="I1346">
            <v>47144210</v>
          </cell>
        </row>
        <row r="1347">
          <cell r="F1347">
            <v>5320</v>
          </cell>
          <cell r="G1347" t="str">
            <v>TUBERIA GRP 350MM (INCLUYE TRANSPORTE). SUMINISTRO E INSTALACION.</v>
          </cell>
          <cell r="H1347" t="str">
            <v>ML</v>
          </cell>
          <cell r="I1347">
            <v>609229</v>
          </cell>
        </row>
        <row r="1348">
          <cell r="F1348">
            <v>5321</v>
          </cell>
          <cell r="G1348" t="str">
            <v>TUBERIA GRP 450MM (INCLUYE TRANSPORTE). SUMINISTRO E INSTALACION.</v>
          </cell>
          <cell r="H1348" t="str">
            <v>ML</v>
          </cell>
          <cell r="I1348">
            <v>756185</v>
          </cell>
        </row>
        <row r="1349">
          <cell r="F1349">
            <v>5322</v>
          </cell>
          <cell r="G1349" t="str">
            <v>TUBERIA GRP 550MM (INCLUYE TRANSPORTE). SUMINISTRO E INSTALACION.</v>
          </cell>
          <cell r="H1349" t="str">
            <v>ML</v>
          </cell>
          <cell r="I1349">
            <v>988974</v>
          </cell>
        </row>
        <row r="1350">
          <cell r="F1350">
            <v>5324</v>
          </cell>
          <cell r="G1350" t="str">
            <v>TUBERIA GRP 750MM (INCLUYE TRANSPORTE). SUMINISTRO E INSTALACION.</v>
          </cell>
          <cell r="H1350" t="str">
            <v>ML</v>
          </cell>
          <cell r="I1350">
            <v>1307397</v>
          </cell>
        </row>
        <row r="1351">
          <cell r="F1351">
            <v>5325</v>
          </cell>
          <cell r="G1351" t="str">
            <v>TUBERIA GRP 850MM (INCLUYE TRANSPORTE). SUMINISTRO E INSTALACION.</v>
          </cell>
          <cell r="H1351" t="str">
            <v>ML</v>
          </cell>
          <cell r="I1351">
            <v>1559774</v>
          </cell>
        </row>
        <row r="1352">
          <cell r="F1352">
            <v>5326</v>
          </cell>
          <cell r="G1352" t="str">
            <v>TUBERIA GRP 2500MM (INCLUYE TRANSPORTE). SUMINISTRO E INSTALACION.</v>
          </cell>
          <cell r="H1352" t="str">
            <v>ML</v>
          </cell>
          <cell r="I1352">
            <v>9262096</v>
          </cell>
        </row>
        <row r="1353">
          <cell r="F1353">
            <v>5327</v>
          </cell>
          <cell r="G1353" t="str">
            <v>TUBERIA GRP 2600MM (INCLUYE TRANSPORTE). SUMINISTRO E INSTALACION.</v>
          </cell>
          <cell r="H1353" t="str">
            <v>ML</v>
          </cell>
          <cell r="I1353">
            <v>10031483</v>
          </cell>
        </row>
        <row r="1354">
          <cell r="F1354">
            <v>5328</v>
          </cell>
          <cell r="G1354" t="str">
            <v>CAMARA GRP 900 * 900 * 1200 (INCLUYE TUBERIA , CHIMENEA 1.0M Y ACCESORIOS. SUMINISTRO E INSTALACION.</v>
          </cell>
          <cell r="H1354" t="str">
            <v>UN</v>
          </cell>
          <cell r="I1354">
            <v>18857086</v>
          </cell>
        </row>
        <row r="1355">
          <cell r="F1355">
            <v>5329</v>
          </cell>
          <cell r="G1355" t="str">
            <v>CAMARA GRP 900 * 900 * 1200 (INCLUYE TUBERIA , CHIMENEA 2.50M Y ACCESORIOS. SUMINISTRO E INSTALACION.</v>
          </cell>
          <cell r="H1355" t="str">
            <v>UN</v>
          </cell>
          <cell r="I1355">
            <v>20703619</v>
          </cell>
        </row>
        <row r="1356">
          <cell r="F1356">
            <v>5330</v>
          </cell>
          <cell r="G1356" t="str">
            <v>CAMARA GRP 1000 * 1000 * 1200 (INCLUYE TUBERIA , CHIMENEA 2.50M Y ACCESORIOS. SUMINISTRO E INSTALACION.</v>
          </cell>
          <cell r="H1356" t="str">
            <v>UN</v>
          </cell>
          <cell r="I1356">
            <v>20576295</v>
          </cell>
        </row>
        <row r="1357">
          <cell r="F1357">
            <v>5331</v>
          </cell>
          <cell r="G1357" t="str">
            <v>CAMARA GRP 1100 * 1100 * 1200 (INCLUYE TUBERIA , CHIMENEA 2.50M Y ACCESORIOS. SUMINISTRO E INSTALACION.</v>
          </cell>
          <cell r="H1357" t="str">
            <v>UN</v>
          </cell>
          <cell r="I1357">
            <v>23310223</v>
          </cell>
        </row>
        <row r="1358">
          <cell r="F1358">
            <v>5332</v>
          </cell>
          <cell r="G1358" t="str">
            <v>CAMARA GRP 1300 * 1300 * 1200 (INCLUYE TUBERIA , CHIMENEA 5.0M Y ACCESORIOS. SUMINISTRO E INSTALACION.</v>
          </cell>
          <cell r="H1358" t="str">
            <v>UN</v>
          </cell>
          <cell r="I1358">
            <v>15418671</v>
          </cell>
        </row>
        <row r="1359">
          <cell r="F1359">
            <v>5333</v>
          </cell>
          <cell r="G1359" t="str">
            <v>CAMARA GRP 1500 * 1500 * 1200 (INCLUYE TUBERIA , CHIMENEA 2.50M Y ACCESORIOS. SUMINISTRO E INSTALACION.</v>
          </cell>
          <cell r="H1359" t="str">
            <v>UN</v>
          </cell>
          <cell r="I1359">
            <v>16420465</v>
          </cell>
        </row>
        <row r="1360">
          <cell r="F1360">
            <v>5334</v>
          </cell>
          <cell r="G1360" t="str">
            <v>CAMARA GRP 1600 * 1600 * 1200 (INCLUYE TUBERIA , CHIMENEA 2.50M Y ACCESORIOS. SUMINISTRO E INSTALACION.</v>
          </cell>
          <cell r="H1360" t="str">
            <v>UN</v>
          </cell>
          <cell r="I1360">
            <v>21642721</v>
          </cell>
        </row>
        <row r="1361">
          <cell r="F1361">
            <v>5335</v>
          </cell>
          <cell r="G1361" t="str">
            <v>CAMARA GRP 1800 * 1800 * 1200 (INCLUYE TUBERIA , CHIMENEA 2.50M Y ACCESORIOS. SUMINISTRO E INSTALACION.</v>
          </cell>
          <cell r="H1361" t="str">
            <v>UN</v>
          </cell>
          <cell r="I1361">
            <v>23135717</v>
          </cell>
        </row>
        <row r="1362">
          <cell r="F1362">
            <v>5336</v>
          </cell>
          <cell r="G1362" t="str">
            <v>CAMARA GRP 1800 * 1800 * 1200 (INCLUYE TUBERIA , CHIMENEA 5.0M Y ACCESORIOS. SUMINISTRO E INSTALACION.</v>
          </cell>
          <cell r="H1362" t="str">
            <v>UN</v>
          </cell>
          <cell r="I1362">
            <v>26709860</v>
          </cell>
        </row>
        <row r="1363">
          <cell r="F1363">
            <v>5338</v>
          </cell>
          <cell r="G1363" t="str">
            <v>PARAMETRO DE RESISTENCIA DEL SUELO MEDIANTE COMPRESION TRIAXIAL: COMPRESION TRIAXIAL ESTÁTICA CONSOLIDADA NO DRENADO UU (TRES PUNTOS)</v>
          </cell>
          <cell r="H1363" t="str">
            <v>UN</v>
          </cell>
          <cell r="I1363">
            <v>1198449</v>
          </cell>
        </row>
        <row r="1364">
          <cell r="F1364">
            <v>5339</v>
          </cell>
          <cell r="G1364" t="str">
            <v>REDUCCION CONCENTRICA HD 8"X4" (SUMINISTRO E INSTALACIÓN)</v>
          </cell>
          <cell r="H1364" t="str">
            <v>UN</v>
          </cell>
          <cell r="I1364">
            <v>388446</v>
          </cell>
        </row>
        <row r="1365">
          <cell r="F1365">
            <v>5340</v>
          </cell>
          <cell r="G1365" t="str">
            <v>MALLA PUESTA A TIERRA SUBESTACIONES (INCLUYE SUMINISTRO E INSTALACION).</v>
          </cell>
          <cell r="H1365" t="str">
            <v>UN</v>
          </cell>
          <cell r="I1365">
            <v>2589630</v>
          </cell>
        </row>
        <row r="1366">
          <cell r="F1366">
            <v>5341</v>
          </cell>
          <cell r="G1366" t="str">
            <v>VARILLA COOPER WELD 5/8" X 2.44M. (INCLUYE SUMINISTRO E INSTALACION).</v>
          </cell>
          <cell r="H1366" t="str">
            <v>UN</v>
          </cell>
          <cell r="I1366">
            <v>759257</v>
          </cell>
        </row>
        <row r="1367">
          <cell r="F1367">
            <v>5342</v>
          </cell>
          <cell r="G1367" t="str">
            <v>MASCARILLA DE GIRO PARA SEMÁFORO DE 200MM. (INCLUYE SUMINISTRO E INSTALACION).</v>
          </cell>
          <cell r="H1367" t="str">
            <v>UN</v>
          </cell>
          <cell r="I1367">
            <v>397697</v>
          </cell>
        </row>
        <row r="1368">
          <cell r="F1368">
            <v>5343</v>
          </cell>
          <cell r="G1368" t="str">
            <v>MODULO ROJO PARA SEMÁFOROS DE 200MM (TIPO LED, SEMÁFORO TIPO MENSULA). SUMINISTRO E INSTALACION.</v>
          </cell>
          <cell r="H1368" t="str">
            <v>UN</v>
          </cell>
          <cell r="I1368">
            <v>746238</v>
          </cell>
        </row>
        <row r="1369">
          <cell r="F1369">
            <v>5344</v>
          </cell>
          <cell r="G1369" t="str">
            <v>GEOMALLA TENSAR BX 1200 PARA REFUERZO DE MATERIALES GRANULARES. SUMINISTRO E INSTALACION.</v>
          </cell>
          <cell r="H1369" t="str">
            <v>M2</v>
          </cell>
          <cell r="I1369">
            <v>17875</v>
          </cell>
        </row>
        <row r="1370">
          <cell r="F1370">
            <v>5345</v>
          </cell>
          <cell r="G1370" t="str">
            <v>CAPAS GRANULARES DE SUBBASE CLASE A (SBG_A) PRODUCIDAS CON RCD. (SUMINISTRO, EXTENDIDO, NIVELACIÓN, HUMEDECIMIENTO Y COMPACTACIÓN CON VIBROCOMPACTADOR) IDU ET-400-11, TRÁFICO T4 - T5. TRANSPORTE PETREOS 28KM.</v>
          </cell>
          <cell r="H1370" t="str">
            <v>M3</v>
          </cell>
          <cell r="I1370">
            <v>162650</v>
          </cell>
        </row>
        <row r="1371">
          <cell r="F1371">
            <v>5346</v>
          </cell>
          <cell r="G1371" t="str">
            <v>CAPAS GRANULARES DE BASE CLASE A (BG_A) PRODUCIDAS CON RCD. (SUMINISTRO, EXTENDIDO, NIVELACIÓN, HUMEDECIMIENTO Y COMPACTACIÓN CON VIBROCOMPACTADOR) IDU ET-400-11, TRÁFICO T4 - T5. TRANSPORTE PETREOS 28KM.</v>
          </cell>
          <cell r="H1371" t="str">
            <v>M3</v>
          </cell>
          <cell r="I1371">
            <v>177155</v>
          </cell>
        </row>
        <row r="1372">
          <cell r="F1372">
            <v>5347</v>
          </cell>
          <cell r="G1372" t="str">
            <v>RECICLAJE DE PAVIMENTO ASFALTICO EN EL SITIO CON 3% DE EMULSION ASFALTICA, INCLUYE 0.5% DE CEMENTO PORTLAND. TRANSPORTE PETREOS 23 KM.</v>
          </cell>
          <cell r="H1372" t="str">
            <v>M3</v>
          </cell>
          <cell r="I1372">
            <v>304852</v>
          </cell>
        </row>
        <row r="1373">
          <cell r="F1373">
            <v>5348</v>
          </cell>
          <cell r="G1373" t="str">
            <v>RECICLAJE DE PAVIMENTO ASFALTICO EN EL SITIO CON 3% DE EMULSION ASFALTICA, INCLUYE 1.0% DE CEMENTO PORTLAND. TRANSPORTE PETREOS 23 KM.</v>
          </cell>
          <cell r="H1373" t="str">
            <v>M3</v>
          </cell>
          <cell r="I1373">
            <v>311640</v>
          </cell>
        </row>
        <row r="1374">
          <cell r="F1374">
            <v>5349</v>
          </cell>
          <cell r="G1374" t="str">
            <v>RECICLAJE DE PAVIMENTO ASFALTICO EN EL SITIO CON 3% DE EMULSION ASFALTICA, INCLUYE 1.5% DE CEMENTO PORTLAND. TRANSPORTE PETREOS 23 KM.</v>
          </cell>
          <cell r="H1374" t="str">
            <v>M3</v>
          </cell>
          <cell r="I1374">
            <v>318466</v>
          </cell>
        </row>
        <row r="1375">
          <cell r="F1375">
            <v>5350</v>
          </cell>
          <cell r="G1375" t="str">
            <v>RECICLAJE DE PAVIMENTO ASFALTICO EN EL SITIO CON 4% DE EMULSION ASFALTICA, INCLUYE 0.5% DE CEMENTO PORTLAND. TRANSPORTE PETREOS 23 KM.</v>
          </cell>
          <cell r="H1375" t="str">
            <v>M3</v>
          </cell>
          <cell r="I1375">
            <v>373931</v>
          </cell>
        </row>
        <row r="1376">
          <cell r="F1376">
            <v>5351</v>
          </cell>
          <cell r="G1376" t="str">
            <v>RECICLAJE DE PAVIMENTO ASFALTICO EN EL SITIO CON 4% DE EMULSION ASFALTICA, INCLUYE 1.0% DE CEMENTO PORTLAND. TRANSPORTE PETREOS 23 KM.</v>
          </cell>
          <cell r="H1376" t="str">
            <v>M3</v>
          </cell>
          <cell r="I1376">
            <v>380756</v>
          </cell>
        </row>
        <row r="1377">
          <cell r="F1377">
            <v>5352</v>
          </cell>
          <cell r="G1377" t="str">
            <v>RECICLAJE DE PAVIMENTO ASFALTICO EN EL SITIO CON 4% DE EMULSION ASFALTICA, INCLUYE 1.5% DE CEMENTO PORTLAND. TRANSPORTE PETREOS 23 KM.</v>
          </cell>
          <cell r="H1377" t="str">
            <v>M3</v>
          </cell>
          <cell r="I1377">
            <v>387582</v>
          </cell>
        </row>
        <row r="1378">
          <cell r="F1378">
            <v>5353</v>
          </cell>
          <cell r="G1378" t="str">
            <v>RECICLAJE DE PAVIMENTO ASFALTICO EN EL SITIO CON 5% DE EMULSION ASFALTICA, INCLUYE 0.5% DE CEMENTO PORTLAND. TRANSPORTE PETREOS 23 KM.</v>
          </cell>
          <cell r="H1378" t="str">
            <v>M3</v>
          </cell>
          <cell r="I1378">
            <v>443048</v>
          </cell>
        </row>
        <row r="1379">
          <cell r="F1379">
            <v>5354</v>
          </cell>
          <cell r="G1379" t="str">
            <v>RECICLAJE DE PAVIMENTO ASFALTICO EN EL SITIO CON 5% DE EMULSION ASFALTICA, INCLUYE 1.0% DE CEMENTO PORTLAND. TRANSPORTE PETREOS 23 KM.</v>
          </cell>
          <cell r="H1379" t="str">
            <v>M3</v>
          </cell>
          <cell r="I1379">
            <v>450409</v>
          </cell>
        </row>
        <row r="1380">
          <cell r="F1380">
            <v>5355</v>
          </cell>
          <cell r="G1380" t="str">
            <v>RECICLAJE DE PAVIMENTO ASFALTICO EN EL SITIO CON 5% DE EMULSION ASFALTICA, INCLUYE 1.5% DE CEMENTO PORTLAND. TRANSPORTE PETREOS 23 KM.</v>
          </cell>
          <cell r="H1380" t="str">
            <v>M3</v>
          </cell>
          <cell r="I1380">
            <v>456699</v>
          </cell>
        </row>
        <row r="1381">
          <cell r="F1381">
            <v>5356</v>
          </cell>
          <cell r="G1381" t="str">
            <v>RECICLAJE DE PAVIMENTO ASFALTICO EN EL SITIO CON 3% DE CEMENTO PORTLAND. SUMINISTRO, EXTENDIDO, NIVELACION, HUMEDECIMIENTO Y COMPACTACION CON VIBROCOMPACTADOR. IDU ET-454-11, TRÁFICO T4 - T5. TRANSPORTE PETREOS 23 KM.</v>
          </cell>
          <cell r="H1381" t="str">
            <v>M3</v>
          </cell>
          <cell r="I1381">
            <v>131227</v>
          </cell>
        </row>
        <row r="1382">
          <cell r="F1382">
            <v>5357</v>
          </cell>
          <cell r="G1382" t="str">
            <v>RECICLAJE DE PAVIMENTO ASFALTICO EN EL SITIO CON 4% DE CEMENTO PORTLAND. SUMINISTRO, EXTENDIDO, NIVELACION, HUMEDECIMIENTO Y COMPACTACION CON VIBROCOMPACTADOR. IDU ET-454-11, TRÁFICO T4 - T5. TRANSPORTE PETREOS 23 KM.</v>
          </cell>
          <cell r="H1382" t="str">
            <v>M3</v>
          </cell>
          <cell r="I1382">
            <v>147305</v>
          </cell>
        </row>
        <row r="1383">
          <cell r="F1383">
            <v>5358</v>
          </cell>
          <cell r="G1383" t="str">
            <v>RECICLAJE DE PAVIMENTO ASFALTICO EN EL SITIO CON 5% DE CEMENTO PORTLAND. SUMINISTRO, EXTENDIDO, NIVELACION, HUMEDECIMIENTO Y COMPACTACION CON VIBROCOMPACTADOR. IDU ET-454-11, TRÁFICO T4 - T5. TRANSPORTE PETREOS 23 KM.</v>
          </cell>
          <cell r="H1383" t="str">
            <v>M3</v>
          </cell>
          <cell r="I1383">
            <v>158955</v>
          </cell>
        </row>
        <row r="1384">
          <cell r="F1384">
            <v>5359</v>
          </cell>
          <cell r="G1384" t="str">
            <v>RECICLAJE DE PAVIMENTO ASFALTICO EN EL SITIO CON 6% DE CEMENTO PORTLAND. SUMINISTRO, EXTENDIDO, NIVELACION, HUMEDECIMIENTO Y COMPACTACION CON VIBROCOMPACTADOR. IDU ET-454-11, TRÁFICO T4 - T5. TRANSPORTE PETREOS 23 KM.</v>
          </cell>
          <cell r="H1384" t="str">
            <v>M3</v>
          </cell>
          <cell r="I1384">
            <v>172177</v>
          </cell>
        </row>
        <row r="1385">
          <cell r="F1385">
            <v>5360</v>
          </cell>
          <cell r="G1385" t="str">
            <v>ACOPIO Y TRASIEGO MECANICO DE MATERIAL DE FRESADO EN EL SITIO DE ALMACENAMIENTO TRANSITORIO.</v>
          </cell>
          <cell r="H1385" t="str">
            <v>HR</v>
          </cell>
          <cell r="I1385">
            <v>165837</v>
          </cell>
        </row>
        <row r="1386">
          <cell r="F1386">
            <v>5361</v>
          </cell>
          <cell r="G1386" t="str">
            <v>CLASIFICACION MECANICA DE MATERIAL DE FRESADO EN EL SITIO DE ALMACENAMIENTO TRANSITORIO PARA ACCIONES DE MOVILIDAD.</v>
          </cell>
          <cell r="H1386" t="str">
            <v>M3</v>
          </cell>
          <cell r="I1386">
            <v>10897</v>
          </cell>
        </row>
        <row r="1387">
          <cell r="F1387">
            <v>5362</v>
          </cell>
          <cell r="G1387" t="str">
            <v>FRESADO ESTABILIZADO AL 5% CON EMULSIÓN CRL-1 PARA ACCIÓN DE MOVILIDAD (INCLUYE MATERIAL PÉTREO DE ADICIÓN (ARENA DE RIO) - DISTANCIA A 28 KM.</v>
          </cell>
          <cell r="H1387" t="str">
            <v>M3</v>
          </cell>
          <cell r="I1387">
            <v>365845</v>
          </cell>
        </row>
        <row r="1388">
          <cell r="F1388">
            <v>5363</v>
          </cell>
          <cell r="G1388" t="str">
            <v>FRESADO ESTABILIZADO AL 5% CON EMULSIÓN CRL-1 PARA ACCION DE MOVILIDAD (INCLUYE MATERIAL PETREO DE ADICION (ARENA LAVADA) - DISTACIO A 28 KM.</v>
          </cell>
          <cell r="H1388" t="str">
            <v>M3</v>
          </cell>
          <cell r="I1388">
            <v>355046</v>
          </cell>
        </row>
        <row r="1389">
          <cell r="F1389">
            <v>5364</v>
          </cell>
          <cell r="G1389" t="str">
            <v>FRESADO ESTABILIZADO AL 5% CON EMULSIÓN CRL-1 PARA ACCIÓN DE MOVILIDAD (INCLUYE MATERIAL PÉTREO DE ADICIÓN (SUBBASE GRANULAR TIPO A - SBG A)) - DISTANCIA A 28 KM.</v>
          </cell>
          <cell r="H1389" t="str">
            <v>M3</v>
          </cell>
          <cell r="I1389">
            <v>349443</v>
          </cell>
        </row>
        <row r="1390">
          <cell r="F1390">
            <v>5365</v>
          </cell>
          <cell r="G1390" t="str">
            <v>MALLA ESLABONADA CALIBRE 10.5 2" ALTURA MAYOR A 2.20M. SUMINISTRO E INSTALACION.</v>
          </cell>
          <cell r="H1390" t="str">
            <v>M2</v>
          </cell>
          <cell r="I1390">
            <v>43193</v>
          </cell>
        </row>
        <row r="1391">
          <cell r="F1391">
            <v>5366</v>
          </cell>
          <cell r="G1391" t="str">
            <v>POLISOMBRA VERDE PARA CERRAMIENTO. SUMINISTRO E INSTALACION.</v>
          </cell>
          <cell r="H1391" t="str">
            <v>M2</v>
          </cell>
          <cell r="I1391">
            <v>2656</v>
          </cell>
        </row>
        <row r="1392">
          <cell r="F1392">
            <v>5368</v>
          </cell>
          <cell r="G1392" t="str">
            <v>TEJA DE ZINC. SUMINISTRO E INSTALACION. INCLUYE ESTRUCTURAS CUARTONES EN MADERA X 3.0M Y AMARRES.</v>
          </cell>
          <cell r="H1392" t="str">
            <v>M2</v>
          </cell>
          <cell r="I1392">
            <v>22500</v>
          </cell>
        </row>
        <row r="1393">
          <cell r="F1393">
            <v>5369</v>
          </cell>
          <cell r="G1393" t="str">
            <v>PINTURA ACEITE SOBRE LAMINA (INCLUYE ANTICORROSIVO). SUMINISTRO Y APLICACION.</v>
          </cell>
          <cell r="H1393" t="str">
            <v>UN</v>
          </cell>
          <cell r="I1393">
            <v>4084</v>
          </cell>
        </row>
        <row r="1394">
          <cell r="F1394">
            <v>5370</v>
          </cell>
          <cell r="G1394" t="str">
            <v>PINTURA VINILO TIPO 1 (2 MANOS).</v>
          </cell>
          <cell r="H1394" t="str">
            <v>M2</v>
          </cell>
          <cell r="I1394">
            <v>10201</v>
          </cell>
        </row>
        <row r="1395">
          <cell r="F1395">
            <v>5371</v>
          </cell>
          <cell r="G1395" t="str">
            <v>MURO EN LADRILLO TOLETE COMUN.</v>
          </cell>
          <cell r="H1395" t="str">
            <v>M2</v>
          </cell>
          <cell r="I1395">
            <v>57986</v>
          </cell>
        </row>
        <row r="1396">
          <cell r="F1396">
            <v>5372</v>
          </cell>
          <cell r="G1396" t="str">
            <v>TANQUE DE AGUA DE 500 LT. SUMINISTRO E INSTALACION.</v>
          </cell>
          <cell r="H1396" t="str">
            <v>UN</v>
          </cell>
          <cell r="I1396">
            <v>230657</v>
          </cell>
        </row>
        <row r="1397">
          <cell r="F1397">
            <v>5373</v>
          </cell>
          <cell r="G1397" t="str">
            <v>ZARANDA DE 6X3 PARA CLASIFICACIÓN MATERIAL. SUMINISTRO E INSTALACIÓN.</v>
          </cell>
          <cell r="H1397" t="str">
            <v>UN</v>
          </cell>
          <cell r="I1397">
            <v>41372254</v>
          </cell>
        </row>
        <row r="1398">
          <cell r="F1398">
            <v>5374</v>
          </cell>
          <cell r="G1398" t="str">
            <v>PARCHEO CON PAVIMENTO ASFALTICO RECICLADO ESTABILIZADO AL 5% CON EMULSION CRL-1 PARA ACCION DE MOVILIDAD. SIN CORTE NI DEMOLICIÓN EXTENDIDO MANUAL. HASTA 28KM. HORARIO DIURNO.</v>
          </cell>
          <cell r="H1398" t="str">
            <v>M3</v>
          </cell>
          <cell r="I1398">
            <v>173175</v>
          </cell>
        </row>
        <row r="1399">
          <cell r="F1399">
            <v>5375</v>
          </cell>
          <cell r="G1399" t="str">
            <v>PARCHEO CON PAVIMENTO ASFALTICO RECICLADO ESTABILIZADO AL 5% CON EMULSION CRL-1 PARA ACCION DE MOVILIDAD. SIN CORTE NI DEMOLICIÓN. EXTENDIDO MANUAL. HASTA 28KM. HORARIO NOCTURNO.</v>
          </cell>
          <cell r="H1399" t="str">
            <v>M3</v>
          </cell>
          <cell r="I1399">
            <v>211604</v>
          </cell>
        </row>
        <row r="1400">
          <cell r="F1400">
            <v>5376</v>
          </cell>
          <cell r="G1400" t="str">
            <v>CUADRILLA (OFICIAL + 4 AYUDANTES) HORARIO NOCTURNO</v>
          </cell>
          <cell r="H1400" t="str">
            <v>JR</v>
          </cell>
          <cell r="I1400">
            <v>467998</v>
          </cell>
        </row>
        <row r="1401">
          <cell r="F1401">
            <v>5377</v>
          </cell>
          <cell r="G1401" t="str">
            <v>PARCHEO CON FRESADO ESTABILIZADO AL 5% CON EMULSIÓN CRL-1 PARA ACCIÓN DE MOVILIDAD. EXTENDIDO MANUAL. INCLUYE CORTE, DEMOLICIÓN. HASTA 28KM. HORARIO DIURNO. SOLO INSTALACIÓN DEL MATERIAL</v>
          </cell>
          <cell r="H1401" t="str">
            <v>M3</v>
          </cell>
          <cell r="I1401">
            <v>252067</v>
          </cell>
        </row>
        <row r="1402">
          <cell r="F1402">
            <v>5378</v>
          </cell>
          <cell r="G1402" t="str">
            <v>PARCHEO CON FRESADO ESTABILIZADO AL 5% CON EMULSIÓN CRL-1 PARA ACCIÓN DE MOVILIDAD. EXTENDIDO MANUAL. INCLUYE CORTE, DEMOLICIÓN. HASTA 28KM. HORARIO NOCTURNO. SOLO INSTALACIÓN DEL MATERIAL</v>
          </cell>
          <cell r="H1402" t="str">
            <v>M3</v>
          </cell>
          <cell r="I1402">
            <v>278675</v>
          </cell>
        </row>
        <row r="1403">
          <cell r="F1403">
            <v>5380</v>
          </cell>
          <cell r="G1403" t="str">
            <v>TRANSPORTE DE MATERIAL PROVENIENTE DE SITIO DE OBRA AL SITIO DISPUESTO PARA MEZCLAS, ESTABILIZAR O DEJAR EN PATIOS DE ACOPIO DEL IDU, EN DISTANCIA HASTA 21 KM.</v>
          </cell>
          <cell r="H1403" t="str">
            <v>M3</v>
          </cell>
          <cell r="I1403">
            <v>36050</v>
          </cell>
        </row>
        <row r="1404">
          <cell r="F1404">
            <v>5382</v>
          </cell>
          <cell r="G1404" t="str">
            <v>BICICARRIL BIDIRECCIONAL SEGREGADA (INCLUYE DEMARCACIÓN Y ELEMENTOS CANALIZADORES) (CALCULADO PARA UN TRAMO REPRESENTATIVO DE 100 MT.)</v>
          </cell>
          <cell r="H1404" t="str">
            <v>ML</v>
          </cell>
          <cell r="I1404">
            <v>78948</v>
          </cell>
        </row>
        <row r="1405">
          <cell r="F1405">
            <v>5383</v>
          </cell>
          <cell r="G1405" t="str">
            <v>BICICARRIL UNIDIRECCIONAL (INCLUYE DEMARCACIÓN) (CALCULADO PARA UN TRAMO REPRESENTATIVO DE 100 MT.)</v>
          </cell>
          <cell r="H1405" t="str">
            <v>ML</v>
          </cell>
          <cell r="I1405">
            <v>9942</v>
          </cell>
        </row>
        <row r="1406">
          <cell r="F1406">
            <v>5384</v>
          </cell>
          <cell r="G1406" t="str">
            <v>INTERSECCIÓN PARA BICICARRIL BIDIRECCIONAL(INCLUYE DEMARCACIÓN, SEÑALIZACIÓN VERTICAL, ELEMENTOS CANALIZADORES) (CALCULADO INCLUYENDO UN TRAMO DE 10 MT. ANTES Y DESPUÉS DE LA INTERSECCIÓN)</v>
          </cell>
          <cell r="H1406" t="str">
            <v>UN</v>
          </cell>
          <cell r="I1406">
            <v>10556056</v>
          </cell>
        </row>
        <row r="1407">
          <cell r="F1407">
            <v>5385</v>
          </cell>
          <cell r="G1407" t="str">
            <v>INTERSECCION PARA BICICARRIL UNIDIRECCIONAL, INCLUYE DEMARCACION, SEÑALIZACION VERTICAL, ELEMENTOS CANALIZADORES (CALCULADO INCLUYENDO UN TRAMO DE 10 MT. ANTES Y DESPUES DE LA INTERSECCIÓN)</v>
          </cell>
          <cell r="H1407" t="str">
            <v>UN</v>
          </cell>
          <cell r="I1407">
            <v>7813822</v>
          </cell>
        </row>
        <row r="1408">
          <cell r="F1408">
            <v>5387</v>
          </cell>
          <cell r="G1408" t="str">
            <v>REUBICACION DE POSTE TIPO MASTIL (INCLUYE DESMONTE).</v>
          </cell>
          <cell r="H1408" t="str">
            <v>UN</v>
          </cell>
          <cell r="I1408">
            <v>390180</v>
          </cell>
        </row>
        <row r="1409">
          <cell r="F1409">
            <v>5388</v>
          </cell>
          <cell r="G1409" t="str">
            <v>BASE PARA POSTE METALICO DE 0.80M X 0.80M H= 0.80M. EN CONCRETO PREMEZCLADO DE 3000 PSI (210 KG/CM2). CONSTRUCCION. INCLUYE ESTRUCTURA DE REFUERZO Y SBG_A.</v>
          </cell>
          <cell r="H1409" t="str">
            <v>UN</v>
          </cell>
          <cell r="I1409">
            <v>847676</v>
          </cell>
        </row>
        <row r="1410">
          <cell r="F1410">
            <v>5391</v>
          </cell>
          <cell r="G1410" t="str">
            <v>CUADRILLA (4 AYUDANTES).</v>
          </cell>
          <cell r="H1410" t="str">
            <v>HR</v>
          </cell>
          <cell r="I1410">
            <v>31860</v>
          </cell>
        </row>
        <row r="1411">
          <cell r="F1411">
            <v>5392</v>
          </cell>
          <cell r="G1411" t="str">
            <v>CUADRILLA (4 AYUDANTES)</v>
          </cell>
          <cell r="H1411" t="str">
            <v>JR</v>
          </cell>
          <cell r="I1411">
            <v>254888</v>
          </cell>
        </row>
        <row r="1412">
          <cell r="F1412">
            <v>5394</v>
          </cell>
          <cell r="G1412" t="str">
            <v>MANEJO DE AGUAS PARA TRABAJOS SOBRE CANAL. ALTURA DE LA BARRERA 1.50M (INCLUYE EQUIPO, SUMINISTRO Y MANO DE OBRA.</v>
          </cell>
          <cell r="H1412" t="str">
            <v>ML</v>
          </cell>
          <cell r="I1412">
            <v>208076</v>
          </cell>
        </row>
        <row r="1413">
          <cell r="F1413">
            <v>5395</v>
          </cell>
          <cell r="G1413" t="str">
            <v>BARANDAS. DESMONTE E INSTALACION. INCLUYE ACOPIO EN EL FRENTE DE OBRA. (NO INCLUYE TRASLADO DEL MATERIAL SOBRANTE, NI RETIRO DE ESCOMBROS).</v>
          </cell>
          <cell r="H1413" t="str">
            <v>ML</v>
          </cell>
          <cell r="I1413">
            <v>39554</v>
          </cell>
        </row>
        <row r="1414">
          <cell r="F1414">
            <v>5396</v>
          </cell>
          <cell r="G1414" t="str">
            <v>CONCRETO IMPERMEABILIZADO GRAVA FINA DE 3000 PSI PARA BOX CULVERT (PREMEZCLADO. INCLUYE SUMINISTRO, FORMALETEO Y COLOCACIÓN. NO INCLUYE REFUERZO, CURADO).</v>
          </cell>
          <cell r="H1414" t="str">
            <v>M3</v>
          </cell>
          <cell r="I1414">
            <v>962047</v>
          </cell>
        </row>
        <row r="1415">
          <cell r="F1415">
            <v>5397</v>
          </cell>
          <cell r="G1415" t="str">
            <v>DEMARCACION LINEA DE CANALIZACION BICICARRIL A= 0.25M EN PINTURA TERMOPLASTICA (INCLUYE SUMINISTRO Y APLICACION CON EQUIPO. INCLUYE MICROESFERA)</v>
          </cell>
          <cell r="H1415" t="str">
            <v>ML</v>
          </cell>
          <cell r="I1415">
            <v>30272</v>
          </cell>
        </row>
        <row r="1416">
          <cell r="F1416">
            <v>5398</v>
          </cell>
          <cell r="G1416" t="str">
            <v>9 DUCTOS D= 4" SUSPENDIDOS EN PUENTES NORMA CS218. SUMINISTRO E INSTALACION.</v>
          </cell>
          <cell r="H1416" t="str">
            <v>ML</v>
          </cell>
          <cell r="I1416">
            <v>1963698</v>
          </cell>
        </row>
        <row r="1417">
          <cell r="F1417">
            <v>5404</v>
          </cell>
          <cell r="G1417" t="str">
            <v>CANASTILLA PASAJUNTAS (INCLUYE SUMINISTRO Y FIJACIÓN)</v>
          </cell>
          <cell r="H1417" t="str">
            <v>KG</v>
          </cell>
          <cell r="I1417">
            <v>7468</v>
          </cell>
        </row>
        <row r="1418">
          <cell r="F1418">
            <v>5409</v>
          </cell>
          <cell r="G1418" t="str">
            <v>FLECHA DIRECCIONAL "FRENTE, DERECHA E IZQUIERDA" PARA PAVIMENTO FLEXIBLE (E= 15 MILS. ACRILICA BASE AGUA. INCLUYE SUMINISTRO Y APLICACIÓN CON EQUIPO. INCLUYE MICROESFERAS.</v>
          </cell>
          <cell r="H1418" t="str">
            <v>UN</v>
          </cell>
          <cell r="I1418">
            <v>388683</v>
          </cell>
        </row>
        <row r="1419">
          <cell r="F1419">
            <v>5412</v>
          </cell>
          <cell r="G1419" t="str">
            <v>RELLENO EN TRITURADO DE 3/4`` (INCLUYE TRANSPORTE, SUMINISTRO, EXTENDIDO MANUAL Y COLOCACIÓN)</v>
          </cell>
          <cell r="H1419" t="str">
            <v>M3</v>
          </cell>
          <cell r="I1419">
            <v>135606</v>
          </cell>
        </row>
        <row r="1420">
          <cell r="F1420">
            <v>5413</v>
          </cell>
          <cell r="G1420" t="str">
            <v>EXCAVACIÓN MANUAL DE DADOS Y COLUMNAS DE APOYO. INCLUYE MOTOBOMBA SUMERGIBLE Ø 2" O 3" - INCLUYE COMBUSTIBLE</v>
          </cell>
          <cell r="H1420" t="str">
            <v>M3</v>
          </cell>
          <cell r="I1420">
            <v>82072</v>
          </cell>
        </row>
        <row r="1421">
          <cell r="F1421">
            <v>5415</v>
          </cell>
          <cell r="G1421" t="str">
            <v>RELLENO EN ARENA DE PEÑA (INCLUYE TRANSPORTE, SUMINISTRO, EXTENDIDO MANUAL Y COMPACTACIÓN).</v>
          </cell>
          <cell r="H1421" t="str">
            <v>M3</v>
          </cell>
          <cell r="I1421">
            <v>73113</v>
          </cell>
        </row>
        <row r="1422">
          <cell r="F1422">
            <v>5416</v>
          </cell>
          <cell r="G1422" t="str">
            <v>EXCAVACIÓN MECÁNICA PARA DADOS (NIVEL DE FUNCIONAMIENTO. INCLUYE CARGUE).</v>
          </cell>
          <cell r="H1422" t="str">
            <v>M3</v>
          </cell>
          <cell r="I1422">
            <v>46225</v>
          </cell>
        </row>
        <row r="1423">
          <cell r="F1423">
            <v>5418</v>
          </cell>
          <cell r="G1423" t="str">
            <v>EXCAVACIÓN MECÁNICA EN TÚNEL.</v>
          </cell>
          <cell r="H1423" t="str">
            <v>M3</v>
          </cell>
          <cell r="I1423">
            <v>76217</v>
          </cell>
        </row>
        <row r="1424">
          <cell r="F1424">
            <v>5421</v>
          </cell>
          <cell r="G1424" t="str">
            <v>MURO ESTRUCTURAL EN CONCRETO 4000 PSI PREMEZCLADO, GRAVA COMÚN. (Incluye suministro, formaleteo, bombeo, colocación y curado. No incl. Refuerzo).</v>
          </cell>
          <cell r="H1424" t="str">
            <v>M3</v>
          </cell>
          <cell r="I1424">
            <v>866528</v>
          </cell>
        </row>
        <row r="1425">
          <cell r="F1425">
            <v>5422</v>
          </cell>
          <cell r="G1425" t="str">
            <v>MURO DE CONTENCIÓN EN CONCRETO 4000 PSI PREMEZCLADO, GRAVA COMÚN.  (Incluye suministro, formaleteo, bombeo, colocación y curado. No incl. Refuerzo). Para trabajos en altura mayor a 1.50m.</v>
          </cell>
          <cell r="H1425" t="str">
            <v>M3</v>
          </cell>
          <cell r="I1425">
            <v>878980</v>
          </cell>
        </row>
        <row r="1426">
          <cell r="F1426">
            <v>5426</v>
          </cell>
          <cell r="G1426" t="str">
            <v>CONCRETO 4000 PSI GRAVA COMÚN PARA RAMPAS Y ESCALERAS (PREMEZCLADO. INCL. SUMINISTRO, FORMALETEO Y COLOCACIÓN. NO INCL. REFUERZO, CURADO).</v>
          </cell>
          <cell r="H1426" t="str">
            <v>M3</v>
          </cell>
          <cell r="I1426">
            <v>762900</v>
          </cell>
        </row>
        <row r="1427">
          <cell r="F1427">
            <v>5428</v>
          </cell>
          <cell r="G1427" t="str">
            <v>CONCRETO 4000 PSI GRAVA COMÚN PARA BOX CULVERT (PREMEZCLADO. INCLUYE SUMINISTRO, FORMALETEO Y COLOCACIÓN. NO INCL. REFUERZO, CURADO).</v>
          </cell>
          <cell r="H1427" t="str">
            <v>M3</v>
          </cell>
          <cell r="I1427">
            <v>868838</v>
          </cell>
        </row>
        <row r="1428">
          <cell r="F1428">
            <v>5431</v>
          </cell>
          <cell r="G1428" t="str">
            <v>DINTEL EN CONCRETO DE 3000 PSI 10CM X 10CM (SUMINISTRO E INSTALACIÓN).</v>
          </cell>
          <cell r="H1428" t="str">
            <v>ML</v>
          </cell>
          <cell r="I1428">
            <v>61367</v>
          </cell>
        </row>
        <row r="1429">
          <cell r="F1429">
            <v>5432</v>
          </cell>
          <cell r="G1429" t="str">
            <v>TALÓN EN CONCRETO DE 3000 PSI (SUMINISTRO E INSTALACIÓN).</v>
          </cell>
          <cell r="H1429" t="str">
            <v>ML</v>
          </cell>
          <cell r="I1429">
            <v>69025</v>
          </cell>
        </row>
        <row r="1430">
          <cell r="F1430">
            <v>5433</v>
          </cell>
          <cell r="G1430" t="str">
            <v>SILLA EN CONCRETO DE 3000 PSI 10CM X 15CM (SUMINISTRO E INSTALACIÓN).</v>
          </cell>
          <cell r="H1430" t="str">
            <v>ML</v>
          </cell>
          <cell r="I1430">
            <v>63987</v>
          </cell>
        </row>
        <row r="1431">
          <cell r="F1431">
            <v>5442</v>
          </cell>
          <cell r="G1431" t="str">
            <v>MAMPOSTERIA EN BLOQUE DE CONCRETO 15X20X40 DE DOS PERFORACIONES TIPO INDURAL O SIMILAR, ACABADO DOBLE CARA (COLOR A DEFINIR SEGÚN MUESTRA) INCLUYE MORTERO 1:4 HECHO EN OBRA.</v>
          </cell>
          <cell r="H1431" t="str">
            <v>M2</v>
          </cell>
          <cell r="I1431">
            <v>76147</v>
          </cell>
        </row>
        <row r="1432">
          <cell r="F1432">
            <v>5443</v>
          </cell>
          <cell r="G1432" t="str">
            <v>SOBRECIMIENTO EN BLOQUE DE 20CM (2 HILADAS) INCLUYE MORTERO DE PEGA 1:4 HECHO EN OBRA.</v>
          </cell>
          <cell r="H1432" t="str">
            <v>ML</v>
          </cell>
          <cell r="I1432">
            <v>32038</v>
          </cell>
        </row>
        <row r="1433">
          <cell r="F1433">
            <v>5452</v>
          </cell>
          <cell r="G1433" t="str">
            <v>PISO EN CONCRETO 3000 PSI PREMEZCLADO, ENDURECIDO Y ESMALTADO MAS VARILLAS EN ALUMINIO O PLÁSTICAS DE DILATACIÓN COLOR GRIS CADA 1,00M EN DOS DIRECCIONES. (SUMINISTRO E INSTALACION. NO INCL CURADO.</v>
          </cell>
          <cell r="H1433" t="str">
            <v>M2</v>
          </cell>
          <cell r="I1433">
            <v>77453</v>
          </cell>
        </row>
        <row r="1434">
          <cell r="F1434">
            <v>5455</v>
          </cell>
          <cell r="G1434" t="str">
            <v>PISO EN GRANITO ESMERILADO, VACIADO Y PULIDO EN SITIO E=1.5CM. INCLUYE JUNTAS DE DILATACIÓN RADIALES Y VACIADOS TRAPEZOIDALMENTE. COLOR Y DIMENSIONES ACORDE CON LOS PLANOS Y ESPECIFICACIONES TÉCNICAS.</v>
          </cell>
          <cell r="H1434" t="str">
            <v>M2</v>
          </cell>
          <cell r="I1434">
            <v>153924</v>
          </cell>
        </row>
        <row r="1435">
          <cell r="F1435">
            <v>5456</v>
          </cell>
          <cell r="G1435" t="str">
            <v>BOCAPUERTA EN GRANITO VACIADO. ANCHO 15 CM. (SUMINISTRO E INSTALACIÓN) INCLUYE MORTERO DE PEGA 1:2 HECHO EN OBRA.</v>
          </cell>
          <cell r="H1435" t="str">
            <v>ML</v>
          </cell>
          <cell r="I1435">
            <v>39843</v>
          </cell>
        </row>
        <row r="1436">
          <cell r="F1436">
            <v>5459</v>
          </cell>
          <cell r="G1436" t="str">
            <v>PELDAÑO EN GRANITO PULIDO. (SUMINISTRO E INSTALACIÓN. INCLUYE VARILLA DE ALUMINIO PARA DILATACION).</v>
          </cell>
          <cell r="H1436" t="str">
            <v>M2</v>
          </cell>
          <cell r="I1436">
            <v>68541</v>
          </cell>
        </row>
        <row r="1437">
          <cell r="F1437">
            <v>5461</v>
          </cell>
          <cell r="G1437" t="str">
            <v>TUBERIA PVC SANITARIA D=3`` TIPO U.S. (INCLUYE SUMINISTRO E INSTALACIÓN).</v>
          </cell>
          <cell r="H1437" t="str">
            <v>ML</v>
          </cell>
          <cell r="I1437">
            <v>26055</v>
          </cell>
        </row>
        <row r="1438">
          <cell r="F1438">
            <v>5462</v>
          </cell>
          <cell r="G1438" t="str">
            <v>SALIDA SANITARIA D=2``. (SUMINISTRO E INSTALACIÓN. INCLUYE TUBERÍA DE HASTA 3.0M DE LONGITUD Y ACCESORIOS DESDE EL RAMAL PRINCIPAL QUE RECIBE, HASTA LA BOCA PARA CONEXIÓN).</v>
          </cell>
          <cell r="H1438" t="str">
            <v>UN</v>
          </cell>
          <cell r="I1438">
            <v>130725</v>
          </cell>
        </row>
        <row r="1439">
          <cell r="F1439">
            <v>5463</v>
          </cell>
          <cell r="G1439" t="str">
            <v>SALIDA SANITARIA D=4``. (SUMINISTRO E INSTALACIÓN. INCLUYE TUBERÍA DE HASTA 3.0M DE LONGITUD Y ACCESORIOS DESDE EL RAMAL PRINCIPAL QUE RECIBE, HASTA LA BOCA PARA CONEXIÓN).</v>
          </cell>
          <cell r="H1439" t="str">
            <v>UN</v>
          </cell>
          <cell r="I1439">
            <v>199380</v>
          </cell>
        </row>
        <row r="1440">
          <cell r="F1440">
            <v>5466</v>
          </cell>
          <cell r="G1440" t="str">
            <v>TUBERIA PVC SANITARIA D=1 1/2`` TIPO U.S. (INCLUYE SUMINISTRO E INSTALACIÓN)</v>
          </cell>
          <cell r="H1440" t="str">
            <v>ML</v>
          </cell>
          <cell r="I1440">
            <v>15157</v>
          </cell>
        </row>
        <row r="1441">
          <cell r="F1441">
            <v>5467</v>
          </cell>
          <cell r="G1441" t="str">
            <v>TUBERIA PVC SANITARIA D=8`` TIPO U.S. (INCLUYE SUMINISTRO E INSTALACIÓN).</v>
          </cell>
          <cell r="H1441" t="str">
            <v>ML</v>
          </cell>
          <cell r="I1441">
            <v>131694</v>
          </cell>
        </row>
        <row r="1442">
          <cell r="F1442">
            <v>5469</v>
          </cell>
          <cell r="G1442" t="str">
            <v>TUBERIA PVC VENTILACIÓN D=3`` TIPO U.S. (INCLUYE SUMINISTRO E INSTALACIÓN).</v>
          </cell>
          <cell r="H1442" t="str">
            <v>ML</v>
          </cell>
          <cell r="I1442">
            <v>15811</v>
          </cell>
        </row>
        <row r="1443">
          <cell r="F1443">
            <v>5471</v>
          </cell>
          <cell r="G1443" t="str">
            <v>TUBERÍA PVC D=1" TIPO U.M. RDE 21 (SUMINISTRO E INSTALACIÓN).</v>
          </cell>
          <cell r="H1443" t="str">
            <v>ML</v>
          </cell>
          <cell r="I1443">
            <v>9511</v>
          </cell>
        </row>
        <row r="1444">
          <cell r="F1444">
            <v>5472</v>
          </cell>
          <cell r="G1444" t="str">
            <v>TUBERIA PVC E.L. D= 1/2`` RDE 13.5 - 315 PSI (INCLUYE SUMINISTRO E INSTALACIÓN, SOLDADURA).</v>
          </cell>
          <cell r="H1444" t="str">
            <v>ML</v>
          </cell>
          <cell r="I1444">
            <v>7040</v>
          </cell>
        </row>
        <row r="1445">
          <cell r="F1445">
            <v>5494</v>
          </cell>
          <cell r="G1445" t="str">
            <v>LAVAMANOS INSTITUCIONAL DE EMPOTRAR. (SUMINISTRO E INSTALACIÓN. INCLUYE GRIFERÍA TIPO PUSH O SIMILAR Y TUBERÍA DE CONEXIÓN).</v>
          </cell>
          <cell r="H1445" t="str">
            <v>UN</v>
          </cell>
          <cell r="I1445">
            <v>428955</v>
          </cell>
        </row>
        <row r="1446">
          <cell r="F1446">
            <v>5501</v>
          </cell>
          <cell r="G1446" t="str">
            <v>LAVAMANOS CERÁMICO DE SOBREPONER (SUMINISTRO E INSTALACIÓN. INCLUYE GRIFERÍA TIPO PUSH ANTIVANDÁLICO).</v>
          </cell>
          <cell r="H1446" t="str">
            <v>UN</v>
          </cell>
          <cell r="I1446">
            <v>373156</v>
          </cell>
        </row>
        <row r="1447">
          <cell r="F1447">
            <v>5502</v>
          </cell>
          <cell r="G1447" t="str">
            <v>LAVAMANOS DE COLGAR PARA PERSONAS EN CONDICIÓN DE MOVILIDAD REDUCIDA. (SUMINISTRO E INSTALACIÓN. INCLUYE GRIFERÍA TIPO PUSH ANTIVANDÁLICO).</v>
          </cell>
          <cell r="H1447" t="str">
            <v>UN</v>
          </cell>
          <cell r="I1447">
            <v>660056</v>
          </cell>
        </row>
        <row r="1448">
          <cell r="F1448">
            <v>5523</v>
          </cell>
          <cell r="G1448" t="str">
            <v>TOMACORRIENTES CON CONEXIÓN A TIERRA, MONOFÁSICO DOBLE, 15 A, 125 VC.A. (LÍNEA NEMA 5), PARA TRABAJO PESADO. (INCLUYE INSTALACIÓN, CAJA DE SALIDA, ELEMENTOS DE CONEXIÓN, DE EMPALME Y DE MONTAJE).</v>
          </cell>
          <cell r="H1448" t="str">
            <v>UN</v>
          </cell>
          <cell r="I1448">
            <v>22632</v>
          </cell>
        </row>
        <row r="1449">
          <cell r="F1449">
            <v>5524</v>
          </cell>
          <cell r="G1449" t="str">
            <v>TOMACORRIENTES CON PROTECCIÓN DE FALLA A TIERRA (GFCI), MONOFÁSICO DOBLE, 20 A, 125 VC.A. (LÍNEA NEMA 5), PARA TRABAJO LIVIANO. (INCLUYE INSTALACIÓN, CAJA DE SALIDA, ELEMENTOS DE CONEXIÓN, DE EMPALME Y DE MONTAJE).</v>
          </cell>
          <cell r="H1449" t="str">
            <v>UN</v>
          </cell>
          <cell r="I1449">
            <v>46561</v>
          </cell>
        </row>
        <row r="1450">
          <cell r="F1450">
            <v>5525</v>
          </cell>
          <cell r="G1450" t="str">
            <v>TOMACORRIENTES CON CONEXIÓN A TIERRA, BIFÁSICOS, DOS POLOS, 3 HILOS, 20 A, 250 VC.A., (LÍNEA NEMA 6), PARA TRABAJO PESADO. (INCLUYE INSTALACIÓN, CAJA DE SALIDA, ELEMENTOS DE CONEXIÓN, DE EMPALME Y DE MONTAJE).</v>
          </cell>
          <cell r="H1450" t="str">
            <v>UN</v>
          </cell>
          <cell r="I1450">
            <v>60998</v>
          </cell>
        </row>
        <row r="1451">
          <cell r="F1451">
            <v>5527</v>
          </cell>
          <cell r="G1451" t="str">
            <v>TUBERÍA DE ACERO GALVANIZADO, LIVIANA TIPO EMT, D=1". (SUMINISTRO E INSTALACIÓN).</v>
          </cell>
          <cell r="H1451" t="str">
            <v>ML</v>
          </cell>
          <cell r="I1451">
            <v>26961</v>
          </cell>
        </row>
        <row r="1452">
          <cell r="F1452">
            <v>5528</v>
          </cell>
          <cell r="G1452" t="str">
            <v>TUBERÍA DE ACERO GALVANIZADO, LIVIANA TIPO EMT, D=3/4". (SUMINISTRO E INSTALACIÓN).</v>
          </cell>
          <cell r="H1452" t="str">
            <v>ML</v>
          </cell>
          <cell r="I1452">
            <v>18705</v>
          </cell>
        </row>
        <row r="1453">
          <cell r="F1453">
            <v>5535</v>
          </cell>
          <cell r="G1453" t="str">
            <v>CUADRILLA (2 OFICIALES)</v>
          </cell>
          <cell r="H1453" t="str">
            <v>JR</v>
          </cell>
          <cell r="I1453">
            <v>183430</v>
          </cell>
        </row>
        <row r="1454">
          <cell r="F1454">
            <v>5536</v>
          </cell>
          <cell r="G1454" t="str">
            <v>CUADRILLA (2 OFICIALES).</v>
          </cell>
          <cell r="H1454" t="str">
            <v>HR</v>
          </cell>
          <cell r="I1454">
            <v>22928</v>
          </cell>
        </row>
        <row r="1455">
          <cell r="F1455">
            <v>5540</v>
          </cell>
          <cell r="G1455" t="str">
            <v>CONDUCTORES MONOPOLARES DE COBRE, AISLADOS PARA 600 V C.A., CALIBRE NO 12 AWG. (INCLUYE SUMINISTRO E INSTALACIÓN).</v>
          </cell>
          <cell r="H1455" t="str">
            <v>ML</v>
          </cell>
          <cell r="I1455">
            <v>3142</v>
          </cell>
        </row>
        <row r="1456">
          <cell r="F1456">
            <v>5541</v>
          </cell>
          <cell r="G1456" t="str">
            <v>CONDUCTORES MONOPOLARES DE COBRE, AISLADOS PARA 600 V C.A., CALIBRE NO 10 AWG. (INCLUYE SUMINISTRO E INSTALACIÓN).</v>
          </cell>
          <cell r="H1456" t="str">
            <v>ML</v>
          </cell>
          <cell r="I1456">
            <v>4830</v>
          </cell>
        </row>
        <row r="1457">
          <cell r="F1457">
            <v>5542</v>
          </cell>
          <cell r="G1457" t="str">
            <v>CONDUCTORES MONOPOLARES DE COBRE, AISLADOS PARA 600 V C.A., CALIBRE NO 8 AWG. (INCLUYE SUMINISTRO E INSTALACIÓN).</v>
          </cell>
          <cell r="H1457" t="str">
            <v>ML</v>
          </cell>
          <cell r="I1457">
            <v>7182</v>
          </cell>
        </row>
        <row r="1458">
          <cell r="F1458">
            <v>5543</v>
          </cell>
          <cell r="G1458" t="str">
            <v>CONDUCTORES MONOPOLARES DE COBRE, AISLADOS PARA 600 V C.A., CALIBRE NO 6 AWG. (INCLUYE SUMINISTRO E INSTALACIÓN).</v>
          </cell>
          <cell r="H1458" t="str">
            <v>ML</v>
          </cell>
          <cell r="I1458">
            <v>10582</v>
          </cell>
        </row>
        <row r="1459">
          <cell r="F1459">
            <v>5545</v>
          </cell>
          <cell r="G1459" t="str">
            <v>ACOMETIDA EN CONDUCTORES DE COBRE, (4NO. 4 + 1NO. 8) AWG, AISLADOS PARA 600 V C.A. INCLUYE CONDUCTORES, CONEXIONES, ACCESORIOS DE MONTAJE, ELEMENTOS DE CONEXIÓN Y DE MARCACIÓN.(INCLUYE SUMINISTRO E INSTALACIÓN).</v>
          </cell>
          <cell r="H1459" t="str">
            <v>ML</v>
          </cell>
          <cell r="I1459">
            <v>73507</v>
          </cell>
        </row>
        <row r="1460">
          <cell r="F1460">
            <v>5546</v>
          </cell>
          <cell r="G1460" t="str">
            <v>ACOMETIDA EN CONDUCTORES DE COBRE, (4NO. 2 + 1NO. 4) AWG, AISLADOS PARA 600 V C.A. INCLUYE CONDUCTORES, CONEXIONES, ACCESORIOS DE MONTAJE, ELEMENTOS DE CONEXIÓN Y DE MARCACIÓN.(INCLUYE SUMINISTRO E INSTALACIÓN).</v>
          </cell>
          <cell r="H1460" t="str">
            <v>ML</v>
          </cell>
          <cell r="I1460">
            <v>111631</v>
          </cell>
        </row>
        <row r="1461">
          <cell r="F1461">
            <v>5547</v>
          </cell>
          <cell r="G1461" t="str">
            <v>ACOMETIDA A TABLERO TATR, EN CONDUCTORES DE COBRE, (4NO.4 + 1NO. 8) AWG, AISLADOS PARA 600 V C.A. INCL CONDUCTORES, CONEXIONES, ACCESORIOS DE MONTAJE, ELEMENTOS DE CONEXIÓN Y MARCACIÓN.(INCL SUMINISTRO E INSTALACIÓN).</v>
          </cell>
          <cell r="H1461" t="str">
            <v>ML</v>
          </cell>
          <cell r="I1461">
            <v>72413</v>
          </cell>
        </row>
        <row r="1462">
          <cell r="F1462">
            <v>5548</v>
          </cell>
          <cell r="G1462" t="str">
            <v>ALIMENTACIÓN EN CONDUCTORES DE COBRE, (3NO. 8 + 1NO. 10) AWG, AISLADOS PARA 600 V C.A., INCLUYE CONDUCTORES, CONEXIONES, ACCESORIOS DE MONTAJE, ELEMENTOS DE CONEXIÓN Y DE MARCACIÓN. (INCLUYE SUMINISTRO E INSTALACIÓN).</v>
          </cell>
          <cell r="H1462" t="str">
            <v>ML</v>
          </cell>
          <cell r="I1462">
            <v>28208</v>
          </cell>
        </row>
        <row r="1463">
          <cell r="F1463">
            <v>5549</v>
          </cell>
          <cell r="G1463" t="str">
            <v>ALIMENTACIÓN EN CONDUCTORES DE COBRE, (4NO. 2/0 + 1NO.6) AWG, AISLADOS PARA 600 V C.A., INCLUYE CONDUCTORES, CONEXIONES, ACCESORIOS DE MONTAJE, ELEMENTOS DE CONEXIÓN Y DE MARCACIÓN. (INCLUYE SUMINISTRO E INSTALACIÓN)</v>
          </cell>
          <cell r="H1463" t="str">
            <v>ML</v>
          </cell>
          <cell r="I1463">
            <v>202556</v>
          </cell>
        </row>
        <row r="1464">
          <cell r="F1464">
            <v>5550</v>
          </cell>
          <cell r="G1464" t="str">
            <v>ALIMENTACIÓN EN CONDUCTORES DE COBRE, (4NO. 1/0 + 1NO.6) AWG, AISLADOS PARA 600 V C.A., INCLUYE CONDUCTORES, CONEXIONES, ACCESORIOS DE MONTAJE, ELEMENTOS DE CONEXIÓN Y DE MARCACIÓN. (INCLUYE SUMINISTRO E INSTALACIÓN)</v>
          </cell>
          <cell r="H1464" t="str">
            <v>ML</v>
          </cell>
          <cell r="I1464">
            <v>119288</v>
          </cell>
        </row>
        <row r="1465">
          <cell r="F1465">
            <v>5551</v>
          </cell>
          <cell r="G1465" t="str">
            <v>ALIMENTACIÓN EN CONDUCTORES DE COBRE, (4NO. 8+ 1NO.10) AWG, AISLADOS PARA 600 V C.A. INCLUYE CONDUCTORES, CONEXIONES, ACCESORIOS DE MONTAJE, ELEMENTOS DE CONEXIÓN Y DE MARCACIÓN. (INCLUYE SUMINISTRO E INSTALACIÓN)</v>
          </cell>
          <cell r="H1465" t="str">
            <v>ML</v>
          </cell>
          <cell r="I1465">
            <v>37879</v>
          </cell>
        </row>
        <row r="1466">
          <cell r="F1466">
            <v>5552</v>
          </cell>
          <cell r="G1466" t="str">
            <v>CAJAS DE EMPALME Y SALIDA, EN FUNDICIÓN DE ACERO GALVANIZADO DE 4"X4", DEL DIAMETRO DE LA TUBERÍA(INCLUYE SUMINISTRO E INSTALACIÓN)</v>
          </cell>
          <cell r="H1466" t="str">
            <v>UN</v>
          </cell>
          <cell r="I1466">
            <v>15280</v>
          </cell>
        </row>
        <row r="1467">
          <cell r="F1467">
            <v>5556</v>
          </cell>
          <cell r="G1467" t="str">
            <v>TUBERÍA SEMIPESADA IMC, DE 3/4`` DE DIÁMETRO, EXPUESTA, CON SUS ACCESORIOS DE MONTAJE. (INCLUYE SUMINISTRO E INSTALACIÓN)</v>
          </cell>
          <cell r="H1467" t="str">
            <v>ML</v>
          </cell>
          <cell r="I1467">
            <v>31502</v>
          </cell>
        </row>
        <row r="1468">
          <cell r="F1468">
            <v>5557</v>
          </cell>
          <cell r="G1468" t="str">
            <v>TUBERÍA SEMIPESADA IMC, DE 2" DE DIÁMETRO, EXPUESTA, CON SUS ACCESORIOS DE MONTAJE. (INCLUYE SUMINISTRO E INSTALACIÓN)</v>
          </cell>
          <cell r="H1468" t="str">
            <v>ML</v>
          </cell>
          <cell r="I1468">
            <v>80084</v>
          </cell>
        </row>
        <row r="1469">
          <cell r="F1469">
            <v>5558</v>
          </cell>
          <cell r="G1469" t="str">
            <v>TUBERÍA EMT DE 3" DE DIÁMETRO, EXPUESTA, CON SUS ACCESORIOS DE MONTAJE. (INCLUYE SUMINISTRO E INSTALACIÓN)</v>
          </cell>
          <cell r="H1469" t="str">
            <v>ML</v>
          </cell>
          <cell r="I1469">
            <v>121601</v>
          </cell>
        </row>
        <row r="1470">
          <cell r="F1470">
            <v>5561</v>
          </cell>
          <cell r="G1470" t="str">
            <v>ACOMETIDA EN CONDUCTORES DE COBRE, (4NO. 1/0 + 1NO. 4) AWG, AISLADOS PARA 600 V C.A. INCLUYE CONDUCTORES, CONEXIONES, ACCESORIOS DE MONTAJE, ELEMENTOS DE CONEXIÓN Y DE MARCACIÓN. (INCLUYE SUMINISTRO E INSTALACIÓN)</v>
          </cell>
          <cell r="H1470" t="str">
            <v>ML</v>
          </cell>
          <cell r="I1470">
            <v>123085</v>
          </cell>
        </row>
        <row r="1471">
          <cell r="F1471">
            <v>5562</v>
          </cell>
          <cell r="G1471" t="str">
            <v>ACOMETIDA EN CONDUCTORES DE COBRE, (5 NO. 4) AWG, AISLADOS PARA 600 V C.A. INCLUYE CONDUCTORES, CONEXIONES, ACCESORIOS DE MONTAJE, ELEMENTOS DE CONEXIÓN Y DE MARCACIÓN. (INCLUYE SUMINISTRO E INSTALACIÓN)</v>
          </cell>
          <cell r="H1471" t="str">
            <v>ML</v>
          </cell>
          <cell r="I1471">
            <v>77049</v>
          </cell>
        </row>
        <row r="1472">
          <cell r="F1472">
            <v>5567</v>
          </cell>
          <cell r="G1472" t="str">
            <v>CONDUCTORES MONOPOLARES DE COBRE, AISLADOS PARA 600 V C.A., CALIBRE NO 4 AWG. (INCLUYE SUMINISTRO E INSTALACIÓN)</v>
          </cell>
          <cell r="H1472" t="str">
            <v>ML</v>
          </cell>
          <cell r="I1472">
            <v>16189</v>
          </cell>
        </row>
        <row r="1473">
          <cell r="F1473">
            <v>5570</v>
          </cell>
          <cell r="G1473" t="str">
            <v>ALIMENTACIÓN EN CONDUCTORES DE COBRE, (4NO. 4/0 + 1NO.4) AWG, AISLADOS PARA 600 V C.A., INCLUYE CONDUCTORES, CONEXIONES, ACCESORIOS DE MONTAJE, ELEMENTOS DE CONEXIÓN Y DE MARCACIÓN. (INCLUYE SUMINISTRO E INSTALACIÓN)</v>
          </cell>
          <cell r="H1473" t="str">
            <v>ML</v>
          </cell>
          <cell r="I1473">
            <v>276233</v>
          </cell>
        </row>
        <row r="1474">
          <cell r="F1474">
            <v>5571</v>
          </cell>
          <cell r="G1474" t="str">
            <v>ALIMENTACIÓN EN CONDUCTORES DE COBRE, (4NO. 6 + 1NO.8) AWG, AISLADOS PARA 600 V C.A., INCLUYE CONDUCTORES, CONEXIONES, ACCESORIOS DE MONTAJE, ELEMENTOS DE CONEXIÓN Y DE MARCACIÓN. (INCLUYE SUMINISTRO E INSTALACIÓN)</v>
          </cell>
          <cell r="H1474" t="str">
            <v>ML</v>
          </cell>
          <cell r="I1474">
            <v>58033</v>
          </cell>
        </row>
        <row r="1475">
          <cell r="F1475">
            <v>5572</v>
          </cell>
          <cell r="G1475" t="str">
            <v>ALIMENTACIÓN EN CONDUCTORES DE COBRE, (3NO. 10 + 1NO.12) AWG, AISLADOS PARA 600 V C.A., INCLUYE CONDUCTORES, CONEXIONES, ACCESORIOS DE MONTAJE, ELEMENTOS DE CONEXIÓN Y DE MARCACIÓN. (INCLUYE SUMINISTRO E INSTALACIÓN)</v>
          </cell>
          <cell r="H1475" t="str">
            <v>ML</v>
          </cell>
          <cell r="I1475">
            <v>28777</v>
          </cell>
        </row>
        <row r="1476">
          <cell r="F1476">
            <v>5573</v>
          </cell>
          <cell r="G1476" t="str">
            <v>ACOMETIDA EN CONDUCTORES DE COBRE, (5NO. 10) AWG, AISLADOS PARA 600 V C.A. INCLUYE CONDUCTORES, CONEXIONES, ACCESORIOS DE MONTAJE, ELEMENTOS DE CONEXIÓN Y DE MARCACIÓN. (INCLUYE SUMINISTRO E INSTALACIÓN)</v>
          </cell>
          <cell r="H1476" t="str">
            <v>ML</v>
          </cell>
          <cell r="I1476">
            <v>22959</v>
          </cell>
        </row>
        <row r="1477">
          <cell r="F1477">
            <v>5574</v>
          </cell>
          <cell r="G1477" t="str">
            <v>ACOMETIDA EN CONDUCTORES DE COBRE, (3NO. 10) AWG, AISLADOS PARA 600 V C.A. INCLUYE CONDUCTORES, CONEXIONES, ACCESORIOS DE MONTAJE, ELEMENTOS DE CONEXIÓN Y DE MARCACIÓN. (INCLUYE SUMINISTRO E INSTALACIÓN)</v>
          </cell>
          <cell r="H1477" t="str">
            <v>ML</v>
          </cell>
          <cell r="I1477">
            <v>15321</v>
          </cell>
        </row>
        <row r="1478">
          <cell r="F1478">
            <v>5575</v>
          </cell>
          <cell r="G1478" t="str">
            <v>ALIMENTACIÓN EN CONDUCTORES DE COBRE, (3NO. 6 + 1NO.8) AWG, AISLADOS PARA 600 V C.A., INCLUYE CONDUCTORES, CONEXIONES, ACCESORIOS DE MONTAJE, ELEMENTOS DE CONEXIÓN Y DE MARCACIÓN. (INCLUYE SUMINISTRO E INSTALACIÓN)</v>
          </cell>
          <cell r="H1478" t="str">
            <v>ML</v>
          </cell>
          <cell r="I1478">
            <v>49058</v>
          </cell>
        </row>
        <row r="1479">
          <cell r="F1479">
            <v>5576</v>
          </cell>
          <cell r="G1479" t="str">
            <v>ACOMETIDA EN CONDUCTORES DE COBRE, (4NO. 10) AWG, AISLADOS PARA 600 V C.A. INCLUYE CONDUCTORES, CONEXIONES, ACCESORIOS DE MONTAJE, ELEMENTOS DE CONEXIÓN Y DE MARCACIÓN. (INCLUYE SUMINISTRO E INSTALACIÓN)</v>
          </cell>
          <cell r="H1479" t="str">
            <v>ML</v>
          </cell>
          <cell r="I1479">
            <v>19140</v>
          </cell>
        </row>
        <row r="1480">
          <cell r="F1480">
            <v>5577</v>
          </cell>
          <cell r="G1480" t="str">
            <v>ALIMENTACIÓN EN CONDUCTORES DE COBRE, (3NO. 4/0 + 1NO.2) AWG, AISLADOS PARA 600 V C.A., INCLUYE CONDUCTORES, CONEXIONES, ACCESORIOS DE MONTAJE, ELEMENTOS DE CONEXIÓN Y DE MARCACIÓN. (INCLUYE SUMINISTRO E INSTALACIÓN)</v>
          </cell>
          <cell r="H1480" t="str">
            <v>ML</v>
          </cell>
          <cell r="I1480">
            <v>221731</v>
          </cell>
        </row>
        <row r="1481">
          <cell r="F1481">
            <v>5581</v>
          </cell>
          <cell r="G1481" t="str">
            <v>ACOMETIDA EN CONDUCTORES DE COBRE, (4NO. 2 + 1NO. 8) AWG, AISLADOS PARA 600 V C.A. INCLUYE CONDUCTORES, CONEXIONES, ACCESORIOS DE MONTAJE, ELEMENTOS DE CONEXIÓN Y DE MARCACIÓN. (INCLUYE SUMINISTRO E INSTALACIÓN)</v>
          </cell>
          <cell r="H1481" t="str">
            <v>ML</v>
          </cell>
          <cell r="I1481">
            <v>350887</v>
          </cell>
        </row>
        <row r="1482">
          <cell r="F1482">
            <v>5582</v>
          </cell>
          <cell r="G1482" t="str">
            <v>ALIMENTACIÓN EN CONDUCTORES DE COBRE, (4NO. 6+ 1NO.10) AWG, AISLADOS PARA 600 V C.A. INCLUYE CONDUCTORES, CONEXIONES, ACCESORIOS DE MONTAJE, ELEMENTOS DE CONEXIÓN Y DE MARCACIÓN. (INCLUYE SUMINISTRO E INSTALACIÓN)</v>
          </cell>
          <cell r="H1482" t="str">
            <v>ML</v>
          </cell>
          <cell r="I1482">
            <v>50832</v>
          </cell>
        </row>
        <row r="1483">
          <cell r="F1483">
            <v>5585</v>
          </cell>
          <cell r="G1483" t="str">
            <v>TOMACORRIENTES CON CONEXIÓN A TIERRA, TRIFÁSICOS, TRES POLOS, 3 HILOS, 20 A, 250 VC.A., (LÍNEA NEMA 6), PARA TRABAJO PESADO. INCLUYE LA CAJA DE SALIDA, ELEMENTOS DE CONEXIÓN, DE EMPALME Y DE MONTAJE.</v>
          </cell>
          <cell r="H1483" t="str">
            <v>UN</v>
          </cell>
          <cell r="I1483">
            <v>53818</v>
          </cell>
        </row>
        <row r="1484">
          <cell r="F1484">
            <v>5586</v>
          </cell>
          <cell r="G1484" t="str">
            <v>TUBERÍA EMT DE 1 1/4" DE DIÁMETRO, EXPUESTA, CON SUS ACCESORIOS DE MONTAJE. (INCLUYE SUMINISTRO E INSTALACIÓN).</v>
          </cell>
          <cell r="H1484" t="str">
            <v>ML</v>
          </cell>
          <cell r="I1484">
            <v>36495</v>
          </cell>
        </row>
        <row r="1485">
          <cell r="F1485">
            <v>5587</v>
          </cell>
          <cell r="G1485" t="str">
            <v>TUBERÍA EMT DE 2" DE DIÁMETRO, EXPUESTA, CON SUS ACCESORIOS DE MONTAJE. (INCLUYE SUMINISTRO E INSTALACIÓN)</v>
          </cell>
          <cell r="H1485" t="str">
            <v>ML</v>
          </cell>
          <cell r="I1485">
            <v>66667</v>
          </cell>
        </row>
        <row r="1486">
          <cell r="F1486">
            <v>5588</v>
          </cell>
          <cell r="G1486" t="str">
            <v>ACOMETIDA EN CONDUCTORES DE COBRE, (4NO. 1/0 + 1NO.2) AWG, AISLADOS PARA 600 V C.A., INCLUYE CONDUCTORES, CONEXIONES, ACCESORIOS DE MONTAJE, ELEMENTOS DE CONEXIÓN Y DE MARCACIÓN. (INCLUYE SUMINISTRO E INSTALACIÓN)</v>
          </cell>
          <cell r="H1486" t="str">
            <v>ML</v>
          </cell>
          <cell r="I1486">
            <v>128704</v>
          </cell>
        </row>
        <row r="1487">
          <cell r="F1487">
            <v>5591</v>
          </cell>
          <cell r="G1487" t="str">
            <v>ACOMETIDA EN MEDIA TENSIÓN DESDE LA RED PÚBLICA, EN CONDUCTORES 3 NO. 1/0AWG, XLPE, 15KV, 133%, 1 NO. 2 CU DESNUDO, CON CONOS DE ALIVIO, TERMINALES Y ACCESORIOS (INCLUYE SUMINISTRO E INSTALACIÓN)</v>
          </cell>
          <cell r="H1487" t="str">
            <v>ML</v>
          </cell>
          <cell r="I1487">
            <v>226175</v>
          </cell>
        </row>
        <row r="1488">
          <cell r="F1488">
            <v>5595</v>
          </cell>
          <cell r="G1488" t="str">
            <v>CANALIZACIÓN SUBTERRÁNEA CON 2 DUCTOS DE 4" PVC DB, ACCESORIOS, EXCAVACIÓN, LLENOS Y ACABADO (INCLUYE SUMINISTRO E INSTALACIÓN)</v>
          </cell>
          <cell r="H1488" t="str">
            <v>ML</v>
          </cell>
          <cell r="I1488">
            <v>123395</v>
          </cell>
        </row>
        <row r="1489">
          <cell r="F1489">
            <v>5599</v>
          </cell>
          <cell r="G1489" t="str">
            <v>ACOMETIDAS EN MEDIA TENSIÓN DESDE LA RED PÚBLICA, EN CONDUCTORES 3 NO. 2/0AWG, XLPE, 15KV, 133%, 1 NO. 2 CU DESNUDO, CON CONOS DE ALIVIO, TERMINALES Y ACCESORIOS (INCLUYE SUMINISTRO E INSTALACIÓN) DTD-20143150598263</v>
          </cell>
          <cell r="H1489" t="str">
            <v>ML</v>
          </cell>
          <cell r="I1489">
            <v>173669</v>
          </cell>
        </row>
        <row r="1490">
          <cell r="F1490">
            <v>5602</v>
          </cell>
          <cell r="G1490" t="str">
            <v>ALIMENTACIÓN A ARMARIOS DE POTENCIA, EN CABLE DE CU, AISLADO A 600V, 3 X (3NO. 500MCM Y 1NO. 4/0AWG, THWN), INCLUYE TERMINALES DE CONEXIÓN. (INCLUYE SUMINISTRO E INSTALACIÓN)</v>
          </cell>
          <cell r="H1490" t="str">
            <v>ML</v>
          </cell>
          <cell r="I1490">
            <v>3246015</v>
          </cell>
        </row>
        <row r="1491">
          <cell r="F1491">
            <v>5603</v>
          </cell>
          <cell r="G1491" t="str">
            <v>ALIMENTACIÓN A ARMARIOS EQUIPOS AUXILIARES , EN CABLE DE CU, AISLADO A 600V, 3 X (3NO. 4 + 1NO. 8AWG, THWN), INCLUYE TERMINALES DE CONEXIÓN. (INCLUYE SUMINISTRO E INSTALACIÓN)</v>
          </cell>
          <cell r="H1491" t="str">
            <v>ML</v>
          </cell>
          <cell r="I1491">
            <v>108111</v>
          </cell>
        </row>
        <row r="1492">
          <cell r="F1492">
            <v>5604</v>
          </cell>
          <cell r="G1492" t="str">
            <v>CANALIZACIÓN SUBTERRÁNEA CON 3 DUCTOS DE 4`` PVC DB, ACCESORIOS, EXCAVACIÓN, LLENOS Y ACABADO. DISTANCIA TRANSPORTE 28 KM. (INCLUYE SUMINISTRO E INSTALACIÓN)</v>
          </cell>
          <cell r="H1492" t="str">
            <v>ML</v>
          </cell>
          <cell r="I1492">
            <v>87443</v>
          </cell>
        </row>
        <row r="1493">
          <cell r="F1493">
            <v>5606</v>
          </cell>
          <cell r="G1493" t="str">
            <v>CANALIZACIÓN SUBTERRÁNEA CON 3 DUCTOS DE 6`` PVC DB, ACCESORIOS, EXCAVACIÓN, LLENOS Y ACABADO (INCLUYE SUMINISTRO E INSTALACIÓN) TRANSPORTE A 28 KM.</v>
          </cell>
          <cell r="H1493" t="str">
            <v>ML</v>
          </cell>
          <cell r="I1493">
            <v>172221</v>
          </cell>
        </row>
        <row r="1494">
          <cell r="F1494">
            <v>5610</v>
          </cell>
          <cell r="G1494" t="str">
            <v>CABLE DE COBRE DESNUDO CALIBRE 1/0 AWG, ENTERRADO EN TERRENO NATURAL INCLUYE EXCAVACIÓN, LLENOS Y COMPACTACIÓN DEL PISO. (INCLUYE SUMINISTRO E INSTALACIÓN) DISTANCIA DE TRANSPORTE 28 KM.</v>
          </cell>
          <cell r="H1494" t="str">
            <v>ML</v>
          </cell>
          <cell r="I1494">
            <v>140573</v>
          </cell>
        </row>
        <row r="1495">
          <cell r="F1495">
            <v>5611</v>
          </cell>
          <cell r="G1495" t="str">
            <v>CABLE DE COBRE DESNUDO CALIBRE 1/0 AWG EXPUESTO (INCLUYE SUMINISTRO E INSTALACIÓN) (INCLUYE 3MT DE CABLE 1/0 POR ML).</v>
          </cell>
          <cell r="H1495" t="str">
            <v>ML</v>
          </cell>
          <cell r="I1495">
            <v>69505</v>
          </cell>
        </row>
        <row r="1496">
          <cell r="F1496">
            <v>5616</v>
          </cell>
          <cell r="G1496" t="str">
            <v>CABLE DE ALUMINIO AISLADO THW CALIBRE 1/0 AWG, INSTALADO EXPUESTO SOBRE CUBIERTA DE ESTRUCTURA. INCLUYE ELEMENTOS DE FIJACIÓN. (INCLUYE SUMINISTRO E INSTALACIÓN)</v>
          </cell>
          <cell r="H1496" t="str">
            <v>ML</v>
          </cell>
          <cell r="I1496">
            <v>11436</v>
          </cell>
        </row>
        <row r="1497">
          <cell r="F1497">
            <v>5621</v>
          </cell>
          <cell r="G1497" t="str">
            <v>CABLE DE COBRE DESNUDO CALIBRE 1/0 AWG, EMBEBIDO EN EL CONCRETO. (INCLUYE SUMINISTRO E INSTALACIÓN)</v>
          </cell>
          <cell r="H1497" t="str">
            <v>ML</v>
          </cell>
          <cell r="I1497">
            <v>23807</v>
          </cell>
        </row>
        <row r="1498">
          <cell r="F1498">
            <v>5625</v>
          </cell>
          <cell r="G1498" t="str">
            <v>CONEXIÓN AL ACERO DE REFUERZO; INCL. SOLDADURA EXOTÉRMICA DE CABLE CALIBRE 2/0 AWG A VARILLA DE ACERO DE REFUERZO 4 DE 90GR, VARILLA DE ACERO ADICIONAL Y SOLDADURAS ELÉCTRICAS ENTRE VARILLAS DE ACERO. (INCL. SUMIN. E INSTAL.)</v>
          </cell>
          <cell r="H1498" t="str">
            <v>UN</v>
          </cell>
          <cell r="I1498">
            <v>176430</v>
          </cell>
        </row>
        <row r="1499">
          <cell r="F1499">
            <v>5626</v>
          </cell>
          <cell r="G1499" t="str">
            <v>TERMINAL DE COBRE ELECTROPLATEADO PARA CABLE CALIBRE 2/0AWG, DE UN TORNILLO. INCLUYE MONTAJE, TORNILLOS, TUERCA Y ARANDELAS DE ACERO INOXIDABLE. (INCLUYE SUMINISTRO E INSTALACIÓN)</v>
          </cell>
          <cell r="H1499" t="str">
            <v>UN</v>
          </cell>
          <cell r="I1499">
            <v>9608</v>
          </cell>
        </row>
        <row r="1500">
          <cell r="F1500">
            <v>5628</v>
          </cell>
          <cell r="G1500" t="str">
            <v>CABLE DE ALUMINIO AISLADO THW-SR CALIBRE 1/0 AWG, INSTALADO EXPUESTO SOBRE CUBIERTA DE ESTRUCTURA. INCLUYE ELEMENTOS DE FIJACIÓN. (INCLUYE SUMINISTRO E INSTALACIÓN)</v>
          </cell>
          <cell r="H1500" t="str">
            <v>ML</v>
          </cell>
          <cell r="I1500">
            <v>10850</v>
          </cell>
        </row>
        <row r="1501">
          <cell r="F1501">
            <v>5629</v>
          </cell>
          <cell r="G1501" t="str">
            <v>CABLE DE COBRE DESNUDO CALIBRE 2/0 AWG, EMBEBIDO EN EL CONCRETO. (INCLUYE SUMINISTRO E INSTALACIÓN)</v>
          </cell>
          <cell r="H1501" t="str">
            <v>ML</v>
          </cell>
          <cell r="I1501">
            <v>50665</v>
          </cell>
        </row>
        <row r="1502">
          <cell r="F1502">
            <v>5630</v>
          </cell>
          <cell r="G1502" t="str">
            <v>CABLE DE COBRE DESNUDO CALIBRE 2/0 AWG EXPUESTO (INCLUYE SUMINISTRO E INSTALACIÓN)</v>
          </cell>
          <cell r="H1502" t="str">
            <v>ML</v>
          </cell>
          <cell r="I1502">
            <v>49713</v>
          </cell>
        </row>
        <row r="1503">
          <cell r="F1503">
            <v>5634</v>
          </cell>
          <cell r="G1503" t="str">
            <v>CABLE DE 4 PARES UTP CAT.6A, INCLUYE MARCACIÓN Y CORREAS DE AMARRE TIPO ``VELCRO`` (INCLUYE SUMINISTRO E INSTALACIÓN)</v>
          </cell>
          <cell r="H1503" t="str">
            <v>ML</v>
          </cell>
          <cell r="I1503">
            <v>3894</v>
          </cell>
        </row>
        <row r="1504">
          <cell r="F1504">
            <v>5641</v>
          </cell>
          <cell r="G1504" t="str">
            <v>ENCHAPE DE PISO Y PARED EN CERAMICA 30X30 CM COLOR BLANCO, H=2,10 (INCLUYE SUMINISTRO E INSTALACIÓN).</v>
          </cell>
          <cell r="H1504" t="str">
            <v>M2</v>
          </cell>
          <cell r="I1504">
            <v>90307</v>
          </cell>
        </row>
        <row r="1505">
          <cell r="F1505">
            <v>5642</v>
          </cell>
          <cell r="G1505" t="str">
            <v>PAÑETE LISO O RÚSTICO 1:4 PARA MUROS. LAVADO O RÚSTICO. (INCLUYE SUMINISTRO E INSTALACIÓN)</v>
          </cell>
          <cell r="H1505" t="str">
            <v>M2</v>
          </cell>
          <cell r="I1505">
            <v>17620</v>
          </cell>
        </row>
        <row r="1506">
          <cell r="F1506">
            <v>5644</v>
          </cell>
          <cell r="G1506" t="str">
            <v>PINTURA AL AGUA TIPO EMULSIÓN CON RESINA DE POLIVINIL ACETATO MODIFICADA CON ACRÍLICA PARA INTERIORES. (INCLUYE SUMINISTRO E INSTALACIÓN)</v>
          </cell>
          <cell r="H1506" t="str">
            <v>M2</v>
          </cell>
          <cell r="I1506">
            <v>12909</v>
          </cell>
        </row>
        <row r="1507">
          <cell r="F1507">
            <v>5645</v>
          </cell>
          <cell r="G1507" t="str">
            <v>IMPERMEABILIZACIÓN FACHADA (INCLUYE SUMINISTRO E INSTALACIÓN)</v>
          </cell>
          <cell r="H1507" t="str">
            <v>M2</v>
          </cell>
          <cell r="I1507">
            <v>9168</v>
          </cell>
        </row>
        <row r="1508">
          <cell r="F1508">
            <v>5646</v>
          </cell>
          <cell r="G1508" t="str">
            <v>PINTURA AMARILLA FRANJA DE SEGURIDAD (INCLUYE SUMINISTRO E INSTALACIÓN)</v>
          </cell>
          <cell r="H1508" t="str">
            <v>ML</v>
          </cell>
          <cell r="I1508">
            <v>8100</v>
          </cell>
        </row>
        <row r="1509">
          <cell r="F1509">
            <v>5647</v>
          </cell>
          <cell r="G1509" t="str">
            <v>PINTURA CIELO FALSO (INCLUYE SUMINISTRO E INSTALACIÓN).</v>
          </cell>
          <cell r="H1509" t="str">
            <v>M2</v>
          </cell>
          <cell r="I1509">
            <v>10257</v>
          </cell>
        </row>
        <row r="1510">
          <cell r="F1510">
            <v>5683</v>
          </cell>
          <cell r="G1510" t="str">
            <v>SEPARADOR TIPO TRANSMILENIO (BLOQUE CANALIZADOR AMARILLO) SUMINISTRO E INSTALACIÓN (1.75MX0.25MX0.15M) PINTADO CON PINTURA DE TRAFICO AMARILLA CON MICROESFERAS DE VIDRIO.</v>
          </cell>
          <cell r="H1510" t="str">
            <v>UN</v>
          </cell>
          <cell r="I1510">
            <v>205916</v>
          </cell>
        </row>
        <row r="1511">
          <cell r="F1511">
            <v>5684</v>
          </cell>
          <cell r="G1511" t="str">
            <v>RETIRO Y REINSTALACIÓN DE SEÑAL BANDERA. INCLUYE SERVICIO DE GRUA. (DISTANCIA MAXIMA DE REUBICACION 200M).</v>
          </cell>
          <cell r="H1511" t="str">
            <v>UN</v>
          </cell>
          <cell r="I1511">
            <v>374543</v>
          </cell>
        </row>
        <row r="1512">
          <cell r="F1512">
            <v>5686</v>
          </cell>
          <cell r="G1512" t="str">
            <v>CIMENTACION TIPO PILOTE PREEXCAVADO PARA SEÑAL ELEVADA TIPO BANDERA (LONGITUD ENTRE 4 Y 9 M). INCLUYE EXCAVACION</v>
          </cell>
          <cell r="H1512" t="str">
            <v>M3</v>
          </cell>
          <cell r="I1512">
            <v>1141162</v>
          </cell>
        </row>
        <row r="1513">
          <cell r="F1513">
            <v>5688</v>
          </cell>
          <cell r="G1513" t="str">
            <v>SEMAFORO (3X200) S1. LENTES DE POLICARBONATO DE 8" BICICLETAS LUCES, SISTEMA DE ILUMINACIÓN A LEDS, COMPATIBILIDAD C800/900, FIJACION A MASTIL. INCLUYE ELEMENTOS DE FIJACION.</v>
          </cell>
          <cell r="H1513" t="str">
            <v>UN</v>
          </cell>
          <cell r="I1513">
            <v>4053726</v>
          </cell>
        </row>
        <row r="1514">
          <cell r="F1514">
            <v>5690</v>
          </cell>
          <cell r="G1514" t="str">
            <v>SALIDA PARA DATOS EMT 3/4" (EN TAQUILLAS Y TORNIQUETES) DESDE EL RACK DE COMUNICACIONES HASTA EL SITIO DE LA SALIDA EN EL PISO DEL TORNIQUETE O HASTA EL PUESTO EN LA TAQUILLA. INCL. PONCHADO DE LOS JACKS EN LOS EXTREMOS .</v>
          </cell>
          <cell r="H1514" t="str">
            <v>UN</v>
          </cell>
          <cell r="I1514">
            <v>500851</v>
          </cell>
        </row>
        <row r="1515">
          <cell r="F1515">
            <v>5691</v>
          </cell>
          <cell r="G1515" t="str">
            <v>SALIDA PARA SONIDO EMT 3/4" (POR EL TECHO DEL VAGON) DESDE EL ARMARIO DE COMUNICACIONES HASTA EL SITIO DE LA SALIDA EN EL TECHO DEL VAGON, EN LA MITAD Y EN LOS EXTREMOS DEL MISMO .</v>
          </cell>
          <cell r="H1515" t="str">
            <v>UN</v>
          </cell>
          <cell r="I1515">
            <v>945288</v>
          </cell>
        </row>
        <row r="1516">
          <cell r="F1516">
            <v>5692</v>
          </cell>
          <cell r="G1516" t="str">
            <v>SALIDA PARA CCTV EMT 3/4" (POR EL TECHO DEL VAGON) DESDE EL ARMARIO DE COMUNICACIONES HASTA EL SITIO DE LA SALIDA EN EL TECHO EN LOS EXTREMOS DE CADA VAGON.</v>
          </cell>
          <cell r="H1516" t="str">
            <v>UN</v>
          </cell>
          <cell r="I1516">
            <v>1673693</v>
          </cell>
        </row>
        <row r="1517">
          <cell r="F1517">
            <v>5693</v>
          </cell>
          <cell r="G1517" t="str">
            <v>SALIDA PARA EL MASTIL DEL GPS EN TUBERIA EMT 1" INCL PEDESTAL EN CONCRETO DE 1.0MX0.80MX0.80M. ESTA SALIDA VA DESDE EL MASTIL DEL GPS A SALIDA DE LA RAMPA NORTE HASTA EL RACK DE DATOS DEL VAGON Y EMBEBIDA EN EL PISO.</v>
          </cell>
          <cell r="H1517" t="str">
            <v>UN</v>
          </cell>
          <cell r="I1517">
            <v>1227947</v>
          </cell>
        </row>
        <row r="1518">
          <cell r="F1518">
            <v>5696</v>
          </cell>
          <cell r="G1518" t="str">
            <v>CAJA DE INSPECCION AP-280. SUMINISTRO E INSTALACION. SE CONSTRUYEN EN EL PISO AL LADO DE LOS VAGONES PARA EL SISTEMA DE ENERGIA Y/O COMUNICACIONES.</v>
          </cell>
          <cell r="H1518" t="str">
            <v>UN</v>
          </cell>
          <cell r="I1518">
            <v>605062</v>
          </cell>
        </row>
        <row r="1519">
          <cell r="F1519">
            <v>5697</v>
          </cell>
          <cell r="G1519" t="str">
            <v>CAJA PARA MEDIDORES DE ENERGIA. SUMINISTRO E INSTALACION. ESTA CAJA ESTA UBICADA EN EL ARMARIO DEL VAGON NORTE. CONTIENE LOS MEDIDORES DE ENERGIA DE LA ESTACION, PUBLICIDAD Y ANGELCOM.</v>
          </cell>
          <cell r="H1519" t="str">
            <v>UN</v>
          </cell>
          <cell r="I1519">
            <v>666086</v>
          </cell>
        </row>
        <row r="1520">
          <cell r="F1520">
            <v>5698</v>
          </cell>
          <cell r="G1520" t="str">
            <v>POZO DE TIERRA CON VARILLA DE COBRE DE 2.40M, GEL, CABLE NO. 2/0 AWG. CONSTRUCCION. SON LAS PUESTAS A TIERRA DE LOS VAGONES Y RAMPAS NUEVAS DE CONEXION A PUENTES PEATONALES.</v>
          </cell>
          <cell r="H1520" t="str">
            <v>UN</v>
          </cell>
          <cell r="I1520">
            <v>291381</v>
          </cell>
        </row>
        <row r="1521">
          <cell r="F1521">
            <v>5699</v>
          </cell>
          <cell r="G1521" t="str">
            <v>MEDIDORES DE ENERGIA TRIFASICO 20-80 AMP PARA LA CUENTA DE LA ESTACION. SUMINISTRO E INSTALACION. SE UBICA EN EL ARMARIO DEL VAGON NORTE. SE ENERGIZARA CUANDO LA CUENTA SEA LEGALIZADA ANTE CODENSA.</v>
          </cell>
          <cell r="H1521" t="str">
            <v>UN</v>
          </cell>
          <cell r="I1521">
            <v>282870</v>
          </cell>
        </row>
        <row r="1522">
          <cell r="F1522">
            <v>5700</v>
          </cell>
          <cell r="G1522" t="str">
            <v>MEDIDORES DE ENERGIA MONOFASICO PARA LAS CUENTAS DE PUBLICIDAD Y ANGELCOM. SUMINISTRO E INSTALACION. SE UBICA EN EL ARMARIO DEL VAGON NORTE. SE ENERGIZARAN CUANDO LAS CUENTAS SEAN LEGALIZADAS ANTE CODENSA.</v>
          </cell>
          <cell r="H1522" t="str">
            <v>UN</v>
          </cell>
          <cell r="I1522">
            <v>142581</v>
          </cell>
        </row>
        <row r="1523">
          <cell r="F1523">
            <v>5701</v>
          </cell>
          <cell r="G1523" t="str">
            <v>ACOMETIDA PARCIAL 3NO. 1/0 + 1NO. 2 - 600V-CU. SUMINISTRO E INSTALACION. ACOMETIDA PARCIAL ENTRE ARMARIOS NORTE Y SUR PARA ALIMENTACION ENTRE LOS VAGONES. INSTALADOS POR DEBAJO DEL PISO DE LOS VAGONES.</v>
          </cell>
          <cell r="H1523" t="str">
            <v>ML</v>
          </cell>
          <cell r="I1523">
            <v>145180</v>
          </cell>
        </row>
        <row r="1524">
          <cell r="F1524">
            <v>5702</v>
          </cell>
          <cell r="G1524" t="str">
            <v>BAJANTE PARA ACOMETIDA 1 D= 3" CALIBRE 14 (L= 4.98) HG, CAPACETE, CINTA BAND IT, CURVA PVC. SUMINISTRO E INSTALACION. INCLUYE APERTURA DE ZANJA PARA INSTALACION DE CURVA Y TUBERIA GALVANIZADA, RESANE Y RETIRO DE ESCOMBROS.</v>
          </cell>
          <cell r="H1524" t="str">
            <v>UN</v>
          </cell>
          <cell r="I1524">
            <v>720877</v>
          </cell>
        </row>
        <row r="1525">
          <cell r="F1525">
            <v>5705</v>
          </cell>
          <cell r="G1525" t="str">
            <v>NEOPRENO REFORZADO 0.50 X 0.50 X 2" DOBLE REFUERZO. SUMINISTRO E INSTALACION. (INCLUYE LIMPIEZA DE LA SUPERFICIE CON CHORRO DE AIRE A PRESIÓN, HERRAMIENTA MENOR Y COMPRESOR).</v>
          </cell>
          <cell r="H1525" t="str">
            <v>UN</v>
          </cell>
          <cell r="I1525">
            <v>838308</v>
          </cell>
        </row>
        <row r="1526">
          <cell r="F1526">
            <v>5708</v>
          </cell>
          <cell r="G1526" t="str">
            <v>RELLENO EN ARENA DE RIO. INCLUYE TRANSPORTE, SUMINISTRO, EXTENDIDO MANUAL Y COMPACTACION.</v>
          </cell>
          <cell r="H1526" t="str">
            <v>M3</v>
          </cell>
          <cell r="I1526">
            <v>183745</v>
          </cell>
        </row>
        <row r="1527">
          <cell r="F1527">
            <v>5710</v>
          </cell>
          <cell r="G1527" t="str">
            <v>GRAVILLA DE 1/2" SUELTA - SUMINISTRO E INSTALACION.</v>
          </cell>
          <cell r="H1527" t="str">
            <v>M3</v>
          </cell>
          <cell r="I1527">
            <v>92260</v>
          </cell>
        </row>
        <row r="1528">
          <cell r="F1528">
            <v>5712</v>
          </cell>
          <cell r="G1528" t="str">
            <v>DOTACION ABDOMINALES PARA ADULTOS/MAYORES SEGUN ESPECIFICACIONES IDRD - SUMINISTRO E INSTALACION.</v>
          </cell>
          <cell r="H1528" t="str">
            <v>UN</v>
          </cell>
          <cell r="I1528">
            <v>2082500</v>
          </cell>
        </row>
        <row r="1529">
          <cell r="F1529">
            <v>5713</v>
          </cell>
          <cell r="G1529" t="str">
            <v>JUEGO BALANCIN PARA NIÑOS (1-5 AÑOS) SEGUN ESPECIFICACIONES IDRD - SUMINISTRO E INSTALACION.</v>
          </cell>
          <cell r="H1529" t="str">
            <v>UN</v>
          </cell>
          <cell r="I1529">
            <v>1666000</v>
          </cell>
        </row>
        <row r="1530">
          <cell r="F1530">
            <v>5714</v>
          </cell>
          <cell r="G1530" t="str">
            <v>DOTACION BARRAS PARA ADULTOS.SEGUN ESPECIFICACIONES IDRD - SUMINISTRO E INSTALACION.</v>
          </cell>
          <cell r="H1530" t="str">
            <v>UN</v>
          </cell>
          <cell r="I1530">
            <v>1904000</v>
          </cell>
        </row>
        <row r="1531">
          <cell r="F1531">
            <v>5715</v>
          </cell>
          <cell r="G1531" t="str">
            <v>DOTACION CAMINADOR PARA ADULTOS.SEGUN ESPECIFICACIONES IDRD - SUMINISTRO E INSTALACION.</v>
          </cell>
          <cell r="H1531" t="str">
            <v>UN</v>
          </cell>
          <cell r="I1531">
            <v>2380000</v>
          </cell>
        </row>
        <row r="1532">
          <cell r="F1532">
            <v>5717</v>
          </cell>
          <cell r="G1532" t="str">
            <v>DOTACIÓN GIRO DE CADERA PARA ADULTOS. SEGÚN ESPECIFICACIONES IDRD - SUMINISTRO E INSTALACIÓN.</v>
          </cell>
          <cell r="H1532" t="str">
            <v>UN</v>
          </cell>
          <cell r="I1532">
            <v>2380000</v>
          </cell>
        </row>
        <row r="1533">
          <cell r="F1533">
            <v>5727</v>
          </cell>
          <cell r="G1533" t="str">
            <v>GEODREN VIAL DE 160MM X 1.0M. SUMINISTRO E INSTALACION. (INCLUYE EXCAVACION MANUAL (ANCHO = 30CM) Y RELLENO EN MATERIAL SELECCIONADO PROVENIENTE DE EXCAVACION.</v>
          </cell>
          <cell r="H1533" t="str">
            <v>ML</v>
          </cell>
          <cell r="I1533">
            <v>135237</v>
          </cell>
        </row>
        <row r="1534">
          <cell r="F1534">
            <v>5728</v>
          </cell>
          <cell r="G1534" t="str">
            <v>GEODREN VIAL DE 200MM X 1.0M. SUMINISTRO E INSTALACION. (INCLUYE EXCAVACION MANUAL (ANCHO = 30CM) Y RELLENO EN MATERIAL SELECCIONADO PROVENIENTE DE EXCAVACION.</v>
          </cell>
          <cell r="H1534" t="str">
            <v>ML</v>
          </cell>
          <cell r="I1534">
            <v>177635</v>
          </cell>
        </row>
        <row r="1535">
          <cell r="F1535">
            <v>5729</v>
          </cell>
          <cell r="G1535" t="str">
            <v>DEMARCACION PICTOGRAMA ZONA ESCOLAR EN PINTURA TERMOPLASTICA. (INCLUYE SUMINISTRO Y APLICACION CON EQUIPO. INCLUYE MICROESFERAS).</v>
          </cell>
          <cell r="H1535" t="str">
            <v>UN</v>
          </cell>
          <cell r="I1535">
            <v>1307719</v>
          </cell>
        </row>
        <row r="1536">
          <cell r="F1536">
            <v>5730</v>
          </cell>
          <cell r="G1536" t="str">
            <v>DEMARCACION METROS LINEALES EN PINTURA TIPO TRAFICO BASE SOLVENTE COLOR BLANCO Y/O AMARILLA. LINEA 0.12M Y 16 MILS (INCLUYE SUMINISTRO Y APLICACION CON EQUIPO. INCLUYE MICROESFERAS TIPO DROP ON PARA LINEAS DE BORDE Y DE CARRIL). HORARIO NOCTURNO</v>
          </cell>
          <cell r="H1536" t="str">
            <v>ML</v>
          </cell>
          <cell r="I1536">
            <v>5478</v>
          </cell>
        </row>
        <row r="1537">
          <cell r="F1537">
            <v>5731</v>
          </cell>
          <cell r="G1537" t="str">
            <v>CUADRILLA (3 AYUDANTES) HORARIO NOCTURNO</v>
          </cell>
          <cell r="H1537" t="str">
            <v>JR</v>
          </cell>
          <cell r="I1537">
            <v>257997</v>
          </cell>
        </row>
        <row r="1538">
          <cell r="F1538">
            <v>5732</v>
          </cell>
          <cell r="G1538" t="str">
            <v>CUADRILLA (4 AYUDANTES) HORARIO NOCTURNO</v>
          </cell>
          <cell r="H1538" t="str">
            <v>JR</v>
          </cell>
          <cell r="I1538">
            <v>343996</v>
          </cell>
        </row>
        <row r="1539">
          <cell r="F1539">
            <v>5733</v>
          </cell>
          <cell r="G1539" t="str">
            <v>DEMARCACION EN PINTURA TIPO TRAFICO BASE SOLVENTE COLOR BLANCO. LINEA 0.20M Y 16 MILS (INCLUYE SUMINISTRO Y APLICACION CON EQUIPO. INCLUYE MICROESFERAS TIPO DROP ON PARA LINEAS DE CARRIL). HORARIO NOCTURNO.</v>
          </cell>
          <cell r="H1539" t="str">
            <v>M2</v>
          </cell>
          <cell r="I1539">
            <v>47380</v>
          </cell>
        </row>
        <row r="1540">
          <cell r="F1540">
            <v>5734</v>
          </cell>
          <cell r="G1540" t="str">
            <v>DEMARCACION EN IMPRIMANTE TIPO TRAFICO BASE SOLVENTE COLOR NEGRO. ANCHO 0.25M (INCLUYE SUMINISTRO Y APLICACION CON EQUIPO. NO INCLUYE MICROESFERAS).</v>
          </cell>
          <cell r="H1540" t="str">
            <v>M2</v>
          </cell>
          <cell r="I1540">
            <v>52338</v>
          </cell>
        </row>
        <row r="1541">
          <cell r="F1541">
            <v>5735</v>
          </cell>
          <cell r="G1541" t="str">
            <v>DEMARCACION EN IMPRIMANTE TIPO TRAFICO BASE SOLVENTE COLOR NEGRO. PARADEROS (INCLUYE SUMINISTRO Y APLICACION CON EQUIPO. NO INCLUYE MICROESFERAS).</v>
          </cell>
          <cell r="H1541" t="str">
            <v>M2</v>
          </cell>
          <cell r="I1541">
            <v>52174</v>
          </cell>
        </row>
        <row r="1542">
          <cell r="F1542">
            <v>5736</v>
          </cell>
          <cell r="G1542" t="str">
            <v>DEMARCACION METROS LINEALES EN PINTURA TIPO TRAFICO BASE SOLVENTE COLOR NEGRO. LINEA 0.15M (INCLUYE SUMINISTRO Y APLICACION CON EQUIPO. NO INCLUYE MICROESFERAS).</v>
          </cell>
          <cell r="H1542" t="str">
            <v>ML</v>
          </cell>
          <cell r="I1542">
            <v>9294</v>
          </cell>
        </row>
        <row r="1543">
          <cell r="F1543">
            <v>5737</v>
          </cell>
          <cell r="G1543" t="str">
            <v>DEMARCACION METROS CUADRADO EN PINTURA TIPO TRAFICO BASE SOLVENTE COLOR AZUL 16 MILS PARA PRIMERA CAPA. (PARADEROS) (INCLUYE SUMINISTRO Y APLICACION CON EQUIPO. INCLUYE MICROESFERAS).</v>
          </cell>
          <cell r="H1543" t="str">
            <v>M2</v>
          </cell>
          <cell r="I1543">
            <v>46910</v>
          </cell>
        </row>
        <row r="1544">
          <cell r="F1544">
            <v>5738</v>
          </cell>
          <cell r="G1544" t="str">
            <v>DEMARCACION METROS CUADRADO EN PINTURA TIPO TRAFICO BASE SOLVENTE COLOR AZUL 16 MILS Y 18 MILS (PARADEROS) (INCLUYE SUMINISTRO Y APLICACION CON EQUIPO. INCLUYE MICROESFERAS).</v>
          </cell>
          <cell r="H1544" t="str">
            <v>M2</v>
          </cell>
          <cell r="I1544">
            <v>122152</v>
          </cell>
        </row>
        <row r="1545">
          <cell r="F1545">
            <v>5746</v>
          </cell>
          <cell r="G1545" t="str">
            <v>EMPATES DE TUBERÍA EN PVC A PVC 2" LINEAL SEGÚN NORMA NS-023 (INCLUYE ACCESORIOS). SUMINISTRO E INSTALACIÓN.</v>
          </cell>
          <cell r="H1545" t="str">
            <v>UN</v>
          </cell>
          <cell r="I1545">
            <v>97099</v>
          </cell>
        </row>
        <row r="1546">
          <cell r="F1546">
            <v>5747</v>
          </cell>
          <cell r="G1546" t="str">
            <v>EMPATES EN LINEA DE TUBERÍA EN PVC A AC 14" (INCL UNION GIBAULT HD PARA AC CL.25 D=14", UNION DE CONSTRUCCION Y REPARACION PARA PVC D=14", UNION DE TRANSICION PCV-AC CL.25 Y 1M TUB PVC D=14 RDE 21). SUMINISTRO E INSTALACIÓN.</v>
          </cell>
          <cell r="H1546" t="str">
            <v>UN</v>
          </cell>
          <cell r="I1546">
            <v>5524290</v>
          </cell>
        </row>
        <row r="1547">
          <cell r="F1547">
            <v>5748</v>
          </cell>
          <cell r="G1547" t="str">
            <v>EMPATES EN LINEA DE TUBERÍA EN PVC A HF 3" (INCL UNION DE REPARACION PVC U.M. D=3", ADAPTADOR MACHO PVC US D=3" UNION GIBAULT HD CL.25 CL.25 D=3" Y 1M TUB PVC D=3" RDE 21). SUMINISTRO E INSTALACIÓN.</v>
          </cell>
          <cell r="H1547" t="str">
            <v>UN</v>
          </cell>
          <cell r="I1547">
            <v>291000</v>
          </cell>
        </row>
        <row r="1548">
          <cell r="F1548">
            <v>5749</v>
          </cell>
          <cell r="G1548" t="str">
            <v>REDUCCION CONCENTRICA HD 4" X 2" (SUMINISTRO E INSTALACIÓN).</v>
          </cell>
          <cell r="H1548" t="str">
            <v>UN</v>
          </cell>
          <cell r="I1548">
            <v>179617</v>
          </cell>
        </row>
        <row r="1549">
          <cell r="F1549">
            <v>5750</v>
          </cell>
          <cell r="G1549" t="str">
            <v>REDUCCION CONCENTRICA HD 6" X 4" (SUMINISTRO E INSTALACIÓN).</v>
          </cell>
          <cell r="H1549" t="str">
            <v>UN</v>
          </cell>
          <cell r="I1549">
            <v>351206</v>
          </cell>
        </row>
        <row r="1550">
          <cell r="F1550">
            <v>5751</v>
          </cell>
          <cell r="G1550" t="str">
            <v>REDUCCION CONCENTRICA HD 14" X 12" (SUMINISTRO E INSTALACIÓN).</v>
          </cell>
          <cell r="H1550" t="str">
            <v>UN</v>
          </cell>
          <cell r="I1550">
            <v>2254505</v>
          </cell>
        </row>
        <row r="1551">
          <cell r="F1551">
            <v>5752</v>
          </cell>
          <cell r="G1551" t="str">
            <v>DESMONTE Y UBICACIÓN PARADEROS SITP TRASLADO. DE PARADERO EXISTENTE. INCLUYE CONCRETO 3000 PSI HECHO EN OBRA 1:2:2 CON ARENA DE RIO Y TRITURADO 3/4" PARA ANCLAJE. TRANSPORTE Y DISPOSICIÓN DE ESCOMBROS A 21 KM.</v>
          </cell>
          <cell r="H1551" t="str">
            <v>UN</v>
          </cell>
          <cell r="I1551">
            <v>622653</v>
          </cell>
        </row>
        <row r="1552">
          <cell r="F1552">
            <v>5753</v>
          </cell>
          <cell r="G1552" t="str">
            <v>CASETAS TELEFONICAS. REUBICACION O RETIRO. DESMONTE Y REUBICACION DE CASETA EXISTENTE. INCLUYE CONCRETO 3000 PSI HECHO EN OBRA 1:2:2 CON ARENA DE RIO Y TRITURADO 3/4" PARA ANCLAJE. TRANSP Y DISPOS. DE ESCOMBROS A 21 KM.</v>
          </cell>
          <cell r="H1552" t="str">
            <v>UN</v>
          </cell>
          <cell r="I1552">
            <v>334603</v>
          </cell>
        </row>
        <row r="1553">
          <cell r="F1553">
            <v>5754</v>
          </cell>
          <cell r="G1553" t="str">
            <v>DESMONTE Y REUBICACIÓN MODULO SERVICIO AL CIUDADANO (REDEP). DE MODULO EXISTENTE. INCLUYE CONCRETO 3000 PSI HECHO EN OBRA 1:2:2 CON ARENA DE RIO Y TRITURADO 3/4" PARA ANCLAJE. TRANSP Y DISPOS. DE ESCOMBROS A 21 KM.</v>
          </cell>
          <cell r="H1553" t="str">
            <v>UN</v>
          </cell>
          <cell r="I1553">
            <v>578488</v>
          </cell>
        </row>
        <row r="1554">
          <cell r="F1554">
            <v>5759</v>
          </cell>
          <cell r="G1554" t="str">
            <v>SALIDA PARA TOMA MONOFASICA DOBLE. SUMINISTRO E INSTALACION. (INCLUYE ACCESORIOS DE INSTALACION Y FIJACION. NO INCLUYE TUBERIA NI CABLEADO).</v>
          </cell>
          <cell r="H1554" t="str">
            <v>UN</v>
          </cell>
          <cell r="I1554">
            <v>13838</v>
          </cell>
        </row>
        <row r="1555">
          <cell r="F1555">
            <v>5760</v>
          </cell>
          <cell r="G1555" t="str">
            <v>TUBERIA METALICA EMT DE D= 3/4". SUMINISTRO E INSTALACION. (INCLUYE ACCESORIOS DE INSTALACION Y FIJACION).</v>
          </cell>
          <cell r="H1555" t="str">
            <v>ML</v>
          </cell>
          <cell r="I1555">
            <v>20340</v>
          </cell>
        </row>
        <row r="1556">
          <cell r="F1556">
            <v>5761</v>
          </cell>
          <cell r="G1556" t="str">
            <v>CABLE THHN NO.10 EN COBRE. SUMINISTRO E INSTALACION. (INCLUYE ACCESORIOS DE INSTALACION).</v>
          </cell>
          <cell r="H1556" t="str">
            <v>ML</v>
          </cell>
          <cell r="I1556">
            <v>6716</v>
          </cell>
        </row>
        <row r="1557">
          <cell r="F1557">
            <v>5762</v>
          </cell>
          <cell r="G1557" t="str">
            <v>SALIDA PARA TOMA TRIFASICA DE SEGURIDAD. SUMINISTRO E INSTALACION. (INCLUYE ACCESORIOS DE INSTALACION Y FIJACION. NO INCLUYE TUBERIA NI CABLEADO).</v>
          </cell>
          <cell r="H1557" t="str">
            <v>UN</v>
          </cell>
          <cell r="I1557">
            <v>37148</v>
          </cell>
        </row>
        <row r="1558">
          <cell r="F1558">
            <v>5763</v>
          </cell>
          <cell r="G1558" t="str">
            <v>CABLE NO.2 AWG-THHN-600V EN COBRE. SUMINISTRO E INSTALACION. (INCLUYE ACCESORIOS DE INSTALACION).</v>
          </cell>
          <cell r="H1558" t="str">
            <v>ML</v>
          </cell>
          <cell r="I1558">
            <v>22692</v>
          </cell>
        </row>
        <row r="1559">
          <cell r="F1559">
            <v>5764</v>
          </cell>
          <cell r="G1559" t="str">
            <v>CABLE NO.14 AWG-THHN-600V EN COBRE. SUMINISTRO E INSTALACION. (INCLUYE ACCESORIOS DE INSTALACION).</v>
          </cell>
          <cell r="H1559" t="str">
            <v>ML</v>
          </cell>
          <cell r="I1559">
            <v>4732</v>
          </cell>
        </row>
        <row r="1560">
          <cell r="F1560">
            <v>5765</v>
          </cell>
          <cell r="G1560" t="str">
            <v>CABLE NO.12 AWG-THHN-600V EN COBRE. SUMINISTRO E INSTALACION. (INCLUYE ACCESORIOS DE INSTALACION).</v>
          </cell>
          <cell r="H1560" t="str">
            <v>ML</v>
          </cell>
          <cell r="I1560">
            <v>5092</v>
          </cell>
        </row>
        <row r="1561">
          <cell r="F1561">
            <v>5766</v>
          </cell>
          <cell r="G1561" t="str">
            <v>SALIDA PARA AVISO PUBLICITARIO. SUMINISTRO E INSTALACION. (INCLUYE ACCESORIOS DE INSTALACION Y FIJACION. NO INCLUYE TUBERIA NI CABLEADO).</v>
          </cell>
          <cell r="H1561" t="str">
            <v>UN</v>
          </cell>
          <cell r="I1561">
            <v>13838</v>
          </cell>
        </row>
        <row r="1562">
          <cell r="F1562">
            <v>5767</v>
          </cell>
          <cell r="G1562" t="str">
            <v>CABLE NO.6 AWG-THHN-600V EN COBRE. SUMINISTRO E INSTALACION. (INCLUYE ACCESORIOS DE INSTALACION).</v>
          </cell>
          <cell r="H1562" t="str">
            <v>ML</v>
          </cell>
          <cell r="I1562">
            <v>13083</v>
          </cell>
        </row>
        <row r="1563">
          <cell r="F1563">
            <v>5768</v>
          </cell>
          <cell r="G1563" t="str">
            <v>SALIDA PARA TOMA REGULADA. SUMINISTRO E INSTALACIÓN. SALIDA EN PISO DE LA TAQUILLA O TORNIQUETE O CCTV.(INCLUYE ACCESORIOS DE INSTALACION Y FIJACION. NO INCLUYE TUBERIA NI CABLEADO).</v>
          </cell>
          <cell r="H1563" t="str">
            <v>UN</v>
          </cell>
          <cell r="I1563">
            <v>15088</v>
          </cell>
        </row>
        <row r="1564">
          <cell r="F1564">
            <v>5769</v>
          </cell>
          <cell r="G1564" t="str">
            <v>SALIDA PARA INFORMADORES. SUMINISTRO E INSTALACION. SALIDA EN PISO DE LA TAQUILLA O TORNIQUETE O CCTV.(INCLUYE ACCESORIOS DE INSTALACION Y FIJACION. NO INCLUYE TUBERIA NI CABLEADO).</v>
          </cell>
          <cell r="H1564" t="str">
            <v>UN</v>
          </cell>
          <cell r="I1564">
            <v>13838</v>
          </cell>
        </row>
        <row r="1565">
          <cell r="F1565">
            <v>5770</v>
          </cell>
          <cell r="G1565" t="str">
            <v>SALIDA PARA BOMBA RIEGO ZONAS VERDES. SUMINISTRO E INSTALACION. ES LA SALIDA AL TAQUE.(INCLUYE ACCESORIOS DE INSTALACION Y FIJACION. NO INCLUYE TUBERIA NI CABLEADO).</v>
          </cell>
          <cell r="H1565" t="str">
            <v>UN</v>
          </cell>
          <cell r="I1565">
            <v>32711</v>
          </cell>
        </row>
        <row r="1566">
          <cell r="F1566">
            <v>5771</v>
          </cell>
          <cell r="G1566" t="str">
            <v>CABLE NO.8 AWG-THHN-600V EN COBRE. SUMINISTRO E INSTALACION. (INCLUYE ACCESORIOS DE INSTALACION).</v>
          </cell>
          <cell r="H1566" t="str">
            <v>ML</v>
          </cell>
          <cell r="I1566">
            <v>9204</v>
          </cell>
        </row>
        <row r="1567">
          <cell r="F1567">
            <v>5772</v>
          </cell>
          <cell r="G1567" t="str">
            <v>SALIDA PARA CONTROLADOR. SUMINISTRO E INSTALACION. (INCLUYE ACCESORIOS DE INSTALACION Y FIJACION. NO INCLUYE TUBERIA NI CABLEADO).</v>
          </cell>
          <cell r="H1567" t="str">
            <v>UN</v>
          </cell>
          <cell r="I1567">
            <v>13838</v>
          </cell>
        </row>
        <row r="1568">
          <cell r="F1568">
            <v>5773</v>
          </cell>
          <cell r="G1568" t="str">
            <v>SALIDA PARA DATOS EN TAQUILLAS O CCTV. SUMIN E INSTAL. INCL. CAJA GALVANIZADA. TOMA DE SALIDA DE DATOS. PONCHADO DE LOS JACKS EN LOS EXTREMOS DEL CABLE Y LA CERTIFICACION DE LAS SALIDAS. (NO INCLUYE TUBERIA NI CABLEADO UTP).</v>
          </cell>
          <cell r="H1568" t="str">
            <v>UN</v>
          </cell>
          <cell r="I1568">
            <v>50001</v>
          </cell>
        </row>
        <row r="1569">
          <cell r="F1569">
            <v>5774</v>
          </cell>
          <cell r="G1569" t="str">
            <v>CABLE UTP CATEGORIA 6A. SUMINISTRO E INSTALACION. (INCLUYE ACCESORIOS DE INSTALACION).</v>
          </cell>
          <cell r="H1569" t="str">
            <v>ML</v>
          </cell>
          <cell r="I1569">
            <v>8989</v>
          </cell>
        </row>
        <row r="1570">
          <cell r="F1570">
            <v>5775</v>
          </cell>
          <cell r="G1570" t="str">
            <v>SALIDA PARA SONIDO (POR EL TECHO DE LA ESTACIÓN). SUMINISTRO E INSTALACIÓN. (INCLUYE ACCESORIOS DE INSTALACIÓN. NO INCLUYE TUBERÍA NI CABLEADO).</v>
          </cell>
          <cell r="H1570" t="str">
            <v>UN</v>
          </cell>
          <cell r="I1570">
            <v>22372</v>
          </cell>
        </row>
        <row r="1571">
          <cell r="F1571">
            <v>5776</v>
          </cell>
          <cell r="G1571" t="str">
            <v>CABLE POLARIZADO 2 NO.14. SUMINISTRO E INSTALACION. (INCLUYE ACCESORIOS DE INSTALACION).</v>
          </cell>
          <cell r="H1571" t="str">
            <v>ML</v>
          </cell>
          <cell r="I1571">
            <v>7638</v>
          </cell>
        </row>
        <row r="1572">
          <cell r="F1572">
            <v>5777</v>
          </cell>
          <cell r="G1572" t="str">
            <v>SALIDA PARA CCTV (POR EL TECHO DE LA ESTACION). SUMINISTRO E INSTALACION. ES LA SALIDA POR EL TECHO EN LOS EXTREMOS DE CADA ESTACION. (INCLUYE ACCESORIOS DE INSTALACION. NO INCLUYE TUBERIA NI CABLEADO).</v>
          </cell>
          <cell r="H1572" t="str">
            <v>UN</v>
          </cell>
          <cell r="I1572">
            <v>19642</v>
          </cell>
        </row>
        <row r="1573">
          <cell r="F1573">
            <v>5778</v>
          </cell>
          <cell r="G1573" t="str">
            <v>SALIDA PARA EL MASTIL DEL GPS. INCL PEDESTAL EN CONCRETO DE 1.0MX0.8MX0.8M. SUMIN E INSTAL. EMBEBIDA EN EL PISO. (NO INCLUYE TUBERIA NI CABLEADO).</v>
          </cell>
          <cell r="H1573" t="str">
            <v>UN</v>
          </cell>
          <cell r="I1573">
            <v>313635</v>
          </cell>
        </row>
        <row r="1574">
          <cell r="F1574">
            <v>5779</v>
          </cell>
          <cell r="G1574" t="str">
            <v>ACOMETIDA TRIFASICA (3 NO.4 + 1 NO.4 + 1NO.4T AWG-THHN-600V-CU). SUMINISTRO E INSTALACION. EN TUBERIA PVC 4".</v>
          </cell>
          <cell r="H1574" t="str">
            <v>ML</v>
          </cell>
          <cell r="I1574">
            <v>85812</v>
          </cell>
        </row>
        <row r="1575">
          <cell r="F1575">
            <v>5780</v>
          </cell>
          <cell r="G1575" t="str">
            <v>ACOMETIDA TRIFASICA (3 NO.6 + 1 NO.6 + 1NO.8T AWG-THHN-600V-CU). SUMINISTRO E INSTALACION. ACOMETIDAS PARCIALES PARA LOS TABLEROS BRAKERS DE TRANSMILENIO, EN TUBERIA EMT 1 1/4".</v>
          </cell>
          <cell r="H1575" t="str">
            <v>ML</v>
          </cell>
          <cell r="I1575">
            <v>75095</v>
          </cell>
        </row>
        <row r="1576">
          <cell r="F1576">
            <v>5781</v>
          </cell>
          <cell r="G1576" t="str">
            <v>ACOMETIDA MONOFASICA (1 NO.8 + 1 NO.6 + 1NO.8T AWG-THHN-600V-CU). SUMINISTRO E INSTALACION. ACOMETIDAS PARCIALES PARA LOS TABLEROS BRAKERS DE TABLERO REGULADO MONOFASICO, EN TUBERIA EMT 1".</v>
          </cell>
          <cell r="H1576" t="str">
            <v>ML</v>
          </cell>
          <cell r="I1576">
            <v>46425</v>
          </cell>
        </row>
        <row r="1577">
          <cell r="F1577">
            <v>5782</v>
          </cell>
          <cell r="G1577" t="str">
            <v>ACOMETIDA MONOFASICA (1 NO.8 + 1 NO.8 + 1NO.8T AWG-THHN-600V-CU). SUMINISTRO E INSTALACION. ACOMETIDAS PARCIALES PARA LOS TABLEROS BRAKERS DE TABLERO PRINCIPAL REGULADO MONOFASICO, EN TUBERIA EMT 1".</v>
          </cell>
          <cell r="H1577" t="str">
            <v>ML</v>
          </cell>
          <cell r="I1577">
            <v>45510</v>
          </cell>
        </row>
        <row r="1578">
          <cell r="F1578">
            <v>5783</v>
          </cell>
          <cell r="G1578" t="str">
            <v>ACOMETIDA MONOFASICA (1 NO.10 + 1 NO.10 + 1NO.10T AWG-THHN-600V-CU). SUMINISTRO E INSTALACION. ACOMETIDAS PARCIALES PARA LOS TABLEROS BRAKERS DE PUBLICIDAD, EN TUBERIA EMT 3/4".</v>
          </cell>
          <cell r="H1578" t="str">
            <v>ML</v>
          </cell>
          <cell r="I1578">
            <v>33316</v>
          </cell>
        </row>
        <row r="1579">
          <cell r="F1579">
            <v>5784</v>
          </cell>
          <cell r="G1579" t="str">
            <v>ACOMETIDA (1 NO.8 + 1 NO.8 + 1NO.10 AWG-THHN-600V-CU). SUMINISTRO E INSTALACION.TUBERIA EMT 3/4" DESDE EL TOTALIZADOR DE LA PLANTA ELECTRICA HASTA LA TRANSFERENCIA.</v>
          </cell>
          <cell r="H1579" t="str">
            <v>ML</v>
          </cell>
          <cell r="I1579">
            <v>36597</v>
          </cell>
        </row>
        <row r="1580">
          <cell r="F1580">
            <v>5785</v>
          </cell>
          <cell r="G1580" t="str">
            <v>2 DUCTOS D=2" GALVANIZADOS. SUMINISTRO E INSTALACION. INCLUYE ELEMENTOS DE FIJACION Y ACCESORIOS.</v>
          </cell>
          <cell r="H1580" t="str">
            <v>ML</v>
          </cell>
          <cell r="I1580">
            <v>117570</v>
          </cell>
        </row>
        <row r="1581">
          <cell r="F1581">
            <v>5786</v>
          </cell>
          <cell r="G1581" t="str">
            <v>2 DUCTOS D=3" GALVANIZADOS. SUMINISTRO E INSTALACION. INCLUYE ELEMENTOS DE FIJACION Y ACCESORIOS.</v>
          </cell>
          <cell r="H1581" t="str">
            <v>ML</v>
          </cell>
          <cell r="I1581">
            <v>284265</v>
          </cell>
        </row>
        <row r="1582">
          <cell r="F1582">
            <v>5788</v>
          </cell>
          <cell r="G1582" t="str">
            <v>TABLERO TRIFASICO DE 18 CIRCUITOS, CON ESPACIO PARA TOTALIZADOR. SUMINISTRO E INSTALACION. CORRESPONDE AL TABLERO DE ENERGIA REGULADA DE LOS MODULOS.</v>
          </cell>
          <cell r="H1582" t="str">
            <v>UN</v>
          </cell>
          <cell r="I1582">
            <v>255797</v>
          </cell>
        </row>
        <row r="1583">
          <cell r="F1583">
            <v>5789</v>
          </cell>
          <cell r="G1583" t="str">
            <v>MEDIDOR DE ENERGIA TRIFASICO 20-80 AMP. SUMINISTRO E INSTALACION. PARALA CUENTA DE LA ESTACION UBICADA EN EL ARMARIO DEL CUARTO ELECTRICO DE TAQUILLAS. SE ENERGIZARA CUANDO LA CUENTA SEA LEGALIZADA ANTE CODENSA.</v>
          </cell>
          <cell r="H1583" t="str">
            <v>UN</v>
          </cell>
          <cell r="I1583">
            <v>262425</v>
          </cell>
        </row>
        <row r="1584">
          <cell r="F1584">
            <v>5790</v>
          </cell>
          <cell r="G1584" t="str">
            <v>MEDIDOR DE ENERGIA MONOFASICO. SUMINISTRO E INSTALACION. PARA LAS CUENTA DE PUBLICIDAD Y REGULADA. SE UBICA EN EL CUARTO ELECTRICO DE TAQUILLAS. SE ENERGIZARA CUANDO LA CUENTA SEA LEGALIZADA ANTE CODENSA.</v>
          </cell>
          <cell r="H1584" t="str">
            <v>UN</v>
          </cell>
          <cell r="I1584">
            <v>143317</v>
          </cell>
        </row>
        <row r="1585">
          <cell r="F1585">
            <v>5791</v>
          </cell>
          <cell r="G1585" t="str">
            <v>CABLE DE COBRE DESNUDO NO.2/0 AWG. SUMINISTRO E INSTALACION. PARA EL ANILLO EQUIPOTENCIAL DE LA ESTACION, UNIENDO LOS ELECTRODOS DE CAJA DE 3 MEDIDORES CON LOS DE LOS MODULOS. INCLUYE SOLDADURA EXOTERMICA.</v>
          </cell>
          <cell r="H1585" t="str">
            <v>UN</v>
          </cell>
          <cell r="I1585">
            <v>92088</v>
          </cell>
        </row>
        <row r="1586">
          <cell r="F1586">
            <v>5792</v>
          </cell>
          <cell r="G1586" t="str">
            <v>CABLE DE MEDIA TENSION XLPE 4/0 ALUMINIO. SUMINISTRO E INSTALACION.</v>
          </cell>
          <cell r="H1586" t="str">
            <v>ML</v>
          </cell>
          <cell r="I1586">
            <v>56086</v>
          </cell>
        </row>
        <row r="1587">
          <cell r="F1587">
            <v>5793</v>
          </cell>
          <cell r="G1587" t="str">
            <v>DUCTO PVC DB 6". SUMINISTRO E INSTALACION.</v>
          </cell>
          <cell r="H1587" t="str">
            <v>ML</v>
          </cell>
          <cell r="I1587">
            <v>72255</v>
          </cell>
        </row>
        <row r="1588">
          <cell r="F1588">
            <v>5794</v>
          </cell>
          <cell r="G1588" t="str">
            <v>CONDUCTOR RED BAJA TENSION (3 NO.4 + 1 NO.6 600V- CU THHN). SUMIN E INSTAL. CONDUCTORES DE LA PARCIAL ENTRE TRAFO Y GABINETE DE 3 MEDIDORES, INSTALADOS EN TUBERIA DE 2X4" PVC BAJO EL PISO INSTAL CON GRADO DE DIFICULTAD.</v>
          </cell>
          <cell r="H1588" t="str">
            <v>ML</v>
          </cell>
          <cell r="I1588">
            <v>163663</v>
          </cell>
        </row>
        <row r="1589">
          <cell r="F1589">
            <v>5825</v>
          </cell>
          <cell r="G1589" t="str">
            <v>CAJA ESPACIO 4 MEDIDORES ENERGIA, BARRAJES INDEPENDIENTES NEUTRO Y TIERRA Y ESPACIO TOTALIZADORES. SUM. E INSTAL. INCL. 1 TOTALIZADOR INDUSTRIAL 3X80A, 1 SUB-BREAKER ENCHUFABLE 3X60A, 1 DE 1X50A Y 1 DE 1X15A. CAJA 0.80X0.18M.</v>
          </cell>
          <cell r="H1589" t="str">
            <v>UN</v>
          </cell>
          <cell r="I1589">
            <v>872004</v>
          </cell>
        </row>
        <row r="1590">
          <cell r="F1590">
            <v>5826</v>
          </cell>
          <cell r="G1590" t="str">
            <v>TABLERO TRIFASICO 18 CIRCUITOS, ESPACIO TOTALIZADORES. SUM. E INSTAL. INCL. 10 BREAKERS ENCHUFABLES MONOPOLARES 1X15A, 1 BREAKER ENCHUFABLE BIPOLAR 2X15A, 1 DE 1X20A. INCL 1 TOTALIZADOR INDUSTRIAL DE 30A PARA PROTECCION.</v>
          </cell>
          <cell r="H1590" t="str">
            <v>UN</v>
          </cell>
          <cell r="I1590">
            <v>779371</v>
          </cell>
        </row>
        <row r="1591">
          <cell r="F1591">
            <v>5827</v>
          </cell>
          <cell r="G1591" t="str">
            <v>TABLERO MONOFASICO CON ESPACIO PARA 6 CIRCUITOS. SUM. E INSTAL. INCL. 3 BREAKERS ENCHUFABLES MONOPOLARES DE 1X15A PARA TOMAS DE AVISOS PUBLICITARIOS Y MUPI.</v>
          </cell>
          <cell r="H1591" t="str">
            <v>UN</v>
          </cell>
          <cell r="I1591">
            <v>204778</v>
          </cell>
        </row>
        <row r="1592">
          <cell r="F1592">
            <v>5831</v>
          </cell>
          <cell r="G1592" t="str">
            <v>TUBERIA EMT D= 1 1/2". SUMINISTRO E INSTALACION. (INCLUYE ACCESORIOS DE INSTALACION Y FIJACION).</v>
          </cell>
          <cell r="H1592" t="str">
            <v>ML</v>
          </cell>
          <cell r="I1592">
            <v>49060</v>
          </cell>
        </row>
        <row r="1593">
          <cell r="F1593">
            <v>5832</v>
          </cell>
          <cell r="G1593" t="str">
            <v>ACOMETIDA MONOFASICA (18+18+110T AWG-THHN-600V-CU) SUMINISTRO E INSTALACION (ACOMETIDAS PARCIALES PARA LOS TABLEROS BREAKERS DE TAQUILLA Y UPS, EN TUBERIA EMT 1". INCLUYE ACCESORIOS DE INSTALACION Y FIJACION.</v>
          </cell>
          <cell r="H1593" t="str">
            <v>ML</v>
          </cell>
          <cell r="I1593">
            <v>42831</v>
          </cell>
        </row>
        <row r="1594">
          <cell r="F1594">
            <v>5833</v>
          </cell>
          <cell r="G1594" t="str">
            <v>ACOMETIDA MONOFASICA (14+14+16T AWG-THHN-600V-CU) SUMINISTRO E INSTALACION (ACOMETIDAS PARCIALES PARA LOS TABLEROS REGULADOS DE MODULOS, EN TUBERIA EMT 1 1/2". INCLUYE ACCESORIOS DE INSTALACION Y FIJACION.</v>
          </cell>
          <cell r="H1594" t="str">
            <v>ML</v>
          </cell>
          <cell r="I1594">
            <v>88106</v>
          </cell>
        </row>
        <row r="1595">
          <cell r="F1595">
            <v>5834</v>
          </cell>
          <cell r="G1595" t="str">
            <v>ACOMETIDA MONOFASICA (110+110+112T AWG-THHN-600V-CU) SUMINISTRO E INSTALACION (ACOMETIDAS PARCIALES PARA LOS TABLEROS BREAKERS DE PUBLICIDAD, EN TUBERIA EMT 3/4". INCLUYE ACCESORIOS DE INSTALACION Y FIJACION.</v>
          </cell>
          <cell r="H1595" t="str">
            <v>ML</v>
          </cell>
          <cell r="I1595">
            <v>32107</v>
          </cell>
        </row>
        <row r="1596">
          <cell r="F1596">
            <v>5835</v>
          </cell>
          <cell r="G1596" t="str">
            <v>CABLE COBRE DESNUDO 1/0 AWG PARA EL ANILLO EQUIPOTENCIAL DE LA ESTACION, UNIENDO LOS ELECTRODOS DE CAJA DE 4 MEDIDORES CON LOS DE LOS MODULOS EN TUBERIA EMT 1". INCLUYE ACCESORIOS DE FIJACION E INSTALACION.</v>
          </cell>
          <cell r="H1596" t="str">
            <v>ML</v>
          </cell>
          <cell r="I1596">
            <v>51526</v>
          </cell>
        </row>
        <row r="1597">
          <cell r="F1597">
            <v>5836</v>
          </cell>
          <cell r="G1597" t="str">
            <v>ACOMETIDA TRIFASICA (36+16+18T AWG-THHN-600V-CU) SUMINISTRO E INSTALACION (ACOMETIDAS PARCIALES PARA LOS TABLEROS BREAKERS DE TRANSMILENIO, EN TUBERIA EMT 1 1/2". INCLUYE ACCESORIOS DE INSTALACION Y FIJACION.</v>
          </cell>
          <cell r="H1597" t="str">
            <v>ML</v>
          </cell>
          <cell r="I1597">
            <v>91797</v>
          </cell>
        </row>
        <row r="1598">
          <cell r="F1598">
            <v>5837</v>
          </cell>
          <cell r="G1598" t="str">
            <v>ACOMETIDA MONOFASICA (16+16+18T AWG-THHN-600V-CU) SUMINISTRO E INSTALACION (ACOMETIDAS PARCIALES PARA LOS TABLEROS BREAKERS DE TAQUILLA Y UPS, EN TUBERIA EMT 1 1/4". INCLUYE ACCESORIOS DE INSTALACION Y FIJACION.</v>
          </cell>
          <cell r="H1598" t="str">
            <v>ML</v>
          </cell>
          <cell r="I1598">
            <v>58239</v>
          </cell>
        </row>
        <row r="1599">
          <cell r="F1599">
            <v>5838</v>
          </cell>
          <cell r="G1599" t="str">
            <v>ACOMETIDA MONOFASICA (12+12+14T AWG-THHN-600V-CU) SUMINISTRO E INSTALACION (ACOMETIDAS PARCIALES PARA LOS TABLEROS REGULADOS DE LOS MODULOS, EN TUBERIA EMT 3". INCLUYE ACCESORIOS DE INSTALACION Y FIJACION.</v>
          </cell>
          <cell r="H1599" t="str">
            <v>ML</v>
          </cell>
          <cell r="I1599">
            <v>172037</v>
          </cell>
        </row>
        <row r="1600">
          <cell r="F1600">
            <v>5839</v>
          </cell>
          <cell r="G1600" t="str">
            <v>CONDUCTOR ACOMETIDA EN BAJA TENSION (44+14T AWG-THHN-600V-CU) SUMINISTRO E INSTALACION (CONDUCTORES DE LA ACOMETIDA ENTRE EL PUNTO DE CONEXION CODENSA Y CAJA DE 4 MEDIDORES INSTALADOS EN TUBERIA DE 2X4" PVC.</v>
          </cell>
          <cell r="H1600" t="str">
            <v>ML</v>
          </cell>
          <cell r="I1600">
            <v>124670</v>
          </cell>
        </row>
        <row r="1601">
          <cell r="F1601">
            <v>5840</v>
          </cell>
          <cell r="G1601" t="str">
            <v>TUBERIA METALICA EMT DE D= 1". SUMINISTRO E INSTALACION. (INCLUYE ACCESORIOS DE INSTALACION Y FIJACION).</v>
          </cell>
          <cell r="H1601" t="str">
            <v>ML</v>
          </cell>
          <cell r="I1601">
            <v>26316</v>
          </cell>
        </row>
        <row r="1602">
          <cell r="F1602">
            <v>5841</v>
          </cell>
          <cell r="G1602" t="str">
            <v>CONDUCTOR ACOMETIDA EN BAJA TENSION (42+12T AWG-THHN-600V-CU) SUMINISTRO E INSTALACION (CONDUCTORES DE LA ACOMETIDA ENTRE EL PUNTO DE CONEXION CODENSA Y CAJA DE 4 MEDIDORES INSTALADOS EN TUBERIA DE 2X4" PVC.</v>
          </cell>
          <cell r="H1602" t="str">
            <v>ML</v>
          </cell>
          <cell r="I1602">
            <v>164813</v>
          </cell>
        </row>
        <row r="1603">
          <cell r="F1603">
            <v>5842</v>
          </cell>
          <cell r="G1603" t="str">
            <v>ESCARIFICACION, HUMEDECIMIENTO, NIVELACION Y COMPACTACION CON VIBROCOMPACTADOR DEL MATERIAL GRANULAR EXISTENTE.</v>
          </cell>
          <cell r="H1603" t="str">
            <v>M3</v>
          </cell>
          <cell r="I1603">
            <v>24451</v>
          </cell>
        </row>
        <row r="1604">
          <cell r="F1604">
            <v>5843</v>
          </cell>
          <cell r="G1604" t="str">
            <v>GEOMALLAS CON FIBRAS CONTINUAS DE MULTIFILAMENTOS DE POLIESTER DE ALTA TENACIDAD (IDU ET SECCION 342-11 TRAFICO T4 - T5, RESISTENCIA ULTIMA &gt; 100KN/M). SUMINISTRO E INSTALACION.</v>
          </cell>
          <cell r="H1604" t="str">
            <v>M2</v>
          </cell>
          <cell r="I1604">
            <v>29851</v>
          </cell>
        </row>
        <row r="1605">
          <cell r="F1605">
            <v>5844</v>
          </cell>
          <cell r="G1605" t="str">
            <v>GEOMALLAS CON FIBRAS CONTINUAS DE MULTIFILAMENTOS DE POLIESTER DE ALTA TENACIDAD (IDU ET SECCION 342-11 TRAFICO T4 - T5, RESISTENCIA ULTIMA &gt; 75KN/M). SUMINISTRO E INSTALACION.</v>
          </cell>
          <cell r="H1605" t="str">
            <v>M2</v>
          </cell>
          <cell r="I1605">
            <v>24870</v>
          </cell>
        </row>
        <row r="1606">
          <cell r="F1606">
            <v>5845</v>
          </cell>
          <cell r="G1606" t="str">
            <v>GEODREN VIAL CON TUBERIA CIRCULAR 100MM H= 2.0M. SUMINISTRO E INSTALACION. (NO INCLUYE EXCAVACION NI RELLENOS)</v>
          </cell>
          <cell r="H1606" t="str">
            <v>ML</v>
          </cell>
          <cell r="I1606">
            <v>113767</v>
          </cell>
        </row>
        <row r="1607">
          <cell r="F1607">
            <v>5846</v>
          </cell>
          <cell r="G1607" t="str">
            <v>SEPARADORES TIPO TRANSMILENIO DELINEADOR TIPO A EN POLIETILENO (0.77M X 0.15M X 0.10M) Y 4 TORNILLOS EN ACERO INOXIDABLE DE 1/2" DE ANCHO Y 4 TORNILLOS DE 1/2" DE LARGO. SUMINISTRO E INSTALACION.</v>
          </cell>
          <cell r="H1607" t="str">
            <v>UN</v>
          </cell>
          <cell r="I1607">
            <v>134823</v>
          </cell>
        </row>
        <row r="1608">
          <cell r="F1608">
            <v>5847</v>
          </cell>
          <cell r="G1608" t="str">
            <v>SEPARADORES TIPO TRANSMILENIO DELINEADOR TIPO B EN POLIETILENO (0.78M X 0.20M X 0.15M) Y 4 TORNILLOS EN ACERO INOXIDABLE DE 1/2" DE ANCHO Y 5 TORNILLOS DE 1/2" DE LARGO. SUMINISTRO E INSTALACION.</v>
          </cell>
          <cell r="H1608" t="str">
            <v>UN</v>
          </cell>
          <cell r="I1608">
            <v>217468</v>
          </cell>
        </row>
        <row r="1609">
          <cell r="F1609">
            <v>5848</v>
          </cell>
          <cell r="G1609" t="str">
            <v>SEPARADORES TIPO TRANSMILENIO DELINEADOR TIPO C EN POLIETILENO (0.405M X 0.15M X 0.85M) Y 2 TORNILLOS EN ACERO INOXIDABLE DE 1/2" DE ANCHO Y 4 TORNILLOS DE 1/2" DE LARGO. SUMINISTRO E INSTALACION.</v>
          </cell>
          <cell r="H1609" t="str">
            <v>UN</v>
          </cell>
          <cell r="I1609">
            <v>54200</v>
          </cell>
        </row>
        <row r="1610">
          <cell r="F1610">
            <v>5850</v>
          </cell>
          <cell r="G1610" t="str">
            <v>FLECHA DIRECCIONAL "A LA IZQUIERDA" (E= 15 MILS. TERMOPLASTICA. AREA: 1.5037 M2 SEGUN EL MANUAL DE SEÑALIZACION VIAL. SUMINISTRO Y APLICACION CON EQUIPO. INCLUYE MICROESFERAS.</v>
          </cell>
          <cell r="H1610" t="str">
            <v>UN</v>
          </cell>
          <cell r="I1610">
            <v>192050</v>
          </cell>
        </row>
        <row r="1611">
          <cell r="F1611">
            <v>5851</v>
          </cell>
          <cell r="G1611" t="str">
            <v>DEMARCACION DE FLECHA DE TERMINACION DE CARRIL (E= 2.3 MILS. TERMOPLASTICA. AREA: 4.1850 M2 SEGUN EL MANUAL DE SEÑALIZACION VIAL. SUMINISTRO Y APLICACION CON EQUIPO. INCLUYE MICROESFERAS.</v>
          </cell>
          <cell r="H1611" t="str">
            <v>UN</v>
          </cell>
          <cell r="I1611">
            <v>516715</v>
          </cell>
        </row>
        <row r="1612">
          <cell r="F1612">
            <v>5852</v>
          </cell>
          <cell r="G1612" t="str">
            <v>FLECHA DIRECCIONAL "FRENTE, DERECHA E IZQUIERDA" (E= 2.3 MILS. TERMOPLASTICA. AREA: 3.2095 M2 SEGUN EL MANUAL DE SEÑALIZACION VIAL. SUMINISTRO Y APLICACION CON EQUIPO. INCLUYE MICROESFERAS.</v>
          </cell>
          <cell r="H1612" t="str">
            <v>UN</v>
          </cell>
          <cell r="I1612">
            <v>398597</v>
          </cell>
        </row>
        <row r="1613">
          <cell r="F1613">
            <v>5854</v>
          </cell>
          <cell r="G1613" t="str">
            <v>DEMARCACION TEXTO PARE. AREA: 1.48 M2. (E= 2.3 MILS, TERMOPLASTICA. SUMINISTRO Y APLICACION CON EQUIPO. INCLUYE MICROESFERAS.</v>
          </cell>
          <cell r="H1613" t="str">
            <v>UN</v>
          </cell>
          <cell r="I1613">
            <v>183772</v>
          </cell>
        </row>
        <row r="1614">
          <cell r="F1614">
            <v>5856</v>
          </cell>
          <cell r="G1614" t="str">
            <v>DEMARCACION DE ACHURADO. AREA: 1.0 M2. (E= 2.3 MILS, TERMOPLASTICA. SUMINISTRO Y APLICACION CON EQUIPO. INCLUYE MICROESFERAS.</v>
          </cell>
          <cell r="H1614" t="str">
            <v>M2</v>
          </cell>
          <cell r="I1614">
            <v>131060</v>
          </cell>
        </row>
        <row r="1615">
          <cell r="F1615">
            <v>5858</v>
          </cell>
          <cell r="G1615" t="str">
            <v>DEMARCACION DE LINEA LOGARITMICA. AREA: 0.60 M2. (E= 2.3 MILS, TERMOPLASTICA. SUMINISTRO Y APLICACION CON EQUIPO. INCLUYE MICROESFERAS.</v>
          </cell>
          <cell r="H1615" t="str">
            <v>ML</v>
          </cell>
          <cell r="I1615">
            <v>77216</v>
          </cell>
        </row>
        <row r="1616">
          <cell r="F1616">
            <v>5860</v>
          </cell>
          <cell r="G1616" t="str">
            <v>DEMARCACION DE LINEA DE PARE. AREA: 0.60 M2. (E= 2.3 MILS, TERMOPLASTICA. SUMINISTRO Y APLICACION CON EQUIPO. INCLUYE MICROESFERAS.</v>
          </cell>
          <cell r="H1616" t="str">
            <v>M2</v>
          </cell>
          <cell r="I1616">
            <v>82625</v>
          </cell>
        </row>
        <row r="1617">
          <cell r="F1617">
            <v>5862</v>
          </cell>
          <cell r="G1617" t="str">
            <v>DEMARCACION DE LINEA SENDERO PEATONAL. AREA: 0.30 M2. (E= 2.3 MILS, TERMOPLASTICA. SUMINISTRO Y APLICACION CON EQUIPO. INCLUYE MICROESFERAS.</v>
          </cell>
          <cell r="H1617" t="str">
            <v>ML</v>
          </cell>
          <cell r="I1617">
            <v>40523</v>
          </cell>
        </row>
        <row r="1618">
          <cell r="F1618">
            <v>5864</v>
          </cell>
          <cell r="G1618" t="str">
            <v>DEMARCACION ZONA ANTIBLOQUEO. AREA: 0.30 M2. (E= 2.3 MILS, TERMOPLASTICA. SUMINISTRO Y APLICACION CON EQUIPO. INCLUYE MICROESFERAS.</v>
          </cell>
          <cell r="H1618" t="str">
            <v>ML</v>
          </cell>
          <cell r="I1618">
            <v>40523</v>
          </cell>
        </row>
        <row r="1619">
          <cell r="F1619">
            <v>5866</v>
          </cell>
          <cell r="G1619" t="str">
            <v>DEMARCACION DE LINEA DE PARADERO DE BUSES. AREA: 5.5775 M2. (E= 2.3 MILS, TERMOPLASTICA. SUMINISTRO Y APLICACION CON EQUIPO. INCLUYE MICROESFERAS.</v>
          </cell>
          <cell r="H1619" t="str">
            <v>UN</v>
          </cell>
          <cell r="I1619">
            <v>715212</v>
          </cell>
        </row>
        <row r="1620">
          <cell r="F1620">
            <v>5868</v>
          </cell>
          <cell r="G1620" t="str">
            <v>DEMARCACION PICTOGRAMA TRIANGULOS CEDA EL PASO. (E= 2.3 MILS, TERMOPLASTICA. SUMINISTRO Y APLICACION CON EQUIPO. INCLUYE MICROESFERAS.</v>
          </cell>
          <cell r="H1620" t="str">
            <v>M2</v>
          </cell>
          <cell r="I1620">
            <v>124405</v>
          </cell>
        </row>
        <row r="1621">
          <cell r="F1621">
            <v>5870</v>
          </cell>
          <cell r="G1621" t="str">
            <v>DEMARCACION LINEA DE CEDA EL PASO DISCONTINUA. AREA: 0.32M2. (E= 2.3 MILS, TERMOPLASTICA. SUMINISTRO Y APLICACION CON EQUIPO. INCLUYE MICROESFERAS.</v>
          </cell>
          <cell r="H1621" t="str">
            <v>UN</v>
          </cell>
          <cell r="I1621">
            <v>42067</v>
          </cell>
        </row>
        <row r="1622">
          <cell r="F1622">
            <v>5871</v>
          </cell>
          <cell r="G1622" t="str">
            <v>BASE DE CONCRETO PARA POSTE TIPO T1 O T2 (0.80M X 0.80M X 0.80M). CONSTRUCCIÓN. INCLUYE EXCAVACIÓN, CONCRETO 3000 PSI HECHO EN OBRA, FUNDIDA, ARMADURA Y CURVA 90° PVC D= 2". HASTA MÉNSULA DE 6.5M.</v>
          </cell>
          <cell r="H1622" t="str">
            <v>UN</v>
          </cell>
          <cell r="I1622">
            <v>454408</v>
          </cell>
        </row>
        <row r="1623">
          <cell r="F1623">
            <v>5872</v>
          </cell>
          <cell r="G1623" t="str">
            <v>BASE DE CONCRETO PARA POSTE TIPO T1 O T2 (0.80M X 0.80M X 0.80M). CONSTRUCCIÓN. INCLUYE EXCAVACIÓN, CONCRETO 3000 PSI HECHO EN OBRA, FUNDIDA, ARMADURA Y CURVA 90° PVC D= 2". HASTA MÉNSULA DE 8.5M.</v>
          </cell>
          <cell r="H1623" t="str">
            <v>UN</v>
          </cell>
          <cell r="I1623">
            <v>474760</v>
          </cell>
        </row>
        <row r="1624">
          <cell r="F1624">
            <v>5873</v>
          </cell>
          <cell r="G1624" t="str">
            <v>CURVA 90° PVC D= 2". SUMINISTRO E INSTALACION. NO INCLUYE RELLENOS.</v>
          </cell>
          <cell r="H1624" t="str">
            <v>UN</v>
          </cell>
          <cell r="I1624">
            <v>24802</v>
          </cell>
        </row>
        <row r="1625">
          <cell r="F1625">
            <v>5874</v>
          </cell>
          <cell r="G1625" t="str">
            <v>PEDESTAL EN CONCRETO DE 3500 PSI GRAVA COMÚN (0.30 M X 0.40 M X 1.00 M) O MEDIDAS SIMILARES. CONSTRUCCIÓN. CON DOS DUCTOS PESADOS DE PVC TIPO DB D= 2".</v>
          </cell>
          <cell r="H1625" t="str">
            <v>UN</v>
          </cell>
          <cell r="I1625">
            <v>214155</v>
          </cell>
        </row>
        <row r="1626">
          <cell r="F1626">
            <v>5875</v>
          </cell>
          <cell r="G1626" t="str">
            <v>RETIRO DE POSTES T1, T1X Y T2 (INCLUYE GRUA).</v>
          </cell>
          <cell r="H1626" t="str">
            <v>UN</v>
          </cell>
          <cell r="I1626">
            <v>183901</v>
          </cell>
        </row>
        <row r="1627">
          <cell r="F1627">
            <v>5876</v>
          </cell>
          <cell r="G1627" t="str">
            <v>RETIRO Y REUBICACION DE POSTES T1, T1X Y T2 (INCLUYE GRUA).</v>
          </cell>
          <cell r="H1627" t="str">
            <v>UN</v>
          </cell>
          <cell r="I1627">
            <v>297339</v>
          </cell>
        </row>
        <row r="1628">
          <cell r="F1628">
            <v>5877</v>
          </cell>
          <cell r="G1628" t="str">
            <v>REUBICACION DE SEMAFORO PEATONAL.</v>
          </cell>
          <cell r="H1628" t="str">
            <v>UN</v>
          </cell>
          <cell r="I1628">
            <v>66945</v>
          </cell>
        </row>
        <row r="1629">
          <cell r="F1629">
            <v>5878</v>
          </cell>
          <cell r="G1629" t="str">
            <v>POSTE TIPO MASTIL T1X (5.00M) EN TUBO SCH 40 GALVANIZADO Y PINTADO. SUMINISTRO E INSTALACIÓN.</v>
          </cell>
          <cell r="H1629" t="str">
            <v>UN</v>
          </cell>
          <cell r="I1629">
            <v>3322234</v>
          </cell>
        </row>
        <row r="1630">
          <cell r="F1630">
            <v>5879</v>
          </cell>
          <cell r="G1630" t="str">
            <v>REUBICACION DE SEMAFORO VEHICULAR PARA FIJACION DE MASTIL.</v>
          </cell>
          <cell r="H1630" t="str">
            <v>UN</v>
          </cell>
          <cell r="I1630">
            <v>249291</v>
          </cell>
        </row>
        <row r="1631">
          <cell r="F1631">
            <v>5880</v>
          </cell>
          <cell r="G1631" t="str">
            <v>REUBICACION DE SEMAFORO VEHICULAR PARA FIJACION DE MENSULA.</v>
          </cell>
          <cell r="H1631" t="str">
            <v>UN</v>
          </cell>
          <cell r="I1631">
            <v>311610</v>
          </cell>
        </row>
        <row r="1632">
          <cell r="F1632">
            <v>5881</v>
          </cell>
          <cell r="G1632" t="str">
            <v>RETIRO DE SOLDADURA PARA TAPAS RECTANGULARES DE CAJAS DE PASO.</v>
          </cell>
          <cell r="H1632" t="str">
            <v>UN</v>
          </cell>
          <cell r="I1632">
            <v>3138</v>
          </cell>
        </row>
        <row r="1633">
          <cell r="F1633">
            <v>5882</v>
          </cell>
          <cell r="G1633" t="str">
            <v>PLATINA DE POSTE (CUADRADA DE 0.30M X 0.30M FABRICADA EN HIERRO DE 3/8" DE ESPESOR CON 4 ORIFICIOS DE 3/4" Y UNA PERFORACION CENTRAL DE 3" PARA FIJACION DEL POSTE AL ANCLAJE BASE).</v>
          </cell>
          <cell r="H1633" t="str">
            <v>UN</v>
          </cell>
          <cell r="I1633">
            <v>147627</v>
          </cell>
        </row>
        <row r="1634">
          <cell r="F1634">
            <v>5883</v>
          </cell>
          <cell r="G1634" t="str">
            <v>COLOCACION DE SOLDADURA E-7018 PARA TAPAS RECTANGULARES DE CAJAS DE PASO.</v>
          </cell>
          <cell r="H1634" t="str">
            <v>UN</v>
          </cell>
          <cell r="I1634">
            <v>10133</v>
          </cell>
        </row>
        <row r="1635">
          <cell r="F1635">
            <v>5884</v>
          </cell>
          <cell r="G1635" t="str">
            <v>APLICACION DE PINTURA EN VIA DE POSTES TIPO MASTIL T1 Y T1X.</v>
          </cell>
          <cell r="H1635" t="str">
            <v>UN</v>
          </cell>
          <cell r="I1635">
            <v>76142</v>
          </cell>
        </row>
        <row r="1636">
          <cell r="F1636">
            <v>5885</v>
          </cell>
          <cell r="G1636" t="str">
            <v>PINTURA EN VIA DE POSTES TIPO MENSULA T2 (L= 4.50M A 6.50M).</v>
          </cell>
          <cell r="H1636" t="str">
            <v>UN</v>
          </cell>
          <cell r="I1636">
            <v>82597</v>
          </cell>
        </row>
        <row r="1637">
          <cell r="F1637">
            <v>5886</v>
          </cell>
          <cell r="G1637" t="str">
            <v>TUBERIA DE CONCRETO DE ALTA RESISTENCIA D= 8" (INCLUYE MORTERO DE INSTALACION). SUMINISTRO E INSTALACION.</v>
          </cell>
          <cell r="H1637" t="str">
            <v>ML</v>
          </cell>
          <cell r="I1637">
            <v>312688</v>
          </cell>
        </row>
        <row r="1638">
          <cell r="F1638">
            <v>5887</v>
          </cell>
          <cell r="G1638" t="str">
            <v>TUBERIA DE CONCRETO DE ALTA RESISTENCIA D= 16" (INCLUYE MORTERO DE INSTALACION). SUMINISTRO E INSTALACION.</v>
          </cell>
          <cell r="H1638" t="str">
            <v>ML</v>
          </cell>
          <cell r="I1638">
            <v>571008</v>
          </cell>
        </row>
        <row r="1639">
          <cell r="F1639">
            <v>5888</v>
          </cell>
          <cell r="G1639" t="str">
            <v>TUBERIA DE CONCRETO DE ALTA RESISTENCIA D= 18" (INCLUYE MORTERO DE INSTALACION). SUMINISTRO E INSTALACION.</v>
          </cell>
          <cell r="H1639" t="str">
            <v>ML</v>
          </cell>
          <cell r="I1639">
            <v>686257</v>
          </cell>
        </row>
        <row r="1640">
          <cell r="F1640">
            <v>5889</v>
          </cell>
          <cell r="G1640" t="str">
            <v>TUBERIA DE CONCRETO DE ALTA RESISTENCIA D= 20" (INCLUYE MORTERO DE INSTALACION). SUMINISTRO E INSTALACION.</v>
          </cell>
          <cell r="H1640" t="str">
            <v>ML</v>
          </cell>
          <cell r="I1640">
            <v>793352</v>
          </cell>
        </row>
        <row r="1641">
          <cell r="F1641">
            <v>5890</v>
          </cell>
          <cell r="G1641" t="str">
            <v>ENTIBADO TIPO ED2, DISCONTINUO EN MADERA, CON PERFILES METALICOS Y PARALES TELESCOPICOS (INCLUYE SUMINISTRO E INSTALACION).</v>
          </cell>
          <cell r="H1641" t="str">
            <v>M2</v>
          </cell>
          <cell r="I1641">
            <v>40338</v>
          </cell>
        </row>
        <row r="1642">
          <cell r="F1642">
            <v>5891</v>
          </cell>
          <cell r="G1642" t="str">
            <v>EXCAVACION MECANICA PARA REDES PROFUNDIDAD MAYORES A 3.5M (INCLUYE CARGUE).</v>
          </cell>
          <cell r="H1642" t="str">
            <v>M3</v>
          </cell>
          <cell r="I1642">
            <v>2729</v>
          </cell>
        </row>
        <row r="1643">
          <cell r="F1643">
            <v>5892</v>
          </cell>
          <cell r="G1643" t="str">
            <v>EMPATE EN LÍNEA DE TUBERÍA DE ACERO (HA) A ASBESTO CEMENTO (AC) 3". SUMINISTRO E INSTALACIÓN. (INCLUYE DOS ACOPLES UNIVERSAL D= 3" R1 Y 1MT DE TUBERÍA PVC D= 3" RDE 21).</v>
          </cell>
          <cell r="H1643" t="str">
            <v>UN</v>
          </cell>
          <cell r="I1643">
            <v>364042</v>
          </cell>
        </row>
        <row r="1644">
          <cell r="F1644">
            <v>5893</v>
          </cell>
          <cell r="G1644" t="str">
            <v>EMPATE EN LÍNEA DE TUBERÍA DE ACERO (HA) A ASBESTO CEMENTO (AC) 4". SUMINISTRO E INSTALACIÓN. (INCLUYE DOS ACOPLES UNIVERSAL D= 4" R1 Y 1MT DE TUBERÍA PVC D= 4" RDE 21).</v>
          </cell>
          <cell r="H1644" t="str">
            <v>UN</v>
          </cell>
          <cell r="I1644">
            <v>410407</v>
          </cell>
        </row>
        <row r="1645">
          <cell r="F1645">
            <v>5894</v>
          </cell>
          <cell r="G1645" t="str">
            <v>EMPATE EN LÍNEA DE TUBERÍA DE ACERO (HA) A ASBESTO CEMENTO (AC) 12". SUMINISTRO E INSTALACIÓN. (INCLUYE DOS ACOPLES UNIVERSAL D= 12" R1 Y 1MT DE TUBERÍA PVC D= 12" RDE 21).</v>
          </cell>
          <cell r="H1645" t="str">
            <v>UN</v>
          </cell>
          <cell r="I1645">
            <v>1896473</v>
          </cell>
        </row>
        <row r="1646">
          <cell r="F1646">
            <v>5903</v>
          </cell>
          <cell r="G1646" t="str">
            <v>EVALUACION PARA TRATAMIENTOS A LA VEGETACION DE LA SDA. CANTIDAD &lt; 25 ARBOLES (SEGUN RESOLUCION SDA NO. 5589 DEL 30/09/2011.</v>
          </cell>
          <cell r="H1646" t="str">
            <v>UN</v>
          </cell>
          <cell r="I1646">
            <v>106720</v>
          </cell>
        </row>
        <row r="1647">
          <cell r="F1647">
            <v>5904</v>
          </cell>
          <cell r="G1647" t="str">
            <v>SEGUIMIENTO PARA TRATAMIENTOS A LA VEGETACION DE LA SDA. CANTIDAD &lt; 25 ARBOLES (SEGUN RESOLUCION SDA NO. 5589 DEL 30/09/2011.</v>
          </cell>
          <cell r="H1647" t="str">
            <v>UN</v>
          </cell>
          <cell r="I1647">
            <v>225040</v>
          </cell>
        </row>
        <row r="1648">
          <cell r="F1648">
            <v>5905</v>
          </cell>
          <cell r="G1648" t="str">
            <v>EVALUACION PARA TRATAMIENTOS A LA VEGETACION DE LA SDA. CANTIDAD 25 - 49 ARBOLES (SEGUN RESOLUCION SDA NO. 5589 DEL 30/09/2011.</v>
          </cell>
          <cell r="H1648" t="str">
            <v>UN</v>
          </cell>
          <cell r="I1648">
            <v>146160</v>
          </cell>
        </row>
        <row r="1649">
          <cell r="F1649">
            <v>5906</v>
          </cell>
          <cell r="G1649" t="str">
            <v>SEGUIMIENTO PARA TRATAMIENTOS A LA VEGETACION DE LA SDA. CANTIDAD 25 - 49 ARBOLES (SEGUN RESOLUCION SDA NO. 5589 DEL 30/09/2011.</v>
          </cell>
          <cell r="H1649" t="str">
            <v>UN</v>
          </cell>
          <cell r="I1649">
            <v>302760</v>
          </cell>
        </row>
        <row r="1650">
          <cell r="F1650">
            <v>5907</v>
          </cell>
          <cell r="G1650" t="str">
            <v>EVALUACION PARA TRATAMIENTOS A LA VEGETACION DE LA SDA. CANTIDAD 50 - 99 ARBOLES (SEGUN RESOLUCION SDA NO. 5589 DEL 30/09/2011.</v>
          </cell>
          <cell r="H1650" t="str">
            <v>UN</v>
          </cell>
          <cell r="I1650">
            <v>185600</v>
          </cell>
        </row>
        <row r="1651">
          <cell r="F1651">
            <v>5908</v>
          </cell>
          <cell r="G1651" t="str">
            <v>SEGUIMIENTO PARA TRATAMIENTOS A LA VEGETACION DE LA SDA. CANTIDAD 50 - 99 ARBOLES (SEGUN RESOLUCION SDA NO. 5589 DEL 30/09/2011.</v>
          </cell>
          <cell r="H1651" t="str">
            <v>UN</v>
          </cell>
          <cell r="I1651">
            <v>381640</v>
          </cell>
        </row>
        <row r="1652">
          <cell r="F1652">
            <v>5909</v>
          </cell>
          <cell r="G1652" t="str">
            <v>EVALUACION PARA TRATAMIENTOS A LA VEGETACION DE LA SDA. CANTIDAD 100 - 199 ARBOLES (SEGUN RESOLUCION SDA NO. 5589 DEL 30/09/2011.</v>
          </cell>
          <cell r="H1652" t="str">
            <v>UN</v>
          </cell>
          <cell r="I1652">
            <v>225040</v>
          </cell>
        </row>
        <row r="1653">
          <cell r="F1653">
            <v>5910</v>
          </cell>
          <cell r="G1653" t="str">
            <v>SEGUIMIENTO PARA TRATAMIENTOS A LA VEGETACION DE LA SDA. CANTIDAD 100 - 199 ARBOLES (SEGUN RESOLUCION SDA NO. 5589 DEL 30/09/2011.</v>
          </cell>
          <cell r="H1653" t="str">
            <v>UN</v>
          </cell>
          <cell r="I1653">
            <v>460520</v>
          </cell>
        </row>
        <row r="1654">
          <cell r="F1654">
            <v>5911</v>
          </cell>
          <cell r="G1654" t="str">
            <v>EVALUACION PARA TRATAMIENTOS A LA VEGETACION DE LA SDA. CANTIDAD 200 - 299 ARBOLES (SEGUN RESOLUCION SDA NO. 5589 DEL 30/09/2011.</v>
          </cell>
          <cell r="H1654" t="str">
            <v>UN</v>
          </cell>
          <cell r="I1654">
            <v>302760</v>
          </cell>
        </row>
        <row r="1655">
          <cell r="F1655">
            <v>5912</v>
          </cell>
          <cell r="G1655" t="str">
            <v>SEGUIMIENTO PARA TRATAMIENTOS A LA VEGETACION DE LA SDA. CANTIDAD 200 - 299 ARBOLES (SEGUN RESOLUCION SDA NO. 5589 DEL 30/09/2011.</v>
          </cell>
          <cell r="H1655" t="str">
            <v>UN</v>
          </cell>
          <cell r="I1655">
            <v>617120</v>
          </cell>
        </row>
        <row r="1656">
          <cell r="F1656">
            <v>5913</v>
          </cell>
          <cell r="G1656" t="str">
            <v>EVALUACION PARA TRATAMIENTOS A LA VEGETACION DE LA SDA. CANTIDAD 300 - 399 ARBOLES (SEGUN RESOLUCION SDA NO. 5589 DEL 30/09/2011.</v>
          </cell>
          <cell r="H1656" t="str">
            <v>UN</v>
          </cell>
          <cell r="I1656">
            <v>448920</v>
          </cell>
        </row>
        <row r="1657">
          <cell r="F1657">
            <v>5914</v>
          </cell>
          <cell r="G1657" t="str">
            <v>SEGUIMIENTO PARA TRATAMIENTOS A LA VEGETACION DE LA SDA. CANTIDAD 300 - 399 ARBOLES (SEGUN RESOLUCION SDA NO. 5589 DEL 30/09/2011.</v>
          </cell>
          <cell r="H1657" t="str">
            <v>UN</v>
          </cell>
          <cell r="I1657">
            <v>773720</v>
          </cell>
        </row>
        <row r="1658">
          <cell r="F1658">
            <v>5915</v>
          </cell>
          <cell r="G1658" t="str">
            <v>EVALUACION PARA TRATAMIENTOS A LA VEGETACION DE LA SDA. CANTIDAD 400 - 499 ARBOLES (SEGUN RESOLUCION SDA NO. 5589 DEL 30/09/2011.</v>
          </cell>
          <cell r="H1658" t="str">
            <v>UN</v>
          </cell>
          <cell r="I1658">
            <v>595080</v>
          </cell>
        </row>
        <row r="1659">
          <cell r="F1659">
            <v>5916</v>
          </cell>
          <cell r="G1659" t="str">
            <v>SEGUIMIENTO PARA TRATAMIENTOS A LA VEGETACION DE LA SDA. CANTIDAD 400 - 499 ARBOLES (SEGUN RESOLUCION SDA NO. 5589 DEL 30/09/2011.</v>
          </cell>
          <cell r="H1659" t="str">
            <v>UN</v>
          </cell>
          <cell r="I1659">
            <v>1166960</v>
          </cell>
        </row>
        <row r="1660">
          <cell r="F1660">
            <v>5917</v>
          </cell>
          <cell r="G1660" t="str">
            <v>EVALUACION PARA TRATAMIENTOS A LA VEGETACION DE LA SDA. CANTIDAD 500 - 999 ARBOLES (SEGUN RESOLUCION SDA NO. 5589 DEL 30/09/2011.</v>
          </cell>
          <cell r="H1660" t="str">
            <v>UN</v>
          </cell>
          <cell r="I1660">
            <v>988320</v>
          </cell>
        </row>
        <row r="1661">
          <cell r="F1661">
            <v>5918</v>
          </cell>
          <cell r="G1661" t="str">
            <v>SEGUIMIENTO PARA TRATAMIENTOS A LA VEGETACION DE LA SDA. CANTIDAD 500 - 999 ARBOLES (SEGUN RESOLUCION SDA NO. 5589 DEL 30/09/2011.</v>
          </cell>
          <cell r="H1661" t="str">
            <v>UN</v>
          </cell>
          <cell r="I1661">
            <v>2244600</v>
          </cell>
        </row>
        <row r="1662">
          <cell r="F1662">
            <v>5919</v>
          </cell>
          <cell r="G1662" t="str">
            <v>EVALUACION PARA TRATAMIENTOS A LA VEGETACION DE LA SDA. CANTIDAD &gt; 1000 ARBOLES (SEGUN RESOLUCION SDA NO. 5589 DEL 30/09/2011.</v>
          </cell>
          <cell r="H1662" t="str">
            <v>UN</v>
          </cell>
          <cell r="I1662">
            <v>1223800</v>
          </cell>
        </row>
        <row r="1663">
          <cell r="F1663">
            <v>5920</v>
          </cell>
          <cell r="G1663" t="str">
            <v>SEGUIMIENTO PARA TRATAMIENTOS A LA VEGETACION DE LA SDA. CANTIDAD &gt;1000 ARBOLES (SEGUN RESOLUCION SDA NO. 5589 DEL 30/09/2011.</v>
          </cell>
          <cell r="H1663" t="str">
            <v>UN</v>
          </cell>
          <cell r="I1663">
            <v>2636680</v>
          </cell>
        </row>
        <row r="1664">
          <cell r="F1664">
            <v>5921</v>
          </cell>
          <cell r="G1664" t="str">
            <v>DESMONTE DE PARADERO URBANO TIPO M10 (INCLUYE CARGUE Y TRANSPORTE A ALMACEN AUTORIZADO POR EL IDU.</v>
          </cell>
          <cell r="H1664" t="str">
            <v>UN</v>
          </cell>
          <cell r="I1664">
            <v>424749</v>
          </cell>
        </row>
        <row r="1665">
          <cell r="F1665">
            <v>5922</v>
          </cell>
          <cell r="G1665" t="str">
            <v>DESMONTE DE TELÉFONO PUBLICO DE PEDESTAL TIPO M20 (INCLUYE CARGUE Y TRANSPORTE A ALMACÉN AUTORIZADO POR EL IDU (NO INCLUYE REPARACIÓN DEL SITIO).</v>
          </cell>
          <cell r="H1665" t="str">
            <v>UN</v>
          </cell>
          <cell r="I1665">
            <v>68927</v>
          </cell>
        </row>
        <row r="1666">
          <cell r="F1666">
            <v>5923</v>
          </cell>
          <cell r="G1666" t="str">
            <v>DESMONTE DE BANCA EN CONCRETO TIPO M30 (INCLUYE CARGUE Y TRANSPORTE A ALMACEN AUTORIZADO POR EL IDU (NO INCLUYE REPARACION DEL SITIO).</v>
          </cell>
          <cell r="H1666" t="str">
            <v>UN</v>
          </cell>
          <cell r="I1666">
            <v>92971</v>
          </cell>
        </row>
        <row r="1667">
          <cell r="F1667">
            <v>5924</v>
          </cell>
          <cell r="G1667" t="str">
            <v>DESMONTE DE PROTECTOR DE ARBOL TIPO M90 (INCLUYE CARGUE Y TRANSPORTE A ALMACEN AUTORIZADO POR EL IDU (NO INCLUYE REPARACION DEL SITIO).</v>
          </cell>
          <cell r="H1667" t="str">
            <v>UN</v>
          </cell>
          <cell r="I1667">
            <v>21071</v>
          </cell>
        </row>
        <row r="1668">
          <cell r="F1668">
            <v>5927</v>
          </cell>
          <cell r="G1668" t="str">
            <v>CARTELERA TIPO PUNTO CREA DE 1.00M X 1.00M EN ALUMINIO ANODIZADO, CON PAÑO COLOR GRIS, CENEFA SUPERIOR, PUERTAS CORREDIZAS, LOGO INSTITUCIONAL. INCLUYE SUMINISTRO E INSTALACION.</v>
          </cell>
          <cell r="H1668" t="str">
            <v>UN</v>
          </cell>
          <cell r="I1668">
            <v>481885</v>
          </cell>
        </row>
        <row r="1669">
          <cell r="F1669">
            <v>5928</v>
          </cell>
          <cell r="G1669" t="str">
            <v>CAMARA FOTOGRAFICA DIGITAL COMPACTA. ALQUILER. DE 16.2 MEGAPIXELES. MEMORIA DE 6 GB. VIDEO HD CON PAUSA Y ZOOM. INCLUYE TRANSPORTE, SOPORTE TECNICO.</v>
          </cell>
          <cell r="H1669" t="str">
            <v>MES</v>
          </cell>
          <cell r="I1669">
            <v>23991</v>
          </cell>
        </row>
        <row r="1670">
          <cell r="F1670">
            <v>5933</v>
          </cell>
          <cell r="G1670" t="str">
            <v>CUBIERTA 333C SENCILLA EN ALUZINC CAL. 24. SUM E INSTAL. PANEL SIN TRASLAPOS LONGITUDINALES. PINTURA PLASTISOL/DURANAR POR 1 CARA. COLOR A ESCOGER (E= 24 MICRONES). CLIPS METALICOS OCULTOS AISLANTE EN FIBRA DE VIDRIO DE 38MM.</v>
          </cell>
          <cell r="H1670" t="str">
            <v>M2</v>
          </cell>
          <cell r="I1670">
            <v>319570</v>
          </cell>
        </row>
        <row r="1671">
          <cell r="F1671">
            <v>5935</v>
          </cell>
          <cell r="G1671" t="str">
            <v>CIELO RASO BAFFLE EN ALUZINC LISO COLOR ALUMINIO MEDIO. SUMINISTRO E INSTALACION. INCL FIJACION CON SISTEMA DE TRABA DE PRESION A UN RIEL PORTAPANEL. SECCION 25MM CON DISTANCIA CADA 100MM Y ALTURA 100MM.</v>
          </cell>
          <cell r="H1671" t="str">
            <v>M2</v>
          </cell>
          <cell r="I1671">
            <v>657162</v>
          </cell>
        </row>
        <row r="1672">
          <cell r="F1672">
            <v>5936</v>
          </cell>
          <cell r="G1672" t="str">
            <v>CIELO 84R EN ALUZINC LISO COLOR ALUMINIO MEDIO. SUMINISTRO E INSTALACION. INCL FIJACION ALA ESTRUCTURA DEL PORTAPANEL POR MEDIO DE AMARRES CADA METRO. ANCHO DEL PANEL DE 84MM</v>
          </cell>
          <cell r="H1672" t="str">
            <v>M2</v>
          </cell>
          <cell r="I1672">
            <v>309733</v>
          </cell>
        </row>
        <row r="1673">
          <cell r="F1673">
            <v>5939</v>
          </cell>
          <cell r="G1673" t="str">
            <v>PILOTE D=20 CM CONCRETO TREMIE DE 3000 PSI. (INCL. EXCAVACIÓN, CARGUE Y RETIRO DE SOBRANTES, MOVILIZACIÓN, MONTAJE Y DESMONTAJE EQUIPO, Y CONCRETO).</v>
          </cell>
          <cell r="H1673" t="str">
            <v>ML</v>
          </cell>
          <cell r="I1673">
            <v>338759</v>
          </cell>
        </row>
        <row r="1674">
          <cell r="F1674">
            <v>5940</v>
          </cell>
          <cell r="G1674" t="str">
            <v>ZAPATA EN CONCRETO PREMEZCLADO DE 3000 PSI (21Mpa), GRAVA COMÚN (Incluye bombeo, Sumin., Formaleteo en madera, Colocación y Curado. No incl. Refuerzo).</v>
          </cell>
          <cell r="H1674" t="str">
            <v>M3</v>
          </cell>
          <cell r="I1674">
            <v>815658</v>
          </cell>
        </row>
        <row r="1675">
          <cell r="F1675">
            <v>5941</v>
          </cell>
          <cell r="G1675" t="str">
            <v>VIGAS DE CIMENTACIÓN ESTACIONES DE TRANSMILENIO DE 0.45m x 0.45m EN CONCRETO PREMEZCLADO DE 3000 PSI (21 Mpa) GRAVA COMUN (Incluye Sumin., Formaleteo en madera, Colocación y Curado. No incl. Refuerzo)</v>
          </cell>
          <cell r="H1675" t="str">
            <v>M3</v>
          </cell>
          <cell r="I1675">
            <v>817942</v>
          </cell>
        </row>
        <row r="1676">
          <cell r="F1676">
            <v>5944</v>
          </cell>
          <cell r="G1676" t="str">
            <v>CONCRETO 4000 PSI GRAVA COMÚN PARA TABLERO PUENTE DE 5.30M X 0.20M X 27.00M (PREMEZCLADO. INCLUYE SUMIN., FORMALETEO Y COLOCACIÓN. NO INCL. REFUERZO, CURADO).</v>
          </cell>
          <cell r="H1676" t="str">
            <v>M3</v>
          </cell>
          <cell r="I1676">
            <v>805121</v>
          </cell>
        </row>
        <row r="1677">
          <cell r="F1677">
            <v>5945</v>
          </cell>
          <cell r="G1677" t="str">
            <v>CONCRETO 3500 PSI GRAVA COMÚN PARA RECALCE DE 0.05M X 0.50M X 1.20M (PREMEZCLADO. INCLUYE SUMIN., FORMALETEO Y COLOCACIÓN. NO INCL. REFUERZO, CURADO).</v>
          </cell>
          <cell r="H1677" t="str">
            <v>M3</v>
          </cell>
          <cell r="I1677">
            <v>742771</v>
          </cell>
        </row>
        <row r="1678">
          <cell r="F1678">
            <v>5946</v>
          </cell>
          <cell r="G1678" t="str">
            <v>CONCRETO 3500 PSI GRAVA COMÚN PARA TOPE SISMICO DE 0.35M X 0.80M X 1.00M (PREMEZCLADO. INCLUYE SUMIN., FORMALETEO Y COLOCACIÓN. NO INCL. REFUERZO, CURADO).</v>
          </cell>
          <cell r="H1678" t="str">
            <v>M3</v>
          </cell>
          <cell r="I1678">
            <v>1043291</v>
          </cell>
        </row>
        <row r="1679">
          <cell r="F1679">
            <v>5947</v>
          </cell>
          <cell r="G1679" t="str">
            <v>CONCRETO 3000 PSI GRAVA COMÚN PARA PLACA DE APROXIMACIÓN PUENTE VEHICULAR DE 5.00M X 3.50M X 0.20M (PREMEZCLADO. INCLUYE SUMIN., FORMALETEO Y COLOCACIÓN. NO INCL. REFUERZO, CURADO).</v>
          </cell>
          <cell r="H1679" t="str">
            <v>M3</v>
          </cell>
          <cell r="I1679">
            <v>827262</v>
          </cell>
        </row>
        <row r="1680">
          <cell r="F1680">
            <v>5948</v>
          </cell>
          <cell r="G1680" t="str">
            <v>CONCRETO 3500 PSI GRAVA COMÚN PARA ESPALDAR ESTRIBOS CON MÉNSULA SECCIÓN 5.30M X 1.70M X 0.30M (PREMEZCLADO. INCLUYE SUMIN., FORMALETEO Y COLOCACIÓN. NO INCL. REFUERZO, CURADO).</v>
          </cell>
          <cell r="H1680" t="str">
            <v>M3</v>
          </cell>
          <cell r="I1680">
            <v>864334</v>
          </cell>
        </row>
        <row r="1681">
          <cell r="F1681">
            <v>5949</v>
          </cell>
          <cell r="G1681" t="str">
            <v>DADO DE CIMENTACION EN CONCRETO 3500 PSI, (24 Mpa) PREMEZCLADO, GRAVA COMÚN. Incluye Suministro, Formaleteo en madera, Bombeo, colocación y curado. (No incl. Refuerzo).</v>
          </cell>
          <cell r="H1681" t="str">
            <v>M3</v>
          </cell>
          <cell r="I1681">
            <v>834849</v>
          </cell>
        </row>
        <row r="1682">
          <cell r="F1682">
            <v>5950</v>
          </cell>
          <cell r="G1682" t="str">
            <v>CONCRETO 3500 PSI GRAVA COMÚN PARA CONSTRUCCIÓN DE CAISSON DE 1.20M DE DIÁMETRO (INCLUYE EXCAVACIÓN MANUAL, SUMINISTRO DE CAMISA METÁLICA PERDIDA E= 3/8" FORMALETEO Y COLOCACIÓN. SUMIN DE CONCRETO PREMEZCLADO. NO INCL. REFUERZO, CURADO).</v>
          </cell>
          <cell r="H1682" t="str">
            <v>M3</v>
          </cell>
          <cell r="I1682">
            <v>2296173</v>
          </cell>
        </row>
        <row r="1683">
          <cell r="F1683">
            <v>5952</v>
          </cell>
          <cell r="G1683" t="str">
            <v>BARANDA METÁLICA M81 (INSTALADO Y PINTADO)</v>
          </cell>
          <cell r="H1683" t="str">
            <v>ML</v>
          </cell>
          <cell r="I1683">
            <v>273700</v>
          </cell>
        </row>
        <row r="1684">
          <cell r="F1684">
            <v>5953</v>
          </cell>
          <cell r="G1684" t="str">
            <v>TUBERIA ACERO CARBON ASTM A=53 SCH 40 DE D=12"</v>
          </cell>
          <cell r="H1684" t="str">
            <v>ML</v>
          </cell>
          <cell r="I1684">
            <v>527467</v>
          </cell>
        </row>
        <row r="1685">
          <cell r="F1685">
            <v>5954</v>
          </cell>
          <cell r="G1685" t="str">
            <v>CANALIZACION VIA PUBLICA NUEVE (9) DUCTOS PVC TIPO TDP 9Ø6"+2Ø3"</v>
          </cell>
          <cell r="H1685" t="str">
            <v>ML</v>
          </cell>
          <cell r="I1685">
            <v>1040481</v>
          </cell>
        </row>
        <row r="1686">
          <cell r="F1686">
            <v>5955</v>
          </cell>
          <cell r="G1686" t="str">
            <v>SEÑAL VERTICAL UNA CARA PARA CICLORUTA PARAL 3M, ÁNGULO DE 2X1/4X3M LAMINA CAL. 16 PINTADA POR UNA CARA 0.60M X 0.60M O 0.75M X 0.75M (INCLUYE SUMINISTRO E INSTALACIÓN)</v>
          </cell>
          <cell r="H1686" t="str">
            <v>UN</v>
          </cell>
          <cell r="I1686">
            <v>268225</v>
          </cell>
        </row>
        <row r="1687">
          <cell r="F1687">
            <v>5975</v>
          </cell>
          <cell r="G1687" t="str">
            <v>CUADRILLA (TECNICO ELECTRICO + 2 AYUDANTES).</v>
          </cell>
          <cell r="H1687" t="str">
            <v>HR</v>
          </cell>
          <cell r="I1687">
            <v>29145</v>
          </cell>
        </row>
        <row r="1688">
          <cell r="F1688">
            <v>5976</v>
          </cell>
          <cell r="G1688" t="str">
            <v>TUBERIA GALVANIZADA 2" PARA ANCLAJES</v>
          </cell>
          <cell r="H1688" t="str">
            <v>ML</v>
          </cell>
          <cell r="I1688">
            <v>61849</v>
          </cell>
        </row>
        <row r="1689">
          <cell r="F1689">
            <v>5992</v>
          </cell>
          <cell r="G1689" t="str">
            <v>TUBERIA CONCRETO D= 32" CL. II REFORZADO. INCLUYE SUMINISTRO E INSTALACIÓN</v>
          </cell>
          <cell r="H1689" t="str">
            <v>ML</v>
          </cell>
          <cell r="I1689">
            <v>1015614</v>
          </cell>
        </row>
        <row r="1690">
          <cell r="F1690">
            <v>5993</v>
          </cell>
          <cell r="G1690" t="str">
            <v>TORRE DE ILUMINACIÓN DE 4 BOMBILLAS DE 1000 WATS CADA UNA. ALQUILER. INCLUYE COMBUSTIBLE A.C.P.M.</v>
          </cell>
          <cell r="H1690" t="str">
            <v>UN/MES</v>
          </cell>
          <cell r="I1690">
            <v>4261497</v>
          </cell>
        </row>
        <row r="1691">
          <cell r="F1691">
            <v>5994</v>
          </cell>
          <cell r="G1691" t="str">
            <v>TUBERIA CONCRETO D= 8" CL. V EXTRARREFORZADA PARA INSTALACIÓN SUPERFICIAL (SUMINISTRO E INSTALACIÓN). INCLUYE MORTERO 2000 PSI PARA RECUBRIMIENTO DE JUNTA.</v>
          </cell>
          <cell r="H1691" t="str">
            <v>ML</v>
          </cell>
          <cell r="I1691">
            <v>235468</v>
          </cell>
        </row>
        <row r="1692">
          <cell r="F1692">
            <v>5995</v>
          </cell>
          <cell r="G1692" t="str">
            <v>TUBERIA CONCRETO D= 16" CL. V EXTRARREFORZADA PARA INSTALACIÓN SUPERFICIAL (SUMINISTRO E INSTALACIÓN). INCLUYE MORTERO 2000 PSI PARA RECUBRIMIENTO DE JUNTA.</v>
          </cell>
          <cell r="H1692" t="str">
            <v>ML</v>
          </cell>
          <cell r="I1692">
            <v>485394</v>
          </cell>
        </row>
        <row r="1693">
          <cell r="F1693">
            <v>5996</v>
          </cell>
          <cell r="G1693" t="str">
            <v>SELLO PVC FLEXIBLE PARA SELLOS DE JUNTAS SOMETIDAS A PRESIÓN HIDRÁULICA, ANCHO = 15CM. SUMINISTRO Y COLOCACIÓN</v>
          </cell>
          <cell r="H1693" t="str">
            <v>ML</v>
          </cell>
          <cell r="I1693">
            <v>34268</v>
          </cell>
        </row>
        <row r="1694">
          <cell r="F1694">
            <v>5997</v>
          </cell>
          <cell r="G1694" t="str">
            <v>GRAVILLA DE 3/4" PEGADA CON MORTERO 1:3 E= 0.15M PARA ENTREGA A CANAL. SUMINISTRO E INSTALACIÓN</v>
          </cell>
          <cell r="H1694" t="str">
            <v>M2</v>
          </cell>
          <cell r="I1694">
            <v>77871</v>
          </cell>
        </row>
        <row r="1695">
          <cell r="F1695">
            <v>5998</v>
          </cell>
          <cell r="G1695" t="str">
            <v>TAPÓN EXTREMO LISO D= 3". SUMINISTRO E INSTALACIÓN</v>
          </cell>
          <cell r="H1695" t="str">
            <v>UN</v>
          </cell>
          <cell r="I1695">
            <v>91118</v>
          </cell>
        </row>
        <row r="1696">
          <cell r="F1696">
            <v>5999</v>
          </cell>
          <cell r="G1696" t="str">
            <v>PRUEBA HIDROSTÁTICA EN TUBERÍAS HASTA 12" DE DIÁMETRO, TRAMOS MÁXIMOS DE 500M. INCLUYE DESINFECCIÓN DE TUBERÍA.</v>
          </cell>
          <cell r="H1696" t="str">
            <v>UN</v>
          </cell>
          <cell r="I1696">
            <v>1309000</v>
          </cell>
        </row>
        <row r="1697">
          <cell r="F1697">
            <v>6001</v>
          </cell>
          <cell r="G1697"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H1697" t="str">
            <v>UN</v>
          </cell>
          <cell r="I1697">
            <v>128072248</v>
          </cell>
        </row>
        <row r="1698">
          <cell r="F1698">
            <v>6002</v>
          </cell>
          <cell r="G1698"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H1698" t="str">
            <v>UN</v>
          </cell>
          <cell r="I1698">
            <v>145471863</v>
          </cell>
        </row>
        <row r="1699">
          <cell r="F1699">
            <v>6003</v>
          </cell>
          <cell r="G1699"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H1699" t="str">
            <v>UN</v>
          </cell>
          <cell r="I1699">
            <v>161839084</v>
          </cell>
        </row>
        <row r="1700">
          <cell r="F1700">
            <v>6004</v>
          </cell>
          <cell r="G1700" t="str">
            <v>DETECTORES DE DEMANDA VEHICULAR (CÁMARA). NO INCLUYE CABLES. SUMINISTRO E INSTALACIÓN</v>
          </cell>
          <cell r="H1700" t="str">
            <v>UN</v>
          </cell>
          <cell r="I1700">
            <v>17062199</v>
          </cell>
        </row>
        <row r="1701">
          <cell r="F1701">
            <v>6006</v>
          </cell>
          <cell r="G1701" t="str">
            <v>PUESTA A TIERRA PARA CENTRO DE TRANSFORMACIÓN SUBTERRÁNEO PARCIALMENTE SUMERGIBLE CON TRES PUNTOS A TIERRA. SUMINISTRO, TRANSPORTE Y CONSTRUCCIÓN. INCLUYE SOLDADURA EXOTÉRMICA Y TERMINALES.</v>
          </cell>
          <cell r="H1701" t="str">
            <v>UN</v>
          </cell>
          <cell r="I1701">
            <v>2038715</v>
          </cell>
        </row>
        <row r="1702">
          <cell r="F1702">
            <v>6007</v>
          </cell>
          <cell r="G1702"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H1702" t="str">
            <v>M3</v>
          </cell>
          <cell r="I1702">
            <v>1761259</v>
          </cell>
        </row>
        <row r="1703">
          <cell r="F1703">
            <v>6008</v>
          </cell>
          <cell r="G1703" t="str">
            <v>IMPERMEABILIZANTE PARA CONCRETO. SUMINISTRO Y APLICACIÓN</v>
          </cell>
          <cell r="H1703" t="str">
            <v>M2</v>
          </cell>
          <cell r="I1703">
            <v>2147</v>
          </cell>
        </row>
        <row r="1704">
          <cell r="F1704">
            <v>6009</v>
          </cell>
          <cell r="G1704" t="str">
            <v>ADITIVO DESENCOFRANTE. SUMINISTRO Y APLICACIÓN DE MATERIAL</v>
          </cell>
          <cell r="H1704" t="str">
            <v>M2</v>
          </cell>
          <cell r="I1704">
            <v>2275</v>
          </cell>
        </row>
        <row r="1705">
          <cell r="F1705">
            <v>6010</v>
          </cell>
          <cell r="G1705" t="str">
            <v>REGATA, ANCHO PROMEDIO 5CM POR 5CM DE PROFUNDIDAD. INCLUYE MATERIALES, EQUIPOS, TRANSPORTE Y DISPOSICIÓN FINAL DE ESCOMBROS A SITIO AUTORIZADO.</v>
          </cell>
          <cell r="H1705" t="str">
            <v>ML</v>
          </cell>
          <cell r="I1705">
            <v>31028</v>
          </cell>
        </row>
        <row r="1706">
          <cell r="F1706">
            <v>6011</v>
          </cell>
          <cell r="G1706" t="str">
            <v>RESTITUCIÓN DE ESTRUCTURA DE PAVIMENTO FLEXIBLE, PARA APIQUE DE 0.60M X 0.60M (PROFUNDIDAD 1.50M). INCLUYE BASE GRANULAR CLASE A (BG_A) E= 1.35, MEZCLA DENSA EN CALIENTE TIPO MD12 E= 0.05M, MEZCLA DENSA EN CALIENTE TIPO MD20 E= 0.10M, IMPRIMANTE Y RIEGO DE LIGA.</v>
          </cell>
          <cell r="H1706" t="str">
            <v>UN</v>
          </cell>
          <cell r="I1706">
            <v>140018</v>
          </cell>
        </row>
        <row r="1707">
          <cell r="F1707">
            <v>6015</v>
          </cell>
          <cell r="G1707" t="str">
            <v>ENTIBADO TIPO EC3 CONTINUO METÁLICO CON PARALES METÁLICOS. INCLUYE SUMINISTRO E INSTALACIÓN</v>
          </cell>
          <cell r="H1707" t="str">
            <v>M2</v>
          </cell>
          <cell r="I1707">
            <v>44864</v>
          </cell>
        </row>
        <row r="1708">
          <cell r="F1708">
            <v>6016</v>
          </cell>
          <cell r="G1708" t="str">
            <v>ESTABILIZACIÓN DE SUBRASANTE CON RAJÓN, INCLUYE EQUIPO DE COMPACTACIÓN (SUMINISTRO, EXTENDIDO, NIVELACIÓN Y COMPACTACIÓN CON EQUIPO MECÁNICO)</v>
          </cell>
          <cell r="H1708" t="str">
            <v>M3</v>
          </cell>
          <cell r="I1708">
            <v>134250</v>
          </cell>
        </row>
        <row r="1709">
          <cell r="F1709">
            <v>6020</v>
          </cell>
          <cell r="G1709" t="str">
            <v>RELLENO EN RECEBO COMUN (SUMINISTRO E INSTALACIÓN EXTENDIDO MANUAL, HUMEDECIMIENTO Y COMPACTACIÓN. NO INCLUYE TRANSPORTE)</v>
          </cell>
          <cell r="H1709" t="str">
            <v>M3</v>
          </cell>
          <cell r="I1709">
            <v>27804</v>
          </cell>
        </row>
        <row r="1710">
          <cell r="F1710">
            <v>6021</v>
          </cell>
          <cell r="G1710" t="str">
            <v>CONCRETO DE NIVELACIÓN 2000 PSI GRAVA COMÚN (140 KG/CM2) (PREMEZCLADO. INCLUYE SUMINISTRO, FUNDIDA Y NIVELACIÓN Y COLOCACIÓN. NO INCLUYE REFUERZO, CURADO) PARA MEJORAMIENTO, ADECUACIÓN Y REHABILITACIÓN DE ESPACIO PÚBLICO.</v>
          </cell>
          <cell r="H1710" t="str">
            <v>M3</v>
          </cell>
          <cell r="I1710">
            <v>640328</v>
          </cell>
        </row>
        <row r="1711">
          <cell r="F1711">
            <v>6029</v>
          </cell>
          <cell r="G1711" t="str">
            <v>SEÑAL VERTICAL GRUPO DE PREVENTIVAS TIPO CUADRADO (75CM X 75CM). INCLUYE SUMONISTRO E INSTALACION.</v>
          </cell>
          <cell r="H1711" t="str">
            <v>UN</v>
          </cell>
          <cell r="I1711">
            <v>375674</v>
          </cell>
        </row>
        <row r="1712">
          <cell r="F1712">
            <v>6030</v>
          </cell>
          <cell r="G1712" t="str">
            <v>SEÑAL VERTICAL GRUPO DE REGLAMENTARIAS TIPO CIRCULO D=75CM. INCLUYE SUMINISTRO E INSTALACION.</v>
          </cell>
          <cell r="H1712" t="str">
            <v>UN</v>
          </cell>
          <cell r="I1712">
            <v>375674</v>
          </cell>
        </row>
        <row r="1713">
          <cell r="F1713">
            <v>6031</v>
          </cell>
          <cell r="G1713" t="str">
            <v>SEÑAL VERTICAL GRUPO DE PREVENTIVA SP-40 TIPO RECTANGULO (120CM X 40CM). INCLUYE SUMINISTRO E INSTALACION.</v>
          </cell>
          <cell r="H1713" t="str">
            <v>UN</v>
          </cell>
          <cell r="I1713">
            <v>375674</v>
          </cell>
        </row>
        <row r="1714">
          <cell r="F1714">
            <v>6032</v>
          </cell>
          <cell r="G1714" t="str">
            <v>SEÑAL VERTICAL GRUPO DE REGLAMENTARIAS SR-01 TIPO OCTAGONO CON ALTURA DE 75CM. INCLUYE SUMINISTRO E INSTALACION.</v>
          </cell>
          <cell r="H1714" t="str">
            <v>UN</v>
          </cell>
          <cell r="I1714">
            <v>375674</v>
          </cell>
        </row>
        <row r="1715">
          <cell r="F1715">
            <v>6033</v>
          </cell>
          <cell r="G1715" t="str">
            <v>SEÑAL VERTICAL GRUPO DE REGLAMENTARIAS SR-02 TIPO TRIANGULO EQUILATERO 75CM. DE LADO. INCLUYE SUMINISTRO E INSTALACION.</v>
          </cell>
          <cell r="H1715" t="str">
            <v>UN</v>
          </cell>
          <cell r="I1715">
            <v>375674</v>
          </cell>
        </row>
        <row r="1716">
          <cell r="F1716">
            <v>6034</v>
          </cell>
          <cell r="G1716" t="str">
            <v>SEÑAL VERTICAL GRUPO DE INFORMATIVAS TIPO RECTANGULO (60CM X 75CM). INCLUYE SUMINISTRO E INSTALACION.</v>
          </cell>
          <cell r="H1716" t="str">
            <v>UN</v>
          </cell>
          <cell r="I1716">
            <v>311254</v>
          </cell>
        </row>
        <row r="1717">
          <cell r="F1717">
            <v>6036</v>
          </cell>
          <cell r="G1717" t="str">
            <v>TRANSFORMADOR MONOFASICO 15 KVA (TENSION PRIMARIA DE 13.200, TENSION SECUNDARIA 240-120. (INCLUYE SUMINISTRO E INSTALACIÓN)</v>
          </cell>
          <cell r="H1717" t="str">
            <v>UN</v>
          </cell>
          <cell r="I1717">
            <v>3371640</v>
          </cell>
        </row>
        <row r="1718">
          <cell r="F1718">
            <v>6037</v>
          </cell>
          <cell r="G1718" t="str">
            <v>POSTE TIPO MENSULA T2 (3.50M) EN TUBO SCH 40 GALVANIZADO Y PINTADO. SUMINISTRO E INSTALACIÓN.</v>
          </cell>
          <cell r="H1718" t="str">
            <v>UN</v>
          </cell>
          <cell r="I1718">
            <v>4323990</v>
          </cell>
        </row>
        <row r="1719">
          <cell r="F1719">
            <v>6038</v>
          </cell>
          <cell r="G1719" t="str">
            <v>POSTE TIPO MENSULA T2 (4.50M) EN TUBO SCH 40 GALVANIZADO Y PINTADO. SUMINISTRO E INSTALACIÓN.</v>
          </cell>
          <cell r="H1719" t="str">
            <v>UN</v>
          </cell>
          <cell r="I1719">
            <v>4563299</v>
          </cell>
        </row>
        <row r="1720">
          <cell r="F1720">
            <v>6039</v>
          </cell>
          <cell r="G1720" t="str">
            <v>POSTE TIPO MENSULA T2 (6.50M) EN TUBO SCH 40 GALVANIZADO Y PINTADO. SUMINISTRO E INSTALACIÓN.</v>
          </cell>
          <cell r="H1720" t="str">
            <v>UN</v>
          </cell>
          <cell r="I1720">
            <v>5520416</v>
          </cell>
        </row>
        <row r="1721">
          <cell r="F1721">
            <v>6040</v>
          </cell>
          <cell r="G1721" t="str">
            <v>POSTE TIPO MENSULA T2 (8.50M) EN TUBO SCH 40 GALVANIZADO Y PINTADO. SUMINISTRO E INSTALACIÓN.</v>
          </cell>
          <cell r="H1721" t="str">
            <v>UN</v>
          </cell>
          <cell r="I1721">
            <v>12220473</v>
          </cell>
        </row>
        <row r="1722">
          <cell r="F1722">
            <v>6041</v>
          </cell>
          <cell r="G1722" t="str">
            <v>SEMAFORO VEHICULAR DE POLICARBONATO (3X200) LENTES DE POLICARBONATO DE 8" TRES LUCES, SISTEMA DE ILUMINACIÓN A LEDS, TIPO MASTIL. INCLUYE ELEMENTOS DE FIJACION.</v>
          </cell>
          <cell r="H1722" t="str">
            <v>UN</v>
          </cell>
          <cell r="I1722">
            <v>41182332</v>
          </cell>
        </row>
        <row r="1723">
          <cell r="F1723">
            <v>6042</v>
          </cell>
          <cell r="G1723" t="str">
            <v>SEMAFORO VEHICULAR DE POLICARBONATO (3X200) LENTES DE POLICARBONATO DE 8" TRES LUCES, SISTEMA DE ILUMINACIÓN A LEDS, TIPO MENSULA. INCLUYE ELEMENTOS DE FIJACION.</v>
          </cell>
          <cell r="H1723" t="str">
            <v>UN</v>
          </cell>
          <cell r="I1723">
            <v>4881589</v>
          </cell>
        </row>
        <row r="1724">
          <cell r="F1724">
            <v>6043</v>
          </cell>
          <cell r="G1724" t="str">
            <v>SEMAFORO VEHICULAR DE POLICARBONATO (3X200) LENTES DE POLICARBONATO DE 8" TRES LUCES, SISTEMA DE ILUMINACIÓN A LEDS, FLECHA DE GIRO TIPO MENSULA. INCLUYE ELEMENTOS DE FIJACION.</v>
          </cell>
          <cell r="H1724" t="str">
            <v>UN</v>
          </cell>
          <cell r="I1724">
            <v>4714739</v>
          </cell>
        </row>
        <row r="1725">
          <cell r="F1725">
            <v>6044</v>
          </cell>
          <cell r="G1725" t="str">
            <v>SEMAFORO VEHICULAR DE POLICARBONATO (3X200) LENTES DE POLICARBONATO DE 8" TRES LUCES, SISTEMA DE ILUMINACIÓN A LEDS, FLECHA DE GIRO TIPO MASTIL. INCLUYE ELEMENTOS DE FIJACION.</v>
          </cell>
          <cell r="H1725" t="str">
            <v>UN</v>
          </cell>
          <cell r="I1725">
            <v>4179864</v>
          </cell>
        </row>
        <row r="1726">
          <cell r="F1726">
            <v>6045</v>
          </cell>
          <cell r="G1726" t="str">
            <v>SONORIZADORES PARA INVIDENTES (SUMINISTRO E INSTALACION)</v>
          </cell>
          <cell r="H1726" t="str">
            <v>UN</v>
          </cell>
          <cell r="I1726">
            <v>5805804</v>
          </cell>
        </row>
        <row r="1727">
          <cell r="F1727">
            <v>6046</v>
          </cell>
          <cell r="G1727" t="str">
            <v>DEMARCACION LINEA DE PARADA DE TRANSMILENIO. AREA: 3.96 M2 SEGUN PARAMETROS DE DISEÑO DE TRANSMILENIO (E= 2.3 MILS, TERMOPLASTICA. SUMINISTRO Y APLICACION CON EQUIPO. INCLUYE MICROESFERAS.</v>
          </cell>
          <cell r="H1727" t="str">
            <v>UN</v>
          </cell>
          <cell r="I1727">
            <v>519395</v>
          </cell>
        </row>
        <row r="1728">
          <cell r="F1728">
            <v>6047</v>
          </cell>
          <cell r="G1728" t="str">
            <v>PISO EN CONCRETO COLOR OCRE MR41 (280 Kg/Cm2) GRAVA 1" 28 DIAS  ESTAMPADO e=0.10m (INCLUYE SUMINISTRO Y COLOCACIÓN DE CONCRETO, JUEGO DE MOLDES,  DESMOLDANTE EN POLVO, CURADOR PARA CONCRETO, INCLUYE CORTE Y SELLADO DE JUNTAS.</v>
          </cell>
          <cell r="H1728" t="str">
            <v>M2</v>
          </cell>
          <cell r="I1728">
            <v>230439</v>
          </cell>
        </row>
        <row r="1729">
          <cell r="F1729">
            <v>6053</v>
          </cell>
          <cell r="G1729" t="str">
            <v>CAPA DE SUELO DE SUBRASANTE ESTABILIZADA CON CAL HIDRATADA TIPO N, IN SITU AL 4%. (SUMINISTRO, EXTENDIDO, NIVELACION, HUMEDECIMIENTO Y COMPACTACION).</v>
          </cell>
          <cell r="H1729" t="str">
            <v>M3</v>
          </cell>
          <cell r="I1729">
            <v>65625</v>
          </cell>
        </row>
        <row r="1730">
          <cell r="F1730">
            <v>6057</v>
          </cell>
          <cell r="G1730" t="str">
            <v>SEMAFORO VEHICULAR DE POLICARBONATO (3X200) (ALQUILER) LENTES DE POLICARBONATO DE 8" TRES LUCES, SISTEMA DE ILUMINACIÓN A LEDS, INCLUYE SUMINISTRO, INSTALACION Y TRASLADO INTERNO EN OBRA. ELEMENTOS DE FIJACION.</v>
          </cell>
          <cell r="H1730" t="str">
            <v>UN/MES</v>
          </cell>
          <cell r="I1730">
            <v>186442</v>
          </cell>
        </row>
        <row r="1731">
          <cell r="F1731">
            <v>6058</v>
          </cell>
          <cell r="G1731" t="str">
            <v>SEMAFORO PEATONAL DE POLICARBONATO (2X200) (ALQUILER) LENTES DE POLICARBONATO DE 8" DOS LUCES, SISTEMA DE ILUMINACIÓN A LEDS, INCLUYE SUMINISTRO, INSTALACION Y TRASLADO INTERNO EN OBRA. ELEMENTOS DE FIJACION.</v>
          </cell>
          <cell r="H1731" t="str">
            <v>UN/MES</v>
          </cell>
          <cell r="I1731">
            <v>132978</v>
          </cell>
        </row>
        <row r="1732">
          <cell r="F1732">
            <v>6059</v>
          </cell>
          <cell r="G1732" t="str">
            <v>BARRICADA METÁLICAS C-20 CON TRES BANDEJAS DE 23CM X 150CM. (ALQUILER). INCLUYE TABLERO DE 60CM DE DIAMETRO "DESVIO" REFLECTIVO GRADO INGENIERIA COMERCIAL. SUMINISTRO E INSTALACION Y TRASLADO INTERNO EN OBRA.</v>
          </cell>
          <cell r="H1732" t="str">
            <v>UN/MES</v>
          </cell>
          <cell r="I1732">
            <v>52664</v>
          </cell>
        </row>
        <row r="1733">
          <cell r="F1733">
            <v>6060</v>
          </cell>
          <cell r="G1733" t="str">
            <v>GRUA PARA REMOLQUE DE VEHICULOS (ALQUILER). INCLUYE CONDUCTOR Y COMBUSTIBLE. TIEMPO 12 HORAS DIARIAS.</v>
          </cell>
          <cell r="H1733" t="str">
            <v>UN/MES</v>
          </cell>
          <cell r="I1733">
            <v>1295832</v>
          </cell>
        </row>
        <row r="1734">
          <cell r="F1734">
            <v>6061</v>
          </cell>
          <cell r="G1734" t="str">
            <v>PASACALLES IMPRESO EN LONA BANNER (7.0M X 1.0M) TERMINADO CON PALOS EN LOS EXTREMOS. INCLUYE SUMINISTRO E INSTALACION.</v>
          </cell>
          <cell r="H1734" t="str">
            <v>UN</v>
          </cell>
          <cell r="I1734">
            <v>305678</v>
          </cell>
        </row>
        <row r="1735">
          <cell r="F1735">
            <v>6062</v>
          </cell>
          <cell r="G1735" t="str">
            <v>CONCRETO 3000 PSI GRAVA COMÚN PARA BARRERA NEW JERSEY MONODIRECCIONAL DE 0.90M DE ALTURA X 0.375 DE BASE X 4.76M DE LONG. (PREMEZCLADO. INCLUYE SUMINISTRO, FORMALETEO, COLOCACIÓN. NO INCLUYE REFUERZO NI CURADO).</v>
          </cell>
          <cell r="H1735" t="str">
            <v>M3</v>
          </cell>
          <cell r="I1735">
            <v>693611</v>
          </cell>
        </row>
        <row r="1736">
          <cell r="F1736">
            <v>6065</v>
          </cell>
          <cell r="G1736" t="str">
            <v>LAMINA MACIZA HR PARA BOCATOMA, INCLUYE MANO DE OBRA, ACCESORIOS E INSTALACION SEGUN DETALLE EN PLANOS Y ESPECIFICACIONES TECNICAS</v>
          </cell>
          <cell r="H1736" t="str">
            <v>UN</v>
          </cell>
          <cell r="I1736">
            <v>925855</v>
          </cell>
        </row>
        <row r="1737">
          <cell r="F1737">
            <v>6070</v>
          </cell>
          <cell r="G1737" t="str">
            <v>ELEMENTO ENVOLVENTE PEINAZO PARA MODULO. SUMINISTRO E INSTALACION. INCLUYE MANO DE OBRA.</v>
          </cell>
          <cell r="H1737" t="str">
            <v>M2</v>
          </cell>
          <cell r="I1737">
            <v>91915</v>
          </cell>
        </row>
        <row r="1738">
          <cell r="F1738">
            <v>6073</v>
          </cell>
          <cell r="G1738" t="str">
            <v>MODULO DE PERSIANA DE 1.80 X 2.35 GALVANIZADO PARA CERRAMIENTO, INCLUYE MANO DE OBRA, ACCESORIOS E INSTALACION, SEGUN DETALLE EN PLANOS Y ESPECIFICACIONES TECNICAS. SUMINISTRO E INSTALACION.</v>
          </cell>
          <cell r="H1738" t="str">
            <v>UN</v>
          </cell>
          <cell r="I1738">
            <v>5397291</v>
          </cell>
        </row>
        <row r="1739">
          <cell r="F1739">
            <v>6074</v>
          </cell>
          <cell r="G1739" t="str">
            <v>MODULO DE PERSIANA DE 1.80 X 1.20 GALVANIZADO PARA FACHADA COMERCIAL, INCLUYE MANO DE OBRA, ACCESORIOS SEGUN DETALLE EN PLANOS Y ESPECIFICACIONES TECNICAS. SUMINISTRO E INSTALACION.</v>
          </cell>
          <cell r="H1739" t="str">
            <v>UN</v>
          </cell>
          <cell r="I1739">
            <v>2664284</v>
          </cell>
        </row>
        <row r="1740">
          <cell r="F1740">
            <v>6078</v>
          </cell>
          <cell r="G1740" t="str">
            <v>CUBIERTA EN LAMINA ALVEOLAR EN POLICARBONATO. SUMINISTRO E INSTALACION. INCLUYE MANO DE OBRA Y ACCESORIOS</v>
          </cell>
          <cell r="H1740" t="str">
            <v>M2</v>
          </cell>
          <cell r="I1740">
            <v>118480</v>
          </cell>
        </row>
        <row r="1741">
          <cell r="F1741">
            <v>6079</v>
          </cell>
          <cell r="G1741" t="str">
            <v>ELEMENTO ENVOLVENTE REMATE PARA CUBIERTA. SUMINISTRO E INSTALACION. INCLUYE MANO DE OBRA</v>
          </cell>
          <cell r="H1741" t="str">
            <v>M2</v>
          </cell>
          <cell r="I1741">
            <v>135681</v>
          </cell>
        </row>
        <row r="1742">
          <cell r="F1742">
            <v>6082</v>
          </cell>
          <cell r="G1742" t="str">
            <v>MAMPOSTERIA EN BLOQUE e = 0.12m (INCLUYE SUMINISTRO, INSUMOS Y CONSTRUCCIÓN)</v>
          </cell>
          <cell r="H1742" t="str">
            <v>M2</v>
          </cell>
          <cell r="I1742">
            <v>53005</v>
          </cell>
        </row>
        <row r="1743">
          <cell r="F1743">
            <v>6084</v>
          </cell>
          <cell r="G1743" t="str">
            <v>EDICION, IMPRESION Y DISTRIBUCION DE PIEZAS DE DIVULGACION (PIEZAS EN PAPEL BOND, TAMAÑO CARTA, TIPO FOTOCOPIA).</v>
          </cell>
          <cell r="H1743" t="str">
            <v>UN</v>
          </cell>
          <cell r="I1743">
            <v>658</v>
          </cell>
        </row>
        <row r="1744">
          <cell r="F1744">
            <v>6085</v>
          </cell>
          <cell r="G1744" t="str">
            <v>LEVANTAMIENTO DE ACTA DE VECINDAD COMPLETA. (INCLUYE PERSONAL, LOGISTICA, ELABORACION DE FORMATO, PAPELERIA, FOTOGRAFIA Y VIDEO).</v>
          </cell>
          <cell r="H1744" t="str">
            <v>UN PRE</v>
          </cell>
          <cell r="I1744">
            <v>34026</v>
          </cell>
        </row>
        <row r="1745">
          <cell r="F1745">
            <v>6086</v>
          </cell>
          <cell r="G1745" t="str">
            <v>ACTUALIZACION DE SISTEMA DE GESTION DEL ARBOLADO URBANO UBICADO EN TERRENO. SIGAU POR ARBOL PARA TALA, BLOQUEO Y TRASLADO</v>
          </cell>
          <cell r="H1745" t="str">
            <v>UN</v>
          </cell>
          <cell r="I1745">
            <v>13277</v>
          </cell>
        </row>
        <row r="1746">
          <cell r="F1746">
            <v>6087</v>
          </cell>
          <cell r="G1746" t="str">
            <v>ACTUALIZACION DE SISTEMA DE GESTION DEL ARBOLADO URBANO UBICADO EN TERRENO. SIGAU POR ARBOL PARA PLANTACION</v>
          </cell>
          <cell r="H1746" t="str">
            <v>UN</v>
          </cell>
          <cell r="I1746">
            <v>12322</v>
          </cell>
        </row>
        <row r="1747">
          <cell r="F1747">
            <v>6088</v>
          </cell>
          <cell r="G1747" t="str">
            <v>LEVANTAMIENTO DE INVENTARIO FORESTAL. INCLUYE ELABORACION FICHA FORESTAL Y VISITA A TERRENO</v>
          </cell>
          <cell r="H1747" t="str">
            <v>FICHA</v>
          </cell>
          <cell r="I1747">
            <v>19903</v>
          </cell>
        </row>
        <row r="1748">
          <cell r="F1748">
            <v>6089</v>
          </cell>
          <cell r="G1748"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H1748" t="str">
            <v>UN</v>
          </cell>
          <cell r="I1748">
            <v>2943031</v>
          </cell>
        </row>
        <row r="1749">
          <cell r="F1749">
            <v>6090</v>
          </cell>
          <cell r="G1749"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H1749" t="str">
            <v>UN</v>
          </cell>
          <cell r="I1749">
            <v>3029484</v>
          </cell>
        </row>
        <row r="1750">
          <cell r="F1750">
            <v>6091</v>
          </cell>
          <cell r="G1750"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H1750" t="str">
            <v>UN</v>
          </cell>
          <cell r="I1750">
            <v>1409012</v>
          </cell>
        </row>
        <row r="1751">
          <cell r="F1751">
            <v>6092</v>
          </cell>
          <cell r="G1751"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H1751" t="str">
            <v>UN</v>
          </cell>
          <cell r="I1751">
            <v>340149</v>
          </cell>
        </row>
        <row r="1752">
          <cell r="F1752">
            <v>6093</v>
          </cell>
          <cell r="G1752"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H1752" t="str">
            <v>UN</v>
          </cell>
          <cell r="I1752">
            <v>360548</v>
          </cell>
        </row>
        <row r="1753">
          <cell r="F1753">
            <v>6094</v>
          </cell>
          <cell r="G1753"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H1753" t="str">
            <v>UN</v>
          </cell>
          <cell r="I1753">
            <v>348811</v>
          </cell>
        </row>
        <row r="1754">
          <cell r="F1754">
            <v>6095</v>
          </cell>
          <cell r="G1754" t="str">
            <v>PISO EN CONCRETO MR43 (315 KG/CM2) GRAVA COMÚN ACELERADO A 7 DÍAS, ESTAMPADO PARA POMPEYANOS, e=0.23m (INCLUYE SUMINISTRO Y COLOCACIÓN DE CONCRETO, JUEGO DE MOLDES, DESMOLDANTE EN POLVO, CURADOR PARA CONCRETO, CORTE Y SELLADO DE JUNTAS.</v>
          </cell>
          <cell r="H1754" t="str">
            <v>M2</v>
          </cell>
          <cell r="I1754">
            <v>299934</v>
          </cell>
        </row>
        <row r="1755">
          <cell r="F1755">
            <v>6096</v>
          </cell>
          <cell r="G1755" t="str">
            <v>PISO EN CONCRETO MR43 (315 KG/CM2) GRAVA COMÚN ACELERADO A 7 DÍAS, ESTAMPADO PARA POMPEYANOS, E=0.20M (INCLUYE SUMINISTRO Y COLOCACIÓN DE CONCRETO, JUEGO DE MOLDES, DESMOLDANTE EN POLVO, CURADOR PARA CONCRETO, CORTE Y SELLADO DE JUNTAS.</v>
          </cell>
          <cell r="H1755" t="str">
            <v>M2</v>
          </cell>
          <cell r="I1755">
            <v>274629</v>
          </cell>
        </row>
        <row r="1756">
          <cell r="F1756">
            <v>6098</v>
          </cell>
          <cell r="G1756" t="str">
            <v>ADOQUIN EN CONCRETO A-25 (20X10X6cm)  (Suministro e instalación. Incluye base 4cm mortero 2500 PSI y arena de sello)</v>
          </cell>
          <cell r="H1756" t="str">
            <v>M2</v>
          </cell>
          <cell r="I1756">
            <v>106223</v>
          </cell>
        </row>
        <row r="1757">
          <cell r="F1757">
            <v>6099</v>
          </cell>
          <cell r="G1757" t="str">
            <v>ESTAMPADO PARA CONCRETO MR DE POMPEYANOS, ACCESOS VEHICULARES A PREDIOS Y VÍAS (ACABADO Y CURADO, SUMINISTRO Y MANO DE OBRA. INCLUYE JUEGO DE MOLDES, COLOR ENDURECEDOR DE CUARZO, DESMOLDANTE EN POLVO COLOR, SELLADOR ACRÍLICO TRANSPARENTE SEMILUSTRE).</v>
          </cell>
          <cell r="H1757" t="str">
            <v>M2</v>
          </cell>
          <cell r="I1757">
            <v>40735</v>
          </cell>
        </row>
        <row r="1758">
          <cell r="F1758">
            <v>6100</v>
          </cell>
          <cell r="G1758" t="str">
            <v>CENEFA LINEAL EN ADOQUÍN DE CONCRETO (20cm X 10cm X 6cm) COLOR ROJO (SUMINISTRO E INSTALACIÓN. INCLUYE BASE EN ARENA DE NIVELACIÓN e= 4cm Y ARENA DE SELLO).</v>
          </cell>
          <cell r="H1758" t="str">
            <v>ML</v>
          </cell>
          <cell r="I1758">
            <v>11409</v>
          </cell>
        </row>
        <row r="1759">
          <cell r="F1759">
            <v>6101</v>
          </cell>
          <cell r="G1759" t="str">
            <v>CENEFA LINEAL EN ADOQUÍN DE CONCRETO (20cm X 10cm X 8cm) COLOR ROJO PARA RAMPAS DE ACCESO VEHICULAR A PREDIOS (SUMINISTRO E INSTALACIÓN. INCLUYE BASE EN ARENA DE NIVELACIÓN e= 4cm Y ARENA DE SELLO).</v>
          </cell>
          <cell r="H1759" t="str">
            <v>ML</v>
          </cell>
          <cell r="I1759">
            <v>13597</v>
          </cell>
        </row>
        <row r="1760">
          <cell r="F1760">
            <v>6102</v>
          </cell>
          <cell r="G1760" t="str">
            <v>CENEFA LINEAL EN LOSETA PREFABRICADA TÁCTIL ALERTA Y GUÍA A55 / A56 ANCHO 0.40m (SUMINISTRO E INSTALACIÓN. INCLUYE BASE EN ARENA DE NIVELACIÓN e= 4cm Y ARENA DE SELLO).</v>
          </cell>
          <cell r="H1760" t="str">
            <v>ML</v>
          </cell>
          <cell r="I1760">
            <v>39108</v>
          </cell>
        </row>
        <row r="1761">
          <cell r="F1761">
            <v>6103</v>
          </cell>
          <cell r="G1761"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H1761" t="str">
            <v>ML</v>
          </cell>
          <cell r="I1761">
            <v>143635</v>
          </cell>
        </row>
        <row r="1762">
          <cell r="F1762">
            <v>6104</v>
          </cell>
          <cell r="G1762"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H1762" t="str">
            <v>M2</v>
          </cell>
          <cell r="I1762">
            <v>103458</v>
          </cell>
        </row>
        <row r="1763">
          <cell r="F1763">
            <v>6105</v>
          </cell>
          <cell r="G1763" t="str">
            <v>REJA DE PROTECCIÓN PARA PARQUES VECINALES Y DE BOLSILLO. SEGÚN ESPECIFICACIONES IDRD. (SUMINISTRO E INSTALACIÓN. INCLUYE BASE EN CONCRETO DE 3000 PSI. NO INCLUYE ACERO DE REFUERZO).</v>
          </cell>
          <cell r="H1763" t="str">
            <v>ML</v>
          </cell>
          <cell r="I1763">
            <v>1417459</v>
          </cell>
        </row>
        <row r="1764">
          <cell r="F1764">
            <v>6106</v>
          </cell>
          <cell r="G1764" t="str">
            <v>ESTRUCTURA DE BALONCESTO CON TABLERO ANTIVANDÁLICO SEGÚN ESPECIFICACIONES IDRD. (SUMINISTRO E INSTALACIÓN. INCLUYE EXCAVACIÓN, TRANSPORTE DE MATERIAL PROVENIENTE DE LA EXCAVACIÓN, CONCRETO DE LIMPIEZA Y DADO EN CONCRETO DE 3000 PSI).</v>
          </cell>
          <cell r="H1764" t="str">
            <v>UN</v>
          </cell>
          <cell r="I1764">
            <v>5396998</v>
          </cell>
        </row>
        <row r="1765">
          <cell r="F1765">
            <v>6107</v>
          </cell>
          <cell r="G1765" t="str">
            <v>ESTRUCTURA DE MICROFUTBOL SEGÚN ESPECIFICACIONES IDRD. (SUMINISTRO E INSTALACIÓN. INCLUYE EXCAVACIÓN, TRANSPORTE DE MATERIAL PROVENIENTE DE LA EXCAVACIÓN, CONCRETO DE LIMPIEZA Y DADO EN CONCRETO DE 3000 PSI).</v>
          </cell>
          <cell r="H1765" t="str">
            <v>PAR</v>
          </cell>
          <cell r="I1765">
            <v>2608201</v>
          </cell>
        </row>
        <row r="1766">
          <cell r="F1766">
            <v>6110</v>
          </cell>
          <cell r="G1766" t="str">
            <v>RUEDA PARA NIÑOS DE 1 A 5 AÑOS. SEGÚN ESPECIFICACIONES IDRD. (SUMINISTRO E INSTALACIÓN. INCLUYE EXCAVACIÓN Y CONCRETO DE 3000 PSI. NO INCLUYE ACERO DE REFUERZO).</v>
          </cell>
          <cell r="H1766" t="str">
            <v>UN</v>
          </cell>
          <cell r="I1766">
            <v>4516879</v>
          </cell>
        </row>
        <row r="1767">
          <cell r="F1767">
            <v>6115</v>
          </cell>
          <cell r="G1767" t="str">
            <v>TUBERÍA CONCRETO CLASE V D= 24" (INCLUYE MORTERO DE INSTALACIÓN. SUMINISTRO E INSTALACIÓN).</v>
          </cell>
          <cell r="H1767" t="str">
            <v>ML</v>
          </cell>
          <cell r="I1767">
            <v>843954</v>
          </cell>
        </row>
        <row r="1768">
          <cell r="F1768">
            <v>6116</v>
          </cell>
          <cell r="G1768" t="str">
            <v>TUBERÍA CONCRETO CLASE V D= 27" (INCLUYE MORTERO DE INSTALACIÓN. SUMINISTRO E INSTALACIÓN).</v>
          </cell>
          <cell r="H1768" t="str">
            <v>ML</v>
          </cell>
          <cell r="I1768">
            <v>1125460</v>
          </cell>
        </row>
        <row r="1769">
          <cell r="F1769">
            <v>6118</v>
          </cell>
          <cell r="G1769" t="str">
            <v>TUBERÍA CONCRETO CLASE V D= 40" (INCLUYE MORTERO DE INSTALACIÓN. SUMINISTRO E INSTALACIÓN).</v>
          </cell>
          <cell r="H1769" t="str">
            <v>ML</v>
          </cell>
          <cell r="I1769">
            <v>2184253</v>
          </cell>
        </row>
        <row r="1770">
          <cell r="F1770">
            <v>6120</v>
          </cell>
          <cell r="G1770" t="str">
            <v>BARANDA METÁLICA M80 (SUMINISTRO E INSTALACIÓN. INCLUYE BASE EN CONCRETO).</v>
          </cell>
          <cell r="H1770" t="str">
            <v>ML</v>
          </cell>
          <cell r="I1770">
            <v>260952</v>
          </cell>
        </row>
        <row r="1771">
          <cell r="F1771">
            <v>6121</v>
          </cell>
          <cell r="G1771" t="str">
            <v>CRUZ HD 12" X 6" JUNTA HIDRÁULICA (SUMINISTRO E INSTALACIÓN)</v>
          </cell>
          <cell r="H1771" t="str">
            <v>UN</v>
          </cell>
          <cell r="I1771">
            <v>2704648</v>
          </cell>
        </row>
        <row r="1772">
          <cell r="F1772">
            <v>6122</v>
          </cell>
          <cell r="G1772" t="str">
            <v>CUBIERTA VERDE (INCLUYE GEOTEXTIL 1800 PARA BASE, LÁMINA DE DRENAJE DE BAJA RETENCIÓN DE AGUA, GEOTEXTIL 1800 PARA RETENCIÓN DE FINOS, TAPETE TIPO CRASSULACEA EXL, TRANSPORTE Y MANO DE OBRA. SUMINISTRO E INSTALACIÓN.</v>
          </cell>
          <cell r="H1772" t="str">
            <v>M2</v>
          </cell>
          <cell r="I1772">
            <v>370240</v>
          </cell>
        </row>
        <row r="1773">
          <cell r="F1773">
            <v>6126</v>
          </cell>
          <cell r="G1773" t="str">
            <v>CUADRILLA (2 OFICIAL + 2 AYUDANTES)</v>
          </cell>
          <cell r="H1773" t="str">
            <v>JR</v>
          </cell>
          <cell r="I1773">
            <v>310873</v>
          </cell>
        </row>
        <row r="1774">
          <cell r="F1774">
            <v>6127</v>
          </cell>
          <cell r="G1774" t="str">
            <v>ACOMETIDA A TABLERO 3X2 + 1X4. THW. COBRE</v>
          </cell>
          <cell r="H1774" t="str">
            <v>UN</v>
          </cell>
          <cell r="I1774">
            <v>87025</v>
          </cell>
        </row>
        <row r="1775">
          <cell r="F1775">
            <v>6135</v>
          </cell>
          <cell r="G1775" t="str">
            <v>SUPER ESTRUCTURA EN CONCRETO DE 6000 PSI PREMEZCLADO, GRAVA COMÚN (Incluye Sumin, bombeo, Formaleteo, Colocación y Curado. No incl. Refuerzo).</v>
          </cell>
          <cell r="H1775" t="str">
            <v>M3</v>
          </cell>
          <cell r="I1775">
            <v>936216</v>
          </cell>
        </row>
        <row r="1776">
          <cell r="F1776">
            <v>6136</v>
          </cell>
          <cell r="G1776" t="str">
            <v>TUBO EN U SEPARADOR DE CICLORUTA. (SUMINISTRO E INSTALACIÓN. INCLUYE BASE EN CONCRETO DE 3000 PSI HECHO EN OBRA).</v>
          </cell>
          <cell r="H1776" t="str">
            <v>UN</v>
          </cell>
          <cell r="I1776">
            <v>267112</v>
          </cell>
        </row>
        <row r="1777">
          <cell r="F1777">
            <v>6137</v>
          </cell>
          <cell r="G1777" t="str">
            <v>PISO EN CONCRETO COLOR GRIS MR41 (280 Kg/Cm2) GRAVA 1" 28 DIAS  ESTAMPADO e=0.10m (INCLUYE SUMINISTRO Y COLOCACIÓN DE CONCRETO, JUEGO DE MOLDES,  DESMOLDANTE EN POLVO, CURADOR PARA CONCRETO, INCLUYE CORTE Y SELLADO DE JUNTAS.</v>
          </cell>
          <cell r="H1777" t="str">
            <v>M2</v>
          </cell>
          <cell r="I1777">
            <v>202636</v>
          </cell>
        </row>
        <row r="1778">
          <cell r="F1778">
            <v>6141</v>
          </cell>
          <cell r="G1778"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H1778" t="str">
            <v>M2</v>
          </cell>
          <cell r="I1778">
            <v>38058</v>
          </cell>
        </row>
        <row r="1779">
          <cell r="F1779">
            <v>6142</v>
          </cell>
          <cell r="G1779"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H1779" t="str">
            <v>M2</v>
          </cell>
          <cell r="I1779">
            <v>40249</v>
          </cell>
        </row>
        <row r="1780">
          <cell r="F1780">
            <v>6143</v>
          </cell>
          <cell r="G1780"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H1780" t="str">
            <v>M2</v>
          </cell>
          <cell r="I1780">
            <v>69832</v>
          </cell>
        </row>
        <row r="1781">
          <cell r="F1781">
            <v>6144</v>
          </cell>
          <cell r="G1781"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H1781" t="str">
            <v>M2</v>
          </cell>
          <cell r="I1781">
            <v>81704</v>
          </cell>
        </row>
        <row r="1782">
          <cell r="F1782">
            <v>6145</v>
          </cell>
          <cell r="G1782"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H1782" t="str">
            <v>M2</v>
          </cell>
          <cell r="I1782">
            <v>48516</v>
          </cell>
        </row>
        <row r="1783">
          <cell r="F1783">
            <v>6146</v>
          </cell>
          <cell r="G1783"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H1783" t="str">
            <v>M2</v>
          </cell>
          <cell r="I1783">
            <v>33246</v>
          </cell>
        </row>
        <row r="1784">
          <cell r="F1784">
            <v>6147</v>
          </cell>
          <cell r="G1784" t="str">
            <v>CERRAMIENTO (8 HILERAS DE ALAMBRE DE PÚAS CALIBRE 12.5, CON PINTURA BLANCA 3 MANOS 60 CM, EN LA PARTE SUPERIOR, CON POSTES DE CONCRETO H=2.5 M Y SECCIÓN DE 10CM X 10CM, INSTALADOS CADA 2.00 M. INCLUYE DADOS DE CIMENTACIÓN 0.30 M X 0.30 M X 0.50 M)</v>
          </cell>
          <cell r="H1784" t="str">
            <v>ML</v>
          </cell>
          <cell r="I1784">
            <v>100392</v>
          </cell>
        </row>
        <row r="1785">
          <cell r="F1785">
            <v>6148</v>
          </cell>
          <cell r="G1785" t="str">
            <v>CERRAMIENTO (8 HILERAS DE ALAMBRE DE PÚAS CALIBRE 12.5, CON POSTE DE MADERA ROLLIZA DE 8cm DE DIÁMETRO Y 2.00m DE ALTURA, ENTERRADO COMO MIN. 0.40, CON 2.00m., ENTRE POSTES)</v>
          </cell>
          <cell r="H1785" t="str">
            <v>ML</v>
          </cell>
          <cell r="I1785">
            <v>29590</v>
          </cell>
        </row>
        <row r="1786">
          <cell r="F1786">
            <v>6149</v>
          </cell>
          <cell r="G1786" t="str">
            <v>CERRAMIENTO EN BLOQUE NO.5, DE ALTURA TOTAL DE 1.80 M, CON CIMENTACIÓN CICLÓPEA DE 0.35 M X 0.35 M Y VIGA DE AMARRE DE 0.12 M X 0.15 M Y COLUMNETAS DE 0.20 M X 0.12 M., CADA 3.50 M., ENTRE SÍ. INCLUYE TODOS LOS REFUERZOS EN HIERRO NECESARIOS.</v>
          </cell>
          <cell r="H1786" t="str">
            <v>ML</v>
          </cell>
          <cell r="I1786">
            <v>218317</v>
          </cell>
        </row>
        <row r="1787">
          <cell r="F1787">
            <v>6150</v>
          </cell>
          <cell r="G1787"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H1787" t="str">
            <v>ML</v>
          </cell>
          <cell r="I1787">
            <v>390722</v>
          </cell>
        </row>
        <row r="1788">
          <cell r="F1788">
            <v>6151</v>
          </cell>
          <cell r="G1788" t="str">
            <v>EXPLANACIÓN Y EXTENDIDA MECÁNICA.</v>
          </cell>
          <cell r="H1788" t="str">
            <v>M3</v>
          </cell>
          <cell r="I1788">
            <v>8098</v>
          </cell>
        </row>
        <row r="1789">
          <cell r="F1789">
            <v>6152</v>
          </cell>
          <cell r="G1789" t="str">
            <v>LIMPIEZA Y ACOPIO MANUAL DE BASURAS</v>
          </cell>
          <cell r="H1789" t="str">
            <v>M2</v>
          </cell>
          <cell r="I1789">
            <v>234</v>
          </cell>
        </row>
        <row r="1790">
          <cell r="F1790">
            <v>6153</v>
          </cell>
          <cell r="G1790" t="str">
            <v>CORTE Y RETIRO DE CÉSPED (HASTA 40 CM - INCLUYE RETIRO DE DESPERDICIOS). NO INCLUYE TRANSPORTE Y RETIRO DE SOBRANTES.</v>
          </cell>
          <cell r="H1790" t="str">
            <v>M2</v>
          </cell>
          <cell r="I1790">
            <v>638</v>
          </cell>
        </row>
        <row r="1791">
          <cell r="F1791">
            <v>6154</v>
          </cell>
          <cell r="G1791" t="str">
            <v>MATA MALEZA (UNA APLICACIÓN)</v>
          </cell>
          <cell r="H1791" t="str">
            <v>M2</v>
          </cell>
          <cell r="I1791">
            <v>305</v>
          </cell>
        </row>
        <row r="1792">
          <cell r="F1792">
            <v>6155</v>
          </cell>
          <cell r="G1792" t="str">
            <v>PODA DE ÁRBOLES MEDIANOS, ALTURA : 8 MTS (ELIMINAR RAMAS SECAS, CON RIESGO DE ROTURA, RAMAS QUE ESTORBEN EL PASO DE PERSONAS O TOQUEN CABLES O EDIFICIOS)</v>
          </cell>
          <cell r="H1792" t="str">
            <v>UN</v>
          </cell>
          <cell r="I1792">
            <v>165202</v>
          </cell>
        </row>
        <row r="1793">
          <cell r="F1793">
            <v>6156</v>
          </cell>
          <cell r="G1793" t="str">
            <v>FUMIGACIÓN CONTRA ROEDORES (RATICIDA - UNA APLICACIÓN)</v>
          </cell>
          <cell r="H1793" t="str">
            <v>M2</v>
          </cell>
          <cell r="I1793">
            <v>329</v>
          </cell>
        </row>
        <row r="1794">
          <cell r="F1794">
            <v>6157</v>
          </cell>
          <cell r="G1794" t="str">
            <v>FUMIGACIÓN CONTRA INSECTOS (INSECTICIDAS- INCLUYE LEVANTAMIENTO DE ANIMALES Y BASURAS, DESINFECTACIÓN CONTRA VIRUS, BACTERIAS Y HONGOS)</v>
          </cell>
          <cell r="H1794" t="str">
            <v>M2</v>
          </cell>
          <cell r="I1794">
            <v>604</v>
          </cell>
        </row>
        <row r="1795">
          <cell r="F1795">
            <v>6159</v>
          </cell>
          <cell r="G1795" t="str">
            <v>DIAGNOSTICO DE ESPACIO PUBLICO Y CICLORRUTA Y PUENTES PEATONALES (VISUAL)</v>
          </cell>
          <cell r="H1795" t="str">
            <v>M2</v>
          </cell>
          <cell r="I1795">
            <v>92</v>
          </cell>
        </row>
        <row r="1796">
          <cell r="F1796">
            <v>6160</v>
          </cell>
          <cell r="G1796" t="str">
            <v>INSPECCIÓN DE REDES DE ALCANTARILLADO CON SISTEMAS CCTV PARA DIÁMETROS MAYORES A 36"</v>
          </cell>
          <cell r="H1796" t="str">
            <v>ML</v>
          </cell>
          <cell r="I1796">
            <v>10710</v>
          </cell>
        </row>
        <row r="1797">
          <cell r="F1797">
            <v>6161</v>
          </cell>
          <cell r="G1797" t="str">
            <v>INSPECCIÓN DE REDES DE ALCANTARILLADO CON SISTEMAS CCTV PARA DIÁMETROS ENTRE 6" A 36"</v>
          </cell>
          <cell r="H1797" t="str">
            <v>ML</v>
          </cell>
          <cell r="I1797">
            <v>10710</v>
          </cell>
        </row>
        <row r="1798">
          <cell r="F1798">
            <v>6162</v>
          </cell>
          <cell r="G1798" t="str">
            <v>DIAGNOSTICO DE ESPACIO PUBLICO Y CICLORRUTA Y PUENTES PEATONALES (VISUAL). INCLUYE LEVANTAMIENTO TOPOGRÁFICO Y GEORREFERENCIACIÓN DE ELEMENTOS</v>
          </cell>
          <cell r="H1798" t="str">
            <v>M2</v>
          </cell>
          <cell r="I1798">
            <v>135</v>
          </cell>
        </row>
        <row r="1799">
          <cell r="F1799">
            <v>6163</v>
          </cell>
          <cell r="G1799"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H1799" t="str">
            <v>M2</v>
          </cell>
          <cell r="I1799">
            <v>270704</v>
          </cell>
        </row>
        <row r="1800">
          <cell r="F1800">
            <v>6164</v>
          </cell>
          <cell r="G1800"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H1800" t="str">
            <v>M2</v>
          </cell>
          <cell r="I1800">
            <v>282633</v>
          </cell>
        </row>
        <row r="1801">
          <cell r="F1801">
            <v>6165</v>
          </cell>
          <cell r="G1801" t="str">
            <v>RETIRO DE BOLARDO (O RESTOS). INCLUYE REPARACIÓN DEL SITIO CON CONCRETO DE 1500 PSI HECHO EN OBRA (40X40X10CM) Y SUBBASE GRANULAR B-200 E=0.35. INCLUYE RETIRO DE ESCOMBROS. INCLUYE DEMOLICIÓN Y EXCAVACIÓN.</v>
          </cell>
          <cell r="H1801" t="str">
            <v>UN</v>
          </cell>
          <cell r="I1801">
            <v>27929</v>
          </cell>
        </row>
        <row r="1802">
          <cell r="F1802">
            <v>6169</v>
          </cell>
          <cell r="G1802" t="str">
            <v>ALQUILER DE PUESTO DE TRABAJO - ESCRITORIO 75X120X50CM</v>
          </cell>
          <cell r="H1802" t="str">
            <v>UN/MES</v>
          </cell>
          <cell r="I1802">
            <v>9730</v>
          </cell>
        </row>
        <row r="1803">
          <cell r="F1803">
            <v>6170</v>
          </cell>
          <cell r="G1803" t="str">
            <v>ALQUILER DE SILLA PARA ESCRITORIO PARA PUESTO DE TRABAJO</v>
          </cell>
          <cell r="H1803" t="str">
            <v>UN/MES</v>
          </cell>
          <cell r="I1803">
            <v>8795</v>
          </cell>
        </row>
        <row r="1804">
          <cell r="F1804">
            <v>6172</v>
          </cell>
          <cell r="G1804" t="str">
            <v>ALQUILER DE SILLA PLÁSTICA SIN BRAZOS</v>
          </cell>
          <cell r="H1804" t="str">
            <v>UN/MES</v>
          </cell>
          <cell r="I1804">
            <v>1953</v>
          </cell>
        </row>
        <row r="1805">
          <cell r="F1805">
            <v>6175</v>
          </cell>
          <cell r="G1805" t="str">
            <v>EVALUACION SUPERFICIAL. INCLUYE LEVANTAMIENTO DE FALLAS (AUSCULTACIÓN VISUAL) PARA DETERMINAR EL PCI (NORMA ASTM D 6433-07) PARA CALZADA SEGMENTO</v>
          </cell>
          <cell r="H1805" t="str">
            <v>Clz/Sg</v>
          </cell>
          <cell r="I1805">
            <v>89001</v>
          </cell>
        </row>
        <row r="1806">
          <cell r="F1806">
            <v>6176</v>
          </cell>
          <cell r="G1806" t="str">
            <v>PROCESAMIENTO Y ANALISIS DE INFORMACION PARA EL DIAGNOSTICO</v>
          </cell>
          <cell r="H1806" t="str">
            <v>SEG</v>
          </cell>
          <cell r="I1806">
            <v>27591</v>
          </cell>
        </row>
        <row r="1807">
          <cell r="F1807">
            <v>6178</v>
          </cell>
          <cell r="G1807" t="str">
            <v>ALQUILER SEÑAL VERTICAL GRUPO I (75X75CM) (INCLUYE SUMINISTRO E INSTALACIÓN)</v>
          </cell>
          <cell r="H1807" t="str">
            <v>UN/MES</v>
          </cell>
          <cell r="I1807">
            <v>14641</v>
          </cell>
        </row>
        <row r="1808">
          <cell r="F1808">
            <v>6179</v>
          </cell>
          <cell r="G1808" t="str">
            <v>ALQUILER SEÑAL VERTICAL GRUPO I (60X60CM) (INCLUYE SUMINISTRO E INSTALACIÓN)</v>
          </cell>
          <cell r="H1808" t="str">
            <v>UN/MES</v>
          </cell>
          <cell r="I1808">
            <v>12982</v>
          </cell>
        </row>
        <row r="1809">
          <cell r="F1809">
            <v>6180</v>
          </cell>
          <cell r="G1809" t="str">
            <v>ALQUILER SEÑAL VERTICAL GRUPO I (90X90CM) (INCLUYE SUMINISTRO E INSTALACIÓN)</v>
          </cell>
          <cell r="H1809" t="str">
            <v>UN/MES</v>
          </cell>
          <cell r="I1809">
            <v>17367</v>
          </cell>
        </row>
        <row r="1810">
          <cell r="F1810">
            <v>6181</v>
          </cell>
          <cell r="G1810" t="str">
            <v>ALQUILER DE PALETA PARE-SIGA EN POLIETILENO.</v>
          </cell>
          <cell r="H1810" t="str">
            <v>UN/MES</v>
          </cell>
          <cell r="I1810">
            <v>2470</v>
          </cell>
        </row>
        <row r="1811">
          <cell r="F1811">
            <v>6185</v>
          </cell>
          <cell r="G1811" t="str">
            <v>CONO POZO INSPECCIÓN PREFABRICADO D= 1.20M X 0.60M E=0.10M H= 0.75M (INC. SUMINISTRO E INST. NO INC. ARO DE AJUSTE, ARO-TAPA Y TAPA)</v>
          </cell>
          <cell r="H1811" t="str">
            <v>UN</v>
          </cell>
          <cell r="I1811">
            <v>800873</v>
          </cell>
        </row>
        <row r="1812">
          <cell r="F1812">
            <v>6186</v>
          </cell>
          <cell r="G1812" t="str">
            <v>ALQUILER BARRERA RELLENABLE (2.00X0.55X1.00M)</v>
          </cell>
          <cell r="H1812" t="str">
            <v>UN/MES</v>
          </cell>
          <cell r="I1812">
            <v>15620</v>
          </cell>
        </row>
        <row r="1813">
          <cell r="F1813">
            <v>6187</v>
          </cell>
          <cell r="G1813" t="str">
            <v>ALQUILER DE SEÑAL LUMINOSA BIDIRECCIONAL 1.50M X 0.50M (INCLUYE INSTALACIÓN, MANTENIMIENTO Y DESINSTALACIÓN).</v>
          </cell>
          <cell r="H1813" t="str">
            <v>UN/MES</v>
          </cell>
          <cell r="I1813">
            <v>169650</v>
          </cell>
        </row>
        <row r="1814">
          <cell r="F1814">
            <v>6188</v>
          </cell>
          <cell r="G1814" t="str">
            <v>CARCAMO TIPO PLACA DE PROTECCIÓN PARA TUBERÍA Ø 14" NORMA EAAB NS-090 . 3V.2. INCLUYE: DESPERDICIOS, COMPACTACIÓN Y DESPUNTES.</v>
          </cell>
          <cell r="H1814" t="str">
            <v>ML</v>
          </cell>
          <cell r="I1814">
            <v>171923</v>
          </cell>
        </row>
        <row r="1815">
          <cell r="F1815">
            <v>6189</v>
          </cell>
          <cell r="G1815" t="str">
            <v>BANDERERO (INCLUYE ALQUILER DE PALETA PARE-SIGA EN POLIETILENO). HORARIO NOCTURNO</v>
          </cell>
          <cell r="H1815" t="str">
            <v>H/ME</v>
          </cell>
          <cell r="I1815">
            <v>2580244</v>
          </cell>
        </row>
        <row r="1816">
          <cell r="F1816">
            <v>6190</v>
          </cell>
          <cell r="G1816" t="str">
            <v>CANALIZACIÓN DE TRÁFICO (INSTALACIÓN, MANTENIMIENTO Y DESINSTALACIÓN DIARIO) CON SEÑALIZADORES TUBULARES COLOMBINA PLÁSTICA Y TRIPLE CINTA DE SEÑALIZACIÓN (INCLUYE ALQUILER DE SEÑALIZADORES TUBULARES). LONGITUD 50 METROS.</v>
          </cell>
          <cell r="H1816" t="str">
            <v>UN/DIA</v>
          </cell>
          <cell r="I1816">
            <v>624</v>
          </cell>
        </row>
        <row r="1817">
          <cell r="F1817">
            <v>6191</v>
          </cell>
          <cell r="G1817" t="str">
            <v>PISOS EN METALDECK 2" CALIBRE 16 (1.50MM) PARA PUENTES VEHICULARES. (INCLUYE TRANSPORTE, HERRAMIENTA MENOR, MANO DE OBRA)</v>
          </cell>
          <cell r="H1817" t="str">
            <v>M2</v>
          </cell>
          <cell r="I1817">
            <v>129358</v>
          </cell>
        </row>
        <row r="1818">
          <cell r="F1818">
            <v>6192</v>
          </cell>
          <cell r="G1818" t="str">
            <v>PISOS EN METALDECK 2" CALIBRE 18 (1.50MM) PARA PUENTES PEATONALES. (INCLUYE TRANSPORTE, HERRAMIENTA MENOR, MANO DE OBRA)</v>
          </cell>
          <cell r="H1818" t="str">
            <v>M2</v>
          </cell>
          <cell r="I1818">
            <v>99671</v>
          </cell>
        </row>
        <row r="1819">
          <cell r="F1819">
            <v>6193</v>
          </cell>
          <cell r="G1819" t="str">
            <v>CONCRETO 3000 PSI GRAVA FINA PARA BARANDAS (PREMEZCLADO. INCLUYE SUMIN., FORMALETEO Y COLOCACIÓN. NO INCL. REFUERZO, CURADO).</v>
          </cell>
          <cell r="H1819" t="str">
            <v>M3</v>
          </cell>
          <cell r="I1819">
            <v>665239</v>
          </cell>
        </row>
        <row r="1820">
          <cell r="F1820">
            <v>6194</v>
          </cell>
          <cell r="G1820" t="str">
            <v>BARANDA METÁLICA PARA PUENTE PEATONAL (INCLUYE DADOS DE CONCRETO 3000 PSI GRAVA COMÚN DE 0.20M X 0.20M, RECUBRIMIENTO EN BARRERA EPÓXICA Y ESMALTE URETANO GRIS. INCLUYE TUBO DE CERRAMIENTO NEGRO DE Ø 2" Y Ø 1/2" - 1.9MM, PLATINA METÁLICA). SUMINISTRO E INSTALACIÓN.</v>
          </cell>
          <cell r="H1820" t="str">
            <v>ML</v>
          </cell>
          <cell r="I1820">
            <v>513995</v>
          </cell>
        </row>
        <row r="1821">
          <cell r="F1821">
            <v>6196</v>
          </cell>
          <cell r="G1821" t="str">
            <v>PISOS EN TABLILLA DE MADERA TECA TIPO DECK. SUMINISTRO E INSTALACIÓN. (INCLUYE HERRAMIENTA MENOR, TRANSPORTE, MANO DE OBRA).</v>
          </cell>
          <cell r="H1821" t="str">
            <v>M2</v>
          </cell>
          <cell r="I1821">
            <v>269825</v>
          </cell>
        </row>
        <row r="1822">
          <cell r="F1822">
            <v>6198</v>
          </cell>
          <cell r="G1822"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H1822" t="str">
            <v>ML</v>
          </cell>
          <cell r="I1822">
            <v>215892</v>
          </cell>
        </row>
        <row r="1823">
          <cell r="F1823">
            <v>6200</v>
          </cell>
          <cell r="G1823" t="str">
            <v>COLUMNA EN CONCRETO DE 3500 PSI, (24 MPa) PREMEZCLADO, GRAVA COMÚN (Incluye suministro, Bombeo, formaleteo en madera, colocación y curado, No incluye refuerzo).</v>
          </cell>
          <cell r="H1823" t="str">
            <v>M3</v>
          </cell>
          <cell r="I1823">
            <v>787557</v>
          </cell>
        </row>
        <row r="1824">
          <cell r="F1824">
            <v>6201</v>
          </cell>
          <cell r="G1824" t="str">
            <v>MURO ESTRUCTURAL EN CONCRETO 3500 PSI PREMEZCLADO, GRAVA COMÚN. (Incluye suministro, formaleteo, bombeo, colocación y curado. No incl. Refuerzo).</v>
          </cell>
          <cell r="H1824" t="str">
            <v>M3</v>
          </cell>
          <cell r="I1824">
            <v>854762</v>
          </cell>
        </row>
        <row r="1825">
          <cell r="F1825">
            <v>6202</v>
          </cell>
          <cell r="G1825" t="str">
            <v>ENCHAPE PARA COLUMNAS Y VIGAS EN BLOQUE DE CONCRETO ESTRIADO. MORTERO 1:3 HECHO EN OBRA PARA PEGA, CORTADORA Y DISCO DIAMANTADO (INCLUYE SUMINISTRO E INSTALACIÓN).</v>
          </cell>
          <cell r="H1825" t="str">
            <v>ML</v>
          </cell>
          <cell r="I1825">
            <v>29691</v>
          </cell>
        </row>
        <row r="1826">
          <cell r="F1826">
            <v>6203</v>
          </cell>
          <cell r="G1826" t="str">
            <v>HIDROPROTECCIÓN Y LAVADO (INCLUYE ALQUILER DE HIDROLAVADORA 1300W. INCLUYE HIDROSELLANTE, ELEMENTOS DE ASEO (DETERGENTE INDUSTRIAL). TRANSPORTE, AGUA, COMBUSTIBLE Y MANO DE OBRA).</v>
          </cell>
          <cell r="H1826" t="str">
            <v>M2</v>
          </cell>
          <cell r="I1826">
            <v>23424</v>
          </cell>
        </row>
        <row r="1827">
          <cell r="F1827">
            <v>6204</v>
          </cell>
          <cell r="G1827" t="str">
            <v>SELLO DE JUNTAS CON ICOPOR Y SIKAFLEX 1A SELLADO DE JUNTAS (300CC) (INCLUYE SUMINISTRO E INSTALACIÓN)</v>
          </cell>
          <cell r="H1827" t="str">
            <v>ML</v>
          </cell>
          <cell r="I1827">
            <v>21196</v>
          </cell>
        </row>
        <row r="1828">
          <cell r="F1828">
            <v>6206</v>
          </cell>
          <cell r="G1828" t="str">
            <v>CANAL Y FLANCHE EN LAMINA GALVANIZADA. (INCLUYE SUMINISTRO E INSTALACIÓN)</v>
          </cell>
          <cell r="H1828" t="str">
            <v>ML</v>
          </cell>
          <cell r="I1828">
            <v>144539</v>
          </cell>
        </row>
        <row r="1829">
          <cell r="F1829">
            <v>6207</v>
          </cell>
          <cell r="G1829"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H1829" t="str">
            <v>M2</v>
          </cell>
          <cell r="I1829">
            <v>146017</v>
          </cell>
        </row>
        <row r="1830">
          <cell r="F1830">
            <v>6211</v>
          </cell>
          <cell r="G1830" t="str">
            <v>CUNETAS EN MANTO DE HORMIGÓN DE E= 8MM (INCLUYE SUMINISTRO E INSTALACIÓN). ESTA ACTIVIDAD SE REQUIERE PARA EL CONTRATO DE CONSULTORÍA Y OBRA N° IDU 1920 DE 2013.</v>
          </cell>
          <cell r="H1830" t="str">
            <v>ML</v>
          </cell>
          <cell r="I1830">
            <v>329082</v>
          </cell>
        </row>
        <row r="1831">
          <cell r="F1831">
            <v>6212</v>
          </cell>
          <cell r="G1831" t="str">
            <v>CANALETA PORTACABLES DE 20CM PVC CON ADHESIVO. INCLUYE UNIÓN PROPORCIONAL CADA 2M. SUMINISTRO E INSTALACIÓN</v>
          </cell>
          <cell r="H1831" t="str">
            <v>ML</v>
          </cell>
          <cell r="I1831">
            <v>11951</v>
          </cell>
        </row>
        <row r="1832">
          <cell r="F1832">
            <v>6213</v>
          </cell>
          <cell r="G1832" t="str">
            <v>CANALETA PORTACABLES DE 32CM PVC CON ADHESIVO. INCLUYE UNIÓN PROPORCIONAL CADA 2M. SUMINISTRO E INSTALACIÓN</v>
          </cell>
          <cell r="H1832" t="str">
            <v>ML</v>
          </cell>
          <cell r="I1832">
            <v>16235</v>
          </cell>
        </row>
        <row r="1833">
          <cell r="F1833">
            <v>6214</v>
          </cell>
          <cell r="G1833" t="str">
            <v>3 DUCTOS D= 2" PVC PESADO DB (NO INCLUYE RELLENOS). SUMINISTRO E INSTALACIÓN.</v>
          </cell>
          <cell r="H1833" t="str">
            <v>ML</v>
          </cell>
          <cell r="I1833">
            <v>36071</v>
          </cell>
        </row>
        <row r="1834">
          <cell r="F1834">
            <v>6215</v>
          </cell>
          <cell r="G1834" t="str">
            <v>2 DUCTOS D= 1 1/4" CONDUIT PVC (NO INCLUYE RELLENOS). SUMINISTRO E INSTALACIÓN.</v>
          </cell>
          <cell r="H1834" t="str">
            <v>ML</v>
          </cell>
          <cell r="I1834">
            <v>16943</v>
          </cell>
        </row>
        <row r="1835">
          <cell r="F1835">
            <v>6216</v>
          </cell>
          <cell r="G1835" t="str">
            <v>ADECUACIÓN DE TERRENO (MOVIMIENTO DE TIERRA Y OBRAS DE ADECUACIÓN PARA ACCESO A MAQUINARIA)</v>
          </cell>
          <cell r="H1835" t="str">
            <v>M3</v>
          </cell>
          <cell r="I1835">
            <v>59848</v>
          </cell>
        </row>
        <row r="1836">
          <cell r="F1836">
            <v>6217</v>
          </cell>
          <cell r="G1836" t="str">
            <v>BOLSA DE LONA CON SUELO-CEMENTO (CONFINAMIENTO DE TALUDES. PROPORCIÓN 1:0:2.SUMINISTRO, MEZCLADO, LLENADO Y COLOCACIÓN.</v>
          </cell>
          <cell r="H1836" t="str">
            <v>UN</v>
          </cell>
          <cell r="I1836">
            <v>17038</v>
          </cell>
        </row>
        <row r="1837">
          <cell r="F1837">
            <v>6218</v>
          </cell>
          <cell r="G1837" t="str">
            <v>BOLSA DE LONA CON SUELO-CEMENTO (CONFINAMIENTO DE TALUDES. PROPORCIÓN 1:0:4.SUMINISTRO, MEZCLADO, LLENADO Y COLOCACIÓN.</v>
          </cell>
          <cell r="H1837" t="str">
            <v>UN</v>
          </cell>
          <cell r="I1837">
            <v>19638</v>
          </cell>
        </row>
        <row r="1838">
          <cell r="F1838">
            <v>6219</v>
          </cell>
          <cell r="G1838" t="str">
            <v>TRATAMIENTO SILVICULTURAL PODA DE RAÍCES (INCLUYE EXCAVACIÓN MANUAL, CORTE, CICATRIZACIÓN Y DISPOSICIÓN FINAL DE ESCOMBROS A 28 KILÓMETROS)</v>
          </cell>
          <cell r="H1838" t="str">
            <v>UN</v>
          </cell>
          <cell r="I1838">
            <v>540896</v>
          </cell>
        </row>
        <row r="1839">
          <cell r="F1839">
            <v>6221</v>
          </cell>
          <cell r="G1839" t="str">
            <v>PISO PRETENSADO E= 70 MM PARA ESTACIONES Y PUENTES TIPO TRANSMILENIO. SUMINISTRO E INSTALACIÓN.</v>
          </cell>
          <cell r="H1839" t="str">
            <v>M2</v>
          </cell>
          <cell r="I1839">
            <v>481991</v>
          </cell>
        </row>
        <row r="1840">
          <cell r="F1840">
            <v>6224</v>
          </cell>
          <cell r="G1840"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H1840" t="str">
            <v>M2</v>
          </cell>
          <cell r="I1840">
            <v>11827</v>
          </cell>
        </row>
        <row r="1841">
          <cell r="F1841">
            <v>6225</v>
          </cell>
          <cell r="G1841"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H1841" t="str">
            <v>ML</v>
          </cell>
          <cell r="I1841">
            <v>16712</v>
          </cell>
        </row>
        <row r="1842">
          <cell r="F1842">
            <v>6226</v>
          </cell>
          <cell r="G1842"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H1842" t="str">
            <v>M2</v>
          </cell>
          <cell r="I1842">
            <v>10756</v>
          </cell>
        </row>
        <row r="1843">
          <cell r="F1843">
            <v>6227</v>
          </cell>
          <cell r="G1843" t="str">
            <v>DEMOLICIÓN DE CONCRETO REFORZADO DE TABLERO. INCLUYE DEMOLICIÓN DEL CONCRETO EXISTENTE EMPLEANDO MARTILLOS NEUMÁTICOS O HIDRÁULICOS, RETIRO Y MANEJO DE ESCOMBROS, SUMINISTRO DE EQUIPOS, PERSONAL, TRANSPORTE, ENERGÍA Y MANO DE OBRA.</v>
          </cell>
          <cell r="H1843" t="str">
            <v>M3</v>
          </cell>
          <cell r="I1843">
            <v>60807</v>
          </cell>
        </row>
        <row r="1844">
          <cell r="F1844">
            <v>6228</v>
          </cell>
          <cell r="G1844"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H1844" t="str">
            <v>M3</v>
          </cell>
          <cell r="I1844">
            <v>61584</v>
          </cell>
        </row>
        <row r="1845">
          <cell r="F1845">
            <v>6229</v>
          </cell>
          <cell r="G1845"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H1845" t="str">
            <v>M2</v>
          </cell>
          <cell r="I1845">
            <v>8234</v>
          </cell>
        </row>
        <row r="1846">
          <cell r="F1846">
            <v>6230</v>
          </cell>
          <cell r="G1846"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H1846" t="str">
            <v>M2</v>
          </cell>
          <cell r="I1846">
            <v>6868</v>
          </cell>
        </row>
        <row r="1847">
          <cell r="F1847">
            <v>6231</v>
          </cell>
          <cell r="G1847"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H1847" t="str">
            <v>M2</v>
          </cell>
          <cell r="I1847">
            <v>9386</v>
          </cell>
        </row>
        <row r="1848">
          <cell r="F1848">
            <v>6232</v>
          </cell>
          <cell r="G1848"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H1848" t="str">
            <v>M3</v>
          </cell>
          <cell r="I1848">
            <v>84574</v>
          </cell>
        </row>
        <row r="1849">
          <cell r="F1849">
            <v>6233</v>
          </cell>
          <cell r="G1849"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H1849" t="str">
            <v>M3</v>
          </cell>
          <cell r="I1849">
            <v>95845</v>
          </cell>
        </row>
        <row r="1850">
          <cell r="F1850">
            <v>6234</v>
          </cell>
          <cell r="G1850"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H1850" t="str">
            <v>M3</v>
          </cell>
          <cell r="I1850">
            <v>76117</v>
          </cell>
        </row>
        <row r="1851">
          <cell r="F1851">
            <v>6235</v>
          </cell>
          <cell r="G1851"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H1851" t="str">
            <v>M2</v>
          </cell>
          <cell r="I1851">
            <v>11820</v>
          </cell>
        </row>
        <row r="1852">
          <cell r="F1852">
            <v>6236</v>
          </cell>
          <cell r="G1852"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H1852" t="str">
            <v>ML</v>
          </cell>
          <cell r="I1852">
            <v>27704</v>
          </cell>
        </row>
        <row r="1853">
          <cell r="F1853">
            <v>6237</v>
          </cell>
          <cell r="G1853"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H1853" t="str">
            <v>ML</v>
          </cell>
          <cell r="I1853">
            <v>28485</v>
          </cell>
        </row>
        <row r="1854">
          <cell r="F1854">
            <v>6238</v>
          </cell>
          <cell r="G1854" t="str">
            <v>REGATAS PARA LA COLOCACIÓN DE REFUERZO ADICIONAL EN EL TABLERO 10 CM DE PROFUNDIDAD Y 10 CM DE ANCHO.</v>
          </cell>
          <cell r="H1854" t="str">
            <v>ML</v>
          </cell>
          <cell r="I1854">
            <v>5941</v>
          </cell>
        </row>
        <row r="1855">
          <cell r="F1855">
            <v>6239</v>
          </cell>
          <cell r="G1855"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H1855" t="str">
            <v>M2</v>
          </cell>
          <cell r="I1855">
            <v>75316</v>
          </cell>
        </row>
        <row r="1856">
          <cell r="F1856">
            <v>6246</v>
          </cell>
          <cell r="G1856"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H1856" t="str">
            <v>M2</v>
          </cell>
          <cell r="I1856">
            <v>208127</v>
          </cell>
        </row>
        <row r="1857">
          <cell r="F1857">
            <v>6247</v>
          </cell>
          <cell r="G1857" t="str">
            <v>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v>
          </cell>
          <cell r="H1857" t="str">
            <v>CM.PER</v>
          </cell>
          <cell r="I1857">
            <v>1688</v>
          </cell>
        </row>
        <row r="1858">
          <cell r="F1858">
            <v>6249</v>
          </cell>
          <cell r="G1858" t="str">
            <v>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H1858" t="str">
            <v>CM.PER</v>
          </cell>
          <cell r="I1858">
            <v>1561</v>
          </cell>
        </row>
        <row r="1859">
          <cell r="F1859">
            <v>6250</v>
          </cell>
          <cell r="G1859" t="str">
            <v>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H1859" t="str">
            <v>CM.PER</v>
          </cell>
          <cell r="I1859">
            <v>1879</v>
          </cell>
        </row>
        <row r="1860">
          <cell r="F1860">
            <v>6251</v>
          </cell>
          <cell r="G1860" t="str">
            <v>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H1860" t="str">
            <v>CM.PER</v>
          </cell>
          <cell r="I1860">
            <v>2348</v>
          </cell>
        </row>
        <row r="1861">
          <cell r="F1861">
            <v>6253</v>
          </cell>
          <cell r="G1861"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H1861" t="str">
            <v>ML</v>
          </cell>
          <cell r="I1861">
            <v>593643</v>
          </cell>
        </row>
        <row r="1862">
          <cell r="F1862">
            <v>6254</v>
          </cell>
          <cell r="G1862"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H1862" t="str">
            <v>ML</v>
          </cell>
          <cell r="I1862">
            <v>590457</v>
          </cell>
        </row>
        <row r="1863">
          <cell r="F1863">
            <v>6255</v>
          </cell>
          <cell r="G1863"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H1863" t="str">
            <v>UN</v>
          </cell>
          <cell r="I1863">
            <v>211291</v>
          </cell>
        </row>
        <row r="1864">
          <cell r="F1864">
            <v>6256</v>
          </cell>
          <cell r="G1864"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1864" t="str">
            <v>UN</v>
          </cell>
          <cell r="I1864">
            <v>190951</v>
          </cell>
        </row>
        <row r="1865">
          <cell r="F1865">
            <v>6257</v>
          </cell>
          <cell r="G1865"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1865" t="str">
            <v>UN</v>
          </cell>
          <cell r="I1865">
            <v>132097</v>
          </cell>
        </row>
        <row r="1866">
          <cell r="F1866">
            <v>6258</v>
          </cell>
          <cell r="G1866" t="str">
            <v>NEOPRENO DE 20X35X4 DUREZA 60 SIN REFUERZO ENTRE LA VIGA Y LA MÉNSULA. SUMINISTRO E INSTALACIÓN. INCLUYE TODOS LOS COSTOS DE SUMINISTRO DE MATERIALES, EQUIPOS, TRANSPORTES, MANEJO, ALMACENAMIENTO, DESPERDICIOS Y MANO DE OBRA.</v>
          </cell>
          <cell r="H1866" t="str">
            <v>UN</v>
          </cell>
          <cell r="I1866">
            <v>146451</v>
          </cell>
        </row>
        <row r="1867">
          <cell r="F1867">
            <v>6259</v>
          </cell>
          <cell r="G1867"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1867" t="str">
            <v>UN</v>
          </cell>
          <cell r="I1867">
            <v>824340</v>
          </cell>
        </row>
        <row r="1868">
          <cell r="F1868">
            <v>6260</v>
          </cell>
          <cell r="G1868"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1868" t="str">
            <v>UN</v>
          </cell>
          <cell r="I1868">
            <v>720414</v>
          </cell>
        </row>
        <row r="1869">
          <cell r="F1869">
            <v>6261</v>
          </cell>
          <cell r="G1869" t="str">
            <v>NEOPRENO DE 60 X 20 X 1,5 D 50 CON PLATINA 3 MM ENTRE LA VIGA METÁLICA Y ESTRIBO. SUMINISTRO E INSTALACIÓN. INCLUYE TODOS LOS COSTOS DE SUMINISTRO DE MATERIALES, EQUIPOS, TRANSPORTES, MANEJO, ALMACENAMIENTO, DESPERDICIOS Y MANO DE OBRA.</v>
          </cell>
          <cell r="H1869" t="str">
            <v>UN</v>
          </cell>
          <cell r="I1869">
            <v>109459</v>
          </cell>
        </row>
        <row r="1870">
          <cell r="F1870">
            <v>6262</v>
          </cell>
          <cell r="G1870"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H1870" t="str">
            <v>M2</v>
          </cell>
          <cell r="I1870">
            <v>28365</v>
          </cell>
        </row>
        <row r="1871">
          <cell r="F1871">
            <v>6263</v>
          </cell>
          <cell r="G1871"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H1871" t="str">
            <v>M2</v>
          </cell>
          <cell r="I1871">
            <v>8750</v>
          </cell>
        </row>
        <row r="1872">
          <cell r="F1872">
            <v>6264</v>
          </cell>
          <cell r="G1872" t="str">
            <v>MÉNSULAS METÁLICAS EN ACERO A-36 CALIBRE DE 1/2" SEGÚN PLANOS DE DISEÑO. SUMINISTRO, FABRICACIÓN E INSTALACIÓN. INCLUYE SUMINISTRO DE MATERIALES, EQUIPOS, TRANSPORTES, MANEJO, ALMACENAMIENTO, DESPERDICIOS Y MANO DE OBRA.</v>
          </cell>
          <cell r="H1872" t="str">
            <v>UN</v>
          </cell>
          <cell r="I1872">
            <v>10431</v>
          </cell>
        </row>
        <row r="1873">
          <cell r="F1873">
            <v>6265</v>
          </cell>
          <cell r="G1873"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H1873" t="str">
            <v>M2</v>
          </cell>
          <cell r="I1873">
            <v>14858</v>
          </cell>
        </row>
        <row r="1874">
          <cell r="F1874">
            <v>6266</v>
          </cell>
          <cell r="G1874"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H1874" t="str">
            <v>M2</v>
          </cell>
          <cell r="I1874">
            <v>17543</v>
          </cell>
        </row>
        <row r="1875">
          <cell r="F1875">
            <v>6267</v>
          </cell>
          <cell r="G1875" t="str">
            <v>IZAJE DE VIGA PARA REEMPLAZO DE APOYOS DE NEOPRENO.</v>
          </cell>
          <cell r="H1875" t="str">
            <v>UN</v>
          </cell>
          <cell r="I1875">
            <v>1344700</v>
          </cell>
        </row>
        <row r="1876">
          <cell r="F1876">
            <v>6269</v>
          </cell>
          <cell r="G1876"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H1876" t="str">
            <v>M2</v>
          </cell>
          <cell r="I1876">
            <v>50829</v>
          </cell>
        </row>
        <row r="1877">
          <cell r="F1877">
            <v>6270</v>
          </cell>
          <cell r="G1877"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H1877" t="str">
            <v>ML</v>
          </cell>
          <cell r="I1877">
            <v>293303</v>
          </cell>
        </row>
        <row r="1878">
          <cell r="F1878">
            <v>6271</v>
          </cell>
          <cell r="G1878" t="str">
            <v>NEOPRENO DE 30 X 35 X 4 DUREZA 60 SIN REFUERZO ENTRE LA VIGA Y LA MÉNSULA. SUMINISTRO E INSTALACIÓN. INCLUYE TODOS LOS COSTOS DE SUMINISTRO DE MATERIALES, EQUIPOS, TRANSPORTES, MANEJO, ALMACENAMIENTO, DESPERDICIOS Y MANO DE OBRA.</v>
          </cell>
          <cell r="H1878" t="str">
            <v>UN</v>
          </cell>
          <cell r="I1878">
            <v>148016</v>
          </cell>
        </row>
        <row r="1879">
          <cell r="F1879">
            <v>6272</v>
          </cell>
          <cell r="G1879" t="str">
            <v>TORONES POSTENSADOS PARA REFORZAMIENTO EXTERNO DE 1/2" TENSIONADO 16,9 TON. SUMINISTRO E INSTALACIÓN, TENSIONAMIENTO, MANO DE OBRA, EQUIPOS EN GENERAL.</v>
          </cell>
          <cell r="H1879" t="str">
            <v>TON-M</v>
          </cell>
          <cell r="I1879">
            <v>7877</v>
          </cell>
        </row>
        <row r="1880">
          <cell r="F1880">
            <v>6273</v>
          </cell>
          <cell r="G1880" t="str">
            <v>CABLE DE REFORZAMIENTO EXTERNO DE 5/8" TENSIONADO 46,5 TON. TENSIONAMIENTO, MANO DE OBRA, EQUIPOS EN GENERAL.</v>
          </cell>
          <cell r="H1880" t="str">
            <v>TON-M</v>
          </cell>
          <cell r="I1880">
            <v>3704</v>
          </cell>
        </row>
        <row r="1881">
          <cell r="F1881">
            <v>6274</v>
          </cell>
          <cell r="G1881" t="str">
            <v>HERRAJES. SUMINISTRO E INSTALACIÓN. INCLUYE MATERIALES Y MANO DE OBRA.</v>
          </cell>
          <cell r="H1881" t="str">
            <v>KG</v>
          </cell>
          <cell r="I1881">
            <v>35444</v>
          </cell>
        </row>
        <row r="1882">
          <cell r="F1882">
            <v>6275</v>
          </cell>
          <cell r="G1882"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H1882" t="str">
            <v>ML</v>
          </cell>
          <cell r="I1882">
            <v>105936</v>
          </cell>
        </row>
        <row r="1883">
          <cell r="F1883">
            <v>6276</v>
          </cell>
          <cell r="G1883"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H1883" t="str">
            <v>ML</v>
          </cell>
          <cell r="I1883">
            <v>111930</v>
          </cell>
        </row>
        <row r="1884">
          <cell r="F1884">
            <v>6278</v>
          </cell>
          <cell r="G1884"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H1884" t="str">
            <v>ML</v>
          </cell>
          <cell r="I1884">
            <v>44923</v>
          </cell>
        </row>
        <row r="1885">
          <cell r="F1885">
            <v>6279</v>
          </cell>
          <cell r="G1885"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H1885" t="str">
            <v>ML</v>
          </cell>
          <cell r="I1885">
            <v>43287</v>
          </cell>
        </row>
        <row r="1886">
          <cell r="F1886">
            <v>6280</v>
          </cell>
          <cell r="G1886"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H1886" t="str">
            <v>M2</v>
          </cell>
          <cell r="I1886">
            <v>174379</v>
          </cell>
        </row>
        <row r="1887">
          <cell r="F1887">
            <v>6281</v>
          </cell>
          <cell r="G1887"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H1887" t="str">
            <v>M2</v>
          </cell>
          <cell r="I1887">
            <v>45028</v>
          </cell>
        </row>
        <row r="1888">
          <cell r="F1888">
            <v>6282</v>
          </cell>
          <cell r="G1888"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H1888" t="str">
            <v>M2</v>
          </cell>
          <cell r="I1888">
            <v>59981</v>
          </cell>
        </row>
        <row r="1889">
          <cell r="F1889">
            <v>6283</v>
          </cell>
          <cell r="G1889"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H1889" t="str">
            <v>M2</v>
          </cell>
          <cell r="I1889">
            <v>135684</v>
          </cell>
        </row>
        <row r="1890">
          <cell r="F1890">
            <v>6284</v>
          </cell>
          <cell r="G1890"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H1890" t="str">
            <v>M2</v>
          </cell>
          <cell r="I1890">
            <v>45212</v>
          </cell>
        </row>
        <row r="1891">
          <cell r="F1891">
            <v>6285</v>
          </cell>
          <cell r="G1891"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H1891" t="str">
            <v>M3</v>
          </cell>
          <cell r="I1891">
            <v>599903</v>
          </cell>
        </row>
        <row r="1892">
          <cell r="F1892">
            <v>6286</v>
          </cell>
          <cell r="G1892" t="str">
            <v>RESTITUCIÓN DE MURO EN MAMPOSTERÍA ESTRUCTURAL, PARA PROTECCIÓN DE ZONAS ALEDAÑAS A LOS ESTRIBOS, INCLUYE MANO DE OBRA, MATERIALES NECESARIOS, ACERO DE REFUERZO Y GROUTING DE RELLENO.</v>
          </cell>
          <cell r="H1892" t="str">
            <v>M2</v>
          </cell>
          <cell r="I1892">
            <v>106050</v>
          </cell>
        </row>
        <row r="1893">
          <cell r="F1893">
            <v>6287</v>
          </cell>
          <cell r="G1893"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H1893" t="str">
            <v>ML</v>
          </cell>
          <cell r="I1893">
            <v>19669</v>
          </cell>
        </row>
        <row r="1894">
          <cell r="F1894">
            <v>6288</v>
          </cell>
          <cell r="G1894"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H1894" t="str">
            <v>ML</v>
          </cell>
          <cell r="I1894">
            <v>16308</v>
          </cell>
        </row>
        <row r="1895">
          <cell r="F1895">
            <v>6289</v>
          </cell>
          <cell r="G1895"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H1895" t="str">
            <v>ML</v>
          </cell>
          <cell r="I1895">
            <v>21233</v>
          </cell>
        </row>
        <row r="1896">
          <cell r="F1896">
            <v>6290</v>
          </cell>
          <cell r="G1896" t="str">
            <v>SUMINISTRO DE CONECTORES DE CORTANTES O PLATINAS EN ACERO A-36. (INCLUYE MATERIAL, CORTE CON TORTUGA, TRANSPORTES REQUERIDOS DESDE ALMACÉN A TALLER Y A OBRA)</v>
          </cell>
          <cell r="H1896" t="str">
            <v>KG</v>
          </cell>
          <cell r="I1896">
            <v>25121</v>
          </cell>
        </row>
        <row r="1897">
          <cell r="F1897">
            <v>6291</v>
          </cell>
          <cell r="G1897" t="str">
            <v>DEMARCACIÓN DE DILATACIÓN MEDIANTE CORTE DEL CONCRETO Y RELLENO CON CINTA O FONDO DE JUNTA EN ESPUMA DE POLIETILENO DE BAJA DENSIDAD DE CELDA CERRADA PREFORMADO, PARA APLICAR MASILLAS EN FRÍO. DE Ø1/4" (6MM).</v>
          </cell>
          <cell r="H1897" t="str">
            <v>ML</v>
          </cell>
          <cell r="I1897">
            <v>15712</v>
          </cell>
        </row>
        <row r="1898">
          <cell r="F1898">
            <v>6292</v>
          </cell>
          <cell r="G1898"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H1898" t="str">
            <v>KG</v>
          </cell>
          <cell r="I1898">
            <v>24728</v>
          </cell>
        </row>
        <row r="1899">
          <cell r="F1899">
            <v>6294</v>
          </cell>
          <cell r="G1899" t="str">
            <v>REPARACIÓN DE BARANDAS EXISTENTES. INCLUYE LIMPIEZA, MORTERO DE REPARACIÓN, INHIBIDOR DE CORROSIÓN, PINTURA ANTICARBONATACIÓN, SUMINISTRO DE MANO DE OBRA, EQUIPOS Y MANEJO DE DESPERDICIOS.</v>
          </cell>
          <cell r="H1899" t="str">
            <v>ML</v>
          </cell>
          <cell r="I1899">
            <v>33854</v>
          </cell>
        </row>
        <row r="1900">
          <cell r="F1900">
            <v>6295</v>
          </cell>
          <cell r="G1900" t="str">
            <v>REPARACIÓN DE BARANDAS EXISTENTES TYPO NEW JERSEY. INCLUYE LIMPIEZA, MORTERO DE REPARACIÓN, INHIBIDOR DE CORROSIÓN, PINTURA ANTICARBONATACIÓN, PINTURA REFLECTIVA, SUMINISTRO DE MANO DE OBRA, EQUIPOS Y MANEJO DE DESPERDICIOS.</v>
          </cell>
          <cell r="H1900" t="str">
            <v>ML</v>
          </cell>
          <cell r="I1900">
            <v>33813</v>
          </cell>
        </row>
        <row r="1901">
          <cell r="F1901">
            <v>6296</v>
          </cell>
          <cell r="G1901" t="str">
            <v>BARRERA DE SEGURIDAD LATERAL EN CONCRETO 3500 PSI SEGÚN DISEÑO. INCLUYE ANCLAJES A ESTRUCTURA EXISTENTE, COLOCACIÓN DE REFUERZO, FUNDICIÓN EN CONCRETO, CURADO, SUMINISTRO DE MANO DE OBRA, EQUIPOS, MATERIALES Y MANEJO DE DESPERDICIOS.</v>
          </cell>
          <cell r="H1901" t="str">
            <v>ML</v>
          </cell>
          <cell r="I1901">
            <v>55377</v>
          </cell>
        </row>
        <row r="1902">
          <cell r="F1902">
            <v>6297</v>
          </cell>
          <cell r="G1902" t="str">
            <v>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v>
          </cell>
          <cell r="H1902" t="str">
            <v>M3</v>
          </cell>
          <cell r="I1902">
            <v>655175</v>
          </cell>
        </row>
        <row r="1903">
          <cell r="F1903">
            <v>6298</v>
          </cell>
          <cell r="G1903"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H1903" t="str">
            <v>M3</v>
          </cell>
          <cell r="I1903">
            <v>592696</v>
          </cell>
        </row>
        <row r="1904">
          <cell r="F1904">
            <v>6299</v>
          </cell>
          <cell r="G1904" t="str">
            <v>CONCRETO PARA ANDENES, ESCOBEADO Y FUNDIDO EN SITIO E= 0,10 M. SUMINISTRO Y COLOCACIÓN.</v>
          </cell>
          <cell r="H1904" t="str">
            <v>M3</v>
          </cell>
          <cell r="I1904">
            <v>572956</v>
          </cell>
        </row>
        <row r="1905">
          <cell r="F1905">
            <v>6300</v>
          </cell>
          <cell r="G190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H1905" t="str">
            <v>M3</v>
          </cell>
          <cell r="I1905">
            <v>706323</v>
          </cell>
        </row>
        <row r="1906">
          <cell r="F1906">
            <v>6301</v>
          </cell>
          <cell r="G1906" t="str">
            <v>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v>
          </cell>
          <cell r="H1906" t="str">
            <v>M3</v>
          </cell>
          <cell r="I1906">
            <v>833458</v>
          </cell>
        </row>
        <row r="1907">
          <cell r="F1907">
            <v>6302</v>
          </cell>
          <cell r="G1907" t="str">
            <v>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v>
          </cell>
          <cell r="H1907" t="str">
            <v>M3</v>
          </cell>
          <cell r="I1907">
            <v>681863</v>
          </cell>
        </row>
        <row r="1908">
          <cell r="F1908">
            <v>6303</v>
          </cell>
          <cell r="G1908" t="str">
            <v>FRESADO PAVIMENTO EXISTENTE, E= 5 CM, INCLUYE CARGUE Y TRANSPORTE A ESCOMBRERA DE MATERIAL SOBRANTE.</v>
          </cell>
          <cell r="H1908" t="str">
            <v>M2</v>
          </cell>
          <cell r="I1908">
            <v>6940</v>
          </cell>
        </row>
        <row r="1909">
          <cell r="F1909">
            <v>6304</v>
          </cell>
          <cell r="G1909" t="str">
            <v>LIMPIEZA MECÁNICA MEDIANTE PULIDORA CON CEPILLO DE CERDAS DE ALAMBRE EN SITIOS CON PRESENCIA DE CORROSIÓN ELIMINANDO COMPLETAMENTE CORROSIÓN Y ÓXIDO DEL ELEMENTO</v>
          </cell>
          <cell r="H1909" t="str">
            <v>M2</v>
          </cell>
          <cell r="I1909">
            <v>5935</v>
          </cell>
        </row>
        <row r="1910">
          <cell r="F1910">
            <v>6305</v>
          </cell>
          <cell r="G1910" t="str">
            <v>SANDBLASTING APLICADO EN SITIO GRADO SSPC-SP6 (METAL GRIS COMERCIAL) EN ELEMENTOS TIPO VIGA PARA REMOCIÓN DE OXIDACIÓN.</v>
          </cell>
          <cell r="H1910" t="str">
            <v>M2</v>
          </cell>
          <cell r="I1910">
            <v>15334</v>
          </cell>
        </row>
        <row r="1911">
          <cell r="F1911">
            <v>6306</v>
          </cell>
          <cell r="G1911"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H1911" t="str">
            <v>ML</v>
          </cell>
          <cell r="I1911">
            <v>8135</v>
          </cell>
        </row>
        <row r="1912">
          <cell r="F1912">
            <v>6308</v>
          </cell>
          <cell r="G1912" t="str">
            <v>LAVADO DE ESTRUCTURA EN CONCRETO Y/O METÁLICAS. INCLUYE ALQUILER DE HIDROLAVADORA A GASOLINA PRESION 3200 PSI. INCLUYE ANDAMIO TUBULAR, PLANTA ELÉCTRICA, CARROTANQUE IRRIGADOR DE AGUA, COMBUSTIBLE Y MANO DE OBRA.</v>
          </cell>
          <cell r="H1912" t="str">
            <v>M2</v>
          </cell>
          <cell r="I1912">
            <v>3459</v>
          </cell>
        </row>
        <row r="1913">
          <cell r="F1913">
            <v>6309</v>
          </cell>
          <cell r="G1913" t="str">
            <v>GEOMALLA FORTGRID BX-50. SUMINISTRO E INSTALACIÓN.</v>
          </cell>
          <cell r="H1913" t="str">
            <v>M2</v>
          </cell>
          <cell r="I1913">
            <v>16702</v>
          </cell>
        </row>
        <row r="1914">
          <cell r="F1914">
            <v>6313</v>
          </cell>
          <cell r="G1914" t="str">
            <v>MEZCLA ASFÁLTICA DENSA EN CALIENTE MD12 CON CEMENTO ASFÁLTICO 60-70 (SUMINISTRO, EXTENDIDO, NIVELACIÓN Y COMPACTACIÓN MECANICA CON VIBROCOMPACTADOR Y COMPACTADOR DE LLANTAS)</v>
          </cell>
          <cell r="H1914" t="str">
            <v>M3</v>
          </cell>
          <cell r="I1914">
            <v>1048763</v>
          </cell>
        </row>
        <row r="1915">
          <cell r="F1915">
            <v>6314</v>
          </cell>
          <cell r="G1915" t="str">
            <v>MEZCLA ASFÁLTICA EN CALIENTE TIPO DENSO MD10 ASFALTO CONVENCIONAL (CEMENTO ASFÁLTICO 60-70) (SUMINISTRO, EXTENDIDO, NIVELACIÓN Y COMPACTACIÓN MECANICA CON VIBROCOMPACTADOR Y COMPACTADOR DE LLANTAS)</v>
          </cell>
          <cell r="H1915" t="str">
            <v>M3</v>
          </cell>
          <cell r="I1915">
            <v>1073042</v>
          </cell>
        </row>
        <row r="1916">
          <cell r="F1916">
            <v>6315</v>
          </cell>
          <cell r="G1916" t="str">
            <v>MEZCLA ASFÁLTICA EN CALIENTE TIPO DENSO MD10 ASF CONVENCIONAL (CEMENTO ASFÁLTICO 60-70) (SUMINISTRO, EXTENDIDO Y NIVELACIÓN MANUAL Y COMPACTACIÓN MECANICA CON VIBROCOMPACTADOR BENITIN DE 1 TONELADA)</v>
          </cell>
          <cell r="H1916" t="str">
            <v>M3</v>
          </cell>
          <cell r="I1916">
            <v>1074520</v>
          </cell>
        </row>
        <row r="1917">
          <cell r="F1917">
            <v>6316</v>
          </cell>
          <cell r="G1917" t="str">
            <v>MEZCLA ASFALTICA EN CALIENTE TIPO DENSO MD12 ASF CONVENCIONAL CON CEMENTO ASFÁLTICO 60-70 (SUMINISTRO, EXTENDIDO Y NIVELACIÓN MANUAL Y COMPACTACIÓN MECANICA CON VIBROCOMPACTADOR BENITIN DE 1 TONELADA INCLUYE OPERARIO Y COMBUSTIBLE)</v>
          </cell>
          <cell r="H1917" t="str">
            <v>M3</v>
          </cell>
          <cell r="I1917">
            <v>1102241</v>
          </cell>
        </row>
        <row r="1918">
          <cell r="F1918">
            <v>6317</v>
          </cell>
          <cell r="G1918"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H1918" t="str">
            <v>ML</v>
          </cell>
          <cell r="I1918">
            <v>5348236</v>
          </cell>
        </row>
        <row r="1919">
          <cell r="F1919">
            <v>6318</v>
          </cell>
          <cell r="G1919"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H1919" t="str">
            <v>UN/MES</v>
          </cell>
          <cell r="I1919">
            <v>154700</v>
          </cell>
        </row>
        <row r="1920">
          <cell r="F1920">
            <v>6319</v>
          </cell>
          <cell r="G1920"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H1920" t="str">
            <v>ML</v>
          </cell>
          <cell r="I1920">
            <v>3577416</v>
          </cell>
        </row>
        <row r="1921">
          <cell r="F1921">
            <v>6320</v>
          </cell>
          <cell r="G1921" t="str">
            <v>POSTE METÁLICO AP, H=12M (INC. SUMINISTRO, IZAJE, APLOMADO E INSTALACIÓN. INC. BRAZO SENCILLO Y BASE SEGÚN NORMA AP802)</v>
          </cell>
          <cell r="H1921" t="str">
            <v>UN</v>
          </cell>
          <cell r="I1921">
            <v>3955373</v>
          </cell>
        </row>
        <row r="1922">
          <cell r="F1922">
            <v>6321</v>
          </cell>
          <cell r="G1922" t="str">
            <v>CONCRETO 4000 PSI GRAVA COMÚN PREMEZCLADO PARA TABLERO PUENTE (INCLUYE SUMINISTRO E INSTALACIÓN, BOMBEO DE CONCRETO, ADITIVO PARA PUENTE DE ADHERENCIA DE CONCRETO FRESCO Y ENDURECIDO).</v>
          </cell>
          <cell r="H1922" t="str">
            <v>M3</v>
          </cell>
          <cell r="I1922">
            <v>784552</v>
          </cell>
        </row>
        <row r="1923">
          <cell r="F1923">
            <v>6322</v>
          </cell>
          <cell r="G1923" t="str">
            <v>NEOPRENO REFORZADO 0.30X0.30X3 CM DOBLE REFUERZO DUREZA 60. SUMINISTRO E INSTALACIÓN. (INCLUYE LIMPIEZA DE LA SUPERFICIE CON CHORRO DE AIRE A PRESIÓN, HERRAMIENTA MENOR Y COMPRESOR).</v>
          </cell>
          <cell r="H1923" t="str">
            <v>UN</v>
          </cell>
          <cell r="I1923">
            <v>184452</v>
          </cell>
        </row>
        <row r="1924">
          <cell r="F1924">
            <v>6323</v>
          </cell>
          <cell r="G1924" t="str">
            <v>CONCRETO 3000 PSI HECHO EN OBRA PARA MURO (HASTA 3.70 M DE ALTO. INCL. SUMINISTRO E INSTALACIÓN, GEODREN PLANAR _H= 1.0 M, EXCAVACIÓN, RETIRO DE ESCOMBROS, MORTERO, RECEBO COMPACTADO Y ACERO DE REFUERZO)</v>
          </cell>
          <cell r="H1924" t="str">
            <v>ML</v>
          </cell>
          <cell r="I1924">
            <v>734982</v>
          </cell>
        </row>
        <row r="1925">
          <cell r="F1925">
            <v>6324</v>
          </cell>
          <cell r="G1925" t="str">
            <v>NEOPRENO REFORZADO 0.30X0.30X1 CM DOBLE REFUERZO DUREZA 60. SUMINISTRO E INSTALACIÓN. (INCLUYE LIMPIEZA DE LA SUPERFICIE CON CHORRO DE AIRE A PRESIÓN, HERRAMIENTA MENOR Y COMPRESOR).</v>
          </cell>
          <cell r="H1925" t="str">
            <v>UN</v>
          </cell>
          <cell r="I1925">
            <v>77270</v>
          </cell>
        </row>
        <row r="1926">
          <cell r="F1926">
            <v>6325</v>
          </cell>
          <cell r="G1926" t="str">
            <v>DESMONTE DE LUMINARIA DE 70 W</v>
          </cell>
          <cell r="H1926" t="str">
            <v>UN</v>
          </cell>
          <cell r="I1926">
            <v>75547</v>
          </cell>
        </row>
        <row r="1927">
          <cell r="F1927">
            <v>6326</v>
          </cell>
          <cell r="G1927" t="str">
            <v>PIEDRA RAJÓN PARA PROTECCIÓN DEL CANAL E= 30 CM INCLUYE MORTERO 2500 PSI PARA PEGA E= 10 CM (INCLUYE SUMINISTRO E INSTALACIÓN)</v>
          </cell>
          <cell r="H1927" t="str">
            <v>M3</v>
          </cell>
          <cell r="I1927">
            <v>162755</v>
          </cell>
        </row>
        <row r="1928">
          <cell r="F1928">
            <v>6327</v>
          </cell>
          <cell r="G1928" t="str">
            <v>PRUEBA DE HERMETICIDAD POR EL MÉTODO DE PRESIÓN POSITIVA CON AIRE PARA LAS REDES DE ALCANTARILLADO SANITARIO DE ACUERDO A LAS NORMAS TÉCNICAS VIGENTES (E.A.A.B - SISTECNE_12). TRAMO DE Ø6" A Ø12".</v>
          </cell>
          <cell r="H1928" t="str">
            <v>TRAMO</v>
          </cell>
          <cell r="I1928">
            <v>535500</v>
          </cell>
        </row>
        <row r="1929">
          <cell r="F1929">
            <v>6328</v>
          </cell>
          <cell r="G1929" t="str">
            <v>PRUEBA DE HERMETICIDAD POR EL MÉTODO DE PRESIÓN POSITIVA CON AIRE PARA LAS REDES DE ALCANTARILLADO SANITARIO DE ACUERDO A LAS NORMAS TÉCNICAS VIGENTES (E.A.A.B - SISTECNE_12). TRAMO DE Ø14" A Ø24".</v>
          </cell>
          <cell r="H1929" t="str">
            <v>TRAMO</v>
          </cell>
          <cell r="I1929">
            <v>654500</v>
          </cell>
        </row>
        <row r="1930">
          <cell r="F1930">
            <v>6329</v>
          </cell>
          <cell r="G1930" t="str">
            <v>PRUEBA DE HERMETICIDAD POR EL MÉTODO DE PRESIÓN POSITIVA CON AIRE PARA LAS REDES DE ALCANTARILLADO SANITARIO DE ACUERDO A LAS NORMAS TÉCNICAS VIGENTES (E.A.A.B - SISTECNE_12). TRAMO DE Ø42" A Ø50".</v>
          </cell>
          <cell r="H1930" t="str">
            <v>TRAMO</v>
          </cell>
          <cell r="I1930">
            <v>892500</v>
          </cell>
        </row>
        <row r="1931">
          <cell r="F1931">
            <v>6333</v>
          </cell>
          <cell r="G1931" t="str">
            <v>GAVIONES - SUMINISTRO Y CONSTRUCCIÓN. INCLUYE RAJÓN, MALLA PARA GAVIONES Y ALAMBRE RECOCIDO.</v>
          </cell>
          <cell r="H1931" t="str">
            <v>M3</v>
          </cell>
          <cell r="I1931">
            <v>221979</v>
          </cell>
        </row>
        <row r="1932">
          <cell r="F1932">
            <v>6335</v>
          </cell>
          <cell r="G1932" t="str">
            <v>TUBO GALVANIZADO 3". GOTERO. INCLUYE SUMINISTRO E INSTALACIÓN</v>
          </cell>
          <cell r="H1932" t="str">
            <v>ML</v>
          </cell>
          <cell r="I1932">
            <v>139066</v>
          </cell>
        </row>
        <row r="1933">
          <cell r="F1933">
            <v>6339</v>
          </cell>
          <cell r="G1933" t="str">
            <v>IZAJE Y DESMONTAJE DE VIGA METÁLICA EXISTENTE. INCLUYE GRÚAS TELESCÓPICAS 50 TON, CARGUE Y TRANSPORTE DE ESTRUCTURA METÁLICA EN CAMA BAJA.</v>
          </cell>
          <cell r="H1933" t="str">
            <v>UN</v>
          </cell>
          <cell r="I1933">
            <v>4498786</v>
          </cell>
        </row>
        <row r="1934">
          <cell r="F1934">
            <v>6340</v>
          </cell>
          <cell r="G1934" t="str">
            <v>SUELO MECÁNICAMENTE REFORZADO. (SUMINISTRO E INSTALACIÓN, INCLUYE GEOTEXTIL NT 2500, GEOMALLA BIAXIAL BX-60, MATERIAL SELECCIONADO, TRANSPORTE Y DISPOSICIÓN DE ESCOMBROS)</v>
          </cell>
          <cell r="H1934" t="str">
            <v>M3</v>
          </cell>
          <cell r="I1934">
            <v>231800</v>
          </cell>
        </row>
        <row r="1935">
          <cell r="F1935">
            <v>6341</v>
          </cell>
          <cell r="G1935" t="str">
            <v>CAJA DESARENADORA - SUMINISTRO Y CONSTRUCCIÓN SEGÚN DISEÑO. INCLUYE LADRILLO TOLETE COMÚN, MORTERO 1:3 IMPERMEABILIZADO, CONCRETO DE LIMPIEZA 2500 PSI, PLACA INFERIOR Y ACERO DE REFUERZO.</v>
          </cell>
          <cell r="H1935" t="str">
            <v>UN</v>
          </cell>
          <cell r="I1935">
            <v>662685</v>
          </cell>
        </row>
        <row r="1936">
          <cell r="F1936">
            <v>6342</v>
          </cell>
          <cell r="G1936" t="str">
            <v>ESTRUCTURA DE DISIPACIÓN COLECTOR DE 1.20 M EN CONCRETO IMPERMEABILIZADO 4000 PSI, SEGÚN DISEÑO. INCLUYE SUMINISTRO, CONSTRUCCIÓN, ACERO DE REFUERZO Y FORMALETA, ENCOFRADO Y DESENCOFRADO.</v>
          </cell>
          <cell r="H1936" t="str">
            <v>UN</v>
          </cell>
          <cell r="I1936">
            <v>8167132</v>
          </cell>
        </row>
        <row r="1937">
          <cell r="F1937">
            <v>6343</v>
          </cell>
          <cell r="G1937" t="str">
            <v>JUNTA DE DILATACIÓN TRAMOS 1.00 M (MOVIMIENTO +/- 25 MM)</v>
          </cell>
          <cell r="H1937" t="str">
            <v>ML</v>
          </cell>
          <cell r="I1937">
            <v>837260</v>
          </cell>
        </row>
        <row r="1938">
          <cell r="F1938">
            <v>6346</v>
          </cell>
          <cell r="G1938" t="str">
            <v>RETIRO DE TUBERÍA METÁLICA EXISTENTE. INCLUYE TRANSPORTE Y DISPOSICIÓN FINAL.</v>
          </cell>
          <cell r="H1938" t="str">
            <v>ML</v>
          </cell>
          <cell r="I1938">
            <v>29987</v>
          </cell>
        </row>
        <row r="1939">
          <cell r="F1939">
            <v>6352</v>
          </cell>
          <cell r="G1939" t="str">
            <v>PINTURA RECUBRIMIENTO ELÁSTICO EN RESINA ACRÍLICA APLICADA SOBRE CONCRETO. DOS (2) MANOS. INCLUYE SUMINISTRO Y COLOCACIÓN DE PINTURA.</v>
          </cell>
          <cell r="H1939" t="str">
            <v>M2</v>
          </cell>
          <cell r="I1939">
            <v>74504</v>
          </cell>
        </row>
        <row r="1940">
          <cell r="F1940">
            <v>6353</v>
          </cell>
          <cell r="G1940" t="str">
            <v>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H1940" t="str">
            <v>CM.PER</v>
          </cell>
          <cell r="I1940">
            <v>2097</v>
          </cell>
        </row>
        <row r="1941">
          <cell r="F1941">
            <v>6364</v>
          </cell>
          <cell r="G1941" t="str">
            <v>SEÑAL ELEVADA BS, TABLERO 3.097M X 2.228M REFLECTIVO DIAMANTE, SOPORTE EN TUBO GALVANIZADO DE 12" EN 7M. CERCHA EN TUBO DE 4" EN 3MM Y 2" EN 2MM. INCLUYE SUMINISTRO E INSTALACIÓN</v>
          </cell>
          <cell r="H1941" t="str">
            <v>UN</v>
          </cell>
          <cell r="I1941">
            <v>6571422</v>
          </cell>
        </row>
        <row r="1942">
          <cell r="F1942">
            <v>6365</v>
          </cell>
          <cell r="G1942" t="str">
            <v>SEÑAL INFORMATIVA SI-05, TABLERO 1.401M X 0.512M REFLECTIVO ALTA INTENSIDAD, PEDESTAL EN ÁNGULO DE 2"X2"X1/4" H= 2.60M EN PINTURA ELECTROSTÁTICA. INCLUYE SUMINISTRO E INSTALACIÓN</v>
          </cell>
          <cell r="H1942" t="str">
            <v>UN</v>
          </cell>
          <cell r="I1942">
            <v>975800</v>
          </cell>
        </row>
        <row r="1943">
          <cell r="F1943">
            <v>6366</v>
          </cell>
          <cell r="G1943" t="str">
            <v>SEÑAL INFORMATIVA SI-05, TABLERO 1.167M X 0.512M REFLECTIVO ALTA INTENSIDAD, PEDESTAL EN ÁNGULO DE 2"X2"X1/4" H= 2.60M EN PINTURA ELECTROSTÁTICA. INCLUYE SUMINISTRO E INSTALACIÓN</v>
          </cell>
          <cell r="H1943" t="str">
            <v>UN</v>
          </cell>
          <cell r="I1943">
            <v>644555</v>
          </cell>
        </row>
        <row r="1944">
          <cell r="F1944">
            <v>6367</v>
          </cell>
          <cell r="G1944" t="str">
            <v>SEÑAL INFORMATIVA SI-05, TABLERO 1.190M X 0.512M REFLECTIVO ALTA INTENSIDAD, PEDESTAL EN ÁNGULO DE 2"X2"X1/4" H= 2.60M EN PINTURA ELECTROSTÁTICA. INCLUYE SUMINISTRO E INSTALACIÓN</v>
          </cell>
          <cell r="H1944" t="str">
            <v>UN</v>
          </cell>
          <cell r="I1944">
            <v>644555</v>
          </cell>
        </row>
        <row r="1945">
          <cell r="F1945">
            <v>6371</v>
          </cell>
          <cell r="G1945" t="str">
            <v>SEÑAL ELEVADA BS, TABLERO 2.414M X 1.380M REFLECTIVO DIAMANTE, SOPORTE EN TUBO GALVANIZADO DE 12" EN 7M. CERCHA EN TUBO DE 4" EN 3MM Y 2" EN 2MM. INCLUYE SUMINISTRO E INSTALACIÓN</v>
          </cell>
          <cell r="H1945" t="str">
            <v>UN</v>
          </cell>
          <cell r="I1945">
            <v>6571422</v>
          </cell>
        </row>
        <row r="1946">
          <cell r="F1946">
            <v>6372</v>
          </cell>
          <cell r="G1946" t="str">
            <v>SEÑAL ELEVADA BS, TABLERO 3.322M X 2.111M REFLECTIVO DIAMANTE, SOPORTE EN TUBO GALVANIZADO DE 12" EN 7M. CERCHA EN TUBO DE 4" EN 3MM Y 2" EN 2MM. INCLUYE SUMINISTRO E INSTALACIÓN</v>
          </cell>
          <cell r="H1946" t="str">
            <v>UN</v>
          </cell>
          <cell r="I1946">
            <v>7473955</v>
          </cell>
        </row>
        <row r="1947">
          <cell r="F1947">
            <v>6373</v>
          </cell>
          <cell r="G1947" t="str">
            <v>REEMPLAZO DE TABLERO SEÑAL ELEVADA BS, POR TABLERO GALVANIZADO CALIBRE 20 3.914M X 1.972M REFLECTIVO DIAMANTE. INCLUYE SUMINISTRO E INSTALACIÓN</v>
          </cell>
          <cell r="H1947" t="str">
            <v>UN</v>
          </cell>
          <cell r="I1947">
            <v>4122922</v>
          </cell>
        </row>
        <row r="1948">
          <cell r="F1948">
            <v>6374</v>
          </cell>
          <cell r="G1948" t="str">
            <v>SEÑAL INFORMATIVA SI-05C, TABLERO 60.64CM X 82.50CM REFLECTIVO ALTA INTENSIDAD, PEDESTAL EN ÁNGULO DE 2"X2"X1/4" H= 2.60M EN PINTURA ELECTROSTÁTICA. INCLUYE SUMINISTRO E INSTALACIÓN</v>
          </cell>
          <cell r="H1948" t="str">
            <v>UN</v>
          </cell>
          <cell r="I1948">
            <v>428400</v>
          </cell>
        </row>
        <row r="1949">
          <cell r="F1949">
            <v>6375</v>
          </cell>
          <cell r="G1949" t="str">
            <v>SEÑAL INFORMATIVA SI-05C, TABLERO 75.09CM X 82.50CM REFLECTIVO ALTA INTENSIDAD, PEDESTAL EN ÁNGULO DE 2"X2"X1/4" H= 2.60M EN PINTURA ELECTROSTÁTICA. INCLUYE SUMINISTRO E INSTALACIÓN</v>
          </cell>
          <cell r="H1949" t="str">
            <v>UN</v>
          </cell>
          <cell r="I1949">
            <v>493850</v>
          </cell>
        </row>
        <row r="1950">
          <cell r="F1950">
            <v>6376</v>
          </cell>
          <cell r="G1950" t="str">
            <v>SEÑAL INFORMATIVA SI-05C, TABLERO 76.09CM X 97.51CM REFLECTIVO ALTA INTENSIDAD, PEDESTAL EN ÁNGULO DE 2"X2"X1/4" H= 2.60M EN PINTURA ELECTROSTÁTICA. INCLUYE SUMINISTRO E INSTALACIÓN</v>
          </cell>
          <cell r="H1950" t="str">
            <v>UN</v>
          </cell>
          <cell r="I1950">
            <v>493850</v>
          </cell>
        </row>
        <row r="1951">
          <cell r="F1951">
            <v>6377</v>
          </cell>
          <cell r="G1951" t="str">
            <v>SEÑAL INFORMATIVA SI-05C, TABLERO 75.01CM X 82.50CM REFLECTIVO ALTA INTENSIDAD, PEDESTAL EN ÁNGULO DE 2"X2"X1/4" H= 2.60M EN PINTURA ELECTROSTÁTICA. INCLUYE SUMINISTRO E INSTALACIÓN</v>
          </cell>
          <cell r="H1951" t="str">
            <v>UN</v>
          </cell>
          <cell r="I1951">
            <v>493850</v>
          </cell>
        </row>
        <row r="1952">
          <cell r="F1952">
            <v>6379</v>
          </cell>
          <cell r="G1952" t="str">
            <v>SEÑAL INFORMATIVA SI-05, TABLERO 1.119M X 0.512M REFLECTIVO ALTA INTENSIDAD, PEDESTAL EN ÁNGULO DE 2"X2"X1/4" H= 2.60M EN PINTURA ELECTROSTÁTICA. INCLUYE SUMINISTRO E INSTALACIÓN</v>
          </cell>
          <cell r="H1952" t="str">
            <v>UN</v>
          </cell>
          <cell r="I1952">
            <v>668780</v>
          </cell>
        </row>
        <row r="1953">
          <cell r="F1953">
            <v>6380</v>
          </cell>
          <cell r="G1953" t="str">
            <v>4 DUCTOS D=3" PVC-TDP (NO INCLUYE RELLENOS NI EXCAVACIÓN). SUMINISTRO E INSTALACIÓN.</v>
          </cell>
          <cell r="H1953" t="str">
            <v>ML</v>
          </cell>
          <cell r="I1953">
            <v>82228</v>
          </cell>
        </row>
        <row r="1954">
          <cell r="F1954">
            <v>6381</v>
          </cell>
          <cell r="G1954" t="str">
            <v>9 DUCTOS D=6" + 2 DUCTOS DE 3" - IMC EN CERCHA METÁLICA. SUMINISTRO E INSTALACIÓN. INCLUYE CONECTOR METÁLICO DE PUESTA A TIERRA DE 3" Y 6" EN CADA EXTREMO.</v>
          </cell>
          <cell r="H1954" t="str">
            <v>ML</v>
          </cell>
          <cell r="I1954">
            <v>6230647</v>
          </cell>
        </row>
        <row r="1955">
          <cell r="F1955">
            <v>6382</v>
          </cell>
          <cell r="G1955" t="str">
            <v>TUBERIA PVC D=14" TIPO U.M. RDE 21 (SUMINISTRO E INSTALACIÓN)</v>
          </cell>
          <cell r="H1955" t="str">
            <v>ML</v>
          </cell>
          <cell r="I1955">
            <v>529948</v>
          </cell>
        </row>
        <row r="1956">
          <cell r="F1956">
            <v>6383</v>
          </cell>
          <cell r="G1956" t="str">
            <v>9 DUCTOS D=6" + 2 DUCTOS DE 3" - PVC-TDP INCLUYE SUMINISTRO E INSTALACIÓN.</v>
          </cell>
          <cell r="H1956" t="str">
            <v>ML</v>
          </cell>
          <cell r="I1956">
            <v>538957</v>
          </cell>
        </row>
        <row r="1957">
          <cell r="F1957">
            <v>6387</v>
          </cell>
          <cell r="G1957"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H1957" t="str">
            <v>UN</v>
          </cell>
          <cell r="I1957">
            <v>16593188</v>
          </cell>
        </row>
        <row r="1958">
          <cell r="F1958">
            <v>6388</v>
          </cell>
          <cell r="G1958"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H1958" t="str">
            <v>UN</v>
          </cell>
          <cell r="I1958">
            <v>21990636</v>
          </cell>
        </row>
        <row r="1959">
          <cell r="F1959">
            <v>6389</v>
          </cell>
          <cell r="G1959"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H1959" t="str">
            <v>UN</v>
          </cell>
          <cell r="I1959">
            <v>23628291</v>
          </cell>
        </row>
        <row r="1960">
          <cell r="F1960">
            <v>6392</v>
          </cell>
          <cell r="G1960"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H1960" t="str">
            <v>M3</v>
          </cell>
          <cell r="I1960">
            <v>2212908</v>
          </cell>
        </row>
        <row r="1961">
          <cell r="F1961">
            <v>6393</v>
          </cell>
          <cell r="G1961" t="str">
            <v>PILOTE PREEXCAVADO DE DIÁMETRO 45 CM CONCRETO TREMIE 4000 PSI. ACELERADO A 2 DIAS. INCL. ACERO DE 60000 PSI 103.50 KG/M3, TRANSPORTE Y DISPOSICIÓN FINAL DE ESCOMBROS EN SITIO AUTORIZADO. DISTANCIA DE TRANSPORTE 21 KM. MOVILIZACIÓN, MONTAJE Y DESMONTAJE DE EQUIPOS.</v>
          </cell>
          <cell r="H1961" t="str">
            <v>M3</v>
          </cell>
          <cell r="I1961">
            <v>2395392</v>
          </cell>
        </row>
        <row r="1962">
          <cell r="F1962">
            <v>6394</v>
          </cell>
          <cell r="G1962" t="str">
            <v>TORONES POSTENSADOS PARA REFORZAMIENTO EXTERNO DE 5/8" TENSIONADO 16,9 TON. SUMINISTRO E INSTALACIÓN, TENSIONAMIENTO, MANO DE OBRA, EQUIPOS EN GENERAL.</v>
          </cell>
          <cell r="H1962" t="str">
            <v>ML</v>
          </cell>
          <cell r="I1962">
            <v>22974</v>
          </cell>
        </row>
        <row r="1963">
          <cell r="F1963">
            <v>6395</v>
          </cell>
          <cell r="G1963" t="str">
            <v>PILOTE PREEXCAVADO DE DIÁMETRO 45 CM CONCRETO TREMIE 4000 PSI. ACELERADO A 2 DIAS. INCL. ACERO DE 60000 PSI 257 KG/M3, TRANSPORTE Y DISPOSICIÓN FINAL DE ESCOMBROS EN SITIO AUTORIZADO. DISTANCIA DE TRANSPORTE 21 KM. MOVILIZACIÓN, MONTAJE Y DESMONTAJE DE EQUIPOS.</v>
          </cell>
          <cell r="H1963" t="str">
            <v>M3</v>
          </cell>
          <cell r="I1963">
            <v>3205267</v>
          </cell>
        </row>
        <row r="1964">
          <cell r="F1964">
            <v>6396</v>
          </cell>
          <cell r="G1964" t="str">
            <v>APOYO ELASTOMERICO DE 30CM X 30CM X 5CM. DUREZA 60 CON REFUERZOS 1/8" INCLUYE SUMINISTRO E INSTALACIÓN</v>
          </cell>
          <cell r="H1964" t="str">
            <v>UN</v>
          </cell>
          <cell r="I1964">
            <v>418281</v>
          </cell>
        </row>
        <row r="1965">
          <cell r="F1965">
            <v>6397</v>
          </cell>
          <cell r="G1965" t="str">
            <v>APOYO ELASTOMERICO DE 20CM X 20CM X 5CM. DUREZA 60 CON REFUERZOS 1/8" INCLUYE SUMINISTRO E INSTALACIÓN</v>
          </cell>
          <cell r="H1965" t="str">
            <v>UN</v>
          </cell>
          <cell r="I1965">
            <v>246266</v>
          </cell>
        </row>
        <row r="1966">
          <cell r="F1966">
            <v>6400</v>
          </cell>
          <cell r="G1966" t="str">
            <v>EXCAVACIÓN PARA CAISSON D=1.50M (INCL. EXCAVACIÓN, CARGUE Y RETIRO DE SOBRANTES)</v>
          </cell>
          <cell r="H1966" t="str">
            <v>ML</v>
          </cell>
          <cell r="I1966">
            <v>707352</v>
          </cell>
        </row>
        <row r="1967">
          <cell r="F1967">
            <v>6407</v>
          </cell>
          <cell r="G1967" t="str">
            <v>CIELO RASO EN BANDEJA TILE DE 610 MM X 610MM EN ALUZINC PERFORADO PERFIL CLP INCLUYE PERFILES DE FIJACIÓN SISTEMA DE SUSPENSIÓN Y ESPACIO PARA LAMPARAS. SUMINISTRO E INSTALACIÓN.</v>
          </cell>
          <cell r="H1967" t="str">
            <v>M2</v>
          </cell>
          <cell r="I1967">
            <v>208400</v>
          </cell>
        </row>
        <row r="1968">
          <cell r="F1968">
            <v>6411</v>
          </cell>
          <cell r="G1968" t="str">
            <v>VENTANAS EN ALUMINIO TIPO LENHER DE 1,20M X 0,30M CON ALFAJÍA EN ALUMINIO Y VIDRIO LAMINADO DE 3+3 (6 MM). SUMINISTRO E INSTALACIÓN.</v>
          </cell>
          <cell r="H1968" t="str">
            <v>UN</v>
          </cell>
          <cell r="I1968">
            <v>335167</v>
          </cell>
        </row>
        <row r="1969">
          <cell r="F1969">
            <v>6413</v>
          </cell>
          <cell r="G1969" t="str">
            <v>VINILO ADHESIVO FABRICADA EN LAMINA DE ALUMINIO PARA SALIDAS LATERALES (275CM X 31,6CM) SEGÚN MANUAL DE IMAGEN DE TRANSMILENIO. SUMINISTRO E INSTALACIÓN.</v>
          </cell>
          <cell r="H1969" t="str">
            <v>UN</v>
          </cell>
          <cell r="I1969">
            <v>1532143</v>
          </cell>
        </row>
        <row r="1970">
          <cell r="F1970">
            <v>6416</v>
          </cell>
          <cell r="G1970"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H1970" t="str">
            <v>M2</v>
          </cell>
          <cell r="I1970">
            <v>83791</v>
          </cell>
        </row>
        <row r="1971">
          <cell r="F1971">
            <v>6421</v>
          </cell>
          <cell r="G1971" t="str">
            <v>CONSTRUCCIÓN PIEZA FUNDIDA EN SITIO SIMILAR A SARDINEL BAJO RAMPA. (INCLUYE SUMINISTRO Y COLOCACIÓN DE CONCRETO DE 3000 PSI GRAVA COMÚN, FORMALETA Y MANO DE OBRA)</v>
          </cell>
          <cell r="H1971" t="str">
            <v>ML</v>
          </cell>
          <cell r="I1971">
            <v>44825</v>
          </cell>
        </row>
        <row r="1972">
          <cell r="F1972">
            <v>6422</v>
          </cell>
          <cell r="G1972" t="str">
            <v>REJILLA PREFABRICADA EN CONCRETO 0,4M X 0,4M. (INCLUYE SUMINISTRO Y COLOCACIÓN, MORTERO DE 2000 PSI Y MANO DE OBRA)</v>
          </cell>
          <cell r="H1972" t="str">
            <v>UN</v>
          </cell>
          <cell r="I1972">
            <v>59562</v>
          </cell>
        </row>
        <row r="1973">
          <cell r="F1973">
            <v>6423</v>
          </cell>
          <cell r="G1973" t="str">
            <v>NIVELACIÓN DE CAJA DE INSPECCIÓN TIPO VEHICULAR NORMA CODENSA CS 280 H=0,5M (INCLUYE CONCRETO 3000 PSI PREMEZCLADO, LADRILLO TOLETE RECOCIDO 24X12X6. MORTERO 1:4 IMPERMEABILIZADO HECHO EN OBRA. INCL. REPOSICIÓN DE MARCO Y TAPA PREFABRICADA)</v>
          </cell>
          <cell r="H1973" t="str">
            <v>UN</v>
          </cell>
          <cell r="I1973">
            <v>2533842</v>
          </cell>
        </row>
        <row r="1974">
          <cell r="F1974">
            <v>6425</v>
          </cell>
          <cell r="G1974" t="str">
            <v>GEODRÉN VIAL H= 1.0M O DRENAFLEX PLANAR H= 1.0M, TUBERÍA DE 100MM (INCLUYE COLOCACIÓN BASE GRANULAR CLASE C, SUMINISTRO Y COLOCACIÓN GEODREN)</v>
          </cell>
          <cell r="H1974" t="str">
            <v>ML</v>
          </cell>
          <cell r="I1974">
            <v>97953</v>
          </cell>
        </row>
        <row r="1975">
          <cell r="F1975">
            <v>6426</v>
          </cell>
          <cell r="G1975" t="str">
            <v>CONTENEDOR DE RAICES TIPO B24 (TIPO E) DE 2,80M X 1,20M H=1,00 M. (INCLUYE CONSTRUCCIÓN DE MUROS EN LADRILLO TOLETE, COLOCACIÓN DE FILTRO EN GRAVILLA. INCLUYE TIERRA NEGRA)</v>
          </cell>
          <cell r="H1975" t="str">
            <v>UN</v>
          </cell>
          <cell r="I1975">
            <v>1055736</v>
          </cell>
        </row>
        <row r="1976">
          <cell r="F1976">
            <v>6427</v>
          </cell>
          <cell r="G1976" t="str">
            <v>BORDE CONTENEDOR DE RAÍCES A-70 (INCLUYE SUMINISTRO E INSTALACIÓN, INCLUYE BASE DE 3CM EN MORTERO 1:3 HECHO EN OBRA)</v>
          </cell>
          <cell r="H1976" t="str">
            <v>ML</v>
          </cell>
          <cell r="I1976">
            <v>33119</v>
          </cell>
        </row>
        <row r="1977">
          <cell r="F1977">
            <v>6428</v>
          </cell>
          <cell r="G1977" t="str">
            <v>MURO DE CONTENCIÓN EN CONCRETO 3000 PSI PREMEZCLADO, GRAVA FINA.  CON ADICIÓN DE MICROFIBRA DE POLIPROPILENO, . (Incluye suministro, formaleteo, bombeo, colocación y curado. (No incluye refuerzo)</v>
          </cell>
          <cell r="H1977" t="str">
            <v>M3</v>
          </cell>
          <cell r="I1977">
            <v>927571</v>
          </cell>
        </row>
        <row r="1978">
          <cell r="F1978">
            <v>6429</v>
          </cell>
          <cell r="G1978" t="str">
            <v>DENSIFICACIÓN DE TERRENO CON PILOTES EN MADERA INMUNIZADA DIÁMETRO DE 12 CM (INCLUYE TRANSPORTE)</v>
          </cell>
          <cell r="H1978" t="str">
            <v>ML</v>
          </cell>
          <cell r="I1978">
            <v>41226</v>
          </cell>
        </row>
        <row r="1979">
          <cell r="F1979">
            <v>6430</v>
          </cell>
          <cell r="G1979" t="str">
            <v>PILOTES DE CONCRETO GRAVA FINA DE 3000 PSI (PREBARRENADOS) CON DIÁMETRO 0.30M (INCLUYE: EXCAVACIÓN, FUNDIDA, LOCALIZACIÓN, PREHUECOS, AGUA DE CARROTANQUES, RETIRO DE LODOS Y DESCABECE DE PILOTES)</v>
          </cell>
          <cell r="H1979" t="str">
            <v>ML</v>
          </cell>
          <cell r="I1979">
            <v>276984</v>
          </cell>
        </row>
        <row r="1980">
          <cell r="F1980">
            <v>6431</v>
          </cell>
          <cell r="G1980" t="str">
            <v>MEZCLA ASFÁLTICA ALTO MÓDULO MAM-20 (SUMINISTRO, EXTENDIDO, NIVELACIÓN Y COMPACTACIÓN. INCLUYE EMULSIÓN ASFÁLTICA CRL-1 - CRR-1)</v>
          </cell>
          <cell r="H1980" t="str">
            <v>M3</v>
          </cell>
          <cell r="I1980">
            <v>1247012</v>
          </cell>
        </row>
        <row r="1981">
          <cell r="F1981">
            <v>6433</v>
          </cell>
          <cell r="G1981"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H1981" t="str">
            <v>KG</v>
          </cell>
          <cell r="I1981">
            <v>16950</v>
          </cell>
        </row>
        <row r="1982">
          <cell r="F1982">
            <v>6434</v>
          </cell>
          <cell r="G1982"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H1982" t="str">
            <v>KG</v>
          </cell>
          <cell r="I1982">
            <v>16320</v>
          </cell>
        </row>
        <row r="1983">
          <cell r="F1983">
            <v>6435</v>
          </cell>
          <cell r="G1983"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H1983" t="str">
            <v>KG</v>
          </cell>
          <cell r="I1983">
            <v>17250</v>
          </cell>
        </row>
        <row r="1984">
          <cell r="F1984">
            <v>6436</v>
          </cell>
          <cell r="G1984"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H1984" t="str">
            <v>KG</v>
          </cell>
          <cell r="I1984">
            <v>16820</v>
          </cell>
        </row>
        <row r="1985">
          <cell r="F1985">
            <v>6437</v>
          </cell>
          <cell r="G1985"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H1985" t="str">
            <v>KG</v>
          </cell>
          <cell r="I1985">
            <v>16950</v>
          </cell>
        </row>
        <row r="1986">
          <cell r="F1986">
            <v>6438</v>
          </cell>
          <cell r="G1986" t="str">
            <v>LAVADO Y SONDEO DE REDES DE ALCANTARILLADO ENTRE 6" Y 18" DE DIÁMETRO Y CON GRADO DE COLMATACIÓN MENOR DEL 30%. INCL MANO DE OBRA IDÓNEA, SEÑALIZACIÓN BÁSICA, SUMIN DE COMBUSTIBLE Y AGUA. INCL. IVA</v>
          </cell>
          <cell r="H1986" t="str">
            <v>ML</v>
          </cell>
          <cell r="I1986">
            <v>14875</v>
          </cell>
        </row>
        <row r="1987">
          <cell r="F1987">
            <v>6439</v>
          </cell>
          <cell r="G1987" t="str">
            <v>LAVADO Y SONDEO DE REDES DE ALCANTARILLADO ENTRE 16" Y 36" DE DIÁMETRO Y CON GRADO DE COLMATACIÓN MENOR DEL 30%. INCLUYE MANO DE OBRA IDÓNEA, SEÑALIZACIÓN BÁSICA, SUMIN DE COMBUSTIBLE Y AGUA. INCL IVA</v>
          </cell>
          <cell r="H1987" t="str">
            <v>ML</v>
          </cell>
          <cell r="I1987">
            <v>16065</v>
          </cell>
        </row>
        <row r="1988">
          <cell r="F1988">
            <v>6440</v>
          </cell>
          <cell r="G1988" t="str">
            <v>LIMPIEZA GRADO DE LIMPIEZA SEGÚN NORMA SSPC-SP1 - LIMPIEZA CON SOLVENTES PARA ESTRUCTURA PESADA</v>
          </cell>
          <cell r="H1988" t="str">
            <v>KG</v>
          </cell>
          <cell r="I1988">
            <v>536</v>
          </cell>
        </row>
        <row r="1989">
          <cell r="F1989">
            <v>6441</v>
          </cell>
          <cell r="G1989" t="str">
            <v>LIMPIEZA GRADO DE LIMPIEZA SEGÚN NORMA SSPC-SP2 - LIMPIEZA MANUAL PARA ESTRUCTURA PESADA</v>
          </cell>
          <cell r="H1989" t="str">
            <v>KG</v>
          </cell>
          <cell r="I1989">
            <v>774</v>
          </cell>
        </row>
        <row r="1990">
          <cell r="F1990">
            <v>6442</v>
          </cell>
          <cell r="G1990" t="str">
            <v>LIMPIEZA GRADO DE LIMPIEZA SEGÚN NORMA SSPC-SP3 - LIMPIEZA CON HERRAMIENTAS ELÉCTRICAS PARA ESTRUCTURA PESADA</v>
          </cell>
          <cell r="H1990" t="str">
            <v>KG</v>
          </cell>
          <cell r="I1990">
            <v>893</v>
          </cell>
        </row>
        <row r="1991">
          <cell r="F1991">
            <v>6443</v>
          </cell>
          <cell r="G1991" t="str">
            <v>LIMPIEZA GRADO DE LIMPIEZA SEGÚN NORMA SSPC-SP5 - LIMPIEZA CON ABRASIVO METAL BLANCO PARA ESTRUCTURA PESADA.</v>
          </cell>
          <cell r="H1991" t="str">
            <v>KG</v>
          </cell>
          <cell r="I1991">
            <v>1012</v>
          </cell>
        </row>
        <row r="1992">
          <cell r="F1992">
            <v>6444</v>
          </cell>
          <cell r="G1992" t="str">
            <v>LIMPIEZA GRADO DE LIMPIEZA SEGÚN NORMA SSPC-SP7 - LIMPIEZA CON CHORRO ABRASIVO BRUSH-OFF PARA ESTRUCTURA PESADA.</v>
          </cell>
          <cell r="H1992" t="str">
            <v>KG</v>
          </cell>
          <cell r="I1992">
            <v>1371</v>
          </cell>
        </row>
        <row r="1993">
          <cell r="F1993">
            <v>6445</v>
          </cell>
          <cell r="G1993" t="str">
            <v>LIMPIEZA GRADO DE LIMPIEZA SEGÚN NORMA SSPC-SP6 - LIMPIEZA CON CHORRO ABRASIVO COMERCIAL PARA ESTRUCTURA PESADA.</v>
          </cell>
          <cell r="H1993" t="str">
            <v>KG</v>
          </cell>
          <cell r="I1993">
            <v>1428</v>
          </cell>
        </row>
        <row r="1994">
          <cell r="F1994">
            <v>6446</v>
          </cell>
          <cell r="G1994" t="str">
            <v>LIMPIEZA GRADO DE LIMPIEZA SEGÚN NORMA SSPC-SP10 - LIMPIEZA CON CHORRO ABRASIVO METAL CASI BLANCO PARA ESTRUCTURA PESADA.</v>
          </cell>
          <cell r="H1994" t="str">
            <v>KG</v>
          </cell>
          <cell r="I1994">
            <v>1601</v>
          </cell>
        </row>
        <row r="1995">
          <cell r="F1995">
            <v>6448</v>
          </cell>
          <cell r="G1995" t="str">
            <v>EMPATES DE TUBERÍA EN PVC A PVC 10" LINEAL SEGÚN NORMA NS-023 (INCLUYE ACCESORIOS). SUMINISTRO E INSTALACIÓN.</v>
          </cell>
          <cell r="H1995" t="str">
            <v>UN</v>
          </cell>
          <cell r="I1995">
            <v>1653511</v>
          </cell>
        </row>
        <row r="1996">
          <cell r="F1996">
            <v>6449</v>
          </cell>
          <cell r="G1996" t="str">
            <v>MARCO Y TAPA PARA SUMIDERO 0.52M X 0.90M EAAB NP-023. SUMINISTRO E INSTALACIÓN</v>
          </cell>
          <cell r="H1996" t="str">
            <v>UN</v>
          </cell>
          <cell r="I1996">
            <v>616076</v>
          </cell>
        </row>
        <row r="1997">
          <cell r="F1997">
            <v>6450</v>
          </cell>
          <cell r="G1997" t="str">
            <v>LAVADO DE ANDENES. INCLUYE ALQUILER DE HIDROLAVADORA 1300W. INCLUYE IMPLEMENTOS DE ASEO (DETERGENTE INDUSTRIAL), TRANSPORTE, AGUA, COMBUSTIBLE Y MANO DE OBRA.</v>
          </cell>
          <cell r="H1997" t="str">
            <v>M2</v>
          </cell>
          <cell r="I1997">
            <v>4059</v>
          </cell>
        </row>
        <row r="1998">
          <cell r="F1998">
            <v>6451</v>
          </cell>
          <cell r="G1998" t="str">
            <v>LIMPIEZA DE CÁRCAMOS (INCLUYE CARGUE, RETIRO Y DISPOSICIÓN FINAL DE SOBRANTES, CON EL 60% DE COLMATACIÓN)</v>
          </cell>
          <cell r="H1998" t="str">
            <v>ML</v>
          </cell>
          <cell r="I1998">
            <v>12346</v>
          </cell>
        </row>
        <row r="1999">
          <cell r="F1999">
            <v>6456</v>
          </cell>
          <cell r="G1999" t="str">
            <v>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v>
          </cell>
          <cell r="H1999" t="str">
            <v>M3</v>
          </cell>
          <cell r="I1999">
            <v>1062382</v>
          </cell>
        </row>
        <row r="2000">
          <cell r="F2000">
            <v>6457</v>
          </cell>
          <cell r="G2000" t="str">
            <v>CUADRILLA (OFICIAL + 6 AYUDANTES) HORARIO NOCTURNO INCLUYE PRESTACIONES</v>
          </cell>
          <cell r="H2000" t="str">
            <v>HR</v>
          </cell>
          <cell r="I2000">
            <v>81002</v>
          </cell>
        </row>
        <row r="2001">
          <cell r="F2001">
            <v>6458</v>
          </cell>
          <cell r="G2001" t="str">
            <v>PINTURA EN PLASTICO EN FRIO METILMETACRILATO DE A=10 CM PARA LÍNEAS DE DEMARCACIÓN, CON MICROESFERAS Y ESPESOR SECO SEGÚN NORMA NTC 4744. SUMINISTRO Y APLICACIÓN.</v>
          </cell>
          <cell r="H2001" t="str">
            <v>ML</v>
          </cell>
          <cell r="I2001">
            <v>11228</v>
          </cell>
        </row>
        <row r="2002">
          <cell r="F2002">
            <v>6459</v>
          </cell>
          <cell r="G2002" t="str">
            <v>INSTALACIÓN ADOQUÍN DE ARCILLA TR. LIVIANO 20X10X6CM (INCLUYE BASE 4CM MORTERO 2000 Y ARENA DE SELLO)</v>
          </cell>
          <cell r="H2002" t="str">
            <v>M2</v>
          </cell>
          <cell r="I2002">
            <v>46123</v>
          </cell>
        </row>
        <row r="2003">
          <cell r="F2003">
            <v>6461</v>
          </cell>
          <cell r="G2003" t="str">
            <v>CANALIZACIÓN DE TRÁFICO CON SEÑALIZADORES TUBULARES COLOMBINA PLÁSTICA Y TRIPLE CINTA DE SEÑALIZACIÓN (INCLUYE ALQUILER DE SEÑALIZADORES TUBULARES). (NO INCLUYE INSTALACIÓN, MANTENIMIENTO Y DESINSTALACIÓN)</v>
          </cell>
          <cell r="H2003" t="str">
            <v>UN/MES</v>
          </cell>
          <cell r="I2003">
            <v>7501</v>
          </cell>
        </row>
        <row r="2004">
          <cell r="F2004">
            <v>6462</v>
          </cell>
          <cell r="G2004" t="str">
            <v>TRANSPORTE DE ESCOMBROS EN SITIO AUTORIZADO (DISTANCIA DE TRANSPORTE 1 KM). A DISTANCIA MAYOR DEL ACARREO LIBRE (90 M) EN SITIO AUTORIZADO POR LA ENTIDAD AMBIENTAL COMPETENTE.</v>
          </cell>
          <cell r="H2004" t="str">
            <v>M3-KM</v>
          </cell>
          <cell r="I2004">
            <v>1449</v>
          </cell>
        </row>
        <row r="2005">
          <cell r="F2005">
            <v>6463</v>
          </cell>
          <cell r="G2005" t="str">
            <v>DERECHO DE BOTADERO DE ESCOMBROS EN SITIO AUTORIZADO POR M3 EN SITIO AUTORIZADO POR LA ENTIDAD AMBIENTAL COMPETENTE.</v>
          </cell>
          <cell r="H2005" t="str">
            <v>M3-KM</v>
          </cell>
          <cell r="I2005">
            <v>4467</v>
          </cell>
        </row>
        <row r="2006">
          <cell r="F2006">
            <v>6464</v>
          </cell>
          <cell r="G2006" t="str">
            <v>RIEGO DE LIGA CON EMULSIÓN ASFÁLTICA CRR-1 - HORARIO NOCTURNO. (SUMINISTRO, BARRIDO SUPERFICIE Y RIEGO)</v>
          </cell>
          <cell r="H2006" t="str">
            <v>M2</v>
          </cell>
          <cell r="I2006">
            <v>3095</v>
          </cell>
        </row>
        <row r="2007">
          <cell r="F2007">
            <v>6465</v>
          </cell>
          <cell r="G2007" t="str">
            <v>CUADRILLA (2 AYUDANTES) HORARIO NOCTURNO - HR</v>
          </cell>
          <cell r="H2007" t="str">
            <v>HR</v>
          </cell>
          <cell r="I2007">
            <v>22000</v>
          </cell>
        </row>
        <row r="2008">
          <cell r="F2008">
            <v>6466</v>
          </cell>
          <cell r="G2008" t="str">
            <v>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v>
          </cell>
          <cell r="H2008" t="str">
            <v>M3</v>
          </cell>
          <cell r="I2008">
            <v>1065297</v>
          </cell>
        </row>
        <row r="2009">
          <cell r="F2009">
            <v>6467</v>
          </cell>
          <cell r="G2009" t="str">
            <v>PINTURA EN PLASTICO EN FRIO METILMETACRILATO DE A=10 CM PARA LÍNEAS DE DEMARCACIÓN, SIN MICROESFERAS Y ESPESOR SECO SEGÚN NORMA NTC 4744. SUMINISTRO Y APLICACIÓN.</v>
          </cell>
          <cell r="H2009" t="str">
            <v>ML</v>
          </cell>
          <cell r="I2009">
            <v>10982</v>
          </cell>
        </row>
        <row r="2010">
          <cell r="F2010">
            <v>6469</v>
          </cell>
          <cell r="G2010" t="str">
            <v>CUBIERTA LISA TIPO SÁNDWICH DECK, SUM E INST, EN ALUZINC CAL 26 PINTADA AL HORNO POR LAS DOS CARAS COLOR A ELEGIR CON AISLAMIENTO ACÚSTICO EN FIBRA DE VIDRIO DE 30 MM. CON SUS CLIPS DE FIJACIÓN INCL REMATES DE CUBIERTA</v>
          </cell>
          <cell r="H2010" t="str">
            <v>M2</v>
          </cell>
          <cell r="I2010">
            <v>295703</v>
          </cell>
        </row>
        <row r="2011">
          <cell r="F2011">
            <v>6471</v>
          </cell>
          <cell r="G2011" t="str">
            <v>SUBBASE GRANULAR PEATONAL SBG_PEA. SUMINISTRO, EXTENDIDO MANUAL, NIVELACIÓN, HUMEDECIMIENTO Y COMPACTACIÓN CON VIBROCOMPACTADOR BENITÍN DE 1 TONELADA INCLUYE OPERARIO Y COMBUSTIBLE.</v>
          </cell>
          <cell r="H2011" t="str">
            <v>M3</v>
          </cell>
          <cell r="I2011">
            <v>139899</v>
          </cell>
        </row>
        <row r="2012">
          <cell r="F2012">
            <v>6472</v>
          </cell>
          <cell r="G2012" t="str">
            <v>MEZCLA ASFÁLTICA EN CALIENTE TIPO DENSO MD20 ASFALTO CONVENCIONAL 80-100 (SUMINISTRO, EXTENDIDO Y NIVELACIÓN MANUAL Y COMPACTACIÓN  MECANICA CON VIBROCOMPACTADOR BENITÍN DE 1 TONELADA Y COMPACTADOR DE LLANTAS INCLUYEN OPERARIO Y COMBUSTIBLE.</v>
          </cell>
          <cell r="H2012" t="str">
            <v>M3</v>
          </cell>
          <cell r="I2012">
            <v>1130038</v>
          </cell>
        </row>
        <row r="2013">
          <cell r="F2013">
            <v>6473</v>
          </cell>
          <cell r="G2013" t="str">
            <v>ESTABILIZACIÓN DE SUBRASANTE CON RAJÓN, INCLUYE EQUIPO DE COMPACTACIÓN (SUMINISTRO, EXTENDIDO A MANO, NIVELACIÓN Y COMPACTACIÓN CON RETROEXCAVADORA SOBRE ORUGA Y BENITÍN DE 1 TONELADA INCLUYEN OPERARIO Y COMBUSTIBLE.</v>
          </cell>
          <cell r="H2013" t="str">
            <v>M3</v>
          </cell>
          <cell r="I2013">
            <v>139657</v>
          </cell>
        </row>
        <row r="2014">
          <cell r="F2014">
            <v>6474</v>
          </cell>
          <cell r="G2014" t="str">
            <v>SUBBASE GRANULAR CLASE C (SBG_C) (SUMINISTRO, EXTENDIDO MANUAL, NIVELACIÓN, HUMEDECIMIENTO Y COMPACTACIÓN CON VIBROCOMPACTADOR BENITÍN DE 1 TONELADA).</v>
          </cell>
          <cell r="H2014" t="str">
            <v>M3</v>
          </cell>
          <cell r="I2014">
            <v>152711</v>
          </cell>
        </row>
        <row r="2015">
          <cell r="F2015">
            <v>6475</v>
          </cell>
          <cell r="G2015" t="str">
            <v>BORDILLO PREFABRICADO A80 (SUMINISTRO E INSTALACIÓN. INCLUYE 3CM MORTERO DE PEGA 2000 PSI Y NIVELACIÓN DEL TERRENO CON RELLENO EN MATERIAL SELECCIONADO PROVENIENTE DE EXCAVACIÓN).</v>
          </cell>
          <cell r="H2015" t="str">
            <v>ML</v>
          </cell>
          <cell r="I2015">
            <v>67970</v>
          </cell>
        </row>
        <row r="2016">
          <cell r="F2016">
            <v>6476</v>
          </cell>
          <cell r="G2016" t="str">
            <v>FRESADO Y REPOSICIÓN DE PAVIMENTO FLEXIBLE E=0.18 M (INCLUYE CARGUE)</v>
          </cell>
          <cell r="H2016" t="str">
            <v>M2</v>
          </cell>
          <cell r="I2016">
            <v>182193</v>
          </cell>
        </row>
        <row r="2017">
          <cell r="F2017">
            <v>6480</v>
          </cell>
          <cell r="G2017" t="str">
            <v>ESTABILIZACIÓN DE SUBRASANTE CON RECICLADO DE CONCRETO (INCLUYE DEMOLICIÓN, EXTENDIDO, NIVELACIÓN Y COMPACTACIÓN CON RETROEXCAVADORA SOBRE ORUGA Y COMPACTADOR)</v>
          </cell>
          <cell r="H2017" t="str">
            <v>M3</v>
          </cell>
          <cell r="I2017">
            <v>19051</v>
          </cell>
        </row>
        <row r="2018">
          <cell r="F2018">
            <v>6482</v>
          </cell>
          <cell r="G2018" t="str">
            <v>TARIFA HORA DE RECOLECCIÓN DE MATERIAL DE MUESTREO EN PLANTA U OBRA. (INCLUYE TRANSPORTE, LABORATORISTA, INSPECTOR, 2 AYUDANTES, HERRAMIENTA MENOR Y LONAS).</v>
          </cell>
          <cell r="H2018" t="str">
            <v>HR</v>
          </cell>
          <cell r="I2018">
            <v>86755</v>
          </cell>
        </row>
        <row r="2019">
          <cell r="F2019">
            <v>6483</v>
          </cell>
          <cell r="G2019" t="str">
            <v>ALQUILER SEÑAL TEMPORAL MÓVIL ECONÓMICA CON TRÍPODE TIPO SIO - SP - SI - SR DE (100 X 50 CM - 75 X 75 CM - 80 X 50 CM) LÁMINA GALVANIZADA CAL. 20 Y ÁNGULOS DE 1" X 1/2" X 1/8"</v>
          </cell>
          <cell r="H2019" t="str">
            <v>UN/MES</v>
          </cell>
          <cell r="I2019">
            <v>44125</v>
          </cell>
        </row>
        <row r="2020">
          <cell r="F2020">
            <v>6484</v>
          </cell>
          <cell r="G2020" t="str">
            <v>ALQUILER DE BARRICADA METÁLICA CON SEÑAL DE DESVÍO O VÍA CERRADA DE 2.40 M CINTA GRADO INGENIERÍA SHEETING</v>
          </cell>
          <cell r="H2020" t="str">
            <v>UN/MES</v>
          </cell>
          <cell r="I2020">
            <v>138784</v>
          </cell>
        </row>
        <row r="2021">
          <cell r="F2021">
            <v>6485</v>
          </cell>
          <cell r="G2021" t="str">
            <v>UNIÓN DE REPARACIÓN EXOTÉRMICA PARA UNIÓN DE CONDUCTORES. CAPACIDAD DE 90 GR. INCLUYE MOLDE, CARGA, CHISPERO, PINZAS Y DEMÁS ACCESORIOS DE INSTALACIÓN. SUMINISTRO E INSTALACIÓN.</v>
          </cell>
          <cell r="H2021" t="str">
            <v>UN</v>
          </cell>
          <cell r="I2021">
            <v>44060</v>
          </cell>
        </row>
        <row r="2022">
          <cell r="F2022">
            <v>6486</v>
          </cell>
          <cell r="G2022" t="str">
            <v>ESTABILIZACIÓN CON RCD. INCLUYE TRASIEGO INTERNO, NIVELACIÓN Y COMPACTACIÓN.</v>
          </cell>
          <cell r="H2022" t="str">
            <v>M3</v>
          </cell>
          <cell r="I2022">
            <v>53356</v>
          </cell>
        </row>
        <row r="2023">
          <cell r="F2023">
            <v>6487</v>
          </cell>
          <cell r="G2023" t="str">
            <v>LUMINARIA DE EMERGENCIA LED R2 2.4 W UNV P24255, 120 V C.A. 180 LM. INCLUYE ACCESORIOS DE FIJACIÓN E INSTALACIÓN. NO INCLUYE TUBERÍA NI CABLEADO.</v>
          </cell>
          <cell r="H2023" t="str">
            <v>UN</v>
          </cell>
          <cell r="I2023">
            <v>84700</v>
          </cell>
        </row>
        <row r="2024">
          <cell r="F2024">
            <v>6488</v>
          </cell>
          <cell r="G2024" t="str">
            <v>CABLE DE COBRE DESNUDO CALIBRE NO.2/0 AWG. ENTERRADO EN TERRENO NATURAL. INCLUYE EXCAVACIÓN, RELLENOS Y COMPACTACIÓN DEL PISO. SUMINISTRO E INSTALACIÓN. DISTANCIA DE TRANSPORTE 28 KM.</v>
          </cell>
          <cell r="H2024" t="str">
            <v>ML</v>
          </cell>
          <cell r="I2024">
            <v>217020</v>
          </cell>
        </row>
        <row r="2025">
          <cell r="F2025">
            <v>6489</v>
          </cell>
          <cell r="G2025" t="str">
            <v>CANALIZACIÓN SUBTERRÁNEA CON 2 DUCTOS DE 2" PVC DB, ACCESORIOS, EXCAVACIÓN, RELLENOS Y ACABADO (INCLUYE SUMINISTRO E INSTALACIÓN)</v>
          </cell>
          <cell r="H2025" t="str">
            <v>ML</v>
          </cell>
          <cell r="I2025">
            <v>87139</v>
          </cell>
        </row>
        <row r="2026">
          <cell r="F2026">
            <v>6494</v>
          </cell>
          <cell r="G2026" t="str">
            <v>ACOMETIDA DE TRANSFORMADOR A TABLERO DE MEDIA EN CONDUCTORES DE ALUMINIO, 4 CABLES NO. 4/0 AWG, AISLADOS HFFR PARA 600 V C.A.. INCLUYE CONDUCTORES, CONEXIONES, ACCESORIOS DE MONTAJE, ELEMENTOS DE CONEXIÓN Y DE MARCACIÓN. INCLUYE SUMINISTRO E INSTALACIÓN.</v>
          </cell>
          <cell r="H2026" t="str">
            <v>ML</v>
          </cell>
          <cell r="I2026">
            <v>195663</v>
          </cell>
        </row>
        <row r="2027">
          <cell r="F2027">
            <v>6495</v>
          </cell>
          <cell r="G2027" t="str">
            <v>ACOMETIDA DE GENERADOR DE EMERGENCIA A TRANSFERENCIA EN CONDUCTORES DE ALUMINIO, 4 CABLES NO. 4/0 AWG, AISLADOS HFFR PARA 600 V C.A. INCLUYE CONDUCTORES, CONEXIONES, ACCESORIOS DE MONTAJE, ELEMENTOS DE CONEXIÓN Y DE MARCACIÓN. INCLUYE SUMINISTRO E INSTALACIÓN.</v>
          </cell>
          <cell r="H2027" t="str">
            <v>ML</v>
          </cell>
          <cell r="I2027">
            <v>195663</v>
          </cell>
        </row>
        <row r="2028">
          <cell r="F2028">
            <v>6498</v>
          </cell>
          <cell r="G2028" t="str">
            <v>INTERRUPTOR SENCILLO PARA CONTROL DE ALUMBRADO INTERIOR. INCLUYE ACCESORIOS DE INSTALACIÓN.</v>
          </cell>
          <cell r="H2028" t="str">
            <v>UN</v>
          </cell>
          <cell r="I2028">
            <v>17258</v>
          </cell>
        </row>
        <row r="2029">
          <cell r="F2029">
            <v>6499</v>
          </cell>
          <cell r="G2029" t="str">
            <v>CABLE HFFR NO.10 EN COBRE. SUMINISTRO E INSTALACIÓN. INCLUYE ACCESORIOS DE INSTALACIÓN.</v>
          </cell>
          <cell r="H2029" t="str">
            <v>ML</v>
          </cell>
          <cell r="I2029">
            <v>13097</v>
          </cell>
        </row>
        <row r="2030">
          <cell r="F2030">
            <v>6500</v>
          </cell>
          <cell r="G2030" t="str">
            <v>SALIDA PARA SONIDO EMT 3/4" (POR EL TECHO DE LA PLATAFORMA). INCLUYE SUMINISTRO E INSTALACIÓN</v>
          </cell>
          <cell r="H2030" t="str">
            <v>UN</v>
          </cell>
          <cell r="I2030">
            <v>175438</v>
          </cell>
        </row>
        <row r="2031">
          <cell r="F2031">
            <v>6501</v>
          </cell>
          <cell r="G2031" t="str">
            <v>SALIDA EMT 3/4" PARA CCTV POR EL TECHO EN TAQUILLA. INCLUYE SUMINISTRO E INSTALACIÓN</v>
          </cell>
          <cell r="H2031" t="str">
            <v>UN</v>
          </cell>
          <cell r="I2031">
            <v>255369</v>
          </cell>
        </row>
        <row r="2032">
          <cell r="F2032">
            <v>6505</v>
          </cell>
          <cell r="G2032" t="str">
            <v>ROCERÍA EN LOTE PORTAL</v>
          </cell>
          <cell r="H2032" t="str">
            <v>M2</v>
          </cell>
          <cell r="I2032">
            <v>1872</v>
          </cell>
        </row>
        <row r="2033">
          <cell r="F2033">
            <v>6506</v>
          </cell>
          <cell r="G2033" t="str">
            <v>BAJANTE EN LÁMINA GALVANIZADA CAL. 22 INSPECCIONABLE, INCLUYE PINTURA EPÓXICA GRIS HUMO PARA RECUBRIMIENTO.</v>
          </cell>
          <cell r="H2033" t="str">
            <v>ML</v>
          </cell>
          <cell r="I2033">
            <v>211347</v>
          </cell>
        </row>
        <row r="2034">
          <cell r="F2034">
            <v>6507</v>
          </cell>
          <cell r="G2034" t="str">
            <v>VIDRIO TEMPLADO DE 10 MM CON PERFORACIONES DE 1" PARA PERMITIR INTERLOCUCIÓN</v>
          </cell>
          <cell r="H2034" t="str">
            <v>M2</v>
          </cell>
          <cell r="I2034">
            <v>230497</v>
          </cell>
        </row>
        <row r="2035">
          <cell r="F2035">
            <v>6510</v>
          </cell>
          <cell r="G2035" t="str">
            <v>CONSTRUCCIÓN DE BORDILLO EN CONCRETO MR36 FUNDIDO IN SITU. INCLUYE LA PREPARACIÓN DE LA SUPERFICIE DE APOYO</v>
          </cell>
          <cell r="H2035" t="str">
            <v>ML</v>
          </cell>
          <cell r="I2035">
            <v>53334</v>
          </cell>
        </row>
        <row r="2036">
          <cell r="F2036">
            <v>6511</v>
          </cell>
          <cell r="G2036" t="str">
            <v>PISO EN MÁRMOL ROYAL VETA. ESPESOR MÍNIMO DE 15 MM</v>
          </cell>
          <cell r="H2036" t="str">
            <v>M2</v>
          </cell>
          <cell r="I2036">
            <v>255171</v>
          </cell>
        </row>
        <row r="2037">
          <cell r="F2037">
            <v>6512</v>
          </cell>
          <cell r="G2037" t="str">
            <v>ANCLAJE PARA TUBERIA EN CONCRETO PREMEZCLADO DE 3000 PSI GRAVA COMUN (Incluye Suministro, formaleteo y colocacion)</v>
          </cell>
          <cell r="H2037" t="str">
            <v>M3</v>
          </cell>
          <cell r="I2037">
            <v>562037</v>
          </cell>
        </row>
        <row r="2038">
          <cell r="F2038">
            <v>6514</v>
          </cell>
          <cell r="G2038" t="str">
            <v>TEE PVC SOLDAR DE 1/2". SUMINISTRO EN INSTALACIÓN</v>
          </cell>
          <cell r="H2038" t="str">
            <v>UN</v>
          </cell>
          <cell r="I2038">
            <v>3678</v>
          </cell>
        </row>
        <row r="2039">
          <cell r="F2039">
            <v>6515</v>
          </cell>
          <cell r="G2039" t="str">
            <v>TUBERÍA CONDUIT PVC D=3/4" (INCLUYE SUMINISTRO E INSTALACIÓN)</v>
          </cell>
          <cell r="H2039" t="str">
            <v>ML</v>
          </cell>
          <cell r="I2039">
            <v>7720</v>
          </cell>
        </row>
        <row r="2040">
          <cell r="F2040">
            <v>6517</v>
          </cell>
          <cell r="G2040" t="str">
            <v>TORNILLOS A 325. INCLUYE MATERIALES, INSUMOS, HERRAMIENTAS Y EQUIPOS, ANDAMIOS, MANO DE OBRA CALIFICADA Y TODO LO NECESARIO PARA DESARROLLAR LA OBRA.</v>
          </cell>
          <cell r="H2040" t="str">
            <v>KG</v>
          </cell>
          <cell r="I2040">
            <v>11344</v>
          </cell>
        </row>
        <row r="2041">
          <cell r="F2041">
            <v>6518</v>
          </cell>
          <cell r="G2041" t="str">
            <v>CODO 90° CXE PVC SANITARIA D=6" (INCLUYE SUMINISTRO E INSTALACIÓN).</v>
          </cell>
          <cell r="H2041" t="str">
            <v>UN</v>
          </cell>
          <cell r="I2041">
            <v>141409</v>
          </cell>
        </row>
        <row r="2042">
          <cell r="F2042">
            <v>6519</v>
          </cell>
          <cell r="G2042" t="str">
            <v>TRAGANTE CÚPULA DE 6" X 4" EN ALUMINIO. INCLUYE SUMINISTRO E INSTALACIÓN</v>
          </cell>
          <cell r="H2042" t="str">
            <v>UN</v>
          </cell>
          <cell r="I2042">
            <v>22958</v>
          </cell>
        </row>
        <row r="2043">
          <cell r="F2043">
            <v>6520</v>
          </cell>
          <cell r="G2043" t="str">
            <v>TRAGANTE CÚPULA DE 5" X 4" PLÁSTICA. INCLUYE SUMINISTRO E INSTALACIÓN</v>
          </cell>
          <cell r="H2043" t="str">
            <v>UN</v>
          </cell>
          <cell r="I2043">
            <v>11558</v>
          </cell>
        </row>
        <row r="2044">
          <cell r="F2044">
            <v>6521</v>
          </cell>
          <cell r="G2044" t="str">
            <v>TEE REDUCIDA PVC SOLDAR DE 1" X 1/2". SUMINISTRO E INSTALACIÓN</v>
          </cell>
          <cell r="H2044" t="str">
            <v>UN</v>
          </cell>
          <cell r="I2044">
            <v>6716</v>
          </cell>
        </row>
        <row r="2045">
          <cell r="F2045">
            <v>6523</v>
          </cell>
          <cell r="G2045" t="str">
            <v>UNIÓN UNIVERSAL D=1" (SUMINISTRO E INSTALACIÓN)</v>
          </cell>
          <cell r="H2045" t="str">
            <v>UN</v>
          </cell>
          <cell r="I2045">
            <v>13312</v>
          </cell>
        </row>
        <row r="2046">
          <cell r="F2046">
            <v>6524</v>
          </cell>
          <cell r="G2046" t="str">
            <v>VÁLVULA CHEQUE 1" (INCLUYE SUMINISTRO E INSTALACIÓN)</v>
          </cell>
          <cell r="H2046" t="str">
            <v>UN</v>
          </cell>
          <cell r="I2046">
            <v>48803</v>
          </cell>
        </row>
        <row r="2047">
          <cell r="F2047">
            <v>6525</v>
          </cell>
          <cell r="G2047" t="str">
            <v>FLOTADOR MECÁNICO 1" (INCLUYE SUMINISTRO E INSTALACIÓN)</v>
          </cell>
          <cell r="H2047" t="str">
            <v>UN</v>
          </cell>
          <cell r="I2047">
            <v>107927</v>
          </cell>
        </row>
        <row r="2048">
          <cell r="F2048">
            <v>6527</v>
          </cell>
          <cell r="G2048" t="str">
            <v>CAJA PARA 2 MEDIDORES DE ENERGÍA TRIFÁSICO 5 AMP. 208 V / 120 V, PARA OPERACIÓN CON CT Y PARA LA CUENTA DE LA ESTACIÓN. SUMINISTRO E INSTALACIÓN. INCLUYE MEDIDOR DE ENERGÍA TRIFÁSICO 20-80 AMP, CAJA CONTADOR TRIFÁSICO PARA 2 MEDIDORES</v>
          </cell>
          <cell r="H2048" t="str">
            <v>UN</v>
          </cell>
          <cell r="I2048">
            <v>496085</v>
          </cell>
        </row>
        <row r="2049">
          <cell r="F2049">
            <v>6528</v>
          </cell>
          <cell r="G2049" t="str">
            <v>ACOMETIDA DESDE TABLERO DE MEDIA A TABLERO DE TRANSFERENCIA EN CONDUCTORES DE ALUMINIO, 4 CABLES NO. 4/0 AWG, AISLADOS HFFR PARA 600 V C.A. INCLUYE CONDUCTORES, CONEXIONES, ACCESORIOS DE MONTAJE, ELEMENTOS DE CONEXIÓN Y DE MARCACIÓN. INCLUYE SUMINISTRO E INSTALACIÓN.</v>
          </cell>
          <cell r="H2049" t="str">
            <v>ML</v>
          </cell>
          <cell r="I2049">
            <v>197357</v>
          </cell>
        </row>
        <row r="2050">
          <cell r="F2050">
            <v>6529</v>
          </cell>
          <cell r="G2050" t="str">
            <v>ACOMETIDA DE TABLERO DE TRANSFERENCIA A TDP EN CONDUCTORES DE ALUMINIO, 4 CABLES NO. 4/0 AWG, AISLADOS HFFR PARA 600 V C.A. INCLUYE CONDUCTORES, CONEXIONES, ACCESORIOS DE MONTAJE, ELEMENTOS DE CONEXIÓN Y DE MARCACIÓN. INCLUYE SUMINISTRO E INSTALACIÓN.</v>
          </cell>
          <cell r="H2050" t="str">
            <v>ML</v>
          </cell>
          <cell r="I2050">
            <v>200959</v>
          </cell>
        </row>
        <row r="2051">
          <cell r="F2051">
            <v>6532</v>
          </cell>
          <cell r="G2051" t="str">
            <v>SALIDA PARA DATOS PCV 3/4" DESDE TORNIQUETE HASTA CAJA DE HALADO. INCLUYE SUMINISTRO E INSTALACIÓN</v>
          </cell>
          <cell r="H2051" t="str">
            <v>UN</v>
          </cell>
          <cell r="I2051">
            <v>56026</v>
          </cell>
        </row>
        <row r="2052">
          <cell r="F2052">
            <v>6533</v>
          </cell>
          <cell r="G2052" t="str">
            <v>DEMARCACIÓN LÍNEA DE INICIO O FIN CARRIL, A= 0.20M L= 1.0M SEPARACIÓN= 1.0M E= 2.3MM EN PINTURA TERMOPLÁSTICA. INCLUYE SUMINISTRO Y APLICACIÓN CON EQUIPO. INCLUYE MICROESFERAS</v>
          </cell>
          <cell r="H2052" t="str">
            <v>M2</v>
          </cell>
          <cell r="I2052">
            <v>24319</v>
          </cell>
        </row>
        <row r="2053">
          <cell r="F2053">
            <v>6534</v>
          </cell>
          <cell r="G2053" t="str">
            <v>ENCHAPE DE PISO PIZARRA MULTICOLOR DE 30CM X 60CM ESPESOR 7MM O MAYOR. SUMINISTRO E INSTALACIÓN</v>
          </cell>
          <cell r="H2053" t="str">
            <v>M2</v>
          </cell>
          <cell r="I2053">
            <v>140445</v>
          </cell>
        </row>
        <row r="2054">
          <cell r="F2054">
            <v>6535</v>
          </cell>
          <cell r="G2054" t="str">
            <v>PISO EN CONCRETO DE 3000 PSI GRAVA COMÚN FUNDIDO EN SITIO</v>
          </cell>
          <cell r="H2054" t="str">
            <v>M2</v>
          </cell>
          <cell r="I2054">
            <v>41340</v>
          </cell>
        </row>
        <row r="2055">
          <cell r="F2055">
            <v>6536</v>
          </cell>
          <cell r="G2055" t="str">
            <v>PAÑETE LISO O RÚSTICO 1:4 IMPERMEABILIZADO. (INCLUYE SUMINISTRO E INSTALACIÓN HECHO EN OBRA)</v>
          </cell>
          <cell r="H2055" t="str">
            <v>M2</v>
          </cell>
          <cell r="I2055">
            <v>38379</v>
          </cell>
        </row>
        <row r="2056">
          <cell r="F2056">
            <v>6538</v>
          </cell>
          <cell r="G2056" t="str">
            <v>TUBERIA PVC U.M. EXT CORRUGADO/INT LISO U.M. NORMA NTC 3722-1 D=14" (INCLUYE SUMINISTRO E INSTALACIÓN)</v>
          </cell>
          <cell r="H2056" t="str">
            <v>ML</v>
          </cell>
          <cell r="I2056">
            <v>210794</v>
          </cell>
        </row>
        <row r="2057">
          <cell r="F2057">
            <v>6541</v>
          </cell>
          <cell r="G2057" t="str">
            <v>LAMINA ALFAJOR DE 6MM PARA TAPA DE TANQUE DE 1.0 M X 1.0 M. SUMINISTRO E INSTALACIÓN.</v>
          </cell>
          <cell r="H2057" t="str">
            <v>ML</v>
          </cell>
          <cell r="I2057">
            <v>321357</v>
          </cell>
        </row>
        <row r="2058">
          <cell r="F2058">
            <v>6542</v>
          </cell>
          <cell r="G2058" t="str">
            <v>CODO 45° CXE PVC SANITARIA D=6" (INCLUYE SUMINISTRO E INSTALACIÓN).</v>
          </cell>
          <cell r="H2058" t="str">
            <v>UN</v>
          </cell>
          <cell r="I2058">
            <v>71164</v>
          </cell>
        </row>
        <row r="2059">
          <cell r="F2059">
            <v>6543</v>
          </cell>
          <cell r="G2059" t="str">
            <v>TUBERÍA PVC E.L. PARA SOLDAR DE 1/2" RDE 13.5 315 PSI. SUMINISTRO EN INSTALACIÓN.</v>
          </cell>
          <cell r="H2059" t="str">
            <v>UN</v>
          </cell>
          <cell r="I2059">
            <v>6833</v>
          </cell>
        </row>
        <row r="2060">
          <cell r="F2060">
            <v>6544</v>
          </cell>
          <cell r="G2060" t="str">
            <v>CODO 90° PVC SOLDAR DE 1/2". SUMINISTRO EN INSTALACIÓN.</v>
          </cell>
          <cell r="H2060" t="str">
            <v>UN</v>
          </cell>
          <cell r="I2060">
            <v>6161</v>
          </cell>
        </row>
        <row r="2061">
          <cell r="F2061">
            <v>6547</v>
          </cell>
          <cell r="G2061" t="str">
            <v>CAJA DE INSPECCIÓN. MEDIDAS INTERNAS DE 0.3MX0.3M MEDIDAS EXTERNAS 0.50M X 0.50M (H=0.50M). INCLUYE SUMINISTRO Y CONSTRUCCIÓN. INCLUYE MARCO Y TAPA. NO INC. BASE Y CAÑUELA)</v>
          </cell>
          <cell r="H2061" t="str">
            <v>UN</v>
          </cell>
          <cell r="I2061">
            <v>314983</v>
          </cell>
        </row>
        <row r="2062">
          <cell r="F2062">
            <v>6548</v>
          </cell>
          <cell r="G2062" t="str">
            <v>SALIDA EMT 3/4" PARA CCTV E INFORMADORES POR EL TECHO DE LA PLATAFORMA. INCLUYE SUMINISTRO E INSTALACIÓN</v>
          </cell>
          <cell r="H2062" t="str">
            <v>UN</v>
          </cell>
          <cell r="I2062">
            <v>202497</v>
          </cell>
        </row>
        <row r="2063">
          <cell r="F2063">
            <v>6551</v>
          </cell>
          <cell r="G2063" t="str">
            <v>PLACA DE CONCRETO DE 3000 PSI GRAVA COMÚN DE 8CM DE ESPESOR CON LÁMINA EN METALDECK 2" CALIBRE 22. (INCLUYE TRANSPORTE, HERRAMIENTA MENOR, MANO DE OBRA)</v>
          </cell>
          <cell r="H2063" t="str">
            <v>M2</v>
          </cell>
          <cell r="I2063">
            <v>141210</v>
          </cell>
        </row>
        <row r="2064">
          <cell r="F2064">
            <v>6553</v>
          </cell>
          <cell r="G2064" t="str">
            <v>TAPÓN DE PRUEBA PVC SANITARIA D=6" (INCLUYE SUMINISTRO E INSTALACIÓN)</v>
          </cell>
          <cell r="H2064" t="str">
            <v>UN</v>
          </cell>
          <cell r="I2064">
            <v>24939</v>
          </cell>
        </row>
        <row r="2065">
          <cell r="F2065">
            <v>6554</v>
          </cell>
          <cell r="G2065" t="str">
            <v>SEÑALIZACIÓN PREVENTIVA PARA REDES DE SERVICIOS PÚBLICOS CON CINTA DE 500 MT X 4" PELIGRO CALIBRE 3.5 (INCLUYE SUMINISTRO Y COLOCACIÓN)</v>
          </cell>
          <cell r="H2065" t="str">
            <v>ML</v>
          </cell>
          <cell r="I2065">
            <v>348</v>
          </cell>
        </row>
        <row r="2066">
          <cell r="F2066">
            <v>6555</v>
          </cell>
          <cell r="G2066" t="str">
            <v>REDUCCION PVC E.L. D=1" A 1/2" (INCLUYE SUMINISTRO E INSTALACIÓN).</v>
          </cell>
          <cell r="H2066" t="str">
            <v>UN</v>
          </cell>
          <cell r="I2066">
            <v>3424</v>
          </cell>
        </row>
        <row r="2067">
          <cell r="F2067">
            <v>6556</v>
          </cell>
          <cell r="G2067" t="str">
            <v>REGISTRO DE PASO DIRECTO EN BRONCE DE 1/2". SUMINISTRO EN INSTALACIÓN.</v>
          </cell>
          <cell r="H2067" t="str">
            <v>UN</v>
          </cell>
          <cell r="I2067">
            <v>70864</v>
          </cell>
        </row>
        <row r="2068">
          <cell r="F2068">
            <v>6557</v>
          </cell>
          <cell r="G2068" t="str">
            <v>TRANSFORMADOR SECO TRIFASICO 150 KVA, 11400 V - 208 / 120 V. EN CELDA PARA TRANSFORMADOR (INCLUYE SUMINISTRO E INSTALACIÓN)</v>
          </cell>
          <cell r="H2068" t="str">
            <v>UN</v>
          </cell>
          <cell r="I2068">
            <v>19004574</v>
          </cell>
        </row>
        <row r="2069">
          <cell r="F2069">
            <v>6559</v>
          </cell>
          <cell r="G2069" t="str">
            <v>MARCO EN LÁMINA COLD ROLLED CAL. 20 ANCLADO A MURO CON CHAZOS EXPANSIVOS DE 1/2" - 3" - HOJA EN LÁMINA CELOSÍA COLD ROLLED CAL. 1894.20</v>
          </cell>
          <cell r="H2069" t="str">
            <v>UN</v>
          </cell>
          <cell r="I2069">
            <v>892537</v>
          </cell>
        </row>
        <row r="2070">
          <cell r="F2070">
            <v>6560</v>
          </cell>
          <cell r="G2070"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H2070" t="str">
            <v>UN</v>
          </cell>
          <cell r="I2070">
            <v>3229476</v>
          </cell>
        </row>
        <row r="2071">
          <cell r="F2071">
            <v>6562</v>
          </cell>
          <cell r="G2071" t="str">
            <v>REHABILITACIÓN ANDEN ADOQUÍN ARCILLA TR LIVIANO SOBRE MORTERO. NO INCL BORDILLO. INCL. RETIRO ADOQUIN E INSTALAR EL MISMO. NO INCLUYE REDES.</v>
          </cell>
          <cell r="H2071" t="str">
            <v>M2</v>
          </cell>
          <cell r="I2071">
            <v>70311</v>
          </cell>
        </row>
        <row r="2072">
          <cell r="F2072">
            <v>6563</v>
          </cell>
          <cell r="G2072" t="str">
            <v>TRITUBO PE 100 FOPT DE 40MM (1 1/4") RDE 13.5 MULTF. D= 40 X 40 X 40 MM POLIETILENO DE ALTA DENSIDAD. INCLUYE SUMINISTRO E INSTALACIÓN. NO INCLUYE RELLENO.</v>
          </cell>
          <cell r="H2072" t="str">
            <v>ML</v>
          </cell>
          <cell r="I2072">
            <v>17497</v>
          </cell>
        </row>
        <row r="2073">
          <cell r="F2073">
            <v>6564</v>
          </cell>
          <cell r="G2073" t="str">
            <v>BANDAS SONORAS REDUCTORAS DE VELOCIDAD DE 3CM DE ALTURA, CONSTRUIDA CON GRAVILLA DE 1/2", PINTURA DE LARGA DURACIÓN BLANCA Y RESINA EPÓXICA</v>
          </cell>
          <cell r="H2073" t="str">
            <v>M2</v>
          </cell>
          <cell r="I2073">
            <v>448481</v>
          </cell>
        </row>
        <row r="2074">
          <cell r="F2074">
            <v>6565</v>
          </cell>
          <cell r="G2074" t="str">
            <v>DESMONTE Y RETIRO DE REJA DE CERRAMIENTO. INCLUYE DEMOLICIÓN DE CIMENTACIÓN, BASE Y REJA. INCLUYE TRANSPORTE A 21 KM Y DISPOSICIÓN DE MATERIALES EN SITIO AUTORIZADO.</v>
          </cell>
          <cell r="H2074" t="str">
            <v>ML</v>
          </cell>
          <cell r="I2074">
            <v>43056</v>
          </cell>
        </row>
        <row r="2075">
          <cell r="F2075">
            <v>6567</v>
          </cell>
          <cell r="G2075" t="str">
            <v>BANDEJA PARA INTERCAMBIO DE MONEDAS EN ACERO INOXIDABLE CAL. 18 SOPORTADO CON ÁNGULOS METÁLICOS A ANTEPECHO EN MAMPOSTERÍA. SUMINISTRO E INSTALACIÓN.</v>
          </cell>
          <cell r="H2075" t="str">
            <v>ML</v>
          </cell>
          <cell r="I2075">
            <v>423838</v>
          </cell>
        </row>
        <row r="2076">
          <cell r="F2076">
            <v>6568</v>
          </cell>
          <cell r="G2076" t="str">
            <v>CANALETA METÁLICA DE 12 CM X 5 CM CON TAPA. SUMINISTRO E INSTALACIÓN. INCLUYE TROQUE EN TAQUILLAS PARA ALOJAR LOS CONDUCTORES DE VOZ, DATOS Y ENERGÍA ENTRE LOS PUESTOS DE LAS TAQUILLAS.</v>
          </cell>
          <cell r="H2076" t="str">
            <v>ML</v>
          </cell>
          <cell r="I2076">
            <v>34118</v>
          </cell>
        </row>
        <row r="2077">
          <cell r="F2077">
            <v>6569</v>
          </cell>
          <cell r="G2077" t="str">
            <v>CHEVRON 90 CM X 40 CM, REFLECTIVO PRISMÁTICO TIPO VII O SUPERIOR, AMARILLO LIMÓN FLUORESCENTE EN LÁMINA GALVANIZADA, PEDESTAL EN ÁNGULO. SUMINISTRO E INSTALACIÓN.</v>
          </cell>
          <cell r="H2077" t="str">
            <v>UN</v>
          </cell>
          <cell r="I2077">
            <v>285600</v>
          </cell>
        </row>
        <row r="2078">
          <cell r="F2078">
            <v>6570</v>
          </cell>
          <cell r="G2078" t="str">
            <v>PINTURA ACRÍLICA BASE AGUA (E=15MILS. INCLUYE SUMINISTRO Y APLICACIÓN CON EQUIPO. INCLUYE MICROESFERAS).</v>
          </cell>
          <cell r="H2078" t="str">
            <v>M2</v>
          </cell>
          <cell r="I2078">
            <v>35194</v>
          </cell>
        </row>
        <row r="2079">
          <cell r="F2079">
            <v>6571</v>
          </cell>
          <cell r="G2079" t="str">
            <v>DEMARCACION LINEA CONTINUA A=0.12M (E=15 MILS, ACRÍLICA BASE AGUA. INC. SUMIN. Y APLIC. CON EQUIPO. INCL. MICROESFERAS)</v>
          </cell>
          <cell r="H2079" t="str">
            <v>ML</v>
          </cell>
          <cell r="I2079">
            <v>2323</v>
          </cell>
        </row>
        <row r="2080">
          <cell r="F2080">
            <v>6572</v>
          </cell>
          <cell r="G2080" t="str">
            <v>DEMARCACION LINEA CONTINUA A=0.15M (E=15 MILS, ACRÍLICA BASE AGUA. INC. SUMIN. Y APLIC. CON EQUIPO. INCL. MICROESFERAS)</v>
          </cell>
          <cell r="H2080" t="str">
            <v>ML</v>
          </cell>
          <cell r="I2080">
            <v>1601</v>
          </cell>
        </row>
        <row r="2081">
          <cell r="F2081">
            <v>6573</v>
          </cell>
          <cell r="G2081" t="str">
            <v>PINTURA EN PLASTICO EN FRIO METILMETACRILATO PARA MARCAS VIALES, SIN MICROESFERAS Y ESPESOR SECO SEGÚN NORMA NTC 4744. SUMINISTRO Y APLICACIÓN. (CEBRAS, FLECHAS, PICTOGRAMAS, LINEAS DE PARE, SENDEROS PEATONALES, ACHURADOS, ETC).</v>
          </cell>
          <cell r="H2081" t="str">
            <v>M2</v>
          </cell>
          <cell r="I2081">
            <v>47124</v>
          </cell>
        </row>
        <row r="2082">
          <cell r="F2082">
            <v>6574</v>
          </cell>
          <cell r="G2082"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H2082" t="str">
            <v>UN</v>
          </cell>
          <cell r="I2082">
            <v>48066</v>
          </cell>
        </row>
        <row r="2083">
          <cell r="F2083">
            <v>6575</v>
          </cell>
          <cell r="G2083"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H2083" t="str">
            <v>UN</v>
          </cell>
          <cell r="I2083">
            <v>37992</v>
          </cell>
        </row>
        <row r="2084">
          <cell r="F2084">
            <v>6576</v>
          </cell>
          <cell r="G2084"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H2084" t="str">
            <v>UN</v>
          </cell>
          <cell r="I2084">
            <v>90291</v>
          </cell>
        </row>
        <row r="2085">
          <cell r="F2085">
            <v>6577</v>
          </cell>
          <cell r="G2085" t="str">
            <v>CONTENEDOR DE RAICES TIPO B22 (TIPO C) (1.60M X 1.60M X 1.60M) INCLUYE MUROS EN CONCRETO GRAVA COMÚN 3000 PSI (210 KG/CM2), SUMINISTRO CONSTRUCCIÓN Y FILTRO EN GRAVILLA 1/2", FORMALETA Y REFUERZO. NO INCLUYE TIERRA NEGRA.</v>
          </cell>
          <cell r="H2085" t="str">
            <v>UN</v>
          </cell>
          <cell r="I2085">
            <v>1066303</v>
          </cell>
        </row>
        <row r="2086">
          <cell r="F2086">
            <v>6579</v>
          </cell>
          <cell r="G2086" t="str">
            <v>DEMARCACIÓN LINEA CONTINUA A= 0.2MT, (E= 15 MILS ACRÍLICA BASE AGUA. INCLUYE SUMINISTRO Y APLICACIÓN CON EQUIPO. INCLUYE MICROESFERAS.</v>
          </cell>
          <cell r="H2086" t="str">
            <v>ML</v>
          </cell>
          <cell r="I2086">
            <v>7039</v>
          </cell>
        </row>
        <row r="2087">
          <cell r="F2087">
            <v>6580</v>
          </cell>
          <cell r="G2087" t="str">
            <v>SÍMBOLO DE DEMARCACIÓN CORREDOR EXCLUSIVO DE BICICLETA 1.60M X 2.40M (E= 15 MILS. INCLUYE SUMINISTRO Y APLICACIÓN CON EQUIPO. INCLUYE MICROESFERAS.</v>
          </cell>
          <cell r="H2087" t="str">
            <v>UN</v>
          </cell>
          <cell r="I2087">
            <v>31675</v>
          </cell>
        </row>
        <row r="2088">
          <cell r="F2088">
            <v>6581</v>
          </cell>
          <cell r="G2088" t="str">
            <v>SÍMBOLO DE DEMARCACIÓN CORREDOR EXCLUSIVO DE BICICLETA 0.80M X 1.20M (E= 15 MILS. INCLUYE SUMINISTRO Y APLICACIÓN CON EQUIPO. INCLUYE MICROESFERAS.</v>
          </cell>
          <cell r="H2088" t="str">
            <v>UN</v>
          </cell>
          <cell r="I2088">
            <v>9503</v>
          </cell>
        </row>
        <row r="2089">
          <cell r="F2089">
            <v>6582</v>
          </cell>
          <cell r="G2089" t="str">
            <v>DEMARCACIÓN DE LETRERO "SOLO BUS" (E= 15 MILS. INCLUYE SUMINISTRO Y APLICACIÓN CON EQUIPO. INCLUYE MICROESFERAS.</v>
          </cell>
          <cell r="H2089" t="str">
            <v>UN</v>
          </cell>
          <cell r="I2089">
            <v>159426</v>
          </cell>
        </row>
        <row r="2090">
          <cell r="F2090">
            <v>6583</v>
          </cell>
          <cell r="G2090" t="str">
            <v>FLECHA DIRECCIONAL "FRENTE, DERECHA E IZQUIERDA" PARA PAVIMENTO RÍGIDO (E= 15 MILS. ACRÍLICA BASE AGUA. INCLUYE SUMINISTRO Y APLICACIÓN CON EQUIPO. INCLUYE MICROESFERAS.</v>
          </cell>
          <cell r="H2090" t="str">
            <v>UN</v>
          </cell>
          <cell r="I2090">
            <v>112973</v>
          </cell>
        </row>
        <row r="2091">
          <cell r="F2091">
            <v>6584</v>
          </cell>
          <cell r="G2091" t="str">
            <v>PICTOGRAMA DE CEDA EL PASO EN CICLORRUTA (4 TRIÁNGULOS), (PINTURA ACRÍLICA BASE AGUA (E= 15 MILS. INCLUYE SUMINISTRO Y APLICACIÓN CON EQUIPO. INCLUYE MICROESFERAS.</v>
          </cell>
          <cell r="H2091" t="str">
            <v>UN</v>
          </cell>
          <cell r="I2091">
            <v>13656</v>
          </cell>
        </row>
        <row r="2092">
          <cell r="F2092">
            <v>6585</v>
          </cell>
          <cell r="G2092" t="str">
            <v>DEMARCACIÓN DE FLECHA DE TERMINACIÓN DE CARRIL (E= 15 MILS. ACRÍLICA BASE AGUA. INCLUYE SUMINISTRO Y APLICACIÓN CON EQUIPO. INCLUYE MICROESFERAS.</v>
          </cell>
          <cell r="H2092" t="str">
            <v>UN</v>
          </cell>
          <cell r="I2092">
            <v>147287</v>
          </cell>
        </row>
        <row r="2093">
          <cell r="F2093">
            <v>6586</v>
          </cell>
          <cell r="G2093" t="str">
            <v>FLECHA DIRECCIONAL "A LA IZQUIERDA" (E= 15 MILS. ACRÍLICA BASE AGUA. ÁREA: 1.5037 M2 SEGÚN EL MANUAL DE SEÑALIZACIÓN VIAL. SUMINISTRO Y APLICACIÓN CON EQUIPO. INCLUYE MICROESFERAS.</v>
          </cell>
          <cell r="H2093" t="str">
            <v>UN</v>
          </cell>
          <cell r="I2093">
            <v>62896</v>
          </cell>
        </row>
        <row r="2094">
          <cell r="F2094">
            <v>6587</v>
          </cell>
          <cell r="G2094" t="str">
            <v>DEMARCACIÓN TEXTO PARE. ÁREA: 1.48 M2 (E= 15 MILS, ACRÍLICA BASE AGUA. SUMINISTRO Y APLICACIÓN CON EQUIPO. INCLUYE MICROESFERAS.</v>
          </cell>
          <cell r="H2094" t="str">
            <v>UN</v>
          </cell>
          <cell r="I2094">
            <v>56634</v>
          </cell>
        </row>
        <row r="2095">
          <cell r="F2095">
            <v>6588</v>
          </cell>
          <cell r="G2095" t="str">
            <v>DEMARCACIÓN DE ACHURADO. AREA: 1.0 M2 (E= 15 MILS, ACRÍLICA BASE AGUA. SUMINISTRO Y APLICACIÓN CON EQUIPO. INCLUYE MICROESFERAS.</v>
          </cell>
          <cell r="H2095" t="str">
            <v>M2</v>
          </cell>
          <cell r="I2095">
            <v>45169</v>
          </cell>
        </row>
        <row r="2096">
          <cell r="F2096">
            <v>6589</v>
          </cell>
          <cell r="G2096" t="str">
            <v>DEMARCACIÓN DE LINEA LOGARÍTMICA. ÁREA: 0.60 M2 (E= 15 MILS, ACRÍLICA BASE AGUA. SUMINISTRO Y APLICACIÓN CON EQUIPO. INCLUYE MICROESFERAS.</v>
          </cell>
          <cell r="H2096" t="str">
            <v>ML</v>
          </cell>
          <cell r="I2096">
            <v>25682</v>
          </cell>
        </row>
        <row r="2097">
          <cell r="F2097">
            <v>6590</v>
          </cell>
          <cell r="G2097" t="str">
            <v>DEMARCACION LINEA DE PARE. ÁREA: 0.60 M2 (E= 15 MILS, ACRÍLICA BASE AGUA. SUMINISTRO Y APLICACIÓN CON EQUIPO. INCLUYE MICROESFERAS.</v>
          </cell>
          <cell r="H2097" t="str">
            <v>M2</v>
          </cell>
          <cell r="I2097">
            <v>31091</v>
          </cell>
        </row>
        <row r="2098">
          <cell r="F2098">
            <v>6591</v>
          </cell>
          <cell r="G2098" t="str">
            <v>DEMARCACION LINEA DE LINEA SENDERO PEATONAL CONTINUA. ÁREA: 0.30 M2 (E= 15 MILS, ACRÍLICA BASE AGUA. SUMINISTRO Y APLICACIÓN CON EQUIPO. INCLUYE MICROESFERAS.</v>
          </cell>
          <cell r="H2098" t="str">
            <v>ML</v>
          </cell>
          <cell r="I2098">
            <v>14103</v>
          </cell>
        </row>
        <row r="2099">
          <cell r="F2099">
            <v>6592</v>
          </cell>
          <cell r="G2099" t="str">
            <v>DEMARCACION ZONA ANTIBLOQUEO. AREA: 0.30 M2 (E= 15 MILS, ACRILICA BASE AGUA. SUMINISTRO Y APLICACION CON EQUIPO. INCLUYE MICROESFERAS.</v>
          </cell>
          <cell r="H2099" t="str">
            <v>ML</v>
          </cell>
          <cell r="I2099">
            <v>14103</v>
          </cell>
        </row>
        <row r="2100">
          <cell r="F2100">
            <v>6593</v>
          </cell>
          <cell r="G2100" t="str">
            <v>DEMARCACIÓN DE LINEA DE PARADERO DE BUSES. ÁREA: 5.5775 M2 (E= 15 MILS, ACRÍLICA BASE AGUA. SUMINISTRO Y APLICACIÓN CON EQUIPO. INCLUYE MICROESFERAS.</v>
          </cell>
          <cell r="H2100" t="str">
            <v>UN</v>
          </cell>
          <cell r="I2100">
            <v>236156</v>
          </cell>
        </row>
        <row r="2101">
          <cell r="F2101">
            <v>6594</v>
          </cell>
          <cell r="G2101" t="str">
            <v>DEMARCACIÓN PICTOGRAMA TRIÁNGULOS CEDA EL PASO. (E= 15 MILS, ACRÍLICA BASE AGUA. SUMINISTRO Y APLICACIÓN CON EQUIPO. INCLUYE MICROESFERAS.</v>
          </cell>
          <cell r="H2101" t="str">
            <v>UN</v>
          </cell>
          <cell r="I2101">
            <v>38514</v>
          </cell>
        </row>
        <row r="2102">
          <cell r="F2102">
            <v>6595</v>
          </cell>
          <cell r="G2102" t="str">
            <v>DEMARCACION LINEA DE CEDA EL PASO DISCONTINUA. AREA: 0.32M2. (E= 15 MILS, ACRILICA BASE AGUA. SUMINISTRO Y APLICACION CON EQUIPO. INCLUYE MICROESFERAS.</v>
          </cell>
          <cell r="H2102" t="str">
            <v>UN</v>
          </cell>
          <cell r="I2102">
            <v>14582</v>
          </cell>
        </row>
        <row r="2103">
          <cell r="F2103">
            <v>6596</v>
          </cell>
          <cell r="G2103" t="str">
            <v>DEMARCACION LINEA DE PARADA DE TRANSMILENIO. AREA: 3.96 M2 SEGUN PARAMETROS DE DISEÑO DE TRANSMILENIO (E= 15 MILS, ACRILICA BASE AGUA. SUMINISTRO Y APLICACION CON EQUIPO. INCLUYE MICROESFERAS.</v>
          </cell>
          <cell r="H2103" t="str">
            <v>UN</v>
          </cell>
          <cell r="I2103">
            <v>179267</v>
          </cell>
        </row>
        <row r="2104">
          <cell r="F2104">
            <v>6598</v>
          </cell>
          <cell r="G2104" t="str">
            <v>TRANSFORMADOR SECO CLASE F TRIFASICO DE 45 KVA, 11.4/0.480-277 KV ZCC 4% (NORMA CODENSA CTS-535) (INCLUYE SUMINISTRO E INSTALACIÓN)</v>
          </cell>
          <cell r="H2104" t="str">
            <v>UN</v>
          </cell>
          <cell r="I2104">
            <v>21845805</v>
          </cell>
        </row>
        <row r="2105">
          <cell r="F2105">
            <v>6600</v>
          </cell>
          <cell r="G2105" t="str">
            <v>REDUCCION PVC E.L. D= 1 1/2" X 1/2" (INCLUYE SUMINISTRO E INSTALACIÓN, SOLDADURA).</v>
          </cell>
          <cell r="H2105" t="str">
            <v>UN</v>
          </cell>
          <cell r="I2105">
            <v>11704</v>
          </cell>
        </row>
        <row r="2106">
          <cell r="F2106">
            <v>6648</v>
          </cell>
          <cell r="G2106" t="str">
            <v>VIGA CABEZAL SOBRE PILOTES Y/O COLUMNAS EN CONCRETO PREMEZCLADO DE 3500 PSI (24 Mpa) (Incluye suministro, formaleteo metalico, bombeo, colocacion y curado. No incluye refuerzo)</v>
          </cell>
          <cell r="H2106" t="str">
            <v>M3</v>
          </cell>
          <cell r="I2106">
            <v>745086</v>
          </cell>
        </row>
        <row r="2107">
          <cell r="F2107">
            <v>6656</v>
          </cell>
          <cell r="G2107" t="str">
            <v>COLUMNA EN CONCRETO DE 3000 PSI, (21 MPa) PREMEZCLADO, GRAVA COMÚN (Incluye suministro, Bombeo formaleteo en madera, colocación y curado, No incluye refuerzo).</v>
          </cell>
          <cell r="H2107" t="str">
            <v>M3</v>
          </cell>
          <cell r="I2107">
            <v>754573</v>
          </cell>
        </row>
        <row r="2108">
          <cell r="F2108">
            <v>6658</v>
          </cell>
          <cell r="G2108" t="str">
            <v>CABLE MONOPOLAR DE ALUMINIO, HF FR PARA 600V C.A. CALIBRE NO. 4/0 AWG (INCLUYE SUMINISTRO E INSTALACIÓN)</v>
          </cell>
          <cell r="H2108" t="str">
            <v>ML</v>
          </cell>
          <cell r="I2108">
            <v>20620</v>
          </cell>
        </row>
        <row r="2109">
          <cell r="F2109">
            <v>6661</v>
          </cell>
          <cell r="G2109" t="str">
            <v>VIGAS DE CIMENTACION EN CONCRETO PREMEZCLADO DE 3000  PSI (21 Mpa), GRAVA COMUN (Incluye Sumin., Formaleteo metalico, Colocación y Curado. No incl. Refuerzo).</v>
          </cell>
          <cell r="H2109" t="str">
            <v>M3</v>
          </cell>
          <cell r="I2109">
            <v>703861</v>
          </cell>
        </row>
        <row r="2110">
          <cell r="F2110">
            <v>6665</v>
          </cell>
          <cell r="G2110" t="str">
            <v>VIGA CABEZAL SOBRE PILOTES Y/O COLUMNAS EN CONCRETO PREMEZCLADO DE 4000 PSI (28Mpa) (Incluye suministro, Formaleteo metalico, bombeo, colocacion y curado. No incluye Refuerzo)</v>
          </cell>
          <cell r="H2110" t="str">
            <v>M3</v>
          </cell>
          <cell r="I2110">
            <v>757581</v>
          </cell>
        </row>
        <row r="2111">
          <cell r="F2111">
            <v>6673</v>
          </cell>
          <cell r="G2111" t="str">
            <v>DEMOLICION MANUAL DE CAJA SENCILLA CS 274 (INCLUYE DEMOLICIÓN DE PLACA PISO, TAPA, MUROS Y CAÑUELAS Y CARGUE)</v>
          </cell>
          <cell r="H2111" t="str">
            <v>UN</v>
          </cell>
          <cell r="I2111">
            <v>171854</v>
          </cell>
        </row>
        <row r="2112">
          <cell r="F2112">
            <v>6675</v>
          </cell>
          <cell r="G2112" t="str">
            <v>RETIRO DE TRANSFORMADOR AISLADO EN ACEITE (DE 30 KVA A 225 KVA), 11.400 VC.A./208-120 VC.A. INSTALADO EN POSTE (INCLUYE TRASLADO A SITIO DE ACOPIO).</v>
          </cell>
          <cell r="H2112" t="str">
            <v>UN</v>
          </cell>
          <cell r="I2112">
            <v>233719</v>
          </cell>
        </row>
        <row r="2113">
          <cell r="F2113">
            <v>6676</v>
          </cell>
          <cell r="G2113" t="str">
            <v>DEMOLICION MANUAL DE CAJA SENCILLA CS 280 (INCLUYE DEMOLICIÓN DE PLACA PISO, TAPA, MUROS Y CAÑUELA Y CARGUE).</v>
          </cell>
          <cell r="H2113" t="str">
            <v>UN</v>
          </cell>
          <cell r="I2113">
            <v>131404</v>
          </cell>
        </row>
        <row r="2114">
          <cell r="F2114">
            <v>6687</v>
          </cell>
          <cell r="G2114" t="str">
            <v>RECONSTRUCCIÓN CÁMARA DE INSPECCIÓN T-13 ETB (H=2.3M. INCLUYE BASE, MUROS, CUBIERTA, ARO-BASE Y ARO-TAPA)</v>
          </cell>
          <cell r="H2114" t="str">
            <v>UN</v>
          </cell>
          <cell r="I2114">
            <v>2367019</v>
          </cell>
        </row>
        <row r="2115">
          <cell r="F2115">
            <v>6710</v>
          </cell>
          <cell r="G2115" t="str">
            <v>VIGA DE CIMENTACION EN CONCRETO PREMEZCLADO DE 4000 PSI (28 Mpa) GRAVA COMUN (Incluye Sumin., Formaleteo metalico, Colocación y Curado. No incl. Refuerzo).</v>
          </cell>
          <cell r="H2115" t="str">
            <v>M3</v>
          </cell>
          <cell r="I2115">
            <v>735099</v>
          </cell>
        </row>
        <row r="2116">
          <cell r="F2116">
            <v>6715</v>
          </cell>
          <cell r="G2116" t="str">
            <v>RECONSTRUCCIÓN CÁMARA DE INSPECCIÓN T-13A ETB (H=2.3M. INCLUYE BASE, MUROS, CUBIERTA, ARO-BASE Y ARO-TAPA)</v>
          </cell>
          <cell r="H2116" t="str">
            <v>UN</v>
          </cell>
          <cell r="I2116">
            <v>2858696</v>
          </cell>
        </row>
        <row r="2117">
          <cell r="F2117">
            <v>6717</v>
          </cell>
          <cell r="G2117" t="str">
            <v>RECONSTRUCCIÓN CÁMARA DE INSPECCIÓN T-14 ETB (H=2.3M. INCLUYE BASE, MUROS, CUBIERTA, ARO-BASE Y ARO-TAPA)</v>
          </cell>
          <cell r="H2117" t="str">
            <v>UN</v>
          </cell>
          <cell r="I2117">
            <v>2612950</v>
          </cell>
        </row>
        <row r="2118">
          <cell r="F2118">
            <v>6718</v>
          </cell>
          <cell r="G2118" t="str">
            <v>RECONSTRUCCIÓN CÁMARA DE INSPECCIÓN T-14A ETB (H=2.3M. INCLUYE BASE, MUROS, CUBIERTA, ARO-BASE Y ARO-TAPA)</v>
          </cell>
          <cell r="H2118" t="str">
            <v>UN</v>
          </cell>
          <cell r="I2118">
            <v>2786362</v>
          </cell>
        </row>
        <row r="2119">
          <cell r="F2119">
            <v>6719</v>
          </cell>
          <cell r="G2119" t="str">
            <v>RECONSTRUCCIÓN CÁMARA DE INSPECCIÓN T-16 ETB (H=2.3M. INCLUYE BASE, MUROS, CUBIERTA, ARO-BASE Y ARO-TAPA)</v>
          </cell>
          <cell r="H2119" t="str">
            <v>UN</v>
          </cell>
          <cell r="I2119">
            <v>3213771</v>
          </cell>
        </row>
        <row r="2120">
          <cell r="F2120">
            <v>6720</v>
          </cell>
          <cell r="G2120" t="str">
            <v>RECONSTRUCCIÓN CÁMARA DE INSPECCIÓN T-16A ETB (H=2.3M. INCLUYE BASE, MUROS, CUBIERTA, ARO-BASE Y ARO-TAPA)</v>
          </cell>
          <cell r="H2120" t="str">
            <v>UN</v>
          </cell>
          <cell r="I2120">
            <v>3549490</v>
          </cell>
        </row>
        <row r="2121">
          <cell r="F2121">
            <v>6742</v>
          </cell>
          <cell r="G2121" t="str">
            <v>24 DUCTOS D=4" PVC-TDP (INCLUYE SUMINISTRO E INSTALACIÓN. NO INCLUYE RELLENOS)</v>
          </cell>
          <cell r="H2121" t="str">
            <v>ML</v>
          </cell>
          <cell r="I2121">
            <v>588416</v>
          </cell>
        </row>
        <row r="2122">
          <cell r="F2122">
            <v>6755</v>
          </cell>
          <cell r="G2122" t="str">
            <v>TEE PVC SOLDAR DE 2". (SUMINISTRO EN INSTALACIÓN)</v>
          </cell>
          <cell r="H2122" t="str">
            <v>UN</v>
          </cell>
          <cell r="I2122">
            <v>24656</v>
          </cell>
        </row>
        <row r="2123">
          <cell r="F2123">
            <v>6763</v>
          </cell>
          <cell r="G2123" t="str">
            <v>VIGAS Y PLACAS AÉREAS EN CONCRETO PREMEZCLADO DE 3000 PSI (21Mpa), GRAVA COMÚN  (Incluye Suministro, Formaleteo en madera, curado y Colocación. No incluye Refuerzo).</v>
          </cell>
          <cell r="H2123" t="str">
            <v>M3</v>
          </cell>
          <cell r="I2123">
            <v>894741</v>
          </cell>
        </row>
        <row r="2124">
          <cell r="F2124">
            <v>6765</v>
          </cell>
          <cell r="G2124" t="str">
            <v>VIGAS Y PLACAS AÉREAS EN CONCRETO PREMEZCLADO DE 4000 PSI (28 Mpa) GRAVA COMUN (Incluye suministro, formaleteo en madera, colocacion, andamio, cerchas, parales y curado. No incluye refuerzo)</v>
          </cell>
          <cell r="H2124" t="str">
            <v>M3</v>
          </cell>
          <cell r="I2124">
            <v>762700</v>
          </cell>
        </row>
        <row r="2125">
          <cell r="F2125">
            <v>6774</v>
          </cell>
          <cell r="G2125" t="str">
            <v>DADO EN CONCRETO DE 3000 PSI, (21 MPa) PREMEZCLADO, GRAVA COMÚN (Incluye suministro, formaleteo en madera, Bombeo, colocación y curado, No incluye refuerzo).</v>
          </cell>
          <cell r="H2125" t="str">
            <v>M3</v>
          </cell>
          <cell r="I2125">
            <v>684178</v>
          </cell>
        </row>
        <row r="2126">
          <cell r="F2126">
            <v>6775</v>
          </cell>
          <cell r="G2126" t="str">
            <v>VIGAS DE CUBIERTA REFORZADAS EN CONCRETO PREMEZCLADO DE 4000 PSI (Incluye suministro, formaleteo metalico, bombeo, colocacion, andamios y curado. No incluye refuerzo)</v>
          </cell>
          <cell r="H2126" t="str">
            <v>M3</v>
          </cell>
          <cell r="I2126">
            <v>775845</v>
          </cell>
        </row>
        <row r="2127">
          <cell r="F2127">
            <v>6779</v>
          </cell>
          <cell r="G2127" t="str">
            <v>PICTOGRAMA PEATONAL AMARILLO/NEGRO. (INCLUYE SUMINISTRO E INSTALACIÓN)</v>
          </cell>
          <cell r="H2127" t="str">
            <v>UN</v>
          </cell>
          <cell r="I2127">
            <v>510561</v>
          </cell>
        </row>
        <row r="2128">
          <cell r="F2128">
            <v>6801</v>
          </cell>
          <cell r="G2128" t="str">
            <v>REDUCCION PVC E.L. D= 1 1/2" X 1" (SUMINISTRO E INSTALACIÓN)</v>
          </cell>
          <cell r="H2128" t="str">
            <v>UN</v>
          </cell>
          <cell r="I2128">
            <v>10260</v>
          </cell>
        </row>
        <row r="2129">
          <cell r="F2129">
            <v>6848</v>
          </cell>
          <cell r="G2129" t="str">
            <v>SEÑAL VERTICAL GRUPO PREVENTIVA SR-38 Y SR-39 TIPO RECTÁNGULO (75X25CM) (INCLUYE SUMINISTRO E INSTALACIÓN)</v>
          </cell>
          <cell r="H2129" t="str">
            <v>UN</v>
          </cell>
          <cell r="I2129">
            <v>341763</v>
          </cell>
        </row>
        <row r="2130">
          <cell r="F2130">
            <v>6856</v>
          </cell>
          <cell r="G2130" t="str">
            <v>DEMARCACION TEXTO VEL MAX 30 KM/H AREA: 4.80 M2. (E=2.3 MM, TERMOPLASTICA INCLUYE SUMINISTRO Y APLICACIÓN CON EQUIPO. INCLUYE MICROESFERAS).</v>
          </cell>
          <cell r="H2130" t="str">
            <v>UN</v>
          </cell>
          <cell r="I2130">
            <v>583170</v>
          </cell>
        </row>
        <row r="2131">
          <cell r="F2131">
            <v>6857</v>
          </cell>
          <cell r="G2131" t="str">
            <v>LLAVE MANGUERA 1/2". SUMINISTRO E INSTALACIÓN</v>
          </cell>
          <cell r="H2131" t="str">
            <v>UN</v>
          </cell>
          <cell r="I2131">
            <v>54456</v>
          </cell>
        </row>
        <row r="2132">
          <cell r="F2132">
            <v>6864</v>
          </cell>
          <cell r="G2132" t="str">
            <v>PICTOGRAMA TRIANGULAR POMPEYANO. (E=2.3 MM, TERMOPLÁSTICA.) (INCLUYE SUMINISTRO Y APLICACIÓN CON EQUIPO, INCLUYE MICROESFERAS). AREA DE LA MARCA: 0.35 M2.</v>
          </cell>
          <cell r="H2132" t="str">
            <v>UN</v>
          </cell>
          <cell r="I2132">
            <v>44341</v>
          </cell>
        </row>
        <row r="2133">
          <cell r="F2133">
            <v>6866</v>
          </cell>
          <cell r="G2133" t="str">
            <v>CINTA FLEXIBLE PARA SELLO DE JUNTAS A=15CM (SUMINISTRO E INSTALACIÓN).</v>
          </cell>
          <cell r="H2133" t="str">
            <v>ML</v>
          </cell>
          <cell r="I2133">
            <v>34954</v>
          </cell>
        </row>
        <row r="2134">
          <cell r="F2134">
            <v>6868</v>
          </cell>
          <cell r="G2134" t="str">
            <v>VIGAS Y PLACAS AÉREAS EN CONCRETO PREMEZCLADO DE 5000 PSI (34 Mpa) GRAVA COMUN (Incluye suministro, formaleteo en madera, colocacion y curado. No incluye Refuerzo)</v>
          </cell>
          <cell r="H2134" t="str">
            <v>M3</v>
          </cell>
          <cell r="I2134">
            <v>982325</v>
          </cell>
        </row>
        <row r="2135">
          <cell r="F2135">
            <v>6869</v>
          </cell>
          <cell r="G2135" t="str">
            <v>COLUMNA EN CONCRETO DE 5000 PSI, (35 MPa) PREMEZCLADO, GRAVA COMÚN (Incluye suministro, Bombeo, formaleteo en madera, colocación y curado, No incluye refuerzo).</v>
          </cell>
          <cell r="H2135" t="str">
            <v>M3</v>
          </cell>
          <cell r="I2135">
            <v>828790</v>
          </cell>
        </row>
        <row r="2136">
          <cell r="F2136">
            <v>6874</v>
          </cell>
          <cell r="G2136" t="str">
            <v>ENCUESTA DE PERCEPCIÓN CIUDADANA. INCL. FORMATO DE ENCUESTA DE PERCEPCIÓN CIUDADANA, DISEÑO DE MUESTRA Y METODOLOGÍA DE RECOLECCIÓN EN CAMPO, BASE DE DATOS EN FORMATO EXCEL, PRESENTACIÓN DE RESULTADOS.</v>
          </cell>
          <cell r="H2136" t="str">
            <v>UN</v>
          </cell>
          <cell r="I2136">
            <v>91022</v>
          </cell>
        </row>
        <row r="2137">
          <cell r="F2137">
            <v>6878</v>
          </cell>
          <cell r="G2137" t="str">
            <v>CONCRETO 3000 PSI (21 MPA) GRAVA COMÚN PARA ANDENES (PREMEZCLADO. INCLUYE SUMINISTRO, FORMALETEO, COLOCACIÓN Y CURADO. NO INCLUYE REFUERZO).</v>
          </cell>
          <cell r="H2137" t="str">
            <v>M3</v>
          </cell>
          <cell r="I2137">
            <v>578941</v>
          </cell>
        </row>
        <row r="2138">
          <cell r="F2138">
            <v>6880</v>
          </cell>
          <cell r="G2138" t="str">
            <v>CONCRETO MR41 COLOR OCRE PARA RAMPAS Y ESCALERAS (PREMEZCLADO. INCLUYE SUMINISTRO, FORMALETEO, COLOCACIÓN Y CURADO. NO INCLUYE REFUERZO).</v>
          </cell>
          <cell r="H2138" t="str">
            <v>M3</v>
          </cell>
          <cell r="I2138">
            <v>986842</v>
          </cell>
        </row>
        <row r="2139">
          <cell r="F2139">
            <v>6959</v>
          </cell>
          <cell r="G2139" t="str">
            <v>CONDUCTOR MONOPOLAR DE COBRE, AISLADOS PARA 600 V C.A., CALIBRE NO. 2 AWG. (INCLUYE SUMINISTRO E INSTALACIÓN).</v>
          </cell>
          <cell r="H2139" t="str">
            <v>ML</v>
          </cell>
          <cell r="I2139">
            <v>24594</v>
          </cell>
        </row>
        <row r="2140">
          <cell r="F2140">
            <v>6968</v>
          </cell>
          <cell r="G2140" t="str">
            <v>TUBERÍA PVC D=3/4" RDE 21 (SUMINISTRO E INSTALACIÓN)</v>
          </cell>
          <cell r="H2140" t="str">
            <v>ML</v>
          </cell>
          <cell r="I2140">
            <v>7743</v>
          </cell>
        </row>
        <row r="2141">
          <cell r="F2141">
            <v>7026</v>
          </cell>
          <cell r="G2141" t="str">
            <v>PISO EN PIEDRA MUÑECA BOGOTANA PULIDA (600X400X60MM). INCLUYE MORTERO 1:4, E=6 CM PROMEDIO (SUMINISTRO E INSTALACIÓN)</v>
          </cell>
          <cell r="H2141" t="str">
            <v>M2</v>
          </cell>
          <cell r="I2141">
            <v>240715</v>
          </cell>
        </row>
        <row r="2142">
          <cell r="F2142">
            <v>7028</v>
          </cell>
          <cell r="G2142" t="str">
            <v>BORDILLO PREFABRICADO A81 (SUMINISTRO E INSTALACIÓN. INCLUYE 3CM MORTERO DE NIVELACIÓN 2000 PSI)</v>
          </cell>
          <cell r="H2142" t="str">
            <v>ML</v>
          </cell>
          <cell r="I2142">
            <v>74403</v>
          </cell>
        </row>
        <row r="2143">
          <cell r="F2143">
            <v>7047</v>
          </cell>
          <cell r="G2143" t="str">
            <v>LIQUIDAMBAR H=2.5M (INCLUYE EXCAVACIÓN MANUAL, SIEMBRA, CAJA, TIERRA, ABONO, TUTOR, TRANSPORTE Y DISPOSICIÓN FINAL DE ESCOMBROS EN SITIO AUTORIZADO A 28 KM). SUMINISTRO Y PLANTACION.</v>
          </cell>
          <cell r="H2143" t="str">
            <v>UN</v>
          </cell>
          <cell r="I2143">
            <v>368821</v>
          </cell>
        </row>
        <row r="2144">
          <cell r="F2144">
            <v>7057</v>
          </cell>
          <cell r="G2144" t="str">
            <v>SALIDA PARA ILUMINACIÓN (SUMINISTRO E INSTALACIÓN)</v>
          </cell>
          <cell r="H2144" t="str">
            <v>UN</v>
          </cell>
          <cell r="I2144">
            <v>40467</v>
          </cell>
        </row>
        <row r="2145">
          <cell r="F2145">
            <v>7090</v>
          </cell>
          <cell r="G2145" t="str">
            <v>HIEDRA MIAMI (INCLUYE 12 UNIDADES POR M2 Y TRANSPORTE Y DISPOSICIÓN FINAL DE ESCOMBROS A 28 KM). SUMINISTRO Y PLANTACIÓN.</v>
          </cell>
          <cell r="H2145" t="str">
            <v>M2</v>
          </cell>
          <cell r="I2145">
            <v>79227</v>
          </cell>
        </row>
        <row r="2146">
          <cell r="F2146">
            <v>7113</v>
          </cell>
          <cell r="G2146" t="str">
            <v>CABLE CONDUCTOR MONOPOLAR DE 3X6 + 1X6 + 1X8T AWG AL THWN, 600 V.(ALUMINIO Y COBRE) (INCLUYE SUMINISTRO E INSTALACIÓN)</v>
          </cell>
          <cell r="H2146" t="str">
            <v>ML</v>
          </cell>
          <cell r="I2146">
            <v>48509</v>
          </cell>
        </row>
        <row r="2147">
          <cell r="F2147">
            <v>7136</v>
          </cell>
          <cell r="G2147" t="str">
            <v>DESMONTE Y TRASLADO DE ESTRUCTURAS METALICAS</v>
          </cell>
          <cell r="H2147" t="str">
            <v>KG</v>
          </cell>
          <cell r="I2147">
            <v>1192</v>
          </cell>
        </row>
        <row r="2148">
          <cell r="F2148">
            <v>7202</v>
          </cell>
          <cell r="G2148" t="str">
            <v>FACHADA EN PANELES DE VIDRIO LAMINADO DE SEGURIDAD EN 3 MÓDULOS VERTICALES CON BORDE PERIMETRAL EN NEOPRENO+ESTRUCTURA METÁLICA EXTERIOR TRAPEZOIDAL, FIJACIÓN A ESTRUCTURA CON BUJES. ESTRUCTURA METÁLICA EXTERIOR Y PERIMETRAL (SUMINISTRO E INSTALACIÓN)</v>
          </cell>
          <cell r="H2148" t="str">
            <v>M2</v>
          </cell>
          <cell r="I2148">
            <v>654930</v>
          </cell>
        </row>
        <row r="2149">
          <cell r="F2149">
            <v>7267</v>
          </cell>
          <cell r="G2149" t="str">
            <v>PERSIANA EN ALUMINIO EXTRUIDO NATURAL MATE O ACERO GALVANIZADO (INCLUYE SUMINISTRO E INSTALACIÓN)</v>
          </cell>
          <cell r="H2149" t="str">
            <v>M2</v>
          </cell>
          <cell r="I2149">
            <v>279820</v>
          </cell>
        </row>
        <row r="2150">
          <cell r="F2150">
            <v>7283</v>
          </cell>
          <cell r="G2150" t="str">
            <v>APOYO ELASTOMÉRICO EN NEOPRENO REFORZADO DUREZA 60 PARA APOYO SUPERESTRUCTURA. (SUMINISTRO E INSTALACIÓN).</v>
          </cell>
          <cell r="H2150" t="str">
            <v>dm3</v>
          </cell>
          <cell r="I2150">
            <v>70804</v>
          </cell>
        </row>
        <row r="2151">
          <cell r="F2151">
            <v>7308</v>
          </cell>
          <cell r="G2151" t="str">
            <v>BARANDA EN VIDRIO TEMPLADO OPALIZADO DE 10MM H=1.00M Y PASAMANOS CILINDRICO EN ACERO INOXIDABLE MATE DE D=1 1/2" EDIFICIO ACCESO (ESCALERAS, RAMPAS, TERRAZAS, TORNIQUETES) (SUMINISTRO E INSTALACIÓN).</v>
          </cell>
          <cell r="H2151" t="str">
            <v>ML</v>
          </cell>
          <cell r="I2151">
            <v>503407</v>
          </cell>
        </row>
        <row r="2152">
          <cell r="F2152">
            <v>7332</v>
          </cell>
          <cell r="G2152" t="str">
            <v>CABLE MONOPOLAR DE COBRE, HF FR PARA 600V C.A. CALIBRE NO. 8 AWG. (INCLUYE SUMINISTRO E INSTALACIÓN)</v>
          </cell>
          <cell r="H2152" t="str">
            <v>ML</v>
          </cell>
          <cell r="I2152">
            <v>13359</v>
          </cell>
        </row>
        <row r="2153">
          <cell r="F2153">
            <v>7336</v>
          </cell>
          <cell r="G2153" t="str">
            <v>BARRA DE UNION 5/8". (INCLUYE SUMINISTRO E INSTALACIÓN).</v>
          </cell>
          <cell r="H2153" t="str">
            <v>KG</v>
          </cell>
          <cell r="I2153">
            <v>5841</v>
          </cell>
        </row>
        <row r="2154">
          <cell r="F2154">
            <v>7337</v>
          </cell>
          <cell r="G2154" t="str">
            <v>BRIDA CIEGA EN ACERO D= 24". PRESIÓN DE TRABAJO= 150 PSI.</v>
          </cell>
          <cell r="H2154" t="str">
            <v>UN</v>
          </cell>
          <cell r="I2154">
            <v>3377844</v>
          </cell>
        </row>
        <row r="2155">
          <cell r="F2155">
            <v>7338</v>
          </cell>
          <cell r="G2155" t="str">
            <v>BARRICADA METALICA TIPO IDU CON CERRADO REFLECTIVO NARANJA Y BLANCO GRADO INGENIERIA, MEDIDAS: 2.40M X 1.50M - 3 BANDEJAS DE 20CM X 2.40M. TABLERO DE DESVIO DE 60CM. (INCLUYE CABALLETE, SUMINISTRO E INSTALACIÓN)</v>
          </cell>
          <cell r="H2155" t="str">
            <v>UN/MES</v>
          </cell>
          <cell r="I2155">
            <v>302928</v>
          </cell>
        </row>
        <row r="2156">
          <cell r="F2156">
            <v>7339</v>
          </cell>
          <cell r="G2156" t="str">
            <v>FIBRA ÓPTICA MONOMODO DE 4 HILOS (INCLUYE SUMINISTRO E INSTALACIÓN)</v>
          </cell>
          <cell r="H2156" t="str">
            <v>ML</v>
          </cell>
          <cell r="I2156">
            <v>3481</v>
          </cell>
        </row>
        <row r="2157">
          <cell r="F2157">
            <v>7340</v>
          </cell>
          <cell r="G2157" t="str">
            <v>CAMARA DE PASO NO. 2 UNE-EPM TELECOMUNICACIONES NORMA TEL NIN-105.(INCLUYE SUMINISTRO E INSTALACIÓN, NO INCLUYE RELLENOS).</v>
          </cell>
          <cell r="H2157" t="str">
            <v>UN</v>
          </cell>
          <cell r="I2157">
            <v>3339693</v>
          </cell>
        </row>
        <row r="2158">
          <cell r="F2158">
            <v>7341</v>
          </cell>
          <cell r="G2158" t="str">
            <v>CARCAMO AGUAS LLUVIAS 0.45 X 0.60 M. (INCLUYE REJILLA) SUMINISTRO E INSTALACIÓN</v>
          </cell>
          <cell r="H2158" t="str">
            <v>ML</v>
          </cell>
          <cell r="I2158">
            <v>1114506</v>
          </cell>
        </row>
        <row r="2159">
          <cell r="F2159">
            <v>7342</v>
          </cell>
          <cell r="G2159" t="str">
            <v>CERRAMIENTO CONTRA IMPACTO IDRD H=5.00 M. (TUBO GALVANIZADO, VARILLA REDONDA, MALLA ESLABONADA Y ÁNGULO. ACABADO SUPERFICIAL EN PINTURA LÍQUIDA RESISTENTE A LA INTEMPERIE, INCLUYE VIGA DE CIMENTACIÓN) (INCLUYE SUMINISTRO E INSTALACIÓN)</v>
          </cell>
          <cell r="H2159" t="str">
            <v>ML</v>
          </cell>
          <cell r="I2159">
            <v>1217881</v>
          </cell>
        </row>
        <row r="2160">
          <cell r="F2160">
            <v>7344</v>
          </cell>
          <cell r="G2160" t="str">
            <v>SEÑALIZACIÓN CON CINTA DE DEMARCACION CALIBRE 3 (INCLUYE SUMINISTRO Y COLOCACIÓN)</v>
          </cell>
          <cell r="H2160" t="str">
            <v>ML</v>
          </cell>
          <cell r="I2160">
            <v>670</v>
          </cell>
        </row>
        <row r="2161">
          <cell r="F2161">
            <v>7345</v>
          </cell>
          <cell r="G2161" t="str">
            <v>CONCRETO 3000 PSI (21 MPA) GRAVA COMÚN PARA MATERA (PREMEZCLADO. INCLUYE SUMINISTRO, FORMALETEO, COLOCACIÓN Y CURADO. NO INCLUYE REFUERZO).</v>
          </cell>
          <cell r="H2161" t="str">
            <v>M3</v>
          </cell>
          <cell r="I2161">
            <v>639741</v>
          </cell>
        </row>
        <row r="2162">
          <cell r="F2162">
            <v>7346</v>
          </cell>
          <cell r="G2162" t="str">
            <v>DEMARCACIÓN LÍNEA DE INICIO O FIN CARRIL, A= 0.20M L= 1.0M SEPARACIÓN= 1.0M E= 2.3MM EN PINTURA TERMOPLÁSTICA. INCLUYE SUMINISTRO Y APLICACIÓN CON EQUIPO. INCLUYE MICROESFERAS.</v>
          </cell>
          <cell r="H2162" t="str">
            <v>M2</v>
          </cell>
          <cell r="I2162">
            <v>24319</v>
          </cell>
        </row>
        <row r="2163">
          <cell r="F2163">
            <v>7347</v>
          </cell>
          <cell r="G2163" t="str">
            <v>NIPLE 16" ACERO CARBON EXTREMOS BRIDA/CAMPANA CON SALIDA TANGENCIAL PARA PURGA 4" L= 2500MM. SUMINISTRO E INSTALACIÓN</v>
          </cell>
          <cell r="H2163" t="str">
            <v>UN</v>
          </cell>
          <cell r="I2163">
            <v>2822369</v>
          </cell>
        </row>
        <row r="2164">
          <cell r="F2164">
            <v>7348</v>
          </cell>
          <cell r="G2164" t="str">
            <v>CONCRETO 4000 PSI (28 MPa) GRAVA COMÚN PARA BARRERA NEW JERSEY MONODIRECCIONAL DE 0.90M DE ALTURA X 0.375M DE BASE. (PREMEZCLADO. INCLUYE SUMINISTRO, FORMALETEO, COLOCACIÓN Y CURADO. NO INCLUYE REFUERZO).</v>
          </cell>
          <cell r="H2164" t="str">
            <v>M3</v>
          </cell>
          <cell r="I2164">
            <v>690040</v>
          </cell>
        </row>
        <row r="2165">
          <cell r="F2165">
            <v>7349</v>
          </cell>
          <cell r="G2165" t="str">
            <v>CONCRETO 4000 PSI (28 Mpa) GRAVA COMÚN PARA CÁMARA (PREMEZCLADO. INCLUYE SUMINISTRO, FORMALETEO, COLOCACIÓN Y CURADO. NO INCLUYE REFUERZO).</v>
          </cell>
          <cell r="H2165" t="str">
            <v>M3</v>
          </cell>
          <cell r="I2165">
            <v>686760</v>
          </cell>
        </row>
        <row r="2166">
          <cell r="F2166">
            <v>7351</v>
          </cell>
          <cell r="G2166" t="str">
            <v>CONCRETO 4000 PSI (28 MPA) GRAVA COMÚN PARA CÁRCAMO (PREMEZCLADO. INCLUYE SUMINISTRO, FORMALETEO, COLOCACIÓN Y CURADO. NO INCLUYE REFUERZO).</v>
          </cell>
          <cell r="H2166" t="str">
            <v>M3</v>
          </cell>
          <cell r="I2166">
            <v>704763</v>
          </cell>
        </row>
        <row r="2167">
          <cell r="F2167">
            <v>7353</v>
          </cell>
          <cell r="G2167" t="str">
            <v>CONTENEDOR DE RAICES TIPO B23 (TIPO D) (2.00M X 2.00M X 1.40M). (INCLUYE FILTRO EN GRAVILLA, TIERRA NEGRA. SUMINISTRO Y CONSTRUCCIÓN).</v>
          </cell>
          <cell r="H2167" t="str">
            <v>UN</v>
          </cell>
          <cell r="I2167">
            <v>1477397</v>
          </cell>
        </row>
        <row r="2168">
          <cell r="F2168">
            <v>7354</v>
          </cell>
          <cell r="G2168" t="str">
            <v>NIPLE 12" ACERO CARBON EXTREMO BRIDA Y EXTREMO LISO PARA CINTURÓN DE CIERRE L= 1500MM. (A) SUMINISTRO E INSTALACIÓN</v>
          </cell>
          <cell r="H2168" t="str">
            <v>UN</v>
          </cell>
          <cell r="I2168">
            <v>1582102</v>
          </cell>
        </row>
        <row r="2169">
          <cell r="F2169">
            <v>7355</v>
          </cell>
          <cell r="G2169" t="str">
            <v>NIPLE 4" ACERO CARBON BRIDA Y EXTREMO LISO L= 300MM. (A) SUMINISTRO E INSTALACIÓN</v>
          </cell>
          <cell r="H2169" t="str">
            <v>UN</v>
          </cell>
          <cell r="I2169">
            <v>289635</v>
          </cell>
        </row>
        <row r="2170">
          <cell r="F2170">
            <v>7356</v>
          </cell>
          <cell r="G2170" t="str">
            <v>DETECTOR DE DEMANDA PEATONAL (BOTONES) NO INCLUYE CABLES. (INCLUYE SUMINISTRO E INSTALACIÓN).</v>
          </cell>
          <cell r="H2170" t="str">
            <v>UN</v>
          </cell>
          <cell r="I2170">
            <v>1917210</v>
          </cell>
        </row>
        <row r="2171">
          <cell r="F2171">
            <v>7357</v>
          </cell>
          <cell r="G2171" t="str">
            <v>NIPLE 4" ACERO CARBON BRIDA/BRIDA L= 250MM. (A) SUMINISTRO E INSTALACIÓN</v>
          </cell>
          <cell r="H2171" t="str">
            <v>UN</v>
          </cell>
          <cell r="I2171">
            <v>395055</v>
          </cell>
        </row>
        <row r="2172">
          <cell r="F2172">
            <v>7358</v>
          </cell>
          <cell r="G2172" t="str">
            <v>NIPLE 4" ACERO CARBON BRIDA/EXTREMO LISO L= 200MM. (A) SUMINISTRO E INSTALACIÓN</v>
          </cell>
          <cell r="H2172" t="str">
            <v>UN</v>
          </cell>
          <cell r="I2172">
            <v>281480</v>
          </cell>
        </row>
        <row r="2173">
          <cell r="F2173">
            <v>7359</v>
          </cell>
          <cell r="G2173" t="str">
            <v>SEÑAL VERTICAL DE TRÁNSITO TIPO SP/SR CON LÁMINA RETRORREFLECTIVA PARA CICLORUTA DE 0.45 M X 0.45 M, INCLUYE POSTE. SUMINISTRO E INSTALACIÓN.</v>
          </cell>
          <cell r="H2173" t="str">
            <v>UN</v>
          </cell>
          <cell r="I2173">
            <v>349342</v>
          </cell>
        </row>
        <row r="2174">
          <cell r="F2174">
            <v>7362</v>
          </cell>
          <cell r="G2174" t="str">
            <v>GEOMALLA TENSAR BX 1100 PARA REFUERZO DE MATERIALES GRANULARES. (INCLUYE SUMINISTRO E INSTALACIÓN).</v>
          </cell>
          <cell r="H2174" t="str">
            <v>M2</v>
          </cell>
          <cell r="I2174">
            <v>11810</v>
          </cell>
        </row>
        <row r="2175">
          <cell r="F2175">
            <v>7364</v>
          </cell>
          <cell r="G2175" t="str">
            <v>RELLENO EN RECEBO COMUN (SUMINISTRO E INSTALACIÓN EXTENDIDO MECANICO, HUMEDECIMIENTO, COMPACTACIÓN Y TRANSPORTE A 28 KM).</v>
          </cell>
          <cell r="H2175" t="str">
            <v>M3</v>
          </cell>
          <cell r="I2175">
            <v>76983</v>
          </cell>
        </row>
        <row r="2176">
          <cell r="F2176">
            <v>7365</v>
          </cell>
          <cell r="G2176" t="str">
            <v>NEOPRENO REFORZADO 30CMX30CMX4" DOBLE REFUERZO DUREZA 60. SUMINISTRO E INSTALACIÓN. (INCLUYE LIMPIEZA DE LA SUPERFICIE CON CHORRO DE AIRE A PRESIÓN, HERRAMIENTA MENOR Y COMPRESOR).</v>
          </cell>
          <cell r="H2176" t="str">
            <v>UN</v>
          </cell>
          <cell r="I2176">
            <v>668221</v>
          </cell>
        </row>
        <row r="2177">
          <cell r="F2177">
            <v>7366</v>
          </cell>
          <cell r="G2177" t="str">
            <v>NEOPRENO REFORZADO 60CMX15CMX1" DOBLE REFUERZO DUREZA 60. SUMINISTRO E INSTALACIÓN. (INCLUYE LIMPIEZA DE LA SUPERFICIE CON CHORRO DE AIRE A PRESIÓN, HERRAMIENTA MENOR Y COMPRESOR).</v>
          </cell>
          <cell r="H2177" t="str">
            <v>UN</v>
          </cell>
          <cell r="I2177">
            <v>210243</v>
          </cell>
        </row>
        <row r="2178">
          <cell r="F2178">
            <v>7368</v>
          </cell>
          <cell r="G2178" t="str">
            <v>PIEDRA CASCAJO (RAJÓN) (INCLUYE SUMINISTRO E INSTALACIÓN)</v>
          </cell>
          <cell r="H2178" t="str">
            <v>M2</v>
          </cell>
          <cell r="I2178">
            <v>48447</v>
          </cell>
        </row>
        <row r="2179">
          <cell r="F2179">
            <v>7369</v>
          </cell>
          <cell r="G2179" t="str">
            <v>DEMOLICION DE CANALIZACION DE REDES DE COMUNICACIONES DUCTOS PVC-TDP (INCLUYE RETIRO Y DISPOSICION DE ESCOMBROS)</v>
          </cell>
          <cell r="H2179" t="str">
            <v>ML</v>
          </cell>
          <cell r="I2179">
            <v>9246</v>
          </cell>
        </row>
        <row r="2180">
          <cell r="F2180">
            <v>7370</v>
          </cell>
          <cell r="G2180" t="str">
            <v>CÁMARA DE CAIDA D=10" H=1.70M (INCLUYE SUMINISTRO E INSTALACIÓN)</v>
          </cell>
          <cell r="H2180" t="str">
            <v>UN</v>
          </cell>
          <cell r="I2180">
            <v>1333769</v>
          </cell>
        </row>
        <row r="2181">
          <cell r="F2181">
            <v>7371</v>
          </cell>
          <cell r="G2181" t="str">
            <v>CÁMARA DE CAIDA D=12" H=0.75M - 3.00M (INCLUYE SUMINISTRO E INSTALACIÓN)</v>
          </cell>
          <cell r="H2181" t="str">
            <v>UN</v>
          </cell>
          <cell r="I2181">
            <v>1649710</v>
          </cell>
        </row>
        <row r="2182">
          <cell r="F2182">
            <v>7372</v>
          </cell>
          <cell r="G2182" t="str">
            <v>CÁMARA DE CAIDA D=16" H=0.85M - 3.15M (INCLUYE SUMINISTRO E INSTALACIÓN)</v>
          </cell>
          <cell r="H2182" t="str">
            <v>UN</v>
          </cell>
          <cell r="I2182">
            <v>4571440</v>
          </cell>
        </row>
        <row r="2183">
          <cell r="F2183">
            <v>7374</v>
          </cell>
          <cell r="G2183" t="str">
            <v>SEÑALIZACIÓN CON COLOMBINA TUBULAR PLASTICA (INCLUYE SUMINISTRO E INSTALACIÓN)</v>
          </cell>
          <cell r="H2183" t="str">
            <v>UN</v>
          </cell>
          <cell r="I2183">
            <v>47845</v>
          </cell>
        </row>
        <row r="2184">
          <cell r="F2184">
            <v>7375</v>
          </cell>
          <cell r="G2184" t="str">
            <v>EMPATES DE TUBERÍA EN CCP A CCP 16" LINEAL (INCLUYE ACCESORIOS).SUMINISTRO E INSTALACIÓN</v>
          </cell>
          <cell r="H2184" t="str">
            <v>UN</v>
          </cell>
          <cell r="I2184">
            <v>1083479</v>
          </cell>
        </row>
        <row r="2185">
          <cell r="F2185">
            <v>7376</v>
          </cell>
          <cell r="G2185" t="str">
            <v>EMPATES DE TUBERÍA EN CCP A CCP 24" LINEAL (INCLUYE ACCESORIOS).SUMINISTRO E INSTALACIÓN</v>
          </cell>
          <cell r="H2185" t="str">
            <v>UN</v>
          </cell>
          <cell r="I2185">
            <v>1627646</v>
          </cell>
        </row>
        <row r="2186">
          <cell r="F2186">
            <v>7377</v>
          </cell>
          <cell r="G2186" t="str">
            <v>FLECHA LUMINOSA INTERMITENTE DE 1.10 MTS DE LONGITUD Y 40 CMS DE ANCHO CON ESTRUCTURA EN TUBO CUADRADO DE 1" DE 1.60 CMS DE ALTO. (SUMINISTRO E INSTALACIÓN)</v>
          </cell>
          <cell r="H2186" t="str">
            <v>UN</v>
          </cell>
          <cell r="I2186">
            <v>868482</v>
          </cell>
        </row>
        <row r="2187">
          <cell r="F2187">
            <v>7378</v>
          </cell>
          <cell r="G2187" t="str">
            <v>GEOMALLA UNIAXIAL RESISTENCIA ÚLTIMA 60KN/MK PARA REFUERZO DE MATERIALES GRANULARES. (INCLUYE SUMINISTRO E INSTALACIÓN)</v>
          </cell>
          <cell r="H2187" t="str">
            <v>M2</v>
          </cell>
          <cell r="I2187">
            <v>17175</v>
          </cell>
        </row>
        <row r="2188">
          <cell r="F2188">
            <v>7379</v>
          </cell>
          <cell r="G2188" t="str">
            <v>PALMA DE CERA (INCLUYE SIEMBRA Y TIERRA NEGRA, TRANSPORTE Y DISPOSICIÓN FINAL DE ESCOMBROS EN SITIO AUTORIZADO). DISTANCIA DE TRANSPORTE 28 KM. SUMINISTRO Y PLANTACIÓN</v>
          </cell>
          <cell r="H2188" t="str">
            <v>UN</v>
          </cell>
          <cell r="I2188">
            <v>362146</v>
          </cell>
        </row>
        <row r="2189">
          <cell r="F2189">
            <v>7380</v>
          </cell>
          <cell r="G2189" t="str">
            <v>TOMA DE INFORMACION DE TRANSITO DURANTE LA OBRA (INCLUYE PROCESAMIENTO Y LOGISTICA)</v>
          </cell>
          <cell r="H2189" t="str">
            <v>HR</v>
          </cell>
          <cell r="I2189">
            <v>14963</v>
          </cell>
        </row>
        <row r="2190">
          <cell r="F2190">
            <v>7381</v>
          </cell>
          <cell r="G2190" t="str">
            <v>JUEGO INFANTIL TIPO M-5A DE TRES PUESTOS, ACABADO SUPERFICIAL EN PINTURA EN POLVO SECO TGIC RESISTENTE A LA INTERPERIE. (INCLUYE SUMINISTRO E INSTALACIÓN)</v>
          </cell>
          <cell r="H2190" t="str">
            <v>UN</v>
          </cell>
          <cell r="I2190">
            <v>2142000</v>
          </cell>
        </row>
        <row r="2191">
          <cell r="F2191">
            <v>7382</v>
          </cell>
          <cell r="G2191" t="str">
            <v>JUEGO INFANTIL TIPO M-3 METÁLICO. INCLUYE RODADERO, BARRAS DE FLEXIÓN, ESCALADOR ÁRBOL Y ARCO, PASAMANOS Y ANGULATADO, PLATAFORMAS CUBIERTAS, ACABDO SUPERFICIAL EN PINTURA EN POLVO EN SECO TGIC</v>
          </cell>
          <cell r="H2191" t="str">
            <v>UN</v>
          </cell>
          <cell r="I2191">
            <v>6247500</v>
          </cell>
        </row>
        <row r="2192">
          <cell r="F2192">
            <v>7384</v>
          </cell>
          <cell r="G2192" t="str">
            <v>VÁLVULA TIPO MARIPOSA DE Ø 12" CON EXTREMOS LISOS TUBERIA EN PVC, INCLUYE UNIONES (INCLUYE SUMINISTRO E INSTALACIÓN).</v>
          </cell>
          <cell r="H2192" t="str">
            <v>UN</v>
          </cell>
          <cell r="I2192">
            <v>6697136</v>
          </cell>
        </row>
        <row r="2193">
          <cell r="F2193">
            <v>7387</v>
          </cell>
          <cell r="G2193" t="str">
            <v>BARRA DE ACERO GRADO 50 F 2-1/2" (SUMINISTRO E INSTALACIÓN).</v>
          </cell>
          <cell r="H2193" t="str">
            <v>KG</v>
          </cell>
          <cell r="I2193">
            <v>7247</v>
          </cell>
        </row>
        <row r="2194">
          <cell r="F2194">
            <v>7388</v>
          </cell>
          <cell r="G2194" t="str">
            <v>PERFORACIÓN HORIZONTAL DIRIGIDA PARA DUCTO CCP D=16" (INCLUYE TUBERÍA).SUMINISTRO E INSTALACIÓN</v>
          </cell>
          <cell r="H2194" t="str">
            <v>ML</v>
          </cell>
          <cell r="I2194">
            <v>3383638</v>
          </cell>
        </row>
        <row r="2195">
          <cell r="F2195">
            <v>7389</v>
          </cell>
          <cell r="G2195" t="str">
            <v>PERFORACIÓN HORIZONTAL DIRIGIDA PARA DUCTO CCP D=24" (INCLUYE TUBERÍA).SUMINISTRO E INSTALACIÓN</v>
          </cell>
          <cell r="H2195" t="str">
            <v>ML/DIAMETRO</v>
          </cell>
          <cell r="I2195">
            <v>4892552</v>
          </cell>
        </row>
        <row r="2196">
          <cell r="F2196">
            <v>7390</v>
          </cell>
          <cell r="G2196" t="str">
            <v>BORDE CONTENEDOR DE RAICES (2000X120X135) (INCLUYE SUMINISTRO E INSTALACIÓN, INCLUYE BASE DE 3CM EN MORTERO 1:3 HECHO EN OBRA)</v>
          </cell>
          <cell r="H2196" t="str">
            <v>ML</v>
          </cell>
          <cell r="I2196">
            <v>53332</v>
          </cell>
        </row>
        <row r="2197">
          <cell r="F2197">
            <v>7391</v>
          </cell>
          <cell r="G2197" t="str">
            <v>REDUCCION HD 24" X 16" (SUMINISTRO E INSTALACIÓN)</v>
          </cell>
          <cell r="H2197" t="str">
            <v>UN</v>
          </cell>
          <cell r="I2197">
            <v>5903841</v>
          </cell>
        </row>
        <row r="2198">
          <cell r="F2198">
            <v>7392</v>
          </cell>
          <cell r="G2198" t="str">
            <v>REDUCCION HD 12" X 6" (SUMINISTRO E INSTALACIÓN)</v>
          </cell>
          <cell r="H2198" t="str">
            <v>UN</v>
          </cell>
          <cell r="I2198">
            <v>1778150</v>
          </cell>
        </row>
        <row r="2199">
          <cell r="F2199">
            <v>7393</v>
          </cell>
          <cell r="G2199" t="str">
            <v>VÁLVULA TIPO MARIPOSA DE Ø 12" CON EXTREMOS LISOS TUBERIA EN PVC INCLUYE UNIONES Y TAPA DE SEGURIDAD CIERRE PERMANENTE (INCLUYE SUMINISTRO E INSTALACIÓN).</v>
          </cell>
          <cell r="H2199" t="str">
            <v>UN</v>
          </cell>
          <cell r="I2199">
            <v>6931022</v>
          </cell>
        </row>
        <row r="2200">
          <cell r="F2200">
            <v>7395</v>
          </cell>
          <cell r="G2200" t="str">
            <v>REDUCCION PVC TIPO U.M. 12" X 8" (SUMINISTRO E INSTALACIÓN)</v>
          </cell>
          <cell r="H2200" t="str">
            <v>UN</v>
          </cell>
          <cell r="I2200">
            <v>1955460</v>
          </cell>
        </row>
        <row r="2201">
          <cell r="F2201">
            <v>7396</v>
          </cell>
          <cell r="G2201" t="str">
            <v>REDUCCION PVC TIPO U.M. 6" X 3" (SUMINISTRO E INSTALACIÓN)</v>
          </cell>
          <cell r="H2201" t="str">
            <v>UN</v>
          </cell>
          <cell r="I2201">
            <v>322780</v>
          </cell>
        </row>
        <row r="2202">
          <cell r="F2202">
            <v>7397</v>
          </cell>
          <cell r="G2202" t="str">
            <v>SEÑAL CICLORUTA SIC-02, TABLERO 0.70M X 0.18M. INCLUYE POSTE. SUMINISTRO E INSTALACIÓN</v>
          </cell>
          <cell r="H2202" t="str">
            <v>UN</v>
          </cell>
          <cell r="I2202">
            <v>391213</v>
          </cell>
        </row>
        <row r="2203">
          <cell r="F2203">
            <v>7398</v>
          </cell>
          <cell r="G2203" t="str">
            <v>SEÑAL CICLORUTA SIC-02, TABLERO 0.70M X 0.30M. INCLUYE POSTE. SUMINISTRO E INSTALACIÓN</v>
          </cell>
          <cell r="H2203" t="str">
            <v>UN</v>
          </cell>
          <cell r="I2203">
            <v>426095</v>
          </cell>
        </row>
        <row r="2204">
          <cell r="F2204">
            <v>7399</v>
          </cell>
          <cell r="G2204" t="str">
            <v>SEÑAL CICLORUTA SIC-02, TABLERO 0.70M X 0.40M. EN LÁMINA GALVANIZADA CAL-16. INCLUYE SOPORTE EN TUBO REDONDO 2" EN REFLECTIVO CON PINTURA ELECTROSTÁTICA. SUMINISTRO E INSTALACIÓN</v>
          </cell>
          <cell r="H2204" t="str">
            <v>UN</v>
          </cell>
          <cell r="I2204">
            <v>692296</v>
          </cell>
        </row>
        <row r="2205">
          <cell r="F2205">
            <v>7400</v>
          </cell>
          <cell r="G2205" t="str">
            <v>SEÑAL CICLORUTA SIC-02, TABLERO 0.80M X 0.18M. INCLUYE POSTE. SUMINISTRO E INSTALACIÓN</v>
          </cell>
          <cell r="H2205" t="str">
            <v>UN</v>
          </cell>
          <cell r="I2205">
            <v>426095</v>
          </cell>
        </row>
        <row r="2206">
          <cell r="F2206">
            <v>7401</v>
          </cell>
          <cell r="G2206" t="str">
            <v>SEÑAL CICLORUTA SIC-02, TABLERO 0.80M X 0.80M. EN LÁMINA GALVANIZADA C-16. INCLUYE SOPORTE EN TUBO REDONDO 2" EN REFLECTIVO CON PINTURA ELECTROSTÁTICA. SUMINISTRO E INSTALACIÓN</v>
          </cell>
          <cell r="H2206" t="str">
            <v>UN</v>
          </cell>
          <cell r="I2206">
            <v>692296</v>
          </cell>
        </row>
        <row r="2207">
          <cell r="F2207">
            <v>7406</v>
          </cell>
          <cell r="G2207" t="str">
            <v>SEÑAL VERTICAL SR 90X30 , INCLUYE POSTE. SUMINISTRO E INSTALACIÓN</v>
          </cell>
          <cell r="H2207" t="str">
            <v>UN</v>
          </cell>
          <cell r="I2207">
            <v>428400</v>
          </cell>
        </row>
        <row r="2208">
          <cell r="F2208">
            <v>7407</v>
          </cell>
          <cell r="G2208" t="str">
            <v>SEÑAL VERTICAL DE TRÁNSITO TIPO SR CON LÁMINA REFLECTIVA PARA CICLORUTA D=0.45M. INCLUYE POSTE. SUMINISTRO E INSTALACIÓN</v>
          </cell>
          <cell r="H2208" t="str">
            <v>UN</v>
          </cell>
          <cell r="I2208">
            <v>692296</v>
          </cell>
        </row>
        <row r="2209">
          <cell r="F2209">
            <v>7408</v>
          </cell>
          <cell r="G2209" t="str">
            <v>ACOMETIDA SUBTERRÁNEA DE BAJA TENSIÓN (2 TUBOS DE 2" PVC) INCLUYE SUMINISTRO E INSTALACIÓN.</v>
          </cell>
          <cell r="H2209" t="str">
            <v>UN</v>
          </cell>
          <cell r="I2209">
            <v>747093</v>
          </cell>
        </row>
        <row r="2210">
          <cell r="F2210">
            <v>7409</v>
          </cell>
          <cell r="G2210" t="str">
            <v>RECONSTRUCCIÓN CAJA DE INSPECCIÓN TRIPLE PARA CANALIZACIÓN NORMA CODENSA CS 277 (INCLUYE MUROS , PAÑETE, MARCO Y TAPAS) MEDIDAS EXTERNAS: 2.79M X 1.69M. MEDIDAS INTERNAS: 2.29M X 1.19M. ALTURA 1.85M</v>
          </cell>
          <cell r="H2210" t="str">
            <v>UN</v>
          </cell>
          <cell r="I2210">
            <v>3150262</v>
          </cell>
        </row>
        <row r="2211">
          <cell r="F2211">
            <v>7410</v>
          </cell>
          <cell r="G2211" t="str">
            <v>RECONSTRUCCIÓN CAJA DE INSPECCIÓN DOBLE PARA CANALIZACIÓN NORMA CODENSA CS 276 (INCLUYE MUROS , PAÑETE, MARCO Y TAPAS) MEDIDAS EXTERNAS: 1.79M X 1.49M. MEDIDAS INTERNAS: 1.49M X 1.19M. ALTURA 1.22M</v>
          </cell>
          <cell r="H2211" t="str">
            <v>UN</v>
          </cell>
          <cell r="I2211">
            <v>1777570</v>
          </cell>
        </row>
        <row r="2212">
          <cell r="F2212">
            <v>7411</v>
          </cell>
          <cell r="G2212" t="str">
            <v>RECONSTRUCCIÓN CAJA DE INSPECCIÓN SENCILLA PARA CANALIZACIÓN NORMA CODENSA CS 275 (INCLUYE MUROS , PAÑETE, MARCO Y TAPAS) MEDIDAS EXTERNAS: 1.69M X 1.19M. MEDIDAS INTERNAS: 0.69M X 1.19M. ALTURA 1.22M.</v>
          </cell>
          <cell r="H2212" t="str">
            <v>UN</v>
          </cell>
          <cell r="I2212">
            <v>1197908</v>
          </cell>
        </row>
        <row r="2213">
          <cell r="F2213">
            <v>7412</v>
          </cell>
          <cell r="G2213" t="str">
            <v>VÁLVULA TIPO MARIPOSA DE Ø 4" CON EXTREMOS LISOS TUBERIA EN PVC INCLUYE UNIONES (INCLUYE SUMINISTRO E INSTALACIÓN).</v>
          </cell>
          <cell r="H2213" t="str">
            <v>UN</v>
          </cell>
          <cell r="I2213">
            <v>1129012</v>
          </cell>
        </row>
        <row r="2214">
          <cell r="F2214">
            <v>7413</v>
          </cell>
          <cell r="G2214" t="str">
            <v>RECONSTRUCCIÓN CAJA DE INSPECCIÓN TIPO VEHICULAR (INCLUYE MUROS , PAÑETE, MARCO Y TAPAS) MEDIDAS EXTERNAS: 2.00M X 2.00M. MEDIDAS INTERNAS: 1.50M X 1.50M. ALTURA 1.80M.</v>
          </cell>
          <cell r="H2214" t="str">
            <v>UN</v>
          </cell>
          <cell r="I2214">
            <v>1908187</v>
          </cell>
        </row>
        <row r="2215">
          <cell r="F2215">
            <v>7414</v>
          </cell>
          <cell r="G2215" t="str">
            <v>VÁLVULA TIPO MARIPOSA DE Ø 6" CON EXTREMOS LISOS TUBERIA EN PVC INCLUYE UNIONES (INCLUYE SUMINISTRO E INSTALACIÓN).</v>
          </cell>
          <cell r="H2215" t="str">
            <v>UN</v>
          </cell>
          <cell r="I2215">
            <v>2235745</v>
          </cell>
        </row>
        <row r="2216">
          <cell r="F2216">
            <v>7415</v>
          </cell>
          <cell r="G2216" t="str">
            <v>REDUCCION PVC TIPO U.M. 8"X6". (SUMINISTRO E INSTALACIÓN)</v>
          </cell>
          <cell r="H2216" t="str">
            <v>UN</v>
          </cell>
          <cell r="I2216">
            <v>987546</v>
          </cell>
        </row>
        <row r="2217">
          <cell r="F2217">
            <v>7417</v>
          </cell>
          <cell r="G2217" t="str">
            <v>ANCLAJE PARA TUBERIA EN CONCRETO PREMEZCLADO DE 4000 PSI GRAVA COMUN (Incluye suministro, formaleteo, colocacion y curado. No incluye refuerzo)</v>
          </cell>
          <cell r="H2217" t="str">
            <v>M3</v>
          </cell>
          <cell r="I2217">
            <v>745279</v>
          </cell>
        </row>
        <row r="2218">
          <cell r="F2218">
            <v>7419</v>
          </cell>
          <cell r="G2218" t="str">
            <v>TEE PVC U.M. 4" X 4" (SUMINISTRO E INSTALACIÓN)</v>
          </cell>
          <cell r="H2218" t="str">
            <v>UN</v>
          </cell>
          <cell r="I2218">
            <v>233639</v>
          </cell>
        </row>
        <row r="2219">
          <cell r="F2219">
            <v>7420</v>
          </cell>
          <cell r="G2219" t="str">
            <v>TEE PVC U.M. 6" X 3" (SUMINISTRO E INSTALACIÓN)</v>
          </cell>
          <cell r="H2219" t="str">
            <v>UN</v>
          </cell>
          <cell r="I2219">
            <v>1395209</v>
          </cell>
        </row>
        <row r="2220">
          <cell r="F2220">
            <v>7421</v>
          </cell>
          <cell r="G2220" t="str">
            <v>TEE PVC U.M. 6" X 4" (SUMINISTRO E INSTALACIÓN)</v>
          </cell>
          <cell r="H2220" t="str">
            <v>UN</v>
          </cell>
          <cell r="I2220">
            <v>1263942</v>
          </cell>
        </row>
        <row r="2221">
          <cell r="F2221">
            <v>7422</v>
          </cell>
          <cell r="G2221" t="str">
            <v>VÁLVULA TIPO MARIPOSA DE Ø 6" CON EXTREMOS LISOS TUBERIA EN PVC INCLUYE UNIONES Y TAPA DE SEGURIDAD CIERRE PERMANENTE (INCLUYE SUMINISTRO E INSTALACIÓN).</v>
          </cell>
          <cell r="H2221" t="str">
            <v>UN</v>
          </cell>
          <cell r="I2221">
            <v>2469631</v>
          </cell>
        </row>
        <row r="2222">
          <cell r="F2222">
            <v>7423</v>
          </cell>
          <cell r="G2222" t="str">
            <v>TEE PVC U.M. 6" X 6" (SUMINISTRO E INSTALACIÓN)</v>
          </cell>
          <cell r="H2222" t="str">
            <v>UN</v>
          </cell>
          <cell r="I2222">
            <v>617063</v>
          </cell>
        </row>
        <row r="2223">
          <cell r="F2223">
            <v>7424</v>
          </cell>
          <cell r="G2223" t="str">
            <v>VÁLVULA TIPO MARIPOSA DE Ø 8" CON EXTREMOS LISOS TUBERIA EN PVC INCLUYE UNIONES (INCLUYE SUMINISTRO E INSTALACIÓN).</v>
          </cell>
          <cell r="H2223" t="str">
            <v>UN</v>
          </cell>
          <cell r="I2223">
            <v>3419914</v>
          </cell>
        </row>
        <row r="2224">
          <cell r="F2224">
            <v>7425</v>
          </cell>
          <cell r="G2224" t="str">
            <v>VÁLVULA TIPO MARIPOSA DE Ø 8" CON EXTREMOS LISOS TUBERIA EN PVC INCLUYE UNIONES Y TAPA DE SEGURIDAD CIERRE PERMANENTE (INCLUYE SUMINISTRO E INSTALACIÓN).</v>
          </cell>
          <cell r="H2224" t="str">
            <v>UN</v>
          </cell>
          <cell r="I2224">
            <v>3653797</v>
          </cell>
        </row>
        <row r="2225">
          <cell r="F2225">
            <v>7426</v>
          </cell>
          <cell r="G2225" t="str">
            <v>CABEZAL EN CONCRETO PREMEZCLADO DE 4000 PSI (28Mpa) GRAVA COMUN (Incluye suministro, formaleteo metalico, colocacion y curado. No incluye refuerzo)</v>
          </cell>
          <cell r="H2225" t="str">
            <v>M3</v>
          </cell>
          <cell r="I2225">
            <v>693625</v>
          </cell>
        </row>
        <row r="2226">
          <cell r="F2226">
            <v>7427</v>
          </cell>
          <cell r="G2226" t="str">
            <v>TEE PVC U.M. 8" X 6" (SUMINISTRO E INSTALACIÓN)</v>
          </cell>
          <cell r="H2226" t="str">
            <v>UN</v>
          </cell>
          <cell r="I2226">
            <v>2171563</v>
          </cell>
        </row>
        <row r="2227">
          <cell r="F2227">
            <v>7428</v>
          </cell>
          <cell r="G2227" t="str">
            <v>TEE PVC U.M. 8" X 8" (SUMINISTRO E INSTALACIÓN)</v>
          </cell>
          <cell r="H2227" t="str">
            <v>UN</v>
          </cell>
          <cell r="I2227">
            <v>1920064</v>
          </cell>
        </row>
        <row r="2228">
          <cell r="F2228">
            <v>7429</v>
          </cell>
          <cell r="G2228" t="str">
            <v>NIPLE 24" ACERO CARBON EXTREMOS ESPIGO/CAMPANA L= 3000MM CON SALIDA PARA BOCA DE ACCESO 24" (ACERO). SUMINISTRO E INSTALACIÓN.</v>
          </cell>
          <cell r="H2228" t="str">
            <v>UN</v>
          </cell>
          <cell r="I2228">
            <v>2714297</v>
          </cell>
        </row>
        <row r="2229">
          <cell r="F2229">
            <v>7430</v>
          </cell>
          <cell r="G2229" t="str">
            <v>BAJANTE DE ALIMENTACION DE LONGITUD=6M, D=2", GALVANIZADA (INCLUYE CODO DE ACOMETIDA). (INCLUYE SUMINISTRO E INSTALACIÓN)</v>
          </cell>
          <cell r="H2229" t="str">
            <v>UN</v>
          </cell>
          <cell r="I2229">
            <v>382188</v>
          </cell>
        </row>
        <row r="2230">
          <cell r="F2230">
            <v>7431</v>
          </cell>
          <cell r="G2230" t="str">
            <v>TUBERÍA EN ACERO Ø24" CON UNIONES ESPIGO/CAMPANA CON EMPAQUE DE CAUCHO. REVEST.INTERIOR Y RECUBR EXT. EN MORTERO CEMENTO. L= 6.00M PRESIÓN TRABAJO 150 PSI. SUMINISTRO E INSTALACIÓN</v>
          </cell>
          <cell r="H2230" t="str">
            <v>ML</v>
          </cell>
          <cell r="I2230">
            <v>1393200</v>
          </cell>
        </row>
        <row r="2231">
          <cell r="F2231">
            <v>7432</v>
          </cell>
          <cell r="G2231" t="str">
            <v>TUBERIA PVC U.M. EXT CORRUGADO/INT LISO U.M. NORMA NTC 3722-1 D=24" (INCLUYE SUMINISTRO E INSTALACIÓN)</v>
          </cell>
          <cell r="H2231" t="str">
            <v>ML</v>
          </cell>
          <cell r="I2231">
            <v>606694</v>
          </cell>
        </row>
        <row r="2232">
          <cell r="F2232">
            <v>7433</v>
          </cell>
          <cell r="G2232" t="str">
            <v>TUBERIA PVC U.M. EXT CORRUGADO/INT LISO U.M. NORMA NTC 3722-1 D=27" (INCLUYE SUMINISTRO E INSTALACIÓN)</v>
          </cell>
          <cell r="H2232" t="str">
            <v>ML</v>
          </cell>
          <cell r="I2232">
            <v>713695</v>
          </cell>
        </row>
        <row r="2233">
          <cell r="F2233">
            <v>7434</v>
          </cell>
          <cell r="G2233" t="str">
            <v>TUBERIA PVC U.M. EXT CORRUGADO/INT LISO U.M. NORMA NTC 3722-1 D=30" (INCLUYE SUMINISTRO E INSTALACIÓN)</v>
          </cell>
          <cell r="H2233" t="str">
            <v>ML</v>
          </cell>
          <cell r="I2233">
            <v>876880</v>
          </cell>
        </row>
        <row r="2234">
          <cell r="F2234">
            <v>7435</v>
          </cell>
          <cell r="G2234" t="str">
            <v>TUBERIA PVC U.M. EXT CORRUGADO/INT LISO U.M. NORMA NTC 3722-1 D=36" (INCLUYE SUMINISTRO E INSTALACIÓN)</v>
          </cell>
          <cell r="H2234" t="str">
            <v>ML</v>
          </cell>
          <cell r="I2234">
            <v>1577498</v>
          </cell>
        </row>
        <row r="2235">
          <cell r="F2235">
            <v>7436</v>
          </cell>
          <cell r="G2235" t="str">
            <v>SEÑAL VERTICAL DE PEDESTAL SITP 1-2 RUTAS H=3.75. (INCLUYE CENEFA, FABRICACIÓN, SUMINISTRO E INSTALACIÓN).</v>
          </cell>
          <cell r="H2235" t="str">
            <v>UN</v>
          </cell>
          <cell r="I2235">
            <v>1106589</v>
          </cell>
        </row>
        <row r="2236">
          <cell r="F2236">
            <v>7437</v>
          </cell>
          <cell r="G2236" t="str">
            <v>CONCRETO 6000 PSI GRAVA COMÚN PARA TAPAS CÁMARA (PREMEZCLADO. INCLUYE SUMINISTRO, FORMALETEO Y COLOCACIÓN. NO INCLUYE REFUERZO).</v>
          </cell>
          <cell r="H2236" t="str">
            <v>M3</v>
          </cell>
          <cell r="I2236">
            <v>821778</v>
          </cell>
        </row>
        <row r="2237">
          <cell r="F2237">
            <v>7438</v>
          </cell>
          <cell r="G2237" t="str">
            <v>NIPLE 16" ACERO CARBON EXTREMOS BRIDA/CAMPANA L= 2000MM CON SALIDA PARA VENTOSA 2" Y BY-PASS Ø=2". (SUMINISTRO E INSTALACIÓN).</v>
          </cell>
          <cell r="H2237" t="str">
            <v>UN</v>
          </cell>
          <cell r="I2237">
            <v>2527879</v>
          </cell>
        </row>
        <row r="2238">
          <cell r="F2238">
            <v>7439</v>
          </cell>
          <cell r="G2238" t="str">
            <v>TAPA CIRCULAR DE SEGURIDAD PARA TRÁFICO PESADO D= 0.60M. SUMINISTRO E INSTALACIÓN</v>
          </cell>
          <cell r="H2238" t="str">
            <v>UN</v>
          </cell>
          <cell r="I2238">
            <v>409950</v>
          </cell>
        </row>
        <row r="2239">
          <cell r="F2239">
            <v>7440</v>
          </cell>
          <cell r="G2239" t="str">
            <v>NIPLE 16" ACERO CARBON EXTREMOS BRIDA/CAMPANA L= 2000MM CON SALIDA PARA VENTOSA 2"(ACERO). (SUMINISTRO E INSTALACIÓN).</v>
          </cell>
          <cell r="H2239" t="str">
            <v>UN</v>
          </cell>
          <cell r="I2239">
            <v>2517671</v>
          </cell>
        </row>
        <row r="2240">
          <cell r="F2240">
            <v>7441</v>
          </cell>
          <cell r="G2240" t="str">
            <v>NIPLE 16" ACERO CARBON EXTREMOS ESPIGO/BRIDA L= 2000MM CON SALIDA PARA VENTOSA 2"(ACERO). (SUMINISTRO E INSTALACIÓN).</v>
          </cell>
          <cell r="H2240" t="str">
            <v>UN</v>
          </cell>
          <cell r="I2240">
            <v>2517671</v>
          </cell>
        </row>
        <row r="2241">
          <cell r="F2241">
            <v>7442</v>
          </cell>
          <cell r="G2241" t="str">
            <v>NIPLE 16" ACERO CARBON EXTREMOS ESPIGO/BRIDA L= 2000MM CON SALIDA PARA VENTOSA 2" Y BY-PASS Ø=2". (SUMINISTRO E INSTALACIÓN).</v>
          </cell>
          <cell r="H2241" t="str">
            <v>UN</v>
          </cell>
          <cell r="I2241">
            <v>2527879</v>
          </cell>
        </row>
        <row r="2242">
          <cell r="F2242">
            <v>7443</v>
          </cell>
          <cell r="G2242" t="str">
            <v>CAÑUELA TIPO CU 004 (SUMINISTRO E INSTALACIÓN. INCLUYE 3CM MORTERO 1:5)</v>
          </cell>
          <cell r="H2242" t="str">
            <v>ML</v>
          </cell>
          <cell r="I2242">
            <v>47892</v>
          </cell>
        </row>
        <row r="2243">
          <cell r="F2243">
            <v>7445</v>
          </cell>
          <cell r="G2243" t="str">
            <v>CERRAMIENTO EN MALLA ELECTROSOLDADA H= 1.50M CALIBRE 10.5 HUECO DE 2". SUMINISTRO E INSTALACIÓN.</v>
          </cell>
          <cell r="H2243" t="str">
            <v>M2</v>
          </cell>
          <cell r="I2243">
            <v>317991</v>
          </cell>
        </row>
        <row r="2244">
          <cell r="F2244">
            <v>7447</v>
          </cell>
          <cell r="G2244" t="str">
            <v>TUBERIA PVC U.M. EXT CORRUGADO/INT LISO U.M. NORMA NTC 3722-1 D=48" (INCLUYE SUMINISTRO E INSTALACIÓN)</v>
          </cell>
          <cell r="H2244" t="str">
            <v>ML</v>
          </cell>
          <cell r="I2244">
            <v>3184137</v>
          </cell>
        </row>
        <row r="2245">
          <cell r="F2245">
            <v>7448</v>
          </cell>
          <cell r="G2245" t="str">
            <v>VÁLVULA 1 1/2" PARA EXPULSIÓN DE AIRE (SUMINISTRO E INSTALACIÓN)</v>
          </cell>
          <cell r="H2245" t="str">
            <v>UN</v>
          </cell>
          <cell r="I2245">
            <v>340009</v>
          </cell>
        </row>
        <row r="2246">
          <cell r="F2246">
            <v>7451</v>
          </cell>
          <cell r="G2246" t="str">
            <v>VÁLVULA COMPUERTA D=2" EXTREMOS BRIDADOS (A) (150 PSI). SUMINISTRO E INSTALACIÓN</v>
          </cell>
          <cell r="H2246" t="str">
            <v>UN</v>
          </cell>
          <cell r="I2246">
            <v>426883</v>
          </cell>
        </row>
        <row r="2247">
          <cell r="F2247">
            <v>7452</v>
          </cell>
          <cell r="G2247"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H2247" t="str">
            <v>UN</v>
          </cell>
          <cell r="I2247">
            <v>1935458</v>
          </cell>
        </row>
        <row r="2248">
          <cell r="F2248">
            <v>7453</v>
          </cell>
          <cell r="G2248" t="str">
            <v>VÁLVULA COMPUERTA D=4" EXTREMOS BRIDADOS (A) (150 PSI). SUMINISTRO E INSTALACIÓN</v>
          </cell>
          <cell r="H2248" t="str">
            <v>UN</v>
          </cell>
          <cell r="I2248">
            <v>1217551</v>
          </cell>
        </row>
        <row r="2249">
          <cell r="F2249">
            <v>7454</v>
          </cell>
          <cell r="G2249" t="str">
            <v>VÁLVULA DE GLOBO DE 4" (A). SUMINISTRO E INSTALACIÓN</v>
          </cell>
          <cell r="H2249" t="str">
            <v>UN</v>
          </cell>
          <cell r="I2249">
            <v>2020751</v>
          </cell>
        </row>
        <row r="2250">
          <cell r="F2250">
            <v>7455</v>
          </cell>
          <cell r="G2250" t="str">
            <v>VÁLVULA DE MARIPOSA Ø 12"A BRIDA - BRIDA (A) (150 PSI). SUMINISTRO E INSTALACIÓN</v>
          </cell>
          <cell r="H2250" t="str">
            <v>UN</v>
          </cell>
          <cell r="I2250">
            <v>10600273</v>
          </cell>
        </row>
        <row r="2251">
          <cell r="F2251">
            <v>7458</v>
          </cell>
          <cell r="G2251"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H2251" t="str">
            <v>UN</v>
          </cell>
          <cell r="I2251">
            <v>6288563</v>
          </cell>
        </row>
        <row r="2252">
          <cell r="F2252">
            <v>7459</v>
          </cell>
          <cell r="G2252" t="str">
            <v>NIPLE 16" ACERO CARBON EXTREMOS ESPIGO/CAMPANA L= 3000MM CON SALIDA BRIDADA PARA BOCA DE ACCESO 16" Y SALIDA PARA VENTOSA 2"(ACERO). (SUMINISTRO E INSTALACIÓN)</v>
          </cell>
          <cell r="H2252" t="str">
            <v>UN</v>
          </cell>
          <cell r="I2252">
            <v>3187194</v>
          </cell>
        </row>
        <row r="2253">
          <cell r="F2253">
            <v>7460</v>
          </cell>
          <cell r="G2253"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H2253" t="str">
            <v>UN</v>
          </cell>
          <cell r="I2253">
            <v>2496596</v>
          </cell>
        </row>
        <row r="2254">
          <cell r="F2254">
            <v>7462</v>
          </cell>
          <cell r="G2254" t="str">
            <v>NIPLE 16" ACERO CARBON EXTREMOS ESPIGO/CAMPANA L= 3000MM CON SALIDA PARA BOCA DE ACCESO 16" (ACERO). (SUMINISTRO E INSTALACIÓN)</v>
          </cell>
          <cell r="H2254" t="str">
            <v>UN</v>
          </cell>
          <cell r="I2254">
            <v>2188244</v>
          </cell>
        </row>
        <row r="2255">
          <cell r="F2255">
            <v>7464</v>
          </cell>
          <cell r="G2255"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H2255" t="str">
            <v>UN</v>
          </cell>
          <cell r="I2255">
            <v>2650035</v>
          </cell>
        </row>
        <row r="2256">
          <cell r="F2256">
            <v>7465</v>
          </cell>
          <cell r="G2256" t="str">
            <v>NIPLE 4" DE ACERO SCH-40 S/C EXTREMOS LISO, L=360MM. (SUMINISTRO E INSTALACIÓN)</v>
          </cell>
          <cell r="H2256" t="str">
            <v>UN</v>
          </cell>
          <cell r="I2256">
            <v>114634</v>
          </cell>
        </row>
        <row r="2257">
          <cell r="F2257">
            <v>7468</v>
          </cell>
          <cell r="G2257" t="str">
            <v>NIPLE 24" ACERO CARBON EXTREMOS LISOS CON SALIDA PARA PITÓMETRO 1" Y DOS SALIDAS 1 1/2". L= 2000 MM. SUMINISTRO E INSTALACIÓN</v>
          </cell>
          <cell r="H2257" t="str">
            <v>UN</v>
          </cell>
          <cell r="I2257">
            <v>1858423</v>
          </cell>
        </row>
        <row r="2258">
          <cell r="F2258">
            <v>7469</v>
          </cell>
          <cell r="G2258" t="str">
            <v>DELINEADOR DE OBSTÁCULO PARA EL TRÁSITO POR UN LADO DEL OBTÁCULO DE 90CM X 20CM, REFLECTIVO PRISMÁTICO TIPO VII O SUPERIOR, AMARILLO LIMÓN FLUORESCENTE EN LÁMINA GALVANIZADA, PEDESTAL EN ÁNGULO. SUMINISTRO E INSTALACIÓN.</v>
          </cell>
          <cell r="H2258" t="str">
            <v>UN</v>
          </cell>
          <cell r="I2258">
            <v>329040</v>
          </cell>
        </row>
        <row r="2259">
          <cell r="F2259">
            <v>7470</v>
          </cell>
          <cell r="G2259" t="str">
            <v>DELINEADOR DE CURVA HORIZONTAL DE 40CM X 50CM. REFLECTIVO PRISMÁTICO TIPO VII O SUPERIOR, AMARILLO LIMÓN FLUORESCENTE EN LÁMINA GALVANIZADA, PEDESTAL EN ÁNGULO. SUMINISTRO E INSTALACIÓN</v>
          </cell>
          <cell r="H2259" t="str">
            <v>UN</v>
          </cell>
          <cell r="I2259">
            <v>299839</v>
          </cell>
        </row>
        <row r="2260">
          <cell r="F2260">
            <v>7471</v>
          </cell>
          <cell r="G2260" t="str">
            <v>TEE PVC U.M. 12" X 6" (SUMINISTRO E INSTALACIÓN)</v>
          </cell>
          <cell r="H2260" t="str">
            <v>UN</v>
          </cell>
          <cell r="I2260">
            <v>2066720</v>
          </cell>
        </row>
        <row r="2261">
          <cell r="F2261">
            <v>7472</v>
          </cell>
          <cell r="G2261" t="str">
            <v>TUBERIA PVC U.M. EXT CORRUGADO/INT LISO U.M. NORMA NTC 3722-1 D=33". (INCLUYE SUMINISTRO E INSTALACIÓN)</v>
          </cell>
          <cell r="H2261" t="str">
            <v>ML</v>
          </cell>
          <cell r="I2261">
            <v>1176620</v>
          </cell>
        </row>
        <row r="2262">
          <cell r="F2262">
            <v>7473</v>
          </cell>
          <cell r="G2262" t="str">
            <v>TEE PVC U.M. 12" X 4" (SUMINISTRO E INSTALACIÓN)</v>
          </cell>
          <cell r="H2262" t="str">
            <v>UN</v>
          </cell>
          <cell r="I2262">
            <v>1713290</v>
          </cell>
        </row>
        <row r="2263">
          <cell r="F2263">
            <v>7474</v>
          </cell>
          <cell r="G2263" t="str">
            <v>TUBERIA PVC U.M. EXT CORRUGADO/INT LISO U.M. NORMA NTC 3722-1 D=42". (INCLUYE SUMINISTRO E INSTALACIÓN)</v>
          </cell>
          <cell r="H2263" t="str">
            <v>ML</v>
          </cell>
          <cell r="I2263">
            <v>2498973</v>
          </cell>
        </row>
        <row r="2264">
          <cell r="F2264">
            <v>7477</v>
          </cell>
          <cell r="G2264" t="str">
            <v>REDUCCION CONCENTRICA HD EXTREMO LISO 12"X4" (SUMINISTRO E INSTALACIÓN)</v>
          </cell>
          <cell r="H2264" t="str">
            <v>UN</v>
          </cell>
          <cell r="I2264">
            <v>1072349</v>
          </cell>
        </row>
        <row r="2265">
          <cell r="F2265">
            <v>7480</v>
          </cell>
          <cell r="G2265" t="str">
            <v>UNIÓN JUNTA DE DESMONTAJE Ø 12 (A) (SUMINISTRO E INSTALACIÓN)</v>
          </cell>
          <cell r="H2265" t="str">
            <v>UN</v>
          </cell>
          <cell r="I2265">
            <v>2368528</v>
          </cell>
        </row>
        <row r="2266">
          <cell r="F2266">
            <v>7482</v>
          </cell>
          <cell r="G2266" t="str">
            <v>UNIÓN JUNTA DE DESMONTAJE Ø 16 (A) (SUMINISTRO E INSTALACIÓN)</v>
          </cell>
          <cell r="H2266" t="str">
            <v>UN</v>
          </cell>
          <cell r="I2266">
            <v>4389125</v>
          </cell>
        </row>
        <row r="2267">
          <cell r="F2267">
            <v>7483</v>
          </cell>
          <cell r="G2267" t="str">
            <v>TAPON PVC TIPO U.M. D=2" (SUMINISTRO E INSTALACIÓN)</v>
          </cell>
          <cell r="H2267" t="str">
            <v>UN</v>
          </cell>
          <cell r="I2267">
            <v>26120</v>
          </cell>
        </row>
        <row r="2268">
          <cell r="F2268">
            <v>7485</v>
          </cell>
          <cell r="G2268" t="str">
            <v>NIPLE 16" ACERO CARBON EXTREMOS BRIDA/EXTREMO LISO PARA CINTURON DE CIERRE L=1500MM (A). (ACERO). SUMINISTRO E INSTALACIÓN</v>
          </cell>
          <cell r="H2268" t="str">
            <v>UN</v>
          </cell>
          <cell r="I2268">
            <v>2046480</v>
          </cell>
        </row>
        <row r="2269">
          <cell r="F2269">
            <v>7486</v>
          </cell>
          <cell r="G2269" t="str">
            <v>UNIÓN JUNTA DE DESMONTAJE Ø 24 (A) (SUMINISTRO E INSTALACIÓN)</v>
          </cell>
          <cell r="H2269" t="str">
            <v>UN</v>
          </cell>
          <cell r="I2269">
            <v>9577018</v>
          </cell>
        </row>
        <row r="2270">
          <cell r="F2270">
            <v>7487</v>
          </cell>
          <cell r="G2270" t="str">
            <v>VÁLVULA DE COMPUERTA DE Ø 4" (A) CON SELLO EN BRONCE. (SUMINISTRO E INSTALACIÓN)</v>
          </cell>
          <cell r="H2270" t="str">
            <v>UN</v>
          </cell>
          <cell r="I2270">
            <v>1701565</v>
          </cell>
        </row>
        <row r="2271">
          <cell r="F2271">
            <v>7488</v>
          </cell>
          <cell r="G2271" t="str">
            <v>VENTOSA DE DOBLE ACCIÓN DE Ø 2" DE BRIDA (A). (SUMINISTRO E INSTALACIÓN)</v>
          </cell>
          <cell r="H2271" t="str">
            <v>UN</v>
          </cell>
          <cell r="I2271">
            <v>472155</v>
          </cell>
        </row>
        <row r="2272">
          <cell r="F2272">
            <v>7492</v>
          </cell>
          <cell r="G2272"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H2272" t="str">
            <v>UN</v>
          </cell>
          <cell r="I2272">
            <v>5322592</v>
          </cell>
        </row>
        <row r="2273">
          <cell r="F2273">
            <v>7493</v>
          </cell>
          <cell r="G2273" t="str">
            <v>CODO EN ACERO Ø=4" (INCLUYE SUMINISTRO E INSTALACIÓN)</v>
          </cell>
          <cell r="H2273" t="str">
            <v>UN</v>
          </cell>
          <cell r="I2273">
            <v>127479</v>
          </cell>
        </row>
        <row r="2274">
          <cell r="F2274">
            <v>7494</v>
          </cell>
          <cell r="G2274" t="str">
            <v>SEÑAL DOBLE DE 0.75X0.75M REFLECTIVO ALTA DENSIDAD TIPO IV EN LÁMINA GALVANIZADA, PEDESTAL EN ÁNGULO SP/SR/SI. SUMINISTRO E INSTALACIÓN.</v>
          </cell>
          <cell r="H2274" t="str">
            <v>UN</v>
          </cell>
          <cell r="I2274">
            <v>635458</v>
          </cell>
        </row>
        <row r="2275">
          <cell r="F2275">
            <v>7495</v>
          </cell>
          <cell r="G2275" t="str">
            <v>CODO EN ACERO D=16" ENTRE 45° Y 67.5° JUNTA ESPIGO-CAMPANA CON EMPAQUE CAUCHO. REVESTIMIENTO INTERIOR Y EXTERIOR EN MORTERO DE CEMENTO. L=0.85X0.85M PRESIÓN TRABAJO 150 PSI</v>
          </cell>
          <cell r="H2275" t="str">
            <v>UN</v>
          </cell>
          <cell r="I2275">
            <v>4221758</v>
          </cell>
        </row>
        <row r="2276">
          <cell r="F2276">
            <v>7497</v>
          </cell>
          <cell r="G2276" t="str">
            <v>SEÑAL DOBLE DE 60 CM, REFLECTIVO ALTA DENSIDAD TIPO IV EN LAMINA GALVANIZADA, PEDESTAL EN ANGULO SP/SR/SI. (INCLUYE SUMINISTRO E INSTALACIÓN)</v>
          </cell>
          <cell r="H2276" t="str">
            <v>UN</v>
          </cell>
          <cell r="I2276">
            <v>527150</v>
          </cell>
        </row>
        <row r="2277">
          <cell r="F2277">
            <v>7498</v>
          </cell>
          <cell r="G2277" t="str">
            <v>SEÑAL VERTICAL REGLAMENTARIA CICLORUTA (D= 45 CM) CON PLAQUETA. INCLUYE POSTE. SUMINISTRO E INSTALACIÓN.</v>
          </cell>
          <cell r="H2277" t="str">
            <v>UN</v>
          </cell>
          <cell r="I2277">
            <v>603728</v>
          </cell>
        </row>
        <row r="2278">
          <cell r="F2278">
            <v>7500</v>
          </cell>
          <cell r="G2278" t="str">
            <v>SEÑAL VERTICAL INFORMATIVA CICLORUTA (D= 45CMX45CM) CON PLAQUETA. INCLUYE POSTE. SUMINISTRO E INSTALACIÓN.</v>
          </cell>
          <cell r="H2278" t="str">
            <v>UN</v>
          </cell>
          <cell r="I2278">
            <v>603728</v>
          </cell>
        </row>
        <row r="2279">
          <cell r="F2279">
            <v>7501</v>
          </cell>
          <cell r="G2279" t="str">
            <v>SEÑAL VERTICAL GRUPO DE REGLAMENTARIAS TIPO CIRCULO (D= 60CM). INCLUYE POSTE. SUMINISTRO E INSTALACIÓN.</v>
          </cell>
          <cell r="H2279" t="str">
            <v>UN</v>
          </cell>
          <cell r="I2279">
            <v>538278</v>
          </cell>
        </row>
        <row r="2280">
          <cell r="F2280">
            <v>7502</v>
          </cell>
          <cell r="G2280"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H2280" t="str">
            <v>UN</v>
          </cell>
          <cell r="I2280">
            <v>1935458</v>
          </cell>
        </row>
        <row r="2281">
          <cell r="F2281">
            <v>7503</v>
          </cell>
          <cell r="G2281" t="str">
            <v>SEÑAL VERTICAL GRUPO DE REGLAMENTARIAS TIPO CIRCULO (D= 60CM). CON PLAQUETA INCLUYE POSTE. SUMINISTRO E INSTALACIÓN.</v>
          </cell>
          <cell r="H2281" t="str">
            <v>UN</v>
          </cell>
          <cell r="I2281">
            <v>538278</v>
          </cell>
        </row>
        <row r="2282">
          <cell r="F2282">
            <v>7504</v>
          </cell>
          <cell r="G2282"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H2282" t="str">
            <v>UN</v>
          </cell>
          <cell r="I2282">
            <v>9741153</v>
          </cell>
        </row>
        <row r="2283">
          <cell r="F2283">
            <v>7505</v>
          </cell>
          <cell r="G2283"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H2283" t="str">
            <v>UN</v>
          </cell>
          <cell r="I2283">
            <v>2496596</v>
          </cell>
        </row>
        <row r="2284">
          <cell r="F2284">
            <v>7506</v>
          </cell>
          <cell r="G2284"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H2284" t="str">
            <v>UN</v>
          </cell>
          <cell r="I2284">
            <v>4496018</v>
          </cell>
        </row>
        <row r="2285">
          <cell r="F2285">
            <v>7507</v>
          </cell>
          <cell r="G2285"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H2285" t="str">
            <v>UN</v>
          </cell>
          <cell r="I2285">
            <v>1905992</v>
          </cell>
        </row>
        <row r="2286">
          <cell r="F2286">
            <v>7508</v>
          </cell>
          <cell r="G2286" t="str">
            <v>BARRERA RELLENABLE (2.00X0.55X1.00M) CON CINTA REFLECTIVA (INCLUYE SUMINISTRO E INSTALACIÓN)</v>
          </cell>
          <cell r="H2286" t="str">
            <v>UN</v>
          </cell>
          <cell r="I2286">
            <v>414282</v>
          </cell>
        </row>
        <row r="2287">
          <cell r="F2287">
            <v>7510</v>
          </cell>
          <cell r="G2287" t="str">
            <v>3 DUCTOS DE D=4" Y 3 DUCTOS DE D=6" PVC-TDP (INCLUYE SUMINISTRO E INSTALACIÓN. NO INCLUYE RELLENOS)</v>
          </cell>
          <cell r="H2287" t="str">
            <v>ML</v>
          </cell>
          <cell r="I2287">
            <v>229261</v>
          </cell>
        </row>
        <row r="2288">
          <cell r="F2288">
            <v>7512</v>
          </cell>
          <cell r="G2288" t="str">
            <v>DEMOLICION DE POZO, DIAMETRO INTERIOR D=1.20M, DIAMETRO EXTERIOR D=1.70M, H=1.50M (INCLUYE CARGUE, RETIRO DE MATERIAL, TRANSPORTE Y DISPOSICIÓN FINAL DE ESCOMBROS EN SITIO AUTORIZADO).</v>
          </cell>
          <cell r="H2288" t="str">
            <v>UN</v>
          </cell>
          <cell r="I2288">
            <v>555341</v>
          </cell>
        </row>
        <row r="2289">
          <cell r="F2289">
            <v>7513</v>
          </cell>
          <cell r="G2289" t="str">
            <v>DEMOLICIÓN DE PLACA (INCLUYE CARGUE, RETIRO DE MATERIAL, TRANSPORTE Y DISPOSICIÓN FINAL DE ESCOMBROS EN SITIO AUTORIZADO).</v>
          </cell>
          <cell r="H2289" t="str">
            <v>M2</v>
          </cell>
          <cell r="I2289">
            <v>25862</v>
          </cell>
        </row>
        <row r="2290">
          <cell r="F2290">
            <v>7514</v>
          </cell>
          <cell r="G2290" t="str">
            <v>TAPA VALVULA TIPO CHOROTE TRAFICO PESADO (INCLUYE SUMINISTRO E INSTALACIÓN)</v>
          </cell>
          <cell r="H2290" t="str">
            <v>UN</v>
          </cell>
          <cell r="I2290">
            <v>492970</v>
          </cell>
        </row>
        <row r="2291">
          <cell r="F2291">
            <v>7515</v>
          </cell>
          <cell r="G2291" t="str">
            <v>CÁMARA DE CAIDA D=8" H=1.86M (INCLUYE SUMINISTRO E INSTALACIÓN)</v>
          </cell>
          <cell r="H2291" t="str">
            <v>UN</v>
          </cell>
          <cell r="I2291">
            <v>1009757</v>
          </cell>
        </row>
        <row r="2292">
          <cell r="F2292">
            <v>7519</v>
          </cell>
          <cell r="G2292" t="str">
            <v>CERCHA METÁLICA CUBIERTA CON LÁMINA GALVANIZADA CAL. 18 H=0.80M, EN CRUCE DE PUENTE PARA RED HIDRÁULICA. SUMINISTRO E INSTALACIÓN.</v>
          </cell>
          <cell r="H2292" t="str">
            <v>ML</v>
          </cell>
          <cell r="I2292">
            <v>830612</v>
          </cell>
        </row>
        <row r="2293">
          <cell r="F2293">
            <v>7521</v>
          </cell>
          <cell r="G2293" t="str">
            <v>CERCHA METÁLICA CUBIERTA CON LÁMINA GALVANIZADA CAL. 18 H=2.00M, EN CRUCE DE PUENTE PARA RED HIDRÁULICA. SUMINISTRO E INSTALACIÓN.</v>
          </cell>
          <cell r="H2293" t="str">
            <v>ML</v>
          </cell>
          <cell r="I2293">
            <v>1346982</v>
          </cell>
        </row>
        <row r="2294">
          <cell r="F2294">
            <v>7522</v>
          </cell>
          <cell r="G2294" t="str">
            <v>POSTE TIPO MASTIL T1X (3.80M) EN TUBO SCH 40 GALVANIZADO Y PINTADO. SUMINISTRO E INSTALACIÓN.</v>
          </cell>
          <cell r="H2294" t="str">
            <v>UN</v>
          </cell>
          <cell r="I2294">
            <v>2593616</v>
          </cell>
        </row>
        <row r="2295">
          <cell r="F2295">
            <v>7524</v>
          </cell>
          <cell r="G2295" t="str">
            <v>SEÑAL VERTICAL GRUPO I (60X60CM) CON PLAQUETA INCLUYE POSTE (INCLUYE SUMINISTRO E INSTALACIÓN)</v>
          </cell>
          <cell r="H2295" t="str">
            <v>UN</v>
          </cell>
          <cell r="I2295">
            <v>521675</v>
          </cell>
        </row>
        <row r="2296">
          <cell r="F2296">
            <v>7525</v>
          </cell>
          <cell r="G2296" t="str">
            <v>TUBERIA PVC U.M. EXT CORRUGADO/INT LISO U.M. NORMA NTC 3722-1 D=39" (INCLUYE SUMINISTRO E INSTALACIÓN)</v>
          </cell>
          <cell r="H2296" t="str">
            <v>ML</v>
          </cell>
          <cell r="I2296">
            <v>2085627</v>
          </cell>
        </row>
        <row r="2297">
          <cell r="F2297">
            <v>7527</v>
          </cell>
          <cell r="G2297" t="str">
            <v>ENTIBADO EC-5 CONTINUO MADERA CON PERFILES DE METÁLICOS Y PARALES TELESCÓPICOS. SUMINISTRO E INSTALACIÓN.</v>
          </cell>
          <cell r="H2297" t="str">
            <v>M2</v>
          </cell>
          <cell r="I2297">
            <v>92914</v>
          </cell>
        </row>
        <row r="2298">
          <cell r="F2298">
            <v>7528</v>
          </cell>
          <cell r="G2298" t="str">
            <v>ENTIBADO EC-6 CONTINUO MADERA CON PERFILES DE METÁLICOS Y PARALES TELESCÓPICOS. SUMINISTRO E INSTALACIÓN.</v>
          </cell>
          <cell r="H2298" t="str">
            <v>M2</v>
          </cell>
          <cell r="I2298">
            <v>111890</v>
          </cell>
        </row>
        <row r="2299">
          <cell r="F2299">
            <v>7529</v>
          </cell>
          <cell r="G2299" t="str">
            <v>ENTIBADO TIPO H&gt; 8.50 M. SUMINISTRO E INSTALACIÓN.</v>
          </cell>
          <cell r="H2299" t="str">
            <v>M2</v>
          </cell>
          <cell r="I2299">
            <v>182229</v>
          </cell>
        </row>
        <row r="2300">
          <cell r="F2300">
            <v>7531</v>
          </cell>
          <cell r="G2300" t="str">
            <v>APOYO FIJO EN NEOPRENO DE 0.30M X 0.50M X 0.072M, DUREZA 60 REFORZADO CON 2 PLATINAS DE 1/4" - EJE 1. SUMINISTRO E INSTALACIÓN</v>
          </cell>
          <cell r="H2300" t="str">
            <v>UN</v>
          </cell>
          <cell r="I2300">
            <v>827418</v>
          </cell>
        </row>
        <row r="2301">
          <cell r="F2301">
            <v>7532</v>
          </cell>
          <cell r="G2301" t="str">
            <v>VÁLVULA COMPUERTA ELÁSTICA HD DN Ø 12" PVC L.F. SUMINISTRO E INSTALACIÓN</v>
          </cell>
          <cell r="H2301" t="str">
            <v>UN</v>
          </cell>
          <cell r="I2301">
            <v>4698993</v>
          </cell>
        </row>
        <row r="2302">
          <cell r="F2302">
            <v>7533</v>
          </cell>
          <cell r="G2302" t="str">
            <v>APOYO FIJO EN NEOPRENO DE 0.40M X 0.60M X 0.047M, DUREZA 60 REFORZADO CON 2 PLATINAS DE 1/4" - EJES 2,3, 4 Y 5. SUMINISTRO E INSTALACIÓN</v>
          </cell>
          <cell r="H2302" t="str">
            <v>UN</v>
          </cell>
          <cell r="I2302">
            <v>883586</v>
          </cell>
        </row>
        <row r="2303">
          <cell r="F2303">
            <v>7534</v>
          </cell>
          <cell r="G2303" t="str">
            <v>APOYO MÓVIL EN NEOPRENO DE 0.30M X 0.50M X 0.072M, DUREZA 60 REFORZADO CON 2 PLATINAS DE 1/4" - EJE 6. SUMINISTRO E INSTALACIÓN</v>
          </cell>
          <cell r="H2303" t="str">
            <v>UN</v>
          </cell>
          <cell r="I2303">
            <v>827418</v>
          </cell>
        </row>
        <row r="2304">
          <cell r="F2304">
            <v>7535</v>
          </cell>
          <cell r="G2304" t="str">
            <v>VÁLVULA COMPUERTA ELÁSTICA HD DN Ø 8" PVC L.F. SUMINISTRO E INSTALACIÓN</v>
          </cell>
          <cell r="H2304" t="str">
            <v>UN</v>
          </cell>
          <cell r="I2304">
            <v>2725180</v>
          </cell>
        </row>
        <row r="2305">
          <cell r="F2305">
            <v>7536</v>
          </cell>
          <cell r="G2305" t="str">
            <v>VÁLVULA COMPUERTA ELÁSTICA HD DN Ø 6" PVC L.F. SUMINISTRO E INSTALACIÓN</v>
          </cell>
          <cell r="H2305" t="str">
            <v>UN</v>
          </cell>
          <cell r="I2305">
            <v>1739860</v>
          </cell>
        </row>
        <row r="2306">
          <cell r="F2306">
            <v>7537</v>
          </cell>
          <cell r="G2306" t="str">
            <v>VÁLVULA COMPUERTA ELÁSTICA HD DN Ø 4" PVC L.F. SUMINISTRO E INSTALACIÓN</v>
          </cell>
          <cell r="H2306" t="str">
            <v>UN</v>
          </cell>
          <cell r="I2306">
            <v>1012770</v>
          </cell>
        </row>
        <row r="2307">
          <cell r="F2307">
            <v>7538</v>
          </cell>
          <cell r="G2307" t="str">
            <v>RECUBRIMIENTO DE TALUDES CON MALLA Y MORTERO 1:4 DE E= 3CM (INCLUYE SUMINISTRO, EQUIPOS, MATERIALES Y MANO DE OBRA)</v>
          </cell>
          <cell r="H2307" t="str">
            <v>M2</v>
          </cell>
          <cell r="I2307">
            <v>45983</v>
          </cell>
        </row>
        <row r="2308">
          <cell r="F2308">
            <v>7546</v>
          </cell>
          <cell r="G2308" t="str">
            <v>CODO G.RAD. PVC 22.50° TIPO U.M. D=4" (SUMINISTRO E INSTALACIÓN)</v>
          </cell>
          <cell r="H2308" t="str">
            <v>UN</v>
          </cell>
          <cell r="I2308">
            <v>120695</v>
          </cell>
        </row>
        <row r="2309">
          <cell r="F2309">
            <v>7548</v>
          </cell>
          <cell r="G2309" t="str">
            <v>CELOSÍA 40MM. CORTASOL EN ALUZINC 0.50M LISO SIN TENSOR COLOR ESTÁNDAR. SUMINISTRO E INSTALACIÓN.</v>
          </cell>
          <cell r="H2309" t="str">
            <v>M2</v>
          </cell>
          <cell r="I2309">
            <v>171809</v>
          </cell>
        </row>
        <row r="2310">
          <cell r="F2310">
            <v>7549</v>
          </cell>
          <cell r="G2310" t="str">
            <v>ESCALERA METÁLICA PARA ACCESO A CUBIERTA (SUMINISTRO E INSTALACIÓN)</v>
          </cell>
          <cell r="H2310" t="str">
            <v>UN</v>
          </cell>
          <cell r="I2310">
            <v>4215363</v>
          </cell>
        </row>
        <row r="2311">
          <cell r="F2311">
            <v>7553</v>
          </cell>
          <cell r="G2311" t="str">
            <v>REDUCCIÓN EXCÉNTRICA D= 27" - D= 24". SUMINISTRO E INSTALACIÓN.</v>
          </cell>
          <cell r="H2311" t="str">
            <v>UN</v>
          </cell>
          <cell r="I2311">
            <v>11036398</v>
          </cell>
        </row>
        <row r="2312">
          <cell r="F2312">
            <v>7555</v>
          </cell>
          <cell r="G2312" t="str">
            <v>VÁLVULA DE CHEQUE 4" (150PSI) EXTREMOS BRIDADOS (SUMINISTRO E INSTALACIÓN)</v>
          </cell>
          <cell r="H2312" t="str">
            <v>UN</v>
          </cell>
          <cell r="I2312">
            <v>1125127</v>
          </cell>
        </row>
        <row r="2313">
          <cell r="F2313">
            <v>7558</v>
          </cell>
          <cell r="G2313" t="str">
            <v>VÁLVULA VENTOSA HD COMBINADA TRIPLE ACCIÓN (TRIPLE EFECTO) D=3" EXTREMO BRIDA CLASE 150 (Suministro e instalacion)</v>
          </cell>
          <cell r="H2313" t="str">
            <v>UN</v>
          </cell>
          <cell r="I2313">
            <v>1074885</v>
          </cell>
        </row>
        <row r="2314">
          <cell r="F2314">
            <v>7566</v>
          </cell>
          <cell r="G2314" t="str">
            <v>VÁLVULA COMPUERTA ELÁSTICA EXTREMOS BRIDADOS D=3" 150 PSI (SUMINISTRO E INSTALACIÓN)</v>
          </cell>
          <cell r="H2314" t="str">
            <v>UN</v>
          </cell>
          <cell r="I2314">
            <v>942478</v>
          </cell>
        </row>
        <row r="2315">
          <cell r="F2315">
            <v>7567</v>
          </cell>
          <cell r="G2315" t="str">
            <v>UNIÓN JUNTA DE DESMONTAJE TIPO DRESSER Ø 4" 150 PSI (SUMINISTRO E INSTALACIÓN)</v>
          </cell>
          <cell r="H2315" t="str">
            <v>UN</v>
          </cell>
          <cell r="I2315">
            <v>316996</v>
          </cell>
        </row>
        <row r="2316">
          <cell r="F2316">
            <v>7569</v>
          </cell>
          <cell r="G2316" t="str">
            <v>CAJA EN CONCRETO PARA DERIVACIÓN DE 2.40 M X 2.40 M X 2.20 M. E= 0.20M. INCLUYE MARCO Y TAPA CAJA INSPECCIÓN CS 275. (SUMINISTRO Y CONSTRUCCIÓN)</v>
          </cell>
          <cell r="H2316" t="str">
            <v>UN</v>
          </cell>
          <cell r="I2316">
            <v>1024576</v>
          </cell>
        </row>
        <row r="2317">
          <cell r="F2317">
            <v>7577</v>
          </cell>
          <cell r="G2317" t="str">
            <v>PINTURA DE TRÁFICO ESPESOR SECO 4MILS PARA SEÑALIZACIÓN DE PISO EN PUERTA CORREDIZA SENCILLA, SEGÚN MANUAL DE IMAGEN DE TRANSMILENIO - INCLUYE SUMINISTRO Y APLICACIÓN</v>
          </cell>
          <cell r="H2317" t="str">
            <v>UN</v>
          </cell>
          <cell r="I2317">
            <v>125977</v>
          </cell>
        </row>
        <row r="2318">
          <cell r="F2318">
            <v>7578</v>
          </cell>
          <cell r="G2318" t="str">
            <v>PINTURA DE TRÁFICO ESPESOR SECO 4MILS PARA SEÑALIZACIÓN DE PISO EN PUERTA CORREDIZA TELESCÓPICA, SEGÚN MANUAL DE IMAGEN DE TRANSMILENIO - INCLUYE SUMINISTRO Y APLICACIÓN</v>
          </cell>
          <cell r="H2318" t="str">
            <v>UN</v>
          </cell>
          <cell r="I2318">
            <v>180565</v>
          </cell>
        </row>
        <row r="2319">
          <cell r="F2319">
            <v>7580</v>
          </cell>
          <cell r="G2319" t="str">
            <v>SEÑAL TIPO DE FRECUENCIA EN LÁMINA, RECUBRIMIENTO POR AMBAS CARAS EN PELÍCULA REFLECTORA GRADO INGENIERÍA AZUL PARA EL FONDO Y BLANCO PARA NÚMERO O LETRA. SEGÚN MANUAL DE IMAGEN TRANSMILENIO. SUMINISTRO E INSTALACIÓN.</v>
          </cell>
          <cell r="H2319" t="str">
            <v>UN</v>
          </cell>
          <cell r="I2319">
            <v>83747</v>
          </cell>
        </row>
        <row r="2320">
          <cell r="F2320">
            <v>7584</v>
          </cell>
          <cell r="G2320" t="str">
            <v>RUTEROS MONTANTE RUTA FÁCIL EN VINILO CON ADHESIVO EN VINILO FUNDIDO 32CM X 16CM SOBRE IMPRESIÓN. SEGÚN MANUAL DE IMAGEN TRANSMILENIO. SUMINISTRO E INSTALACIÓN</v>
          </cell>
          <cell r="H2320" t="str">
            <v>UN</v>
          </cell>
          <cell r="I2320">
            <v>71249</v>
          </cell>
        </row>
        <row r="2321">
          <cell r="F2321">
            <v>7586</v>
          </cell>
          <cell r="G2321" t="str">
            <v>RUTEROS MONTANTE SERVICIOS Y HORARIOS + INFORMACIÓN + RIELES. SEGÚN MANUAL DE IMAGEN TRANSMILENIO. SUMINISTRO E INSTALACIÓN.</v>
          </cell>
          <cell r="H2321" t="str">
            <v>UN</v>
          </cell>
          <cell r="I2321">
            <v>86234</v>
          </cell>
        </row>
        <row r="2322">
          <cell r="F2322">
            <v>7587</v>
          </cell>
          <cell r="G2322" t="str">
            <v>BAJANTE DE ALIMENTACIÓN D=2"EN TUBERÍA METÁLICA (INCLUYE CURVA EMT 2" PARA ACOMETIDA). (INCLUYE SUMINISTRO E INSTALACIÓN)</v>
          </cell>
          <cell r="H2322" t="str">
            <v>ML</v>
          </cell>
          <cell r="I2322">
            <v>67168</v>
          </cell>
        </row>
        <row r="2323">
          <cell r="F2323">
            <v>7589</v>
          </cell>
          <cell r="G2323" t="str">
            <v>RECOLECCIÓN DE TACHONES DE CONCRETO EN LAS TRONCALES (1.75M X 0.25M X 0.15M)</v>
          </cell>
          <cell r="H2323" t="str">
            <v>UN</v>
          </cell>
          <cell r="I2323">
            <v>5946</v>
          </cell>
        </row>
        <row r="2324">
          <cell r="F2324">
            <v>7590</v>
          </cell>
          <cell r="G2324" t="str">
            <v>YEE REDUCIDA PVC SANITARIA 4" X 3" (INCLUYE SUMINISTRO E INSTALACIÓN)</v>
          </cell>
          <cell r="H2324" t="str">
            <v>UN</v>
          </cell>
          <cell r="I2324">
            <v>32363</v>
          </cell>
        </row>
        <row r="2325">
          <cell r="F2325">
            <v>7591</v>
          </cell>
          <cell r="G2325" t="str">
            <v>COLUMNAS DE GRAVA F= 0.60M (INCLUYE EXCAVACIÓN Y MATERIAL DE GRAVA ENTRE 2" Y 3/4" DESGASTE LOS ÁNGELES MENOR AL 20%, TRANSPORTE, SUMINISTRO, PILOTEADORA Y COLOCACIÓN).</v>
          </cell>
          <cell r="H2325" t="str">
            <v>M3</v>
          </cell>
          <cell r="I2325">
            <v>176309</v>
          </cell>
        </row>
        <row r="2326">
          <cell r="F2326">
            <v>7597</v>
          </cell>
          <cell r="G2326" t="str">
            <v>BARRA SOPORTE BAÑO MOVILIDAD REDUCIDA</v>
          </cell>
          <cell r="H2326" t="str">
            <v>UN</v>
          </cell>
          <cell r="I2326">
            <v>304456</v>
          </cell>
        </row>
        <row r="2327">
          <cell r="F2327">
            <v>7599</v>
          </cell>
          <cell r="G2327" t="str">
            <v>PUERTA METÁLICA CON REJILLA</v>
          </cell>
          <cell r="H2327" t="str">
            <v>M2</v>
          </cell>
          <cell r="I2327">
            <v>414077</v>
          </cell>
        </row>
        <row r="2328">
          <cell r="F2328">
            <v>7600</v>
          </cell>
          <cell r="G2328" t="str">
            <v>SIFÓN PVC 135° D=3" (INCLUYE SUMINISTRO E INSTALACIÓN)</v>
          </cell>
          <cell r="H2328" t="str">
            <v>UN</v>
          </cell>
          <cell r="I2328">
            <v>17494</v>
          </cell>
        </row>
        <row r="2329">
          <cell r="F2329">
            <v>7602</v>
          </cell>
          <cell r="G2329" t="str">
            <v>SIFÓN PVC 135° D=4" (INCLUYE SUMINISTRO E INSTALACIÓN)</v>
          </cell>
          <cell r="H2329" t="str">
            <v>UN</v>
          </cell>
          <cell r="I2329">
            <v>34441</v>
          </cell>
        </row>
        <row r="2330">
          <cell r="F2330">
            <v>7606</v>
          </cell>
          <cell r="G2330" t="str">
            <v>ACOMETIDA EN CONDUCTORES DE ALUMINIO 4X(1X2/0) AWG AISLADO HFFR 600 V C.A. INCLUYE CONDUCTORES, CONEXIONES Y ACCESORIOS DE MONTAJE Y MARCACIÓN (INCLUYE SUMINISTRO Y MONTAJE)</v>
          </cell>
          <cell r="H2330" t="str">
            <v>ML</v>
          </cell>
          <cell r="I2330">
            <v>29613</v>
          </cell>
        </row>
        <row r="2331">
          <cell r="F2331">
            <v>7609</v>
          </cell>
          <cell r="G2331" t="str">
            <v>TUBERÍA EMT DE Ø4", EXPUESTA CON SUS ACCESORIOS DE MONTAJE. INCLUYE SUMINISTRO E INSTALACIÓN.</v>
          </cell>
          <cell r="H2331" t="str">
            <v>ML</v>
          </cell>
          <cell r="I2331">
            <v>129127</v>
          </cell>
        </row>
        <row r="2332">
          <cell r="F2332">
            <v>7615</v>
          </cell>
          <cell r="G2332" t="str">
            <v>LUMINARIA PANEL LED 1.20 X 0.30MT. INSTALADA EN EL TECHO. INCLUYE SUMINISTRO E INSTALACIÓN, 42W 120V C.A 4396LM</v>
          </cell>
          <cell r="H2332" t="str">
            <v>UN</v>
          </cell>
          <cell r="I2332">
            <v>118399</v>
          </cell>
        </row>
        <row r="2333">
          <cell r="F2333">
            <v>7618</v>
          </cell>
          <cell r="G2333" t="str">
            <v>LUMINARIA PANEL LED 60 X 60CM. INSTALADA EN EL TECHO. INCLUYE SUMINISTRO E INSTALACIÓN, 33W 120V C.A 3520LM</v>
          </cell>
          <cell r="H2333" t="str">
            <v>UN</v>
          </cell>
          <cell r="I2333">
            <v>85555</v>
          </cell>
        </row>
        <row r="2334">
          <cell r="F2334">
            <v>7619</v>
          </cell>
          <cell r="G2334" t="str">
            <v>LUMINARIA PANEL LED REDONDO INSTALADA EN EL TECHO. INCLUYE SUMINISTRO E INSTALACIÓN, 12W 120V C.A 710LM</v>
          </cell>
          <cell r="H2334" t="str">
            <v>UN</v>
          </cell>
          <cell r="I2334">
            <v>33600</v>
          </cell>
        </row>
        <row r="2335">
          <cell r="F2335">
            <v>7624</v>
          </cell>
          <cell r="G2335" t="str">
            <v>ACCESORIOS DE INSTALACIÓN ADICIONALES: CONDULETAS, CONECTORES, RECTOS, ADAPTADOR PVC A EMT, CAJAS METÁLICAS 5800 ENTRE OTROS</v>
          </cell>
          <cell r="H2335" t="str">
            <v>GLB</v>
          </cell>
          <cell r="I2335">
            <v>72303</v>
          </cell>
        </row>
        <row r="2336">
          <cell r="F2336">
            <v>7632</v>
          </cell>
          <cell r="G2336" t="str">
            <v>TUBERIA PVC PRESION E.L. PARA SOLDAR D=1 1/4" RDE 21 PSI 200 (INCLUYE SUMINISTRO E INSTALACIÓN)</v>
          </cell>
          <cell r="H2336" t="str">
            <v>ML</v>
          </cell>
          <cell r="I2336">
            <v>14609</v>
          </cell>
        </row>
        <row r="2337">
          <cell r="F2337">
            <v>7633</v>
          </cell>
          <cell r="G2337" t="str">
            <v>FOTOCELDA CON BASE (SUMINISTRO E INSTALACIÓN)</v>
          </cell>
          <cell r="H2337" t="str">
            <v>UN</v>
          </cell>
          <cell r="I2337">
            <v>84443</v>
          </cell>
        </row>
        <row r="2338">
          <cell r="F2338">
            <v>7638</v>
          </cell>
          <cell r="G2338" t="str">
            <v>SALIDA DE DATOS PARA CAMARAS EXTERIORES EN POSTE (INCLUYE SUMINISTRO E INSTALACIÓN)</v>
          </cell>
          <cell r="H2338" t="str">
            <v>UN</v>
          </cell>
          <cell r="I2338">
            <v>164983</v>
          </cell>
        </row>
        <row r="2339">
          <cell r="F2339">
            <v>7639</v>
          </cell>
          <cell r="G2339" t="str">
            <v>CONCRETO GRAVA COMÚN DE 3000 PSI (210 KG/CM2) GRAVA COMÚN PARA PLACA. SUMINISTRO Y COLOCACIÓN (INCLUYE FORMALETA, SUMINISTRO, COLOCACIÓN Y CURADO). NO INCLUYE REFUERZO.</v>
          </cell>
          <cell r="H2339" t="str">
            <v>M3</v>
          </cell>
          <cell r="I2339">
            <v>582091</v>
          </cell>
        </row>
        <row r="2340">
          <cell r="F2340">
            <v>7642</v>
          </cell>
          <cell r="G2340" t="str">
            <v>JARDINERÍA DE PORTE BAJO. INCLUYE SUMINISTRO, SIEMBRA, TIERRA NEGRA Y ABONO. EN BOLSA DE 7" A 15" DE ALTURA DE 10CM A 20CM</v>
          </cell>
          <cell r="H2340" t="str">
            <v>M2</v>
          </cell>
          <cell r="I2340">
            <v>837341</v>
          </cell>
        </row>
        <row r="2341">
          <cell r="F2341">
            <v>7643</v>
          </cell>
          <cell r="G2341" t="str">
            <v>LUMINARIA LED I, 16 LED, RA03SIM, 21W, 4000°K 100-227 V. (INCLUYE LUMINARIA, CABLES Y ELEMENTOS DE CONEXIÓN, OBRAS COMPLEMENTARIAS Y ACCESORIOS. INCLUYE SUMINISTRO, INSTALACIÓN, PRUEBAS Y PUESTA EN FUNCIONAMIENTO).</v>
          </cell>
          <cell r="H2341" t="str">
            <v>UN</v>
          </cell>
          <cell r="I2341">
            <v>1406498</v>
          </cell>
        </row>
        <row r="2342">
          <cell r="F2342">
            <v>7644</v>
          </cell>
          <cell r="G2342" t="str">
            <v>JARDINERÍA DE PORTE ALTO. INCLUYE SUMINISTRO, SIEMBRA, TIERRA NEGRA Y ABONO. EN BOLSA DE 26" DE ALTURA DE 50CM A 80CM</v>
          </cell>
          <cell r="H2342" t="str">
            <v>M2</v>
          </cell>
          <cell r="I2342">
            <v>408573</v>
          </cell>
        </row>
        <row r="2343">
          <cell r="F2343">
            <v>7646</v>
          </cell>
          <cell r="G2343" t="str">
            <v>POSTE METALICO GALVANIZADO EN CALIENTE H=14M CON BRAZO SENCILLO (INCLUYE SUMINISTRO, IZAJE, APLOMADO E INSTALACIÓN).</v>
          </cell>
          <cell r="H2343" t="str">
            <v>UN</v>
          </cell>
          <cell r="I2343">
            <v>6075465</v>
          </cell>
        </row>
        <row r="2344">
          <cell r="F2344">
            <v>7648</v>
          </cell>
          <cell r="G2344" t="str">
            <v>POSTE METALICO GALVANIZADO EN CALIENTE H=14M CON BRAZO DOBLE PROPOSITO DE 1.5M. (INCLUYE SUMINISTRO, IZAJE, APLOMADO E INSTALACIÓN).</v>
          </cell>
          <cell r="H2344" t="str">
            <v>UN</v>
          </cell>
          <cell r="I2344">
            <v>6208568</v>
          </cell>
        </row>
        <row r="2345">
          <cell r="F2345">
            <v>7651</v>
          </cell>
          <cell r="G2345" t="str">
            <v>POSTE METALICO GALVANIZADO EN CALIENTE H=14M CON BRAZO TRIPLE PROPOSITO DE 1.5M. (INCLUYE SUMINISTRO, IZAJE, APLOMADO E INSTALACIÓN).</v>
          </cell>
          <cell r="H2345" t="str">
            <v>UN</v>
          </cell>
          <cell r="I2345">
            <v>5017580</v>
          </cell>
        </row>
        <row r="2346">
          <cell r="F2346">
            <v>7652</v>
          </cell>
          <cell r="G2346" t="str">
            <v>CABLE DE 4X1/0 AWG TTU CU+1X6T (INCLUYE SUMINISTRO E INSTALACIÓN)</v>
          </cell>
          <cell r="H2346" t="str">
            <v>ML</v>
          </cell>
          <cell r="I2346">
            <v>108977</v>
          </cell>
        </row>
        <row r="2347">
          <cell r="F2347">
            <v>7653</v>
          </cell>
          <cell r="G2347" t="str">
            <v>BAJANTE GALVANIZADA TIPO PESADO CONDUIT L=6M, Ø=2". (SUMINISTRO E INSTALACIÓN)</v>
          </cell>
          <cell r="H2347" t="str">
            <v>UN</v>
          </cell>
          <cell r="I2347">
            <v>392694</v>
          </cell>
        </row>
        <row r="2348">
          <cell r="F2348">
            <v>7655</v>
          </cell>
          <cell r="G2348" t="str">
            <v>CABLE DE 4X2 AWG TTU CU+1X6T (INCLUYE SUMINISTRO E INSTALACIÓN)</v>
          </cell>
          <cell r="H2348" t="str">
            <v>ML</v>
          </cell>
          <cell r="I2348">
            <v>101487</v>
          </cell>
        </row>
        <row r="2349">
          <cell r="F2349">
            <v>7656</v>
          </cell>
          <cell r="G2349" t="str">
            <v>UPS 2KVA. INCLUYE SUMINISTRO E INSTALACIÓN</v>
          </cell>
          <cell r="H2349" t="str">
            <v>UN</v>
          </cell>
          <cell r="I2349">
            <v>1756139</v>
          </cell>
        </row>
        <row r="2350">
          <cell r="F2350">
            <v>7657</v>
          </cell>
          <cell r="G2350" t="str">
            <v>VIGA CAJON PREESFORZADA EN CONCRETO PREMEZCLADO DE 5000 PSI (34 Mpa) GRAVA COMUN (Incluye suministro, cimbra de soporte, forza andamios, forza acero losa, formaleteo metalico, curado y colocacion. No incluye refuerzo)</v>
          </cell>
          <cell r="H2350" t="str">
            <v>M3</v>
          </cell>
          <cell r="I2350">
            <v>1163533</v>
          </cell>
        </row>
        <row r="2351">
          <cell r="F2351">
            <v>7658</v>
          </cell>
          <cell r="G2351" t="str">
            <v>TUBERIA CONDUIT GALVANIZADA IMC D=3" (INCLUYE SUMINISTRO E INSTALACIÓN, ACCESORIOS DE FIJACIÓN).</v>
          </cell>
          <cell r="H2351" t="str">
            <v>ML</v>
          </cell>
          <cell r="I2351">
            <v>132882</v>
          </cell>
        </row>
        <row r="2352">
          <cell r="F2352">
            <v>7659</v>
          </cell>
          <cell r="G2352" t="str">
            <v>EMPATE ORTOGONAL PVC - PVC 12"X12" (INCLUYE SUMINISTRO E INSTALACIÓN DE TEE HD, 3 UNIONES RÁPIDAS, TUBERÍA RDE 21)</v>
          </cell>
          <cell r="H2352" t="str">
            <v>UN</v>
          </cell>
          <cell r="I2352">
            <v>6314345</v>
          </cell>
        </row>
        <row r="2353">
          <cell r="F2353">
            <v>7660</v>
          </cell>
          <cell r="G2353" t="str">
            <v>EMPATE ORTOGONAL PVC - PVC 8"X8" (INCLUYE SUMINISTRO E INSTALACIÓN DE TEE HD, 3 UNIONES RÁPIDAS, TUBERÍA RDE 21)</v>
          </cell>
          <cell r="H2353" t="str">
            <v>UN</v>
          </cell>
          <cell r="I2353">
            <v>2413642</v>
          </cell>
        </row>
        <row r="2354">
          <cell r="F2354">
            <v>7661</v>
          </cell>
          <cell r="G2354" t="str">
            <v>CABLE DE 3X20 XLPE-15-KV-AL (INCLUYE SUMINISTRO E INSTALACIÓN)</v>
          </cell>
          <cell r="H2354" t="str">
            <v>ML</v>
          </cell>
          <cell r="I2354">
            <v>146849</v>
          </cell>
        </row>
        <row r="2355">
          <cell r="F2355">
            <v>7662</v>
          </cell>
          <cell r="G2355" t="str">
            <v>BARRERA DE SEGURIDAD LATERAL EN CONCRETO 4000 PSI. PREMEZCLADO. INCLUYE SUMINISTRO, FORMALETEO, CURADO Y COLOCACIÓN. NO INCLUYE REFUERZO.</v>
          </cell>
          <cell r="H2355" t="str">
            <v>M3</v>
          </cell>
          <cell r="I2355">
            <v>826735</v>
          </cell>
        </row>
        <row r="2356">
          <cell r="F2356">
            <v>7663</v>
          </cell>
          <cell r="G2356" t="str">
            <v>CABLE DE 3X4/0 XLPE-15-KV-AL (INCLUYE SUMINISTRO E INSTALACIÓN)</v>
          </cell>
          <cell r="H2356" t="str">
            <v>ML</v>
          </cell>
          <cell r="I2356">
            <v>167466</v>
          </cell>
        </row>
        <row r="2357">
          <cell r="F2357">
            <v>7665</v>
          </cell>
          <cell r="G2357" t="str">
            <v>CAJA METÁLICA DE PASO 30CMX30CMX10CM (INCLUYE SUMINISTRO E INSTALACIÓN)</v>
          </cell>
          <cell r="H2357" t="str">
            <v>UN</v>
          </cell>
          <cell r="I2357">
            <v>86865</v>
          </cell>
        </row>
        <row r="2358">
          <cell r="F2358">
            <v>7671</v>
          </cell>
          <cell r="G2358" t="str">
            <v>LUMINARIA RALED IV 128 LED, RA02SII, 200W. COMPLETA PARA ALUMBRADO PÚBLICO. INCLUYE LUMINARIA, CABLES Y ELEMENTOS DE CONEXIÓN , OBRAS COMPLEMENTARIAS Y ACCESORIOS. (SUMINISTRO, INSTALACIÓN, PRUEBAS PUESTA EN FUNCIONAMIENTO).</v>
          </cell>
          <cell r="H2358" t="str">
            <v>UN</v>
          </cell>
          <cell r="I2358">
            <v>1851190</v>
          </cell>
        </row>
        <row r="2359">
          <cell r="F2359">
            <v>7675</v>
          </cell>
          <cell r="G2359"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H2359" t="str">
            <v>UN</v>
          </cell>
          <cell r="I2359">
            <v>2586693</v>
          </cell>
        </row>
        <row r="2360">
          <cell r="F2360">
            <v>7676</v>
          </cell>
          <cell r="G2360" t="str">
            <v>RETIRO DE POSTES DE MT (INCLUYE TRASLADO A SITIO DE ACOPIO, RETIRO DE POSTE, RETENIDAS, ESTRUCTURAS DE AMARRE Y SOPORTE DE RED AÉREA).</v>
          </cell>
          <cell r="H2360" t="str">
            <v>UN</v>
          </cell>
          <cell r="I2360">
            <v>325701</v>
          </cell>
        </row>
        <row r="2361">
          <cell r="F2361">
            <v>7679</v>
          </cell>
          <cell r="G2361" t="str">
            <v>CAJA DE EMPALME PARA FIBRA ÓPTICA (INCLUYE SUMINISTRO E INSTALACIÓN)</v>
          </cell>
          <cell r="H2361" t="str">
            <v>UN</v>
          </cell>
          <cell r="I2361">
            <v>420157</v>
          </cell>
        </row>
        <row r="2362">
          <cell r="F2362">
            <v>7680</v>
          </cell>
          <cell r="G2362" t="str">
            <v>COLUMNA EN CONCRETO DE 4000 PSI, (28 MPa) PREMEZCLADO, GRAVA COMÚN (Incluye suministro, Grúa Telescópica, Bombeo, formaleteo metálico, colocación y curado, No incluye refuerzo).</v>
          </cell>
          <cell r="H2362" t="str">
            <v>M3</v>
          </cell>
          <cell r="I2362">
            <v>749236</v>
          </cell>
        </row>
        <row r="2363">
          <cell r="F2363">
            <v>7681</v>
          </cell>
          <cell r="G2363" t="str">
            <v>VIGA CABEZAL EN CONCRETO PREMEZCLADO DE 4000 PSI (28 Mpa) GRAVA COMUN (Incluye grua telescopica, bombeo, suministro, formaleteo metalico, colocacion y curado. No incluye refuerzo)</v>
          </cell>
          <cell r="H2363" t="str">
            <v>M3</v>
          </cell>
          <cell r="I2363">
            <v>828190</v>
          </cell>
        </row>
        <row r="2364">
          <cell r="F2364">
            <v>7687</v>
          </cell>
          <cell r="G2364" t="str">
            <v>2 DUCTOS DE 3" EN TUBERÍA IMC, TIPO PESADO, CON CERTIFICADO DE PRODUCTO RETIE (INCLUYE SUMINISTRO E INSTALACIÓN, ACCESORIOS DE FIJACIÓN).</v>
          </cell>
          <cell r="H2364" t="str">
            <v>ML</v>
          </cell>
          <cell r="I2364">
            <v>256392</v>
          </cell>
        </row>
        <row r="2365">
          <cell r="F2365">
            <v>7689</v>
          </cell>
          <cell r="G2365" t="str">
            <v>POSTE METALICO H=21M. INCLUYE CANASTILLA Y BRAZO SENCILLO. (INC. SUMINISTRO, IZAJE, APLOMADO E INSTALACIÓN. INC. BRAZO SENCILLO Y BASE EN CONCRETO Y BASE GRANULAR B-600)</v>
          </cell>
          <cell r="H2365" t="str">
            <v>UN</v>
          </cell>
          <cell r="I2365">
            <v>13115943</v>
          </cell>
        </row>
        <row r="2366">
          <cell r="F2366">
            <v>7690</v>
          </cell>
          <cell r="G2366" t="str">
            <v>PROYECTOR LED PRO 600W 5000K, 120-277V, 6000 LM, CON DIFUSOR DE VIDRIO PLANO (INCLUYE ACCESORIOS DE FIJACION) (INCLUYE SUMINISTRO E INSTALACIÓN).</v>
          </cell>
          <cell r="H2366" t="str">
            <v>UN</v>
          </cell>
          <cell r="I2366">
            <v>4047330</v>
          </cell>
        </row>
        <row r="2367">
          <cell r="F2367">
            <v>7691</v>
          </cell>
          <cell r="G2367" t="str">
            <v>TRAGANTE CÚPULA DE 4" X 3" PLÁSTICA. (INCLUYE SUMINISTRO E INSTALACIÓN).</v>
          </cell>
          <cell r="H2367" t="str">
            <v>UN</v>
          </cell>
          <cell r="I2367">
            <v>10375</v>
          </cell>
        </row>
        <row r="2368">
          <cell r="F2368">
            <v>7697</v>
          </cell>
          <cell r="G2368" t="str">
            <v>ACOMETIDA EN BAJA TENSIÓN EN CONDUCTORES ALUMINIO 6X150 MM^2 + 1X70 MM^2, THHN, 600 V, INCLUYE CONECTORES, ACCESORIOS, ELEMENTOS DE MARCACION Y FIJACION (INCLUYE SUMINISTRO E INSTALACIÓN) DESDE TRANSFORMADOR HACIA TABLERO SISTEMA CONTRA INCENDIO.</v>
          </cell>
          <cell r="H2368" t="str">
            <v>ML</v>
          </cell>
          <cell r="I2368">
            <v>2591266</v>
          </cell>
        </row>
        <row r="2369">
          <cell r="F2369">
            <v>7713</v>
          </cell>
          <cell r="G2369" t="str">
            <v>(DOVELAS) ACERO LISO PARA TRANSFERENCIA DE LOSAS D= 1 1/2" (NO INCLUYE CANASTILLA). SUMINISTRO E INSTALACIÓN.</v>
          </cell>
          <cell r="H2369" t="str">
            <v>KG</v>
          </cell>
          <cell r="I2369">
            <v>6425</v>
          </cell>
        </row>
        <row r="2370">
          <cell r="F2370">
            <v>7714</v>
          </cell>
          <cell r="G2370" t="str">
            <v>(DOVELAS) ACERO LISO PARA TRANSFERENCIA DE LOSAS D= 1" (NO INCLUYE CANASTILLA). SUMINISTRO E INSTALACIÓN.</v>
          </cell>
          <cell r="H2370" t="str">
            <v>KG</v>
          </cell>
          <cell r="I2370">
            <v>6425</v>
          </cell>
        </row>
        <row r="2371">
          <cell r="F2371">
            <v>7715</v>
          </cell>
          <cell r="G2371" t="str">
            <v>PERFILES DE ACERO A36. INCLUYE MANO DE OBRA, FABRICACIÓN, TRANSPORTE Y MONTAJE. INCLUYE RECUBRIMIENTO TRICAPA, ANTICORROSIVO, PINTURA EPÓXICA Y ESMALTE URETANO, ACCESORIOS E INSTALACIÓN SEGÚN DETALLE EN PLANOS Y ESPECIFICACIONES TÉCNICAS.</v>
          </cell>
          <cell r="H2371" t="str">
            <v>UN</v>
          </cell>
          <cell r="I2371">
            <v>6872</v>
          </cell>
        </row>
        <row r="2372">
          <cell r="F2372">
            <v>7717</v>
          </cell>
          <cell r="G2372" t="str">
            <v>CONCRETO 3500 PSI GRAVA COMÚN PARA CONSTRUCCIÓN DE CAISSON DE 2.00M DE DIÁMETRO (INCLUYE EXCAVACIÓN MANUAL, SUMINISTRO DE CAMISA METÁLICA PERDIDA E= 3/8" FORMALETEO Y COLOCACIÓN. SUMIN DE CONCRETO PREMEZCLADO. NO INCL. REFUERZO, CURADO).</v>
          </cell>
          <cell r="H2372" t="str">
            <v>M3</v>
          </cell>
          <cell r="I2372">
            <v>1775195</v>
          </cell>
        </row>
        <row r="2373">
          <cell r="F2373">
            <v>7720</v>
          </cell>
          <cell r="G2373" t="str">
            <v>CURADO DE ELEMENTOS DE CONCRETO (SUMINISTRO Y APLICACIÓN)</v>
          </cell>
          <cell r="H2373" t="str">
            <v>M3</v>
          </cell>
          <cell r="I2373">
            <v>8959</v>
          </cell>
        </row>
        <row r="2374">
          <cell r="F2374">
            <v>7722</v>
          </cell>
          <cell r="G2374" t="str">
            <v>ALQUILER DE ESTRUCTURA METÁLICA PARA SOPORTE PROVISIONAL DE VIGAS DE PUENTE VEHICULAR. INCLUYE MANO DE OBRA, EQUIPOS Y MATERIALES.</v>
          </cell>
          <cell r="H2374" t="str">
            <v>KG</v>
          </cell>
          <cell r="I2374">
            <v>3669</v>
          </cell>
        </row>
        <row r="2375">
          <cell r="F2375">
            <v>7723</v>
          </cell>
          <cell r="G2375" t="str">
            <v>MONTAJE Y DESMONTAJE DE ESTRUCTURA METÁLICA EN ALQUILER PARA SOPORTE PROVISIONAL DE VIGAS DE PUENTE VEHICULAR. INCLUYE CARGUE, DESCARGUE Y TRANSPORTE DESDE BODEGA; MONTAJE Y DESMONTAJE, CARGUE Y DESMONTE, CARGUE, DESCARGUE Y TRANSPORTE A BODEGA.</v>
          </cell>
          <cell r="H2375" t="str">
            <v>KG</v>
          </cell>
          <cell r="I2375">
            <v>8752</v>
          </cell>
        </row>
        <row r="2376">
          <cell r="F2376">
            <v>7725</v>
          </cell>
          <cell r="G2376" t="str">
            <v>PILOTE D=100 CM CON CONCRETO TREMIE DE 4000 PSI. (INCL. EXCAVACIÓN, CARGUE, MOVILIZACIÓN, MONTAJE Y DESMONTAJE EQUIPO Y CONCRETO)</v>
          </cell>
          <cell r="H2376" t="str">
            <v>ML</v>
          </cell>
          <cell r="I2376">
            <v>1130119</v>
          </cell>
        </row>
        <row r="2377">
          <cell r="F2377">
            <v>7726</v>
          </cell>
          <cell r="G2377" t="str">
            <v>BRIDA CIEGA EN ACERO D= 16". PRESIÓN DE TRABAJO= 150 PSI.</v>
          </cell>
          <cell r="H2377" t="str">
            <v>UN</v>
          </cell>
          <cell r="I2377">
            <v>1697184</v>
          </cell>
        </row>
        <row r="2378">
          <cell r="F2378">
            <v>7727</v>
          </cell>
          <cell r="G2378" t="str">
            <v>TEE PVC U.M. 8" X 4" (SUMINISTRO E INSTALACIÓN)</v>
          </cell>
          <cell r="H2378" t="str">
            <v>UN</v>
          </cell>
          <cell r="I2378">
            <v>1748234</v>
          </cell>
        </row>
        <row r="2379">
          <cell r="F2379">
            <v>7739</v>
          </cell>
          <cell r="G2379" t="str">
            <v>BRIDA CIEGA EN ACERO (HD), PN 10, D= 2". PRESIÓN DE TRABAJO= 150 PSI. SUMINISTRO E INSTALACIÓN.</v>
          </cell>
          <cell r="H2379" t="str">
            <v>UN</v>
          </cell>
          <cell r="I2379">
            <v>129980</v>
          </cell>
        </row>
        <row r="2380">
          <cell r="F2380">
            <v>7740</v>
          </cell>
          <cell r="G2380" t="str">
            <v>BRIDA CIEGA EN ACERO (HD), PN 10, D= 4". PRESIÓN DE TRABAJO= 150 PSI. SUMINISTRO E INSTALACIÓN.</v>
          </cell>
          <cell r="H2380" t="str">
            <v>UN</v>
          </cell>
          <cell r="I2380">
            <v>251431</v>
          </cell>
        </row>
        <row r="2381">
          <cell r="F2381">
            <v>7741</v>
          </cell>
          <cell r="G2381" t="str">
            <v>BRIDA CIEGA EN ACERO (HD), PN 10, D= 12". PRESIÓN DE TRABAJO= 150 PSI. SUMINISTRO E INSTALACIÓN.</v>
          </cell>
          <cell r="H2381" t="str">
            <v>UN</v>
          </cell>
          <cell r="I2381">
            <v>1029209</v>
          </cell>
        </row>
        <row r="2382">
          <cell r="F2382">
            <v>7744</v>
          </cell>
          <cell r="G2382" t="str">
            <v>PASO ESCALERA DE GATO EN POLIPROPILENO DE ALTO IMPACTO CON ALMA DE ACERO S/NS-07. SUMINISTRO E INSTALACIÓN.</v>
          </cell>
          <cell r="H2382" t="str">
            <v>UN</v>
          </cell>
          <cell r="I2382">
            <v>129520</v>
          </cell>
        </row>
        <row r="2383">
          <cell r="F2383">
            <v>7745</v>
          </cell>
          <cell r="G2383" t="str">
            <v>ELEMENTO DE VENTILACIÓN PARA CÁMARA DE ACCESORIOS EN HG D= 4". (INCLUYE SUMINISTRO E INSTALACIÓN).</v>
          </cell>
          <cell r="H2383" t="str">
            <v>UN</v>
          </cell>
          <cell r="I2383">
            <v>433607</v>
          </cell>
        </row>
        <row r="2384">
          <cell r="F2384">
            <v>7750</v>
          </cell>
          <cell r="G2384" t="str">
            <v>CERRAMIENTO ANTICOLADO, INCLUYE PERFIL TUBULAR 3" ALTURA 2.50 M EMBEBIDOS EN CONCRETO CON SEPARACIÓN ENTRE TUBOS DE 19 CM, EXCAVACIÓN, VIGA DE PISO (0.45 M X 0.20 M). SUMINISTRO E INSTALACIÓN</v>
          </cell>
          <cell r="H2384" t="str">
            <v>ML</v>
          </cell>
          <cell r="I2384">
            <v>807828</v>
          </cell>
        </row>
        <row r="2385">
          <cell r="F2385">
            <v>7751</v>
          </cell>
          <cell r="G2385" t="str">
            <v>FRESADO PAVIMENTO ASFÁLTICO (INCLUYE CARGUE) INCLUYE AGUA, PUNTAS. NO INCLUYE TRANSPORTE DE MAQUINARIA, TRANSPORTE DEL FRESADO NI DISPOSICIÓN FINAL).</v>
          </cell>
          <cell r="H2385" t="str">
            <v>M3</v>
          </cell>
          <cell r="I2385">
            <v>92496</v>
          </cell>
        </row>
        <row r="2386">
          <cell r="F2386">
            <v>7768</v>
          </cell>
          <cell r="G2386" t="str">
            <v>COLUMNA EN CONCRETO DE 3000 PSI, (21 MPa) PREMEZCLADO, GRAVA COMÚN (Incluye suministro, Grúa Telescópica, Bombeo, formaleteo metálico, colocación y curado, No incluye refuerzo).</v>
          </cell>
          <cell r="H2386" t="str">
            <v>M3</v>
          </cell>
          <cell r="I2386">
            <v>691680</v>
          </cell>
        </row>
        <row r="2387">
          <cell r="F2387">
            <v>7771</v>
          </cell>
          <cell r="G2387" t="str">
            <v>CAÑUELA TIPO FUNDIDA EN SITIO 1000X300X225 CON CONCRETO 3000 PSI HECHO EN OBRA (SUMINISTRO Y CONSTRUCCIÓN. INCLUYE CONCRETO DE 3000 PSI HECHO EN OBRA, IMPERMEABILIZANTE PARA CONCRETO).</v>
          </cell>
          <cell r="H2387" t="str">
            <v>ML</v>
          </cell>
          <cell r="I2387">
            <v>96535</v>
          </cell>
        </row>
        <row r="2388">
          <cell r="F2388">
            <v>7772</v>
          </cell>
          <cell r="G2388" t="str">
            <v>ALQUILER KIT DE EMERGENCIAS (INCLUYE EXTINTOR DE 10 LBS, CAMILLA EN POLIETILENO PRIMEROS AUXILIOS, INMOVILIZADOR CABEZA, CONO DE H= 1.0M Y BOTIQUÍN.</v>
          </cell>
          <cell r="H2388" t="str">
            <v>UN/MES</v>
          </cell>
          <cell r="I2388">
            <v>31560</v>
          </cell>
        </row>
        <row r="2389">
          <cell r="F2389">
            <v>7773</v>
          </cell>
          <cell r="G2389" t="str">
            <v>VALLA DE 3.00 M X 6.00 M CON ESTRUCTURA METÁLICA - ESTRUCTURA TIPO VALLA EN CERCHA + BANNER. INCLUYE SUMINISTRO E INSTALACIÓN. IMPRESIÓN 720 DPI; TINTAS PARA EXTERIORES.</v>
          </cell>
          <cell r="H2389" t="str">
            <v>UN</v>
          </cell>
          <cell r="I2389">
            <v>4545714</v>
          </cell>
        </row>
        <row r="2390">
          <cell r="F2390">
            <v>7774</v>
          </cell>
          <cell r="G2390" t="str">
            <v>VALLA MÓVIL DE 1.20M X 1.20M EN LÁMINA GALVANIZADA CALIBRE 20, ÁNGULO EN HIERRO DE 2 X 1-1/8" IMPRESO EN VINILO ADHESIVO. INCLUYE SUMINISTRO E INSTALACIÓN. IMPRESIÓN 720 DPI; TINTAS PARA EXTERIORES.</v>
          </cell>
          <cell r="H2390" t="str">
            <v>UN</v>
          </cell>
          <cell r="I2390">
            <v>382737</v>
          </cell>
        </row>
        <row r="2391">
          <cell r="F2391">
            <v>7775</v>
          </cell>
          <cell r="G2391" t="str">
            <v>GEOMEMBRANA LISA HDPE 30 MILS. (SUMINISTRO E INSTALACIÓN).</v>
          </cell>
          <cell r="H2391" t="str">
            <v>M2</v>
          </cell>
          <cell r="I2391">
            <v>13090</v>
          </cell>
        </row>
        <row r="2392">
          <cell r="F2392">
            <v>7776</v>
          </cell>
          <cell r="G2392" t="str">
            <v>ARENA DE RÍO PARA EMBOQUILLADO (INCLUYE SUMINISTRO, BARRIDO PARA SELLADO DE JUNTAS Y COMPACTACIÓN)</v>
          </cell>
          <cell r="H2392" t="str">
            <v>M3</v>
          </cell>
          <cell r="I2392">
            <v>190447</v>
          </cell>
        </row>
        <row r="2393">
          <cell r="F2393">
            <v>7777</v>
          </cell>
          <cell r="G2393" t="str">
            <v>GEODREN CON TUBERÍA CIRCULAR 100MM H=0.5 O DRENAFLEX CON TUBERÍA CIRCULAR 100MM H=0.5. SUMINISTRO E INSTALACION.</v>
          </cell>
          <cell r="H2393" t="str">
            <v>ML</v>
          </cell>
          <cell r="I2393">
            <v>35392</v>
          </cell>
        </row>
        <row r="2394">
          <cell r="F2394">
            <v>7778</v>
          </cell>
          <cell r="G2394" t="str">
            <v>CUADRILLA (OFICIAL + 4 AYUDANTES) HORARIO NOCTURNO INCLUYE PRESTACIONES</v>
          </cell>
          <cell r="H2394" t="str">
            <v>HR</v>
          </cell>
          <cell r="I2394">
            <v>59000</v>
          </cell>
        </row>
        <row r="2395">
          <cell r="F2395">
            <v>7779</v>
          </cell>
          <cell r="G2395" t="str">
            <v>CUADRILLA (2 AYUDANTES) HORARIO NOCTURNO - JR</v>
          </cell>
          <cell r="H2395" t="str">
            <v>JR</v>
          </cell>
          <cell r="I2395">
            <v>171998</v>
          </cell>
        </row>
        <row r="2396">
          <cell r="F2396">
            <v>7780</v>
          </cell>
          <cell r="G2396" t="str">
            <v>CUADRILLA (OFICIAL + AYUDANTES) HORARIO NOCTURNO INCLUYE PRESTACIONES</v>
          </cell>
          <cell r="H2396" t="str">
            <v>HR</v>
          </cell>
          <cell r="I2396">
            <v>26000</v>
          </cell>
        </row>
        <row r="2397">
          <cell r="F2397">
            <v>7781</v>
          </cell>
          <cell r="G2397" t="str">
            <v>CUADRILLA (OFICIAL + 2 AYUDANTES) HORARIO NOCTURNO</v>
          </cell>
          <cell r="H2397" t="str">
            <v>JR</v>
          </cell>
          <cell r="I2397">
            <v>295997</v>
          </cell>
        </row>
        <row r="2398">
          <cell r="F2398">
            <v>7782</v>
          </cell>
          <cell r="G2398" t="str">
            <v>CUADRILLA (OFICIAL + 2 AYUDANTES) HORARIO NOCTURNO INCLUYE PRESTACIONES</v>
          </cell>
          <cell r="H2398" t="str">
            <v>HR</v>
          </cell>
          <cell r="I2398">
            <v>37000</v>
          </cell>
        </row>
        <row r="2399">
          <cell r="F2399">
            <v>7783</v>
          </cell>
          <cell r="G2399" t="str">
            <v>CUADRILLA (3 OFICIAL + 6 AYUDANTES) HORARIO NOCTURNO</v>
          </cell>
          <cell r="H2399" t="str">
            <v>JR</v>
          </cell>
          <cell r="I2399">
            <v>887991</v>
          </cell>
        </row>
        <row r="2400">
          <cell r="F2400">
            <v>7784</v>
          </cell>
          <cell r="G2400" t="str">
            <v>CUADRILLA (OFICIAL + AYUDANTES) HORARIO NOCTURNO</v>
          </cell>
          <cell r="H2400" t="str">
            <v>JR</v>
          </cell>
          <cell r="I2400">
            <v>209998</v>
          </cell>
        </row>
        <row r="2401">
          <cell r="F2401">
            <v>7785</v>
          </cell>
          <cell r="G2401" t="str">
            <v>LOSA DE CONCRETO MR45 (SUMINISTRO, FORMALETEADO, COLOCACIÓN, CURADO, JUNTAS Y ACABADO. INCLUYE CANASTILLA PASA JUNTA.</v>
          </cell>
          <cell r="H2401" t="str">
            <v>M3</v>
          </cell>
          <cell r="I2401">
            <v>890292</v>
          </cell>
        </row>
        <row r="2402">
          <cell r="F2402">
            <v>7786</v>
          </cell>
          <cell r="G2402" t="str">
            <v>CURADO DE LOSAS DE CONCRETO - HORARIO NOCTURNO. (SUMINISTRO Y APLICACIÓN)</v>
          </cell>
          <cell r="H2402" t="str">
            <v>M2</v>
          </cell>
          <cell r="I2402">
            <v>2021</v>
          </cell>
        </row>
        <row r="2403">
          <cell r="F2403">
            <v>7787</v>
          </cell>
          <cell r="G2403" t="str">
            <v>CANASTILLA PASAJUNTAS - HORARIO NOCTURNO. (INCLUYE SUMINISTRO Y FIJACIÓN)</v>
          </cell>
          <cell r="H2403" t="str">
            <v>KG</v>
          </cell>
          <cell r="I2403">
            <v>7604</v>
          </cell>
        </row>
        <row r="2404">
          <cell r="F2404">
            <v>7788</v>
          </cell>
          <cell r="G2404" t="str">
            <v>CORTE DE PAVIMENTO (HORARIO NOCTURNO) - INCLUYE EQUIPO: CORTADORA DE CONCRETO INCLUYE OPERARIO Y COMBUSTIBLE. INCLUYE DISCO DIAMANTADO ASFALTO-CONCRETO 350 MM, AGUA Y MANO DE OBRA.</v>
          </cell>
          <cell r="H2404" t="str">
            <v>ML</v>
          </cell>
          <cell r="I2404">
            <v>2392</v>
          </cell>
        </row>
        <row r="2405">
          <cell r="F2405">
            <v>7789</v>
          </cell>
          <cell r="G2405" t="str">
            <v>SELLADO DE JUNTAS EN PAVIMENTO FLEXIBLE - HORARIO NOCTURNO (INCLUYE LIMPIEZA, SUMINISTRO E INSTALACIÓN DE FONDO Y EMULSIÓN ASFÁLTICA CRR-1)</v>
          </cell>
          <cell r="H2405" t="str">
            <v>ML</v>
          </cell>
          <cell r="I2405">
            <v>7282</v>
          </cell>
        </row>
        <row r="2406">
          <cell r="F2406">
            <v>7790</v>
          </cell>
          <cell r="G2406" t="str">
            <v>EXCAVACIÓN MANUAL EN MATERIAL COMÚN. HORARIO NOCTURNO. INCLUYE CARGUE.</v>
          </cell>
          <cell r="H2406" t="str">
            <v>M3</v>
          </cell>
          <cell r="I2406">
            <v>48841</v>
          </cell>
        </row>
        <row r="2407">
          <cell r="F2407">
            <v>7791</v>
          </cell>
          <cell r="G2407" t="str">
            <v>BASE GRANULAR CLASE B (BG_B) - HORARIO NOCTURNO. (SUMINISTRO, EXTENDIDO MANUAL, HUMEDECIMIENTO Y COMPACTACIÓN)</v>
          </cell>
          <cell r="H2407" t="str">
            <v>M3</v>
          </cell>
          <cell r="I2407">
            <v>179293</v>
          </cell>
        </row>
        <row r="2408">
          <cell r="F2408">
            <v>7792</v>
          </cell>
          <cell r="G2408" t="str">
            <v>FRESADO PAVIMENTO ASFÁLTICO - HORARIO NOCTURNO. (INCLUYE CARGUE) INCLUYE AGUA, PUNTAS. NO INCLUYE TRANSPORTE DE MAQUINARIA, TRANSPORTE DEL FRESADO NI DISPOSICIÓN FINAL).</v>
          </cell>
          <cell r="H2408" t="str">
            <v>M3</v>
          </cell>
          <cell r="I2408">
            <v>93360</v>
          </cell>
        </row>
        <row r="2409">
          <cell r="F2409">
            <v>7793</v>
          </cell>
          <cell r="G2409" t="str">
            <v>IMPRIMACIÓN CON EMULSIÓN ASFÁLTICA CRL-0 - HORARIO NOCTURNO. (SUMINISTRO, BARRIDO SUPERFICIE Y RIEGO)</v>
          </cell>
          <cell r="H2409" t="str">
            <v>M2</v>
          </cell>
          <cell r="I2409">
            <v>4526</v>
          </cell>
        </row>
        <row r="2410">
          <cell r="F2410">
            <v>7794</v>
          </cell>
          <cell r="G2410" t="str">
            <v>MEZCLA ASFÁLTICA EN CALIENTE TIPO DENSO MD20 ASFALTO CONVENCIONAL 60-70 - HORARIO NOCTURNO. (SUMINISTRO, EXTENDIDO, NIVELACIÓN Y COMPACTACIÓN MECANICA CON VIBROCOMPACTADOR Y COMPACTADOR DE LLANTAS)</v>
          </cell>
          <cell r="H2410" t="str">
            <v>M3</v>
          </cell>
          <cell r="I2410">
            <v>1116057</v>
          </cell>
        </row>
        <row r="2411">
          <cell r="F2411">
            <v>7795</v>
          </cell>
          <cell r="G2411" t="str">
            <v>MEZCLA ASFÁLTICA EN CALIENTE TIPO DENSO MD10 ASFALTO CONVENCIONAL - HORARIO NOCTURNO. (CEMENTO ASFÁLTICO 80-100) (SUMINISTRO, EXTENDIDO, NIVELACIÓN Y COMPACTACIÓN MECANICA CON VIBROCOMPACTADOR Y COMPACTADOR DE LLANTAS)</v>
          </cell>
          <cell r="H2411" t="str">
            <v>M3</v>
          </cell>
          <cell r="I2411">
            <v>1160699</v>
          </cell>
        </row>
        <row r="2412">
          <cell r="F2412">
            <v>7796</v>
          </cell>
          <cell r="G2412" t="str">
            <v>EXCAVACIÓN MECÁNICA EN MATERIAL COMÚN - HORARIO NOCTURNO. (INCLUYE CARGUE)</v>
          </cell>
          <cell r="H2412" t="str">
            <v>M3</v>
          </cell>
          <cell r="I2412">
            <v>5592</v>
          </cell>
        </row>
        <row r="2413">
          <cell r="F2413">
            <v>7797</v>
          </cell>
          <cell r="G2413" t="str">
            <v>BASE GRANULAR BG-A - HORARIO NOCTURNO. (SUMINISTRO, EXTENDIDO, NIVELACIÓN, HUMEDECIMIENTO Y COMPACTACIÓN CON VIBROCOMPACTADOR BENITIN DE 1 TONELADA)</v>
          </cell>
          <cell r="H2413" t="str">
            <v>M3</v>
          </cell>
          <cell r="I2413">
            <v>174538</v>
          </cell>
        </row>
        <row r="2414">
          <cell r="F2414">
            <v>7798</v>
          </cell>
          <cell r="G2414" t="str">
            <v>DEMOLICIÓN PAVIMENTO ASFÁLTICO. HORARIO NOCTURNO. (INCLUYE CARGUE). NO INCLUYE TRANSPORTE Y DISPOSICIÓN FINAL DE SOBRANTES.</v>
          </cell>
          <cell r="H2414" t="str">
            <v>M3</v>
          </cell>
          <cell r="I2414">
            <v>37248</v>
          </cell>
        </row>
        <row r="2415">
          <cell r="F2415">
            <v>7799</v>
          </cell>
          <cell r="G2415" t="str">
            <v>DEMOLICIÓN PAVIMENTO ASFÁLTICO - HORARIO NOCTURNO. (ESPESOR VARIABLE. INCLUYE CARGUE). NO INCLUYE TRANSPORTE Y DISPOSICIÓN FINAL DE SOBRANTES.</v>
          </cell>
          <cell r="H2415" t="str">
            <v>M2</v>
          </cell>
          <cell r="I2415">
            <v>7496</v>
          </cell>
        </row>
        <row r="2416">
          <cell r="F2416">
            <v>7800</v>
          </cell>
          <cell r="G2416" t="str">
            <v>MEZCLA ASFÁLTICA EN CALIENTE TIPO DENSO MD12 CON CEMENTO ASFÁLTICO 60-70 - HORARIO NOCTURNO. (SUMINISTRO, EXTENDIDO Y NIVELACIÓN MANUAL Y COMPACTACIÓN MECANICA CON VIBROCOMPACTADOR BENITIN DE 1 TONELADA INCLUYE OPERARIO Y COMBUSTIBLE)</v>
          </cell>
          <cell r="H2416" t="str">
            <v>M3</v>
          </cell>
          <cell r="I2416">
            <v>1125956</v>
          </cell>
        </row>
        <row r="2417">
          <cell r="F2417">
            <v>7801</v>
          </cell>
          <cell r="G2417" t="str">
            <v>DEMOLICIÓN PISOS DE CONCRETO - HORARIO NOCTURNO. (INCLUYE CARGUE). NO INCLUYE TRANSPORTE Y DISPOSICIÓN FINAL DE SOBRANTES.</v>
          </cell>
          <cell r="H2417" t="str">
            <v>M3</v>
          </cell>
          <cell r="I2417">
            <v>55371</v>
          </cell>
        </row>
        <row r="2418">
          <cell r="F2418">
            <v>7802</v>
          </cell>
          <cell r="G2418" t="str">
            <v>FRESADO Y REPOSICIÓN DE PAVIMENTO FLEXIBLE E=0.18 M - HORARIO NOCTURNO. (INCLUYE CARGUE)</v>
          </cell>
          <cell r="H2418" t="str">
            <v>M2</v>
          </cell>
          <cell r="I2418">
            <v>191383</v>
          </cell>
        </row>
        <row r="2419">
          <cell r="F2419">
            <v>7803</v>
          </cell>
          <cell r="G2419" t="str">
            <v>REPLANTEO GENERAL - HORARIO NOCTURNO</v>
          </cell>
          <cell r="H2419" t="str">
            <v>M2</v>
          </cell>
          <cell r="I2419">
            <v>815</v>
          </cell>
        </row>
        <row r="2420">
          <cell r="F2420">
            <v>7804</v>
          </cell>
          <cell r="G2420" t="str">
            <v>REPOSICIÓN DE LOSA DE CONCRETO MR45 E=0.20 M - HORARIO NOCTURNO. INCLUYE ACERO DE REFUERZO, DEMOLICIÓN DE PISOS DE CONCRETO, TRANSPORTE Y DISPOSICIÓN FINAL DE ESCOMBROS.</v>
          </cell>
          <cell r="H2420" t="str">
            <v>M2</v>
          </cell>
          <cell r="I2420">
            <v>236160</v>
          </cell>
        </row>
        <row r="2421">
          <cell r="F2421">
            <v>7805</v>
          </cell>
          <cell r="G2421" t="str">
            <v>ACERO DE REFUERZO - HORARIO NOCTURNO. (INCLUYE SUMINISTRO, FIGURADO Y FIJACIÓN)</v>
          </cell>
          <cell r="H2421" t="str">
            <v>KG</v>
          </cell>
          <cell r="I2421">
            <v>5563</v>
          </cell>
        </row>
        <row r="2422">
          <cell r="F2422">
            <v>7806</v>
          </cell>
          <cell r="G2422" t="str">
            <v>LOSA DE CONCRETO MR45 - HORARIO NOCTURNO. (SUMINISTRO, FORMALETEADO, COLOCACIÓN, CURADO, JUNTAS Y ACABADO. INCLUYE CANASTILLA PASA JUNTA.</v>
          </cell>
          <cell r="H2422" t="str">
            <v>M3</v>
          </cell>
          <cell r="I2422">
            <v>917113</v>
          </cell>
        </row>
        <row r="2423">
          <cell r="F2423">
            <v>7807</v>
          </cell>
          <cell r="G2423" t="str">
            <v>BASE GRANULAR CLASE A (BG_A)- HORARIO NOCTURNO. (SUMINISTRO, EXTENDIDO, NIVELACIÓN, HUMEDECIMIENTO Y COMPACTACIÓN CON VIBROCOMPACTADOR)</v>
          </cell>
          <cell r="H2423" t="str">
            <v>M3</v>
          </cell>
          <cell r="I2423">
            <v>161666</v>
          </cell>
        </row>
        <row r="2424">
          <cell r="F2424">
            <v>7808</v>
          </cell>
          <cell r="G2424" t="str">
            <v>INSTALACION Y PUESTA EN SERVICIO DE CONTROLADOR DE TRAFICO C900 EN LA CIUDAD DE BOGOTÁ, (INCLUYE TRANSPORTE DE CONTROLADOR DESDE LA SDM HASTA LUGAR DE INSTALACIÓN EN BOGOTÁ, MANO DE OBRA E IVA, NO INCLUYE SUMINISTRO DE CONTROLADOR.</v>
          </cell>
          <cell r="H2424" t="str">
            <v>UN</v>
          </cell>
          <cell r="I2424">
            <v>4206174</v>
          </cell>
        </row>
        <row r="2425">
          <cell r="F2425">
            <v>7809</v>
          </cell>
          <cell r="G2425" t="str">
            <v>DEFENSA VIAL METÁLICA DOBLE CRESTA EN ACERO LAMINADO EN FRÍO, VIGAS EN FORMA DOBLE HONDA O W, PARALES Y SEPARADORES METÁLICOS - APLICA NORMAS AASTHO M-180/NTC3755, NTC3783, ARTÍCULO 730 Y 740 DEL INVIAS Y MANUAL DE SEÑALIZACIÓN DEL MINISTERIO DE TRANSPORTE.</v>
          </cell>
          <cell r="H2425" t="str">
            <v>ML</v>
          </cell>
          <cell r="I2425">
            <v>267560</v>
          </cell>
        </row>
        <row r="2426">
          <cell r="F2426">
            <v>7810</v>
          </cell>
          <cell r="G2426" t="str">
            <v>LEVANTAMIENTO TOPOGRÁFICO A TODO COSTO. NIVEL DE COMPLEJIDAD ALTO. INCLUYE PERSONAL, EQUIPOS, COSTOS OPERACIONALES, PROCESAMIENTO Y ENTREGA DE LA INFORMACIÓN, TODOS LOS COSTOS INDIRECTOS E IVA.</v>
          </cell>
          <cell r="H2426" t="str">
            <v>M2</v>
          </cell>
          <cell r="I2426">
            <v>1547</v>
          </cell>
        </row>
        <row r="2427">
          <cell r="F2427">
            <v>7811</v>
          </cell>
          <cell r="G2427" t="str">
            <v>LEVANTAMIENTO TOPOGRÁFICO A TODO COSTO. NIVEL DE COMPLEJIDAD MEDIO. INCLUYE PERSONAL, EQUIPOS, COSTOS OPERACIONALES, PROCESAMIENTO Y ENTREGA DE LA INFORMACIÓN, TODOS LOS COSTOS INDIRECTOS E IVA.</v>
          </cell>
          <cell r="H2427" t="str">
            <v>M2</v>
          </cell>
          <cell r="I2427">
            <v>1131</v>
          </cell>
        </row>
        <row r="2428">
          <cell r="F2428">
            <v>7812</v>
          </cell>
          <cell r="G2428" t="str">
            <v>LEVANTAMIENTO TOPOGRÁFICO A TODO COSTO. NIVEL DE COMPLEJIDAD BAJO. INCLUYE PERSONAL, EQUIPOS, COSTOS OPERACIONALES, PROCESAMIENTO Y ENTREGA DE LA INFORMACIÓN, TODOS LOS COSTOS INDIRECTOS E IVA.</v>
          </cell>
          <cell r="H2428" t="str">
            <v>M2</v>
          </cell>
          <cell r="I2428">
            <v>812</v>
          </cell>
        </row>
        <row r="2429">
          <cell r="F2429">
            <v>7818</v>
          </cell>
          <cell r="G2429" t="str">
            <v>PROTECCIÓN A ALCANTARILLAS (INCLUYE SUMINISTRO Y COLOCACIÓN DE BOLSAS DE LONA Y GEOTEXTIL NT 1600 O SIMILAR).</v>
          </cell>
          <cell r="H2429" t="str">
            <v>UN/MES</v>
          </cell>
          <cell r="I2429">
            <v>10121</v>
          </cell>
        </row>
        <row r="2430">
          <cell r="F2430">
            <v>7819</v>
          </cell>
          <cell r="G2430" t="str">
            <v>PROTECCIÓN A SUMIDEROS CON POLISOMBRA 47% (INCLUYE SUMINISTRO Y COLOCACIÓN DE POLISOMBRA 47% ASEGURADO CON PUNTILLA GRAPA).</v>
          </cell>
          <cell r="H2430" t="str">
            <v>UN/MES</v>
          </cell>
          <cell r="I2430">
            <v>3693</v>
          </cell>
        </row>
        <row r="2431">
          <cell r="F2431">
            <v>7820</v>
          </cell>
          <cell r="G2431" t="str">
            <v>PROTECCIÓN A ÁRBOLES (INCLUYE SUMINISTRO Y COLOCACIÓN DE DURMIENTES DE 2.90M X 0.04M X 0.04M Y POLISOMBRA AL 47% DE TAL MANERA QUE GARANTICE LA PROTECCIÓN AL INDIVIDUO VEGETAL.</v>
          </cell>
          <cell r="H2431" t="str">
            <v>UN</v>
          </cell>
          <cell r="I2431">
            <v>23792</v>
          </cell>
        </row>
        <row r="2432">
          <cell r="F2432">
            <v>7821</v>
          </cell>
          <cell r="G2432" t="str">
            <v>INSTALACIÓN DE TUBERÍA PVC U.M. EXT CORRUGADO/INT LISO U.M. NORMA NTC 3722-1 D=ENTRE 0" HASTA 10" (INCLUYE TRANSPORTE)</v>
          </cell>
          <cell r="H2432" t="str">
            <v>ML</v>
          </cell>
          <cell r="I2432">
            <v>9435</v>
          </cell>
        </row>
        <row r="2433">
          <cell r="F2433">
            <v>7822</v>
          </cell>
          <cell r="G2433" t="str">
            <v>INSTALACIÓN DE TUBERÍA PVC U.M. EXT CORRUGADO/INT LISO U.M. NORMA NTC 3722-1 D=ENTRE 12" HASTA 24" (INCLUYE TRANSPORTE)</v>
          </cell>
          <cell r="H2433" t="str">
            <v>ML</v>
          </cell>
          <cell r="I2433">
            <v>9686</v>
          </cell>
        </row>
        <row r="2434">
          <cell r="F2434">
            <v>7823</v>
          </cell>
          <cell r="G2434" t="str">
            <v>INSTALACIÓN DE TUBERÍA PVC U.M. EXT CORRUGADO/INT LISO U.M. NORMA NTC 3722-1 D=MÁS DE 24" (INCLUYE TRANSPORTE)</v>
          </cell>
          <cell r="H2434" t="str">
            <v>ML</v>
          </cell>
          <cell r="I2434">
            <v>10469</v>
          </cell>
        </row>
        <row r="2435">
          <cell r="F2435">
            <v>7824</v>
          </cell>
          <cell r="G2435" t="str">
            <v>TACHÓN EN CONCRETO L=0.40M HI=0.15M, HS=0.08M (INCLUYE SUMINISTRO E INSTALACIÓN) INCLUYE PEGANTE EPÓXICO Y EQUIPOS PARA LA INSTALACIÓN Y ANCLAJE.</v>
          </cell>
          <cell r="H2435" t="str">
            <v>UN</v>
          </cell>
          <cell r="I2435">
            <v>69584</v>
          </cell>
        </row>
        <row r="2436">
          <cell r="F2436">
            <v>7826</v>
          </cell>
          <cell r="G2436" t="str">
            <v>INSTALACIÓN ADOQUÍN DE CONCRETO 20X10X6CM (INCLUYE BASE 4CM MORTERO 2000 Y ARENA DE SELLO)</v>
          </cell>
          <cell r="H2436" t="str">
            <v>M2</v>
          </cell>
          <cell r="I2436">
            <v>44602</v>
          </cell>
        </row>
        <row r="2437">
          <cell r="F2437">
            <v>7828</v>
          </cell>
          <cell r="G2437" t="str">
            <v>RETIRO Y REINSTALACIÓN DE SARDINEL TIPO A10 (INSTALACIÓN. NO INCLUYE MATERIAL DE BASE)</v>
          </cell>
          <cell r="H2437" t="str">
            <v>ML</v>
          </cell>
          <cell r="I2437">
            <v>26654</v>
          </cell>
        </row>
        <row r="2438">
          <cell r="F2438">
            <v>7829</v>
          </cell>
          <cell r="G2438" t="str">
            <v>RETIRO O REINSTALACIÓN DE SARDINEL TIPO A10 (INSTALACIÓN. NO INCLUYE MATERIAL DE BASE)</v>
          </cell>
          <cell r="H2438" t="str">
            <v>ML</v>
          </cell>
          <cell r="I2438">
            <v>13328</v>
          </cell>
        </row>
        <row r="2439">
          <cell r="F2439">
            <v>7830</v>
          </cell>
          <cell r="G2439" t="str">
            <v>CONEXIONES KIT SILLA YEE 250 X 200 PVC. SUMINISTRO E INSTALACIÓN.</v>
          </cell>
          <cell r="H2439" t="str">
            <v>UN</v>
          </cell>
          <cell r="I2439">
            <v>222834</v>
          </cell>
        </row>
        <row r="2440">
          <cell r="F2440">
            <v>7831</v>
          </cell>
          <cell r="G2440" t="str">
            <v>CONEXIONES KIT SILLA YEE 315 X 200 PVC. SUMINISTRO E INSTALACIÓN.</v>
          </cell>
          <cell r="H2440" t="str">
            <v>UN</v>
          </cell>
          <cell r="I2440">
            <v>304590</v>
          </cell>
        </row>
        <row r="2441">
          <cell r="F2441">
            <v>7832</v>
          </cell>
          <cell r="G2441" t="str">
            <v>CONEXIONES KIT SILLA YEE 400 X 200 PVC. SUMINISTRO E INSTALACIÓN.</v>
          </cell>
          <cell r="H2441" t="str">
            <v>UN</v>
          </cell>
          <cell r="I2441">
            <v>366399</v>
          </cell>
        </row>
        <row r="2442">
          <cell r="F2442">
            <v>7833</v>
          </cell>
          <cell r="G2442" t="str">
            <v>CONEXIONES KIT SILLA YEE 450 X 200 PVC. SUMINISTRO E INSTALACIÓN.</v>
          </cell>
          <cell r="H2442" t="str">
            <v>UN</v>
          </cell>
          <cell r="I2442">
            <v>390163</v>
          </cell>
        </row>
        <row r="2443">
          <cell r="F2443">
            <v>7857</v>
          </cell>
          <cell r="G2443"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H2443" t="str">
            <v>UN</v>
          </cell>
          <cell r="I2443">
            <v>6265820</v>
          </cell>
        </row>
        <row r="2444">
          <cell r="F2444">
            <v>7858</v>
          </cell>
          <cell r="G2444" t="str">
            <v>BANDAS SONORAS REDUCTORAS DE VELOCIDAD DE 2CM DE ALTURA, CONSTRUIDA CON GRAVILLA DE 1/2", PINTURA DE LARGA DURACIÓN BLANCA Y RESINA EPÓXICA.</v>
          </cell>
          <cell r="H2444" t="str">
            <v>M2</v>
          </cell>
          <cell r="I2444">
            <v>383190</v>
          </cell>
        </row>
        <row r="2445">
          <cell r="F2445">
            <v>7859</v>
          </cell>
          <cell r="G2445"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H2445" t="str">
            <v>UN</v>
          </cell>
          <cell r="I2445">
            <v>3525472</v>
          </cell>
        </row>
        <row r="2446">
          <cell r="F2446">
            <v>7860</v>
          </cell>
          <cell r="G2446"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H2446" t="str">
            <v>UN</v>
          </cell>
          <cell r="I2446">
            <v>3538400</v>
          </cell>
        </row>
        <row r="2447">
          <cell r="F2447">
            <v>7861</v>
          </cell>
          <cell r="G2447" t="str">
            <v>RETIRO DE PISO EN LAMINA ALFAJOR</v>
          </cell>
          <cell r="H2447" t="str">
            <v>ML</v>
          </cell>
          <cell r="I2447">
            <v>47656</v>
          </cell>
        </row>
        <row r="2448">
          <cell r="F2448">
            <v>7862</v>
          </cell>
          <cell r="G2448" t="str">
            <v>DEMARCACION METROS LINEALES EN PINTURA TIPO TRAFICO BASE SOLVENTE COLOR BLANCO Y/O AMARILLA. LINEA 0.12M Y 16 MILS (INCLUYE SUMINISTRO Y APLICACION CON EQUIPO. INCLUYE MICROESFERAS TIPO DROP ON PARA LINEAS DE BORDE Y DE CARRIL).</v>
          </cell>
          <cell r="H2448" t="str">
            <v>ML</v>
          </cell>
          <cell r="I2448">
            <v>5356</v>
          </cell>
        </row>
        <row r="2449">
          <cell r="F2449">
            <v>7863</v>
          </cell>
          <cell r="G2449" t="str">
            <v>DEMARCACIÓN EN PINTURA TIPO TRAFICO BASE SOLVENTE COLOR BLANCO. LINEA 0.20M Y 16 MILS (INCLUYE SUMINISTRO Y APLICACIÓN CON EQUIPO. INCLUYE MICROESFERAS TIPO DROP ON PARA LINEAS DE CARRIL).</v>
          </cell>
          <cell r="H2449" t="str">
            <v>M2</v>
          </cell>
          <cell r="I2449">
            <v>44684</v>
          </cell>
        </row>
        <row r="2450">
          <cell r="F2450">
            <v>7864</v>
          </cell>
          <cell r="G2450" t="str">
            <v>LAVADO DE ESTRUCTURA EN CONCRETO Y/O METÁLICAS CON ANDAMIO CERTIFICADO. INCLUYE ALQUILER DE HIDROLAVADORA A GASOLINA PRESIÓN 3200 PSI. INCLUYE PLANTA ELÉCTRICA, AGUA Y MANO DE OBRA.</v>
          </cell>
          <cell r="H2450" t="str">
            <v>M2</v>
          </cell>
          <cell r="I2450">
            <v>5459</v>
          </cell>
        </row>
        <row r="2451">
          <cell r="F2451">
            <v>7865</v>
          </cell>
          <cell r="G2451" t="str">
            <v>MARCO REJILLA SUMIDERO LATERAL 100 X 65 (SUMINISTRO E INSTALACIÓN)</v>
          </cell>
          <cell r="H2451" t="str">
            <v>UN</v>
          </cell>
          <cell r="I2451">
            <v>179751</v>
          </cell>
        </row>
        <row r="2452">
          <cell r="F2452">
            <v>7869</v>
          </cell>
          <cell r="G2452" t="str">
            <v>LIMPIEZA MANUAL DE SUMIDERO TIPO ST-1 , ST-2. INCLUYE CARGUE, RETIRO Y DISPOSICIÓN FINAL DE ESCOMBROS.</v>
          </cell>
          <cell r="H2452" t="str">
            <v>M3</v>
          </cell>
          <cell r="I2452">
            <v>61285</v>
          </cell>
        </row>
        <row r="2453">
          <cell r="F2453">
            <v>7870</v>
          </cell>
          <cell r="G2453" t="str">
            <v>RECONSTRUCCIÓN DE LA TAPA DE SUMIDERO SL-100. CONCRETO 3000 PSI HECHO EN OBRA (INCLUYE DEMOLICIÓN DE LA PLACA DE CONCRETO EXISTENTE. INCLUYE ANCLAJES, ACERO DE REFUERZO, FORMALETA, ADHESIVO ESTRUCTURAL, CURADO, MARCO Y REJILLA) ALTURA=20 CM.</v>
          </cell>
          <cell r="H2453" t="str">
            <v>UN</v>
          </cell>
          <cell r="I2453">
            <v>1121993</v>
          </cell>
        </row>
        <row r="2454">
          <cell r="F2454">
            <v>7871</v>
          </cell>
          <cell r="G2454" t="str">
            <v>DESINSTALACIÓN DE SEPARADOR TIPO TRANSMILENIO (BLOQUE CANALIZADOR AMARILLO, INCLUYE CORTE DE ANCLAJES, CARGUE Y DISPOSICIÓN FINAL.</v>
          </cell>
          <cell r="H2454" t="str">
            <v>ML</v>
          </cell>
          <cell r="I2454">
            <v>31955</v>
          </cell>
        </row>
        <row r="2455">
          <cell r="F2455">
            <v>7873</v>
          </cell>
          <cell r="G2455" t="str">
            <v>TRATAMIENTO Y DISPOSICIÓN FINAL DE RESIDUOS PELIGROSOS.</v>
          </cell>
          <cell r="H2455" t="str">
            <v>KG</v>
          </cell>
          <cell r="I2455">
            <v>952</v>
          </cell>
        </row>
        <row r="2456">
          <cell r="F2456">
            <v>7875</v>
          </cell>
          <cell r="G2456" t="str">
            <v>COLLAR DE DERIVACIÓN DE 4" X 1/2". SUMINISTRO E INSTALACION. (INCLUYE TALADRO ROTOPERCUTOR 3/4", PLANTA ELÉCTRICA 4KW).</v>
          </cell>
          <cell r="H2456" t="str">
            <v>UN</v>
          </cell>
          <cell r="I2456">
            <v>36549</v>
          </cell>
        </row>
        <row r="2457">
          <cell r="F2457">
            <v>7876</v>
          </cell>
          <cell r="G2457" t="str">
            <v>CÁRCAMO DE PROTECCION EN TUBERÍA Ø 12" NORMA EAAB NS-090 version 2 V.2 (incluye Formaleta, Concreto de 2000 y 3000 PSI, Acero de Refuerzo, curado y Manijas en varilla lisa de 1").</v>
          </cell>
          <cell r="H2457" t="str">
            <v>ML</v>
          </cell>
          <cell r="I2457">
            <v>1374215</v>
          </cell>
        </row>
        <row r="2458">
          <cell r="F2458">
            <v>7877</v>
          </cell>
          <cell r="G2458" t="str">
            <v>INSTALACIÓN DE TUBERÍA PVC D=12" TIPO U.M. RDE 21 (Solo incluye la mano de obra)</v>
          </cell>
          <cell r="H2458" t="str">
            <v>ML</v>
          </cell>
          <cell r="I2458">
            <v>4883</v>
          </cell>
        </row>
        <row r="2459">
          <cell r="F2459">
            <v>7878</v>
          </cell>
          <cell r="G2459" t="str">
            <v>RELLENO EN GRAVILLA FINA DIÁMETRO 1/2” MEZCLADO CON RESMA DE LÁTEX EN PROPORCIÓN DE GRAVILLA FINA 58-65 KG/M2 Y RESINE LÁTEX 7 A 8 KG/M2 ESPESOR APROXIMADO E: 0.07 M.</v>
          </cell>
          <cell r="H2459" t="str">
            <v>M2</v>
          </cell>
          <cell r="I2459">
            <v>61738</v>
          </cell>
        </row>
        <row r="2460">
          <cell r="F2460">
            <v>7879</v>
          </cell>
          <cell r="G2460" t="str">
            <v>DEMOLICIÓN Y REPOSICIÓN DE TAPAS PARA POZO (en concreto).</v>
          </cell>
          <cell r="H2460" t="str">
            <v>UN</v>
          </cell>
          <cell r="I2460">
            <v>236061</v>
          </cell>
        </row>
        <row r="2461">
          <cell r="F2461">
            <v>7880</v>
          </cell>
          <cell r="G2461" t="str">
            <v>INSTALACION CODO HD DE 22.5° O 45°, EXTREMO LISO PARA PVC D= 8” (SOLO INCLUYE MANO DE OBRA).</v>
          </cell>
          <cell r="H2461" t="str">
            <v>UN</v>
          </cell>
          <cell r="I2461">
            <v>33708</v>
          </cell>
        </row>
        <row r="2462">
          <cell r="F2462">
            <v>7881</v>
          </cell>
          <cell r="G2462" t="str">
            <v>ESTOPEROLES METÁLICOS CON ESPIGO. INCLUYE SUMINISTRO E INSTALACIÓN.</v>
          </cell>
          <cell r="H2462" t="str">
            <v>UN</v>
          </cell>
          <cell r="I2462">
            <v>6025</v>
          </cell>
        </row>
        <row r="2463">
          <cell r="F2463">
            <v>7883</v>
          </cell>
          <cell r="G2463"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H2463" t="str">
            <v>CM.PER</v>
          </cell>
          <cell r="I2463">
            <v>1838</v>
          </cell>
        </row>
        <row r="2464">
          <cell r="F2464">
            <v>7884</v>
          </cell>
          <cell r="G2464"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H2464" t="str">
            <v>CM.PER</v>
          </cell>
          <cell r="I2464">
            <v>1721</v>
          </cell>
        </row>
        <row r="2465">
          <cell r="F2465">
            <v>7885</v>
          </cell>
          <cell r="G2465"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H2465" t="str">
            <v>CM.PER</v>
          </cell>
          <cell r="I2465">
            <v>1971</v>
          </cell>
        </row>
        <row r="2466">
          <cell r="F2466">
            <v>7886</v>
          </cell>
          <cell r="G2466"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H2466" t="str">
            <v>CM.PER</v>
          </cell>
          <cell r="I2466">
            <v>1386</v>
          </cell>
        </row>
        <row r="2467">
          <cell r="F2467">
            <v>7887</v>
          </cell>
          <cell r="G2467"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H2467" t="str">
            <v>CM.PER</v>
          </cell>
          <cell r="I2467">
            <v>1537</v>
          </cell>
        </row>
        <row r="2468">
          <cell r="F2468">
            <v>7888</v>
          </cell>
          <cell r="G2468" t="str">
            <v>TAPAS PARA POZO DE INSPECCIÓN. SUMINISTRO E INSTALACIÓN.</v>
          </cell>
          <cell r="H2468" t="str">
            <v>UN</v>
          </cell>
          <cell r="I2468">
            <v>228583</v>
          </cell>
        </row>
        <row r="2469">
          <cell r="F2469">
            <v>7889</v>
          </cell>
          <cell r="G2469" t="str">
            <v>PERFORACIÓN PARA ANCLAJE DE VARILLA DE 1" INCLUYE ADHESIVO ESTRUCTURAL. SUMINISTRO E INSTALACIÓN. INCLUYE LA PERFORACIÓN, LIMPIEZA DE LA PERFORACIÓN CON CHORRO DE AIRE, SUMINISTRO DE BROCAS, EQUIPOS, TRANSPORTES, MANEJO, ALMACENAMIENTO MANO DE OBRA.</v>
          </cell>
          <cell r="H2469" t="str">
            <v>CM.PER</v>
          </cell>
          <cell r="I2469">
            <v>1838</v>
          </cell>
        </row>
        <row r="2470">
          <cell r="F2470">
            <v>7892</v>
          </cell>
          <cell r="G2470" t="str">
            <v>REPARADUCTO PVC D=4" - DUCTO TELEFÓNICO. SUMINISTRO E INSTALACIÓN</v>
          </cell>
          <cell r="H2470" t="str">
            <v>ML</v>
          </cell>
          <cell r="I2470">
            <v>93398</v>
          </cell>
        </row>
        <row r="2471">
          <cell r="F2471">
            <v>7893</v>
          </cell>
          <cell r="G2471" t="str">
            <v>DEMOLICIÓN MANUAL DE TAPA EXISTENTE DE POZO DE INSPECCIÓN Y REPOSICIÓN TAPA PARA POZO DE D= 0.70 M. SUMINISTRO E INSTALACIÓN.</v>
          </cell>
          <cell r="H2471" t="str">
            <v>UN</v>
          </cell>
          <cell r="I2471">
            <v>237812</v>
          </cell>
        </row>
        <row r="2472">
          <cell r="F2472">
            <v>7894</v>
          </cell>
          <cell r="G2472" t="str">
            <v>AVISO PUNTO IDU 1.50M X 0.90M (MATERIAL DE IMPRESIÓN VINILO PARA EXTERIORES. INCLUYE SUMINISTRO E INSTALACIÓN).</v>
          </cell>
          <cell r="H2472" t="str">
            <v>UN</v>
          </cell>
          <cell r="I2472">
            <v>321429</v>
          </cell>
        </row>
        <row r="2473">
          <cell r="F2473">
            <v>7895</v>
          </cell>
          <cell r="G2473" t="str">
            <v>CARTELERA TIPO PUNTO IDU DE 1.00M X 1.00M EN ALUMINIO ANODIZADO, CON PAÑO COLOR GRIS, CENEFA SUPERIOR, PUERTAS CORREDIZAS, LOGO INSTITUCIONAL. INCLUYE SUMINISTRO E INSTALACION.</v>
          </cell>
          <cell r="H2473" t="str">
            <v>UN</v>
          </cell>
          <cell r="I2473">
            <v>481885</v>
          </cell>
        </row>
        <row r="2474">
          <cell r="F2474">
            <v>7896</v>
          </cell>
          <cell r="G2474" t="str">
            <v>CORTE DE VARILLA DE DIÁMETRO VARIADO ENTRE 1/2" A 1 1/4".</v>
          </cell>
          <cell r="H2474" t="str">
            <v>UN</v>
          </cell>
          <cell r="I2474">
            <v>697</v>
          </cell>
        </row>
        <row r="2475">
          <cell r="F2475">
            <v>7898</v>
          </cell>
          <cell r="G2475" t="str">
            <v>LOSA DE CONCRETO MR45 ACELERADO A 3 DÍAS (SUMINISTRO, FORMALETEADO, COLOCACIÓN Y ACABADO. NO INCLUYE ACERO, CURADO Y JUNTAS).</v>
          </cell>
          <cell r="H2475" t="str">
            <v>M3</v>
          </cell>
          <cell r="I2475">
            <v>777526</v>
          </cell>
        </row>
        <row r="2476">
          <cell r="F2476">
            <v>7899</v>
          </cell>
          <cell r="G2476" t="str">
            <v>LOSA DE CONCRETO MR50 ACELERADO A 3 DÍAS (SUMINISTRO, FORMALETEADO, COLOCACIÓN Y ACABADO. NO INCLUYE ACERO, CURADO Y JUNTAS).</v>
          </cell>
          <cell r="H2476" t="str">
            <v>M3</v>
          </cell>
          <cell r="I2476">
            <v>783775</v>
          </cell>
        </row>
        <row r="2477">
          <cell r="F2477">
            <v>7900</v>
          </cell>
          <cell r="G2477" t="str">
            <v>GEOCELDA HDPE PERFORADA, ALTURA 15 CM (SUMINISTRO E INSTALACIÓN).</v>
          </cell>
          <cell r="H2477" t="str">
            <v>M2</v>
          </cell>
          <cell r="I2477">
            <v>72687</v>
          </cell>
        </row>
        <row r="2478">
          <cell r="F2478">
            <v>7901</v>
          </cell>
          <cell r="G2478" t="str">
            <v>MANEJO DE AGUAS (INCLUYE MOTOBOMBA CON COMBUSTIBLE Y OPERADOR)</v>
          </cell>
          <cell r="H2478" t="str">
            <v>HR</v>
          </cell>
          <cell r="I2478">
            <v>10938</v>
          </cell>
        </row>
        <row r="2479">
          <cell r="F2479">
            <v>7902</v>
          </cell>
          <cell r="G2479" t="str">
            <v>GEODREN CON TUBERÍA CIRCULAR 100 MM H=1.0 O DRENAFLEX CON TUBERÍA CIRCULAR 100 MM H=1.0 (SUMINISTRO E INSTALACIÓN).</v>
          </cell>
          <cell r="H2479" t="str">
            <v>ML</v>
          </cell>
          <cell r="I2479">
            <v>52009</v>
          </cell>
        </row>
        <row r="2480">
          <cell r="F2480">
            <v>7903</v>
          </cell>
          <cell r="G2480" t="str">
            <v>PENDONES ELABORADOS EN BANNER, CON UNA DIMENSIÓN DE 1.00 M DE ANCHO POR 1.50 M DE LARGO. IMPRESIÓN A FULL COLOR SEGÚN DISEÑOS DE OJALETES.</v>
          </cell>
          <cell r="H2480" t="str">
            <v>UN</v>
          </cell>
          <cell r="I2480">
            <v>44625</v>
          </cell>
        </row>
        <row r="2481">
          <cell r="F2481">
            <v>7904</v>
          </cell>
          <cell r="G2481" t="str">
            <v>ALQUILER BASTÓN LUMINOSO 5 FUNCIONES GRANDE ST -900 -1 55 X 4.5 CM RECARGABLE.</v>
          </cell>
          <cell r="H2481" t="str">
            <v>UN/MES</v>
          </cell>
          <cell r="I2481">
            <v>4164</v>
          </cell>
        </row>
        <row r="2482">
          <cell r="F2482">
            <v>7905</v>
          </cell>
          <cell r="G2482" t="str">
            <v>EXCAVACIÓN MECÁNICA EN MATERIAL DE ROCA PARA CONFORMACIÓN DE LA SUBRASANTE (EXCAVACIÓN, PERFORACIÓN, REMOCIÓN, CARGUE)</v>
          </cell>
          <cell r="H2482" t="str">
            <v>M3</v>
          </cell>
          <cell r="I2482">
            <v>61280</v>
          </cell>
        </row>
        <row r="2483">
          <cell r="F2483">
            <v>7944</v>
          </cell>
          <cell r="G2483" t="str">
            <v>EXCAVACIÓN MECÁNICA EN MATERIAL COMÚN PARA CONFORMACIÓN DE LA SUBRASANTE CON RETROEXCAVADORA (EXCAVACIÓN, REMOCIÓN Y CARGUE)</v>
          </cell>
          <cell r="H2483" t="str">
            <v>M3</v>
          </cell>
          <cell r="I2483">
            <v>4639</v>
          </cell>
        </row>
        <row r="2484">
          <cell r="F2484">
            <v>7945</v>
          </cell>
          <cell r="G2484" t="str">
            <v>EXCAVACIONES VARIAS SIN CLASIFICAR CON RETROEXCAVADORA (INCLUYE: EXCAVACIÓN, REMOCIÓN Y CARGUE)</v>
          </cell>
          <cell r="H2484" t="str">
            <v>M3</v>
          </cell>
          <cell r="I2484">
            <v>3877</v>
          </cell>
        </row>
        <row r="2485">
          <cell r="F2485">
            <v>7946</v>
          </cell>
          <cell r="G2485" t="str">
            <v>EXCAVACIONES VARIAS SIN CLASIFICAR CON RETROCARGADOR (INCLUYE: EXCAVACIÓN, REMOCIÓN Y CARGUE)</v>
          </cell>
          <cell r="H2485" t="str">
            <v>M3</v>
          </cell>
          <cell r="I2485">
            <v>6714</v>
          </cell>
        </row>
        <row r="2486">
          <cell r="F2486">
            <v>7947</v>
          </cell>
          <cell r="G2486" t="str">
            <v>CANALIZACIÓN SUBTERRÁNEA CON 1 DUCTO DE 2 " PVC DB, ACCESORIOS, EXCAVACIÓN, RELLENOS Y ACABADO (INCLUYE SUMINISTRO E INSTALACIÓN)</v>
          </cell>
          <cell r="H2486" t="str">
            <v>ML</v>
          </cell>
          <cell r="I2486">
            <v>63235</v>
          </cell>
        </row>
        <row r="2487">
          <cell r="F2487">
            <v>7948</v>
          </cell>
          <cell r="G2487" t="str">
            <v>CANALIZACIÓN SUBTERRÁNEA CON 1 DUCTO DE 3" PVC TDP, ACCESORIOS, EXCAVACIÓN, RELLENOS Y ACABADO (INCLUYE SUMINISTRO E INSTALACIÓN)</v>
          </cell>
          <cell r="H2487" t="str">
            <v>ML</v>
          </cell>
          <cell r="I2487">
            <v>73112</v>
          </cell>
        </row>
        <row r="2488">
          <cell r="F2488">
            <v>7949</v>
          </cell>
          <cell r="G2488" t="str">
            <v>CANALIZACIÓN SUBTERRÁNEA CON 1 DUCTO DE 4" PVC TDP, ACCESORIOS, EXCAVACIÓN, RELLENOS Y ACABADO (INCLUYE SUMINISTRO E INSTALACIÓN)</v>
          </cell>
          <cell r="H2488" t="str">
            <v>ML</v>
          </cell>
          <cell r="I2488">
            <v>77707</v>
          </cell>
        </row>
        <row r="2489">
          <cell r="F2489">
            <v>7950</v>
          </cell>
          <cell r="G2489" t="str">
            <v>CANALIZACIÓN SUBTERRÁNEA CON 2 DUCTOS DE 3" PVC TDP, ACCESORIOS, EXCAVACIÓN, RELLENOS Y ACABADO (INCLUYE SUMINISTRO E INSTALACIÓN)</v>
          </cell>
          <cell r="H2489" t="str">
            <v>ML</v>
          </cell>
          <cell r="I2489">
            <v>95963</v>
          </cell>
        </row>
        <row r="2490">
          <cell r="F2490">
            <v>7951</v>
          </cell>
          <cell r="G2490" t="str">
            <v>CANALIZACIÓN SUBTERRÁNEA CON 3 DUCTOS DE 3" PVC TDP, ACCESORIOS, EXCAVACIÓN, RELLENOS Y ACABADO (INCLUYE SUMINISTRO E INSTALACIÓN)</v>
          </cell>
          <cell r="H2490" t="str">
            <v>ML</v>
          </cell>
          <cell r="I2490">
            <v>129744</v>
          </cell>
        </row>
        <row r="2491">
          <cell r="F2491">
            <v>7953</v>
          </cell>
          <cell r="G2491" t="str">
            <v>REDUCTOR DE VELOCIDAD TIPO RESALTO PARABOLICO DE 4 METROS DE ANCHO. EN CONCRETO PREMEZCLADO 4000 PSI  (280 Kg/cm2) GRAVA COMÚN.  SUMINISTRO E INSTALACION. (INCLUYE FORMALETA,  REFUERZO, CURADO Y PINTURA).</v>
          </cell>
          <cell r="H2491" t="str">
            <v>ML</v>
          </cell>
          <cell r="I2491">
            <v>1366355</v>
          </cell>
        </row>
        <row r="2492">
          <cell r="F2492">
            <v>7954</v>
          </cell>
          <cell r="G2492" t="str">
            <v>CAJA DE PASO SENCILLA PARA SEMAFORIZACIÓN PARA ANDÉN, MEDIDAS INTERNAS (60 CM X 50 CM), MEDIDAS EXTERNAS (75 CM X 85 CM) , ALTURA: 70 CM. INCLUYE BASE, FILTRO, MUROS EN LADRILLO PRECOCIDO, PAÑETE, BORDILLO PERIMETRAL, MARCO Y TAPA SEGÚN ESPECIFICACIONES DE LA SDM.</v>
          </cell>
          <cell r="H2492" t="str">
            <v>UN</v>
          </cell>
          <cell r="I2492">
            <v>741205</v>
          </cell>
        </row>
        <row r="2493">
          <cell r="F2493">
            <v>7955</v>
          </cell>
          <cell r="G2493" t="str">
            <v>CAJA DE PASO SENCILLA PARA SEMAFORIZACIÓN (60 CM X 50 CM, ALTURA 120CM) PARA CALZADA . INCLUYE BASE, FILTRO, MUROS EN LADRILLO PRECOCIDO, PAÑETE, BORDILLO PERIMETRAL, MARCO Y TAPA SEGÚN ESPECIFICACIONES DE LA SDM.</v>
          </cell>
          <cell r="H2493" t="str">
            <v>UN</v>
          </cell>
          <cell r="I2493">
            <v>960851</v>
          </cell>
        </row>
        <row r="2494">
          <cell r="F2494">
            <v>7956</v>
          </cell>
          <cell r="G2494" t="str">
            <v>CAJA DE PASO SENCILLA PARA SEMAFORIZACIÓN (70 CM X 120 CM, ALTURA 120CM) PARA ANDÉN . INCLUYE BASE, FILTRO, MUROS EN LADRILLO PRECOCIDO, PAÑETE, BORDILLO PERIMETRAL, MARCO Y TAPA SEGÚN ESPECIFICACIONES DE LA SDM.</v>
          </cell>
          <cell r="H2494" t="str">
            <v>UN</v>
          </cell>
          <cell r="I2494">
            <v>1555484</v>
          </cell>
        </row>
        <row r="2495">
          <cell r="F2495">
            <v>7957</v>
          </cell>
          <cell r="G2495" t="str">
            <v>BANDAS SONORAS REDUCTORAS DE VELOCIDAD DE 5CM DE ALTURA POR 10CM DE ANCHO, CONSTRUIDA CON GRAVILLA DE 1/2", PINTURA DE LARGA DURACIÓN BLANCA Y RESINA EPÓXICA</v>
          </cell>
          <cell r="H2495" t="str">
            <v>ML</v>
          </cell>
          <cell r="I2495">
            <v>62458</v>
          </cell>
        </row>
        <row r="2496">
          <cell r="F2496">
            <v>7958</v>
          </cell>
          <cell r="G2496" t="str">
            <v>DEMARCACIÓN LINEA DISCONTINUA A=0.10 M (E=2.3 MM,TERMOPLÁSTICA. INCLUYE SUMINISTRO Y APLICACIÓN CON EQUIPO. INCLUYE MICROESFERA</v>
          </cell>
          <cell r="H2496" t="str">
            <v>ML</v>
          </cell>
          <cell r="I2496">
            <v>12109</v>
          </cell>
        </row>
        <row r="2497">
          <cell r="F2497">
            <v>7959</v>
          </cell>
          <cell r="G2497" t="str">
            <v>DEMARCACIÓN LINEA CONTINUA BLANCA O AMARILLA A=0.12 M (E=2.3 MM, TERMOPLÁSTICA. INCLUYE SUMINISTRO Y APLICACIÓN CON EQUIPO. INCLUYE MICROESFERAS)</v>
          </cell>
          <cell r="H2497" t="str">
            <v>ML</v>
          </cell>
          <cell r="I2497">
            <v>14531</v>
          </cell>
        </row>
        <row r="2498">
          <cell r="F2498">
            <v>7960</v>
          </cell>
          <cell r="G2498" t="str">
            <v>DEMARCACIÓN LINEA CONTINUA BLANCA O AMARILLA A=0.10 M (E=2.3 MM, TERMOPLÁSTICA. INCLUYE SUMINISTRO Y APLICACIÓN CON EQUIPO. INCLUYE MICROESFERAS)</v>
          </cell>
          <cell r="H2498" t="str">
            <v>ML</v>
          </cell>
          <cell r="I2498">
            <v>12109</v>
          </cell>
        </row>
        <row r="2499">
          <cell r="F2499">
            <v>7961</v>
          </cell>
          <cell r="G2499" t="str">
            <v>DEMARCACIÓN LINEA CONTINUA BLANCA O AMARILLA A=0.15 M (E=2.3 MM, TERMOPLÁSTICA. INCLUYE SUMINISTRO Y APLICACIÓN CON EQUIPO. INCLUYE MICROESFERAS)</v>
          </cell>
          <cell r="H2499" t="str">
            <v>ML</v>
          </cell>
          <cell r="I2499">
            <v>18163</v>
          </cell>
        </row>
        <row r="2500">
          <cell r="F2500">
            <v>7962</v>
          </cell>
          <cell r="G2500" t="str">
            <v>TACHA REFLECTIVA UNIDIRECCIONAL BLANCA/ROJA (INCLUYE SUMINISTRO E INSTALACIÓN)</v>
          </cell>
          <cell r="H2500" t="str">
            <v>UN</v>
          </cell>
          <cell r="I2500">
            <v>11156</v>
          </cell>
        </row>
        <row r="2501">
          <cell r="F2501">
            <v>7963</v>
          </cell>
          <cell r="G2501" t="str">
            <v>SEÑAL VERTICAL INFORMATIVA SI-27C (70 CM X 100 CM). INCLUYE SUMINISTRO E INSTALACION.</v>
          </cell>
          <cell r="H2501" t="str">
            <v>UN</v>
          </cell>
          <cell r="I2501">
            <v>435421</v>
          </cell>
        </row>
        <row r="2502">
          <cell r="F2502">
            <v>7964</v>
          </cell>
          <cell r="G2502" t="str">
            <v>SEÑAL VERTICAL PREVENTIVA SP-47B TIPO PENTÁGONO CON FLECHA. (INCLUYE SUMINISTRO E INSTALACION).</v>
          </cell>
          <cell r="H2502" t="str">
            <v>UN</v>
          </cell>
          <cell r="I2502">
            <v>569891</v>
          </cell>
        </row>
        <row r="2503">
          <cell r="F2503">
            <v>7965</v>
          </cell>
          <cell r="G2503" t="str">
            <v>POSTE TIPO MENSULA T2 (2.50M) EN TUBO SCH 40 GALVANIZADO Y PINTADO. INCLUYE SUMINISTRO E INSTALACIÓN.</v>
          </cell>
          <cell r="H2503" t="str">
            <v>UN</v>
          </cell>
          <cell r="I2503">
            <v>3581906</v>
          </cell>
        </row>
        <row r="2504">
          <cell r="F2504">
            <v>7966</v>
          </cell>
          <cell r="G2504" t="str">
            <v>PEDESTAL EN CONCRETO DE 3000 PSI PARA EQUIPO DE CONTROL C800VK, ARMARIO PEQUEÑO (0.33 M X 0.60 M X 0.70 M) . CONSTRUCCIÓN. CON CUATRO DUCTOS PESADOS DE PVC TIPO DB D= 2".</v>
          </cell>
          <cell r="H2504" t="str">
            <v>UN</v>
          </cell>
          <cell r="I2504">
            <v>170076</v>
          </cell>
        </row>
        <row r="2505">
          <cell r="F2505">
            <v>7967</v>
          </cell>
          <cell r="G2505" t="str">
            <v>TRANSPORTE DE MATERIAL FRESADO PROVENIENTE DE SITIO DE OBRA AL SITIO DISPUESTO PARA MEZCLAS, ESTABILIZAR O DEJAR EN PATIOS DE ACOPIO DEL IDU.</v>
          </cell>
          <cell r="H2505" t="str">
            <v>M3</v>
          </cell>
          <cell r="I2505">
            <v>7070</v>
          </cell>
        </row>
        <row r="2506">
          <cell r="F2506">
            <v>7968</v>
          </cell>
          <cell r="G2506" t="str">
            <v>PERFORACIÓN PARA ANCLAJE DE VARILLA DE 1". NO INCLUYE ADHESIVO ESTRUCTURAL. INCLUYE LA PERFORACIÓN, LIMPIEZA DE LA PERFORACIÓN CON CHORRO DE AIRE, SUMINISTRO DE BROCAS, EQUIPOS, TRANSPORTES, MANEJO, ALMACENAMIENTO MANO DE OBRA.</v>
          </cell>
          <cell r="H2506" t="str">
            <v>CM.PER</v>
          </cell>
          <cell r="I2506">
            <v>1653</v>
          </cell>
        </row>
        <row r="2507">
          <cell r="F2507">
            <v>7969</v>
          </cell>
          <cell r="G2507" t="str">
            <v>PERFORACIÓN PARA ANCLAJE DE VARILLA DE D=1 1/4" NO INCLUYE ADHESIVO ESTRUCTURAL. INCLUYE LA PERFORACIÓN, LIMPIEZA DE LA PERFORACIÓN CON CHORRO DE AIRE, SUMINISTRO DE BROCAS, EQUIPOS, TRANSPORTES, MANEJO, ALMACENAMIENTO, MANO DE OBRA. PARA UTILIZAR EN LOSAS DE CONCRETO.</v>
          </cell>
          <cell r="H2507" t="str">
            <v>CM.PER</v>
          </cell>
          <cell r="I2507">
            <v>1653</v>
          </cell>
        </row>
        <row r="2508">
          <cell r="F2508">
            <v>7970</v>
          </cell>
          <cell r="G2508" t="str">
            <v>PILOTES DE CONCRETO GRAVA COMÚN DE 2000 PSI (PREBARRENADOS) CON DIÁMETRO 0.30 M (INCLUYE: EXCAVACIÓN, FUNDIDA, LOCALIZACIÓN, PREHUECOS, AGUA DE CARROTANQUES, RETIRO DE LODOS Y DESCABECE DE PILOTES)</v>
          </cell>
          <cell r="H2508" t="str">
            <v>ML</v>
          </cell>
          <cell r="I2508">
            <v>218723</v>
          </cell>
        </row>
        <row r="2509">
          <cell r="F2509">
            <v>7972</v>
          </cell>
          <cell r="G2509" t="str">
            <v>INSTALACIÓN DE MATERIAL DE FRESADO. (EXTENDIDO Y COMPACTACIÓN CON VIBROCOMPACTADOR).</v>
          </cell>
          <cell r="H2509" t="str">
            <v>M3</v>
          </cell>
          <cell r="I2509">
            <v>22840</v>
          </cell>
        </row>
        <row r="2510">
          <cell r="F2510">
            <v>7974</v>
          </cell>
          <cell r="G2510" t="str">
            <v>PEDESTAL EN CONCRETO DE 3000 PSI PARA EQUIPO DE CONTROL (1.20 M X 0.93 M X 0.65 M)</v>
          </cell>
          <cell r="H2510" t="str">
            <v>UN</v>
          </cell>
          <cell r="I2510">
            <v>690209</v>
          </cell>
        </row>
        <row r="2511">
          <cell r="F2511">
            <v>7989</v>
          </cell>
          <cell r="G2511" t="str">
            <v>5 DUCTOS D=3" PVC-TDP (NO INCLUYE RELLENOS NI EXCAVACIÓN). SUMINISTRO E INSTALACIÓN.</v>
          </cell>
          <cell r="H2511" t="str">
            <v>ML</v>
          </cell>
          <cell r="I2511">
            <v>103587</v>
          </cell>
        </row>
        <row r="2512">
          <cell r="F2512">
            <v>7990</v>
          </cell>
          <cell r="G2512"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H2512" t="str">
            <v>Km-Car</v>
          </cell>
          <cell r="I2512">
            <v>101150</v>
          </cell>
        </row>
        <row r="2513">
          <cell r="F2513">
            <v>7991</v>
          </cell>
          <cell r="G2513"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H2513" t="str">
            <v>Km-Car</v>
          </cell>
          <cell r="I2513">
            <v>113536</v>
          </cell>
        </row>
        <row r="2514">
          <cell r="F2514">
            <v>7992</v>
          </cell>
          <cell r="G2514" t="str">
            <v>REPOSICIÓN DE SELLO DE JUNTAS DE PAVIMENTO DE CONCRETO HIDRÁULICO, ANCHO HASTA DE 5/8" (16 MM). (INCLUYE LIMPIEZA, SUMINISTRO E INSTALACIÓN DE FONDO Y SELLANTE).</v>
          </cell>
          <cell r="H2514" t="str">
            <v>ML</v>
          </cell>
          <cell r="I2514">
            <v>15605</v>
          </cell>
        </row>
        <row r="2515">
          <cell r="F2515">
            <v>7993</v>
          </cell>
          <cell r="G2515" t="str">
            <v>REPOSICIÓN DE SELLO DE JUNTAS DE PAVIMENTO DE CONCRETO HIDRÁULICO, ANCHO HASTA DE 7/8" (16 MM). (INCLUYE LIMPIEZA, SUMINISTRO E INSTALACIÓN DE FONDO Y SELLANTE).</v>
          </cell>
          <cell r="H2515" t="str">
            <v>ML</v>
          </cell>
          <cell r="I2515">
            <v>21184</v>
          </cell>
        </row>
        <row r="2516">
          <cell r="F2516">
            <v>7994</v>
          </cell>
          <cell r="G2516" t="str">
            <v>REPOSICIÓN DE SELLO DE JUNTAS DE PAVIMENTO DE CONCRETO HIDRÁULICO, ANCHO HASTA DE 1 1/4" (32 MM). (INCLUYE LIMPIEZA, SUMINISTRO E INSTALACIÓN DE FONDO Y SELLANTE).</v>
          </cell>
          <cell r="H2516" t="str">
            <v>ML</v>
          </cell>
          <cell r="I2516">
            <v>48418</v>
          </cell>
        </row>
        <row r="2517">
          <cell r="F2517">
            <v>7995</v>
          </cell>
          <cell r="G2517" t="str">
            <v>RETIRO DE SELLO EXISTENTE DE JUNTAS DE PAVIMENTO DE CONCRETO HIDRÁULICO (INCLUYE DISCO DIAMANTADO ASFALTO-CONCRETO 350 MM, AGUA Y MANO DE OBRA).</v>
          </cell>
          <cell r="H2517" t="str">
            <v>ML</v>
          </cell>
          <cell r="I2517">
            <v>1290</v>
          </cell>
        </row>
        <row r="2518">
          <cell r="F2518">
            <v>7996</v>
          </cell>
          <cell r="G2518" t="str">
            <v>MATERIAL ADECUADO. SUMINISTRO, EXTENDIDO MANUAL, NIVELACIÓN, HUMEDECIMIENTO Y COMPACTACIÓN.</v>
          </cell>
          <cell r="H2518" t="str">
            <v>M3</v>
          </cell>
          <cell r="I2518">
            <v>85642</v>
          </cell>
        </row>
        <row r="2519">
          <cell r="F2519">
            <v>7997</v>
          </cell>
          <cell r="G2519" t="str">
            <v>MATERIAL TOLERABLE. SUMINISTRO, EXTENDIDO MANUAL, NIVELACIÓN, HUMEDECIMIENTO Y COMPACTACIÓN.</v>
          </cell>
          <cell r="H2519" t="str">
            <v>M3</v>
          </cell>
          <cell r="I2519">
            <v>80382</v>
          </cell>
        </row>
        <row r="2520">
          <cell r="F2520">
            <v>8000</v>
          </cell>
          <cell r="G2520" t="str">
            <v>PROTECCIÓN A ALCANTARILLAS CON POLISOMBRA 47%. (INCLUYE SUMINISTRO Y COLOCACIÓN DE POLISOMBRA 47%)</v>
          </cell>
          <cell r="H2520" t="str">
            <v>UN/MES</v>
          </cell>
          <cell r="I2520">
            <v>3693</v>
          </cell>
        </row>
        <row r="2521">
          <cell r="F2521">
            <v>8001</v>
          </cell>
          <cell r="G2521"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1" t="str">
            <v>ML</v>
          </cell>
          <cell r="I2521">
            <v>1092122</v>
          </cell>
        </row>
        <row r="2522">
          <cell r="F2522">
            <v>8002</v>
          </cell>
          <cell r="G2522"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2" t="str">
            <v>ML</v>
          </cell>
          <cell r="I2522">
            <v>1148435</v>
          </cell>
        </row>
        <row r="2523">
          <cell r="F2523">
            <v>8003</v>
          </cell>
          <cell r="G2523"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3" t="str">
            <v>ML</v>
          </cell>
          <cell r="I2523">
            <v>1268061</v>
          </cell>
        </row>
        <row r="2524">
          <cell r="F2524">
            <v>8004</v>
          </cell>
          <cell r="G2524"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4" t="str">
            <v>ML</v>
          </cell>
          <cell r="I2524">
            <v>1506815</v>
          </cell>
        </row>
        <row r="2525">
          <cell r="F2525">
            <v>8005</v>
          </cell>
          <cell r="G2525"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5" t="str">
            <v>ML</v>
          </cell>
          <cell r="I2525">
            <v>1720713</v>
          </cell>
        </row>
        <row r="2526">
          <cell r="F2526">
            <v>8006</v>
          </cell>
          <cell r="G2526"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6" t="str">
            <v>ML</v>
          </cell>
          <cell r="I2526">
            <v>1877924</v>
          </cell>
        </row>
        <row r="2527">
          <cell r="F2527">
            <v>8007</v>
          </cell>
          <cell r="G2527"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7" t="str">
            <v>ML</v>
          </cell>
          <cell r="I2527">
            <v>2306992</v>
          </cell>
        </row>
        <row r="2528">
          <cell r="F2528">
            <v>8008</v>
          </cell>
          <cell r="G2528"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8" t="str">
            <v>ML</v>
          </cell>
          <cell r="I2528">
            <v>2561579</v>
          </cell>
        </row>
        <row r="2529">
          <cell r="F2529">
            <v>8009</v>
          </cell>
          <cell r="G2529"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29" t="str">
            <v>ML</v>
          </cell>
          <cell r="I2529">
            <v>3062029</v>
          </cell>
        </row>
        <row r="2530">
          <cell r="F2530">
            <v>8010</v>
          </cell>
          <cell r="G2530"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30" t="str">
            <v>ML</v>
          </cell>
          <cell r="I2530">
            <v>3524432</v>
          </cell>
        </row>
        <row r="2531">
          <cell r="F2531">
            <v>8011</v>
          </cell>
          <cell r="G2531"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31" t="str">
            <v>ML</v>
          </cell>
          <cell r="I2531">
            <v>4633902</v>
          </cell>
        </row>
        <row r="2532">
          <cell r="F2532">
            <v>8012</v>
          </cell>
          <cell r="G2532"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32" t="str">
            <v>ML</v>
          </cell>
          <cell r="I2532">
            <v>5894965</v>
          </cell>
        </row>
        <row r="2533">
          <cell r="F2533">
            <v>8013</v>
          </cell>
          <cell r="G2533"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H2533" t="str">
            <v>ML</v>
          </cell>
          <cell r="I2533">
            <v>6454983</v>
          </cell>
        </row>
        <row r="2534">
          <cell r="F2534">
            <v>8016</v>
          </cell>
          <cell r="G2534" t="str">
            <v>CANAL DE DRENAJE PREFABRICADO EN POLYCONCRETO, PD-150V, CLASE DE CARGA D400, INCLUYE REJILLA, LONG=1000 MM, H= 270 MM, ANCHO= 200MM, EN COLOR NATURAL, (NO INCLUYE: EXCAVACIÓN, CONCRETO, DRENAJE, RELLENOS, TAPAS O ACCESORIOS)</v>
          </cell>
          <cell r="H2534" t="str">
            <v>ML</v>
          </cell>
          <cell r="I2534">
            <v>522090</v>
          </cell>
        </row>
        <row r="2535">
          <cell r="F2535">
            <v>8017</v>
          </cell>
          <cell r="G2535" t="str">
            <v>CANAL DE INSPECCIÓN DE DRENAJE PREFABRICADO EN POLYCONCRETO , PD-150V, CLASE DE CARGA D400, INCLUYE REJILLA, LONG=500 MM, H= 270 MM, ANCHO= 200MM, EN COLOR NATURAL, (NO INCLUYE: EXCAVACIÓN, CONCRETO, DRENAJE, RELLENOS, TAPAS O ACCESORIOS)</v>
          </cell>
          <cell r="H2535" t="str">
            <v>UN</v>
          </cell>
          <cell r="I2535">
            <v>522090</v>
          </cell>
        </row>
        <row r="2536">
          <cell r="F2536">
            <v>8018</v>
          </cell>
          <cell r="G2536" t="str">
            <v>SUMIDERO PARA CANAL DE DRENAJE PREFABRICADO EN POLYCONCRETO CON REJA DE FUNDICIÓN, PD-150V, CLASE DE CARGA D400, LONG=500MM, H= 575 MM, ANCHO= 180 MM, EN COLOR NATURAL, (NO INCLUYE: EXCAVACIÓN, CONCRETO, DRENAJE, RELLENOS, TAPAS O ACCESORIOS)</v>
          </cell>
          <cell r="H2536" t="str">
            <v>UN</v>
          </cell>
          <cell r="I2536">
            <v>755529</v>
          </cell>
        </row>
        <row r="2537">
          <cell r="F2537">
            <v>8019</v>
          </cell>
          <cell r="G2537" t="str">
            <v>CANAL DE DRENAJE PREFABRICADO EN POLYCONCRETO, RD-200V, CLASE DE CARGA F900, INCLUYE REJILLA, LONG=1000MM, H= 530 MM, ANCHO= 260 MM, EN COLOR NATURAL, (NO INCLUYE: EXCAVACIÓN, CONCRETO, DRENAJE, RELLENOS, TAPAS O ACCESORIOS)</v>
          </cell>
          <cell r="H2537" t="str">
            <v>ML</v>
          </cell>
          <cell r="I2537">
            <v>1011157</v>
          </cell>
        </row>
        <row r="2538">
          <cell r="F2538">
            <v>8020</v>
          </cell>
          <cell r="G2538" t="str">
            <v>CANAL DE INSPECCIÓN DE DRENAJE PREFABRICADO EN POLYCONCRETO, RD-200V, CLASE DE CARGA F900, INCLUYE REJILLA, LONG=660 MM, H= 530 MM, ANCHO= 260 MM, EN COLOR NATURAL, (NO INCLUYE: EXCAVACIÓN, CONCRETO, DRENAJE, RELLENOS, TAPAS O ACCESORIOS)</v>
          </cell>
          <cell r="H2538" t="str">
            <v>UN</v>
          </cell>
          <cell r="I2538">
            <v>1194193</v>
          </cell>
        </row>
        <row r="2539">
          <cell r="F2539">
            <v>8022</v>
          </cell>
          <cell r="G2539" t="str">
            <v>NIPLE HD Ø4" BRIDA B16.5 X LISO LONG. 816 MM. CON PASAMURO Z=665MM(INCLUYE SUMINISTRO E INSTALACIÓN)</v>
          </cell>
          <cell r="H2539" t="str">
            <v>UN</v>
          </cell>
          <cell r="I2539">
            <v>684822</v>
          </cell>
        </row>
        <row r="2540">
          <cell r="F2540">
            <v>8023</v>
          </cell>
          <cell r="G2540" t="str">
            <v>NIPLE HD Ø4" BRIDA B16.5 X LISO LONG. 1274 MM. CON PASAMURO Z=824MM(INCLUYE SUMINISTRO E INSTALACIÓN)</v>
          </cell>
          <cell r="H2540" t="str">
            <v>UN</v>
          </cell>
          <cell r="I2540">
            <v>946624</v>
          </cell>
        </row>
        <row r="2541">
          <cell r="F2541">
            <v>8025</v>
          </cell>
          <cell r="G2541" t="str">
            <v>NIPLE HD Ø4" BRIDA B16.5 X LISO LONG. 500 MM. CON PASAMURO Z=310MM (INCLUYE SUMINISTRO E INSTALACIÓN)</v>
          </cell>
          <cell r="H2541" t="str">
            <v>UN</v>
          </cell>
          <cell r="I2541">
            <v>504991</v>
          </cell>
        </row>
        <row r="2542">
          <cell r="F2542">
            <v>8026</v>
          </cell>
          <cell r="G2542" t="str">
            <v>NIPLE HD Ø4" BRIDA B16.5 X LISO LONG. 1020 MM. CON PASAMURO Z=820MM (INCLUYE SUMINISTRO E INSTALACIÓN)</v>
          </cell>
          <cell r="H2542" t="str">
            <v>UN</v>
          </cell>
          <cell r="I2542">
            <v>802233</v>
          </cell>
        </row>
        <row r="2543">
          <cell r="F2543">
            <v>8029</v>
          </cell>
          <cell r="G2543" t="str">
            <v>PIEZA ESPECIAL CCP Ø24" LISOXLISO CL 300 LONGITUD 4000MM CON (1) SALIDA VERTICAL SOBRE LOMO DE Ø3" LONGITUD 200MM DE LA CAJA EXTERNA DEL TUBO A BRIDA B.16.5 Y (2) RUANAS PASAMURO Ø24" E=1" HA SOLDADAS. (INCLUYE SUMINISTRO E INSTALACIÓN).</v>
          </cell>
          <cell r="H2543" t="str">
            <v>UN</v>
          </cell>
          <cell r="I2543">
            <v>10842082</v>
          </cell>
        </row>
        <row r="2544">
          <cell r="F2544">
            <v>8033</v>
          </cell>
          <cell r="G2544"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H2544" t="str">
            <v>UN</v>
          </cell>
          <cell r="I2544">
            <v>12246377</v>
          </cell>
        </row>
        <row r="2545">
          <cell r="F2545">
            <v>8042</v>
          </cell>
          <cell r="G2545"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H2545" t="str">
            <v>ML</v>
          </cell>
          <cell r="I2545">
            <v>1208400</v>
          </cell>
        </row>
        <row r="2546">
          <cell r="F2546">
            <v>8043</v>
          </cell>
          <cell r="G2546"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H2546" t="str">
            <v>ML</v>
          </cell>
          <cell r="I2546">
            <v>1408605</v>
          </cell>
        </row>
        <row r="2547">
          <cell r="F2547">
            <v>8044</v>
          </cell>
          <cell r="G2547" t="str">
            <v>CODO EN ACERO F 18" ENTRE 5° Y 22½° JUNTA ESPIGO / CAMPANA CON EMPAQUE DE CAUCHO, CON REVESTIMIENTO INTERIOR Y RECUBRIMIENTO EXTERIOR EN MORTERO DE CEMENTO. L=0,4 X 0,4M. PRESIÓN DE TRABAJO HASTA = 250 PSI . (INCLUYE SUMINISTRO E INSTALACIÓN).</v>
          </cell>
          <cell r="H2547" t="str">
            <v>UN</v>
          </cell>
          <cell r="I2547">
            <v>2937938</v>
          </cell>
        </row>
        <row r="2548">
          <cell r="F2548">
            <v>8045</v>
          </cell>
          <cell r="G2548" t="str">
            <v>CODO EN ACERO F 18" ENTRE 22½° Y 45° JUNTA ESPIGO / CAMPANA CON EMPAQUE DE CAUCHO, CON REVESTIMIENTO INTERIOR Y RECUBRIMIENTO EXTERIOR EN MORTERO DE CEMENTO. L=0,60 X 0,60M. PRESIÓN DE TRABAJO HASTA = 250 PSI. (INCLUYE SUMINISTRO E INSTALACIÓN).</v>
          </cell>
          <cell r="H2548" t="str">
            <v>UN</v>
          </cell>
          <cell r="I2548">
            <v>3743468</v>
          </cell>
        </row>
        <row r="2549">
          <cell r="F2549">
            <v>8046</v>
          </cell>
          <cell r="G2549" t="str">
            <v>CODO EN ACERO F 18" ENTRE 45° Y 67½° JUNTA ESPIGO / CAMPANA CON EMPAQUE DE CAUCHO, CON REVESTIMIENTO INTERIOR Y RECUBRIMIENTO EXTERIOR EN MORTERO DE CEMENTO. L=0,90 X 0,90M. (INCLUYE SUMINISTRO E INSTALACIÓN).</v>
          </cell>
          <cell r="H2549" t="str">
            <v>UN</v>
          </cell>
          <cell r="I2549">
            <v>4746581</v>
          </cell>
        </row>
        <row r="2550">
          <cell r="F2550">
            <v>8047</v>
          </cell>
          <cell r="G2550" t="str">
            <v>CODO EN ACERO F 18" ENTRE 45° Y 67½° JUNTA ESPIGO / CAMPANA CON EMPAQUE DE CAUCHO, CON REVESTIMIENTO INTERIOR Y RECUBRIMIENTO EXTERIOR EN MORTERO DE CEMENTO. L=1,35 X 1,35M. PRESIÓN DE TRABAJO HASTA = 250 PSI. (INCLUYE SUMINISTRO E INSTALACIÓN).</v>
          </cell>
          <cell r="H2550" t="str">
            <v>UN</v>
          </cell>
          <cell r="I2550">
            <v>5684854</v>
          </cell>
        </row>
        <row r="2551">
          <cell r="F2551">
            <v>8048</v>
          </cell>
          <cell r="G2551" t="str">
            <v>CODO EN ACERO F 20" ENTRE 5° Y 22½° JUNTA ESPIGO / CAMPANA CON EMPAQUE DE CAUCHO, CON REVESTIMIENTO INTERIOR Y RECUBRIMIENTO EXTERIOR EN MORTERO DE CEMENTO. L=0,4 X 0,4M. PRESIÓN DE TRABAJO HASTA = 250 PSI. (INCLUYE SUMINISTRO E INSTALACIÓN).</v>
          </cell>
          <cell r="H2551" t="str">
            <v>UN</v>
          </cell>
          <cell r="I2551">
            <v>3267161</v>
          </cell>
        </row>
        <row r="2552">
          <cell r="F2552">
            <v>8049</v>
          </cell>
          <cell r="G2552" t="str">
            <v>CODO EN ACERO F 20" ENTRE 22½° Y 45° JUNTA ESPIGO / CAMPANA CON EMPAQUE DE CAUCHO, CON REVESTIMIENTO INTERIOR Y RECUBRIMIENTO EXTERIOR EN MORTERO DE CEMENTO. L=0,65 X 0,65M. PRESIÓN DE TRABAJO = 250 PSI. (INCLUYE SUMINISTRO E INSTALACIÓN).</v>
          </cell>
          <cell r="H2552" t="str">
            <v>UN</v>
          </cell>
          <cell r="I2552">
            <v>4329107</v>
          </cell>
        </row>
        <row r="2553">
          <cell r="F2553">
            <v>8050</v>
          </cell>
          <cell r="G2553" t="str">
            <v>CODO EN ACERO F 24" ENTRE 5° Y 22½° JUNTA ESPIGO / CAMPANA CON EMPAQUE DE CAUCHO, CON REVESTIMIENTO INTERIOR Y RECUBRIMIENTO EXTERIOR EN MORTERO DE CEMENTO. L=0,45 X 0,45M. PRESIÓN DE TRABAJO HASTA = 250 PSI . (INCLUYE SUMINISTRO E INSTALACIÓN).</v>
          </cell>
          <cell r="H2553" t="str">
            <v>UN</v>
          </cell>
          <cell r="I2553">
            <v>4116816</v>
          </cell>
        </row>
        <row r="2554">
          <cell r="F2554">
            <v>8051</v>
          </cell>
          <cell r="G2554" t="str">
            <v>CODO EN ACERO F 24" ENTRE 22½° Y 45° JUNTA ESPIGO / CAMPANA CON EMPAQUE DE CAUCHO, CON REVESTIMIENTO INTERIOR Y RECUBRIMIENTO EXTERIOR EN MORTERO DE CEMENTO. L=0,80 X 0,80M. PRESIÓN DE TRABAJO = 250 PSI. (INCLUYE SUMINISTRO E INSTALACIÓN).</v>
          </cell>
          <cell r="H2554" t="str">
            <v>UN</v>
          </cell>
          <cell r="I2554">
            <v>5726160</v>
          </cell>
        </row>
        <row r="2555">
          <cell r="F2555">
            <v>8052</v>
          </cell>
          <cell r="G2555" t="str">
            <v>CODO EN ACERO F 24" ENTRE 45° Y 67½° JUNTA ESPIGO / CAMPANA CON EMPAQUE DE CAUCHO, CON REVESTIMIENTO INTERIOR Y RECUBRIMIENTO EXTERIOR EN MORTERO DE CEMENTO. L=1,20 X 1,20M. PRESIÓN DE TRABAJO = 250 PSI. (INCLUYE SUMINISTRO E INSTALACIÓN).</v>
          </cell>
          <cell r="H2555" t="str">
            <v>UN</v>
          </cell>
          <cell r="I2555">
            <v>7419876</v>
          </cell>
        </row>
        <row r="2556">
          <cell r="F2556">
            <v>8053</v>
          </cell>
          <cell r="G2556" t="str">
            <v>CINTURÓN DE CIERRE HA Ø24" E=1/4" (INCLUYE SUMINISTRO E INSTALACIÓN).</v>
          </cell>
          <cell r="H2556" t="str">
            <v>UN</v>
          </cell>
          <cell r="I2556">
            <v>811790</v>
          </cell>
        </row>
        <row r="2557">
          <cell r="F2557">
            <v>8058</v>
          </cell>
          <cell r="G2557" t="str">
            <v>TUBERÍA HG Ø1 1/2". (INCLUYE SUMINISTRO E INSTALACIÓN).</v>
          </cell>
          <cell r="H2557" t="str">
            <v>ML</v>
          </cell>
          <cell r="I2557">
            <v>41096</v>
          </cell>
        </row>
        <row r="2558">
          <cell r="F2558">
            <v>8060</v>
          </cell>
          <cell r="G2558" t="str">
            <v>UNIÓN DE DESMONTAJE AUTOPORTANTE HD Ø4" BRIDA B16.5. (INCLUYE SUMINISTRO E INSTALACIÓN).</v>
          </cell>
          <cell r="H2558" t="str">
            <v>UN</v>
          </cell>
          <cell r="I2558">
            <v>975820</v>
          </cell>
        </row>
        <row r="2559">
          <cell r="F2559">
            <v>8076</v>
          </cell>
          <cell r="G2559" t="str">
            <v>SALIDA PARA ILUMINACIÓN, TUBO PVC 3/4" (LONG= 3M) (INCLUYE SUMINISTRO E INSTALACIÓN).</v>
          </cell>
          <cell r="H2559" t="str">
            <v>UN</v>
          </cell>
          <cell r="I2559">
            <v>41918</v>
          </cell>
        </row>
        <row r="2560">
          <cell r="F2560">
            <v>8077</v>
          </cell>
          <cell r="G2560" t="str">
            <v>SALIDA PARA MOTORES PUERTAS, TUBO EMT 3/4", (LONG=10M) (INCLUYE SUMINISTRO E INSTALACIÓN).</v>
          </cell>
          <cell r="H2560" t="str">
            <v>UN</v>
          </cell>
          <cell r="I2560">
            <v>256903</v>
          </cell>
        </row>
        <row r="2561">
          <cell r="F2561">
            <v>8078</v>
          </cell>
          <cell r="G2561" t="str">
            <v>SALIDA PARA PUBLICIDAD, TUBO EMT 3/4", (LONG= 10M) (INCLUYE SUMINISTRO E INSTALACIÓN).</v>
          </cell>
          <cell r="H2561" t="str">
            <v>UN</v>
          </cell>
          <cell r="I2561">
            <v>223303</v>
          </cell>
        </row>
        <row r="2562">
          <cell r="F2562">
            <v>8079</v>
          </cell>
          <cell r="G2562" t="str">
            <v>SALIDA PARA CCTV E INFORMADORES, TUBO EMT 3/4", (LONG=10M) (INCLUYE SUMINISTRO E INSTALACIÓN).</v>
          </cell>
          <cell r="H2562" t="str">
            <v>UN</v>
          </cell>
          <cell r="I2562">
            <v>279926</v>
          </cell>
        </row>
        <row r="2563">
          <cell r="F2563">
            <v>8080</v>
          </cell>
          <cell r="G2563" t="str">
            <v>PLANTACIÓN DE ÁRBOL LIQUIDÁMBAR H=1.5MT (INCLUYE EXCAVACIÓN MANUAL, SIEMBRA, CAJA, TIERRA ABONADA, TUTOR, TRANSPORTE Y DISPOSICIÓN FINAL DE ESCOMBROS EN SITIO AUTORIZADO (DISTANCIA DE TRANSPORTE 28 KM). SUMINISTRO Y PLANTACIÓN</v>
          </cell>
          <cell r="H2563" t="str">
            <v>UN</v>
          </cell>
          <cell r="I2563">
            <v>132000</v>
          </cell>
        </row>
        <row r="2564">
          <cell r="F2564">
            <v>8081</v>
          </cell>
          <cell r="G2564" t="str">
            <v>ADAPTADOR TERMINAL CAMPANA PVC D=6" (SUMINISTRO E INSTALACIÓN)</v>
          </cell>
          <cell r="H2564" t="str">
            <v>UN</v>
          </cell>
          <cell r="I2564">
            <v>28560</v>
          </cell>
        </row>
        <row r="2565">
          <cell r="F2565">
            <v>8082</v>
          </cell>
          <cell r="G2565" t="str">
            <v>PLANTACIÓN DE PENNISETUM (INCLUYE 16 UNIDADES POR M2) (INCLUYE TRANSPORTE Y DISPOSICIÓN FINAL DE ESCOMBROS EN SITIO AUTORIZADO (DISTANCIA DE TRANSPORTE 28 KM). SUMINISTRO Y PLANTACIÓN</v>
          </cell>
          <cell r="H2565" t="str">
            <v>M2</v>
          </cell>
          <cell r="I2565">
            <v>63250</v>
          </cell>
        </row>
        <row r="2566">
          <cell r="F2566">
            <v>8083</v>
          </cell>
          <cell r="G2566" t="str">
            <v>PLANTACIÓN DE LIRIOPE (INCLUYE 16 UNIDADES POR M2) (INCLUYE TRANSPORTE Y DISPOSICIÓN FINAL DE ESCOMBROS EN SITIO AUTORIZADO (DISTANCIA DE TRANSPORTE 28 KM). SUMINISTRO Y PLANTACIÓN</v>
          </cell>
          <cell r="H2566" t="str">
            <v>M2</v>
          </cell>
          <cell r="I2566">
            <v>57750</v>
          </cell>
        </row>
        <row r="2567">
          <cell r="F2567">
            <v>8084</v>
          </cell>
          <cell r="G2567" t="str">
            <v>PLANTACIÓN DE CLAVEL CHINO (INCLUYE 16 UNIDADES POR M2) (INCLUYE TRANSPORTE Y DISPOSICIÓN FINAL DE ESCOMBROS EN SITIO AUTORIZADO (DISTANCIA DE TRANSPORTE 28 KM). SUMINISTRO Y PLANTACIÓN</v>
          </cell>
          <cell r="H2567" t="str">
            <v>M2</v>
          </cell>
          <cell r="I2567">
            <v>34750</v>
          </cell>
        </row>
        <row r="2568">
          <cell r="F2568">
            <v>8086</v>
          </cell>
          <cell r="G2568" t="str">
            <v>CONCRETO 5000 PSI GRAVA COMÚN PARA CÁMARA (PREMEZCLADO. INCLUYE SUMINISTRO, FORMALETEO, COLOCACIÓN Y CURADO. NO INCLUYE REFUERZO).</v>
          </cell>
          <cell r="H2568" t="str">
            <v>M3</v>
          </cell>
          <cell r="I2568">
            <v>913276</v>
          </cell>
        </row>
        <row r="2569">
          <cell r="F2569">
            <v>8087</v>
          </cell>
          <cell r="G2569" t="str">
            <v>ZAPATA EN CONCRETO PREMEZCLADO DE 4000 PSI (28Mpa), GRAVA COMÚN (Incluye bombeo, Sumin., Formaleteo en madera, Colocación y Curado. No incl. Refuerzo).</v>
          </cell>
          <cell r="H2569" t="str">
            <v>M3</v>
          </cell>
          <cell r="I2569">
            <v>846896</v>
          </cell>
        </row>
        <row r="2570">
          <cell r="F2570">
            <v>8088</v>
          </cell>
          <cell r="G2570" t="str">
            <v>DADO DE CIMENTACION EN CONCRETO 4000 PSI, (28 Mpa) GRAVA COMÚN. Premezclado. Incluye Sumin, Formaleteo en madera, Bombeo, Colocación y curado. (No incl. Refuerzo).</v>
          </cell>
          <cell r="H2570" t="str">
            <v>M3</v>
          </cell>
          <cell r="I2570">
            <v>822734</v>
          </cell>
        </row>
        <row r="2571">
          <cell r="F2571">
            <v>8089</v>
          </cell>
          <cell r="G2571" t="str">
            <v>PRUEBA DE CARGA ESTÁTICA Y DINÁMICA PARA PUENTE PEATONAL EN ESTRUCTURA METÁLICA Y CONCRETO REFORZADO. (INCL. LOGÍSTICA, EQUIPOS Y PERSONAL PARA TOMA INFORMACIÓN, PROCESAMIENTO Y ENTREGA INFORME FINAL.</v>
          </cell>
          <cell r="H2571" t="str">
            <v>UN</v>
          </cell>
          <cell r="I2571">
            <v>32130000</v>
          </cell>
        </row>
        <row r="2572">
          <cell r="F2572">
            <v>8090</v>
          </cell>
          <cell r="G2572" t="str">
            <v>PISO EN PORCELANATO COLOR GRIS OSCURO TIPO BARI PLUS, ACABADO PULIDO, FORMATO 0,60 CM X 0,60 CM LÍNEA CONVENCIONAL. (INCLUYE SUMINISTRO E INSTALACIÓN).</v>
          </cell>
          <cell r="H2572" t="str">
            <v>M2</v>
          </cell>
          <cell r="I2572">
            <v>376062</v>
          </cell>
        </row>
        <row r="2573">
          <cell r="F2573">
            <v>8091</v>
          </cell>
          <cell r="G2573" t="str">
            <v>BOLSA DE LONA RELLENA DE ARENA DE PEÑA. (INCLUYE SUMINISTRO E INSTALACIÓN).</v>
          </cell>
          <cell r="H2573" t="str">
            <v>UN</v>
          </cell>
          <cell r="I2573">
            <v>7643</v>
          </cell>
        </row>
        <row r="2574">
          <cell r="F2574">
            <v>8092</v>
          </cell>
          <cell r="G2574" t="str">
            <v>RETIRO DE SEÑAL VERTICAL CON ENTREGA A ALMACÉN DE LA SDM (APLICA PARA SEÑALES SENCILLAS Y DÚPLEX) (INCLUYE RETIRO DE PEDESTAL Y TABLERO. INCLUYE DEMOLICIÓN DE PISO, RETIRO Y DISPOSICIÓN FINAL DE ESCOMBROS)</v>
          </cell>
          <cell r="H2574" t="str">
            <v>UN</v>
          </cell>
          <cell r="I2574">
            <v>34830</v>
          </cell>
        </row>
        <row r="2575">
          <cell r="F2575">
            <v>8093</v>
          </cell>
          <cell r="G2575" t="str">
            <v>REUBICACIÓN DE SEÑALES VERTICALES (APLICA PARA RETIRO Y REINSTALACIÓN DE SEÑALES SENCILLAS Y DÚPLEX. INCLUYE DEMOLICIÓN DE PISO, RETIRO Y DISPOSICIÓN FINAL DE ESCOMBROS)</v>
          </cell>
          <cell r="H2575" t="str">
            <v>UN</v>
          </cell>
          <cell r="I2575">
            <v>39327</v>
          </cell>
        </row>
        <row r="2576">
          <cell r="F2576">
            <v>8094</v>
          </cell>
          <cell r="G2576" t="str">
            <v>PINO ROMERON H=1.5M (INCLUYE EXCAVACIÓN MANUAL, SIEMBRA, CAJA, TIERRA, ABONO, TUTOR, TRANSPORTE Y DISPOSICIÓN FINAL DE ESCOMBROS EN SITIO AUTORIZADO A 28 KM). SUMINISTRO Y PLANTACIÓN.</v>
          </cell>
          <cell r="H2576" t="str">
            <v>UN</v>
          </cell>
          <cell r="I2576">
            <v>310123</v>
          </cell>
        </row>
        <row r="2577">
          <cell r="F2577">
            <v>8098</v>
          </cell>
          <cell r="G2577" t="str">
            <v>APIQUE MANUAL HASTA 2 M DE 1.5 M X 1.5 M - RELLENO Y ADECUACIÓN DEL SITIO - INCLUYE TRANSPORTE</v>
          </cell>
          <cell r="H2577" t="str">
            <v>UN</v>
          </cell>
          <cell r="I2577">
            <v>273700</v>
          </cell>
        </row>
        <row r="2578">
          <cell r="F2578">
            <v>8099</v>
          </cell>
          <cell r="G2578" t="str">
            <v>BOLSACRETO 1.20M X 2.40M X 0.40M. SUMINISTRO E INSTALACIÓN. INCLUYE MORTERO 1:3 HECHO EN OBRA.</v>
          </cell>
          <cell r="H2578" t="str">
            <v>M3</v>
          </cell>
          <cell r="I2578">
            <v>174412</v>
          </cell>
        </row>
        <row r="2579">
          <cell r="F2579">
            <v>8100</v>
          </cell>
          <cell r="G2579" t="str">
            <v>CANAL DE INICIO / FIN DE DRENAJE PREFABRICADO EN POLYCONCRETO , PD-150V, CLASE DE CARGA D400, INCLUYE REJILLA, LONG=500 MM, H= 270 MM, ANCHO= 200MM, EN COLOR NATURAL. INCLUYE TAPA CIEGA (NO INCLUYE: EXCAVACIÓN, CONCRETO, DRENAJE, RELLENOS U OTROS ACCESORIOS)</v>
          </cell>
          <cell r="H2579" t="str">
            <v>UN</v>
          </cell>
          <cell r="I2579">
            <v>624265</v>
          </cell>
        </row>
        <row r="2580">
          <cell r="F2580">
            <v>8101</v>
          </cell>
          <cell r="G2580" t="str">
            <v>CANAL DE INICIO / FIN DE DRENAJE PREFABRICADO EN POLYCONCRETO, RD-200V, CLASE DE CARGA F900, INCLUYE REJILLA, LONG=660 MM, H= 530 MM, ANCHO= 260 MM, EN COLOR NATURAL. INCLUYE TAPA CIEGA (NO INCLUYE: EXCAVACIÓN, CONCRETO, DRENAJE, RELLENOS, U OTROS ACCESORIOS)</v>
          </cell>
          <cell r="H2580" t="str">
            <v>UN</v>
          </cell>
          <cell r="I2580">
            <v>1577844</v>
          </cell>
        </row>
        <row r="2581">
          <cell r="F2581">
            <v>8102</v>
          </cell>
          <cell r="G2581" t="str">
            <v>LOSETA PODOTACTIL EN POLIPROPILENO. ANCHO 0,40M. ACABADOS SEGÚN NORMA NTC 5610. DEC. 308/2018. INCLUYE LIMPIEZA Y ALISTAMIENTO DE SUPERFICIE. INCLUYE TODOS LOS ELEMENTOS DE COLOCACIÓN, FIJACIÓN Y MANO DE OBRA. SUMINISTRO E INSTALACIÓN.</v>
          </cell>
          <cell r="H2581" t="str">
            <v>ML</v>
          </cell>
          <cell r="I2581">
            <v>165838</v>
          </cell>
        </row>
        <row r="2582">
          <cell r="F2582">
            <v>8103</v>
          </cell>
          <cell r="G2582" t="str">
            <v>RETIRO Y LAVADO DE SUPERFICIE DE BIOCAPAS MEDIANTE PRODUCTO LIMPIADOR NEW O SIMILAR. LIMPIADOR PARA CONCRETO-LADRILLO</v>
          </cell>
          <cell r="H2582" t="str">
            <v>M2</v>
          </cell>
          <cell r="I2582">
            <v>20220</v>
          </cell>
        </row>
        <row r="2583">
          <cell r="F2583">
            <v>8104</v>
          </cell>
          <cell r="G2583" t="str">
            <v>APLICACIÓN DE CAPA INHIBIDORA DE CORROSIÓN POR IMPREGNACIÓN (FORMULACIÓN MEJORADA) MÁS RECUBRIMIENTO PROTECTOR EPÓXICO APLICABLE EN ELEMENTOS DE CONCRETO Y METAL BAJO AGUA.</v>
          </cell>
          <cell r="H2583" t="str">
            <v>M2</v>
          </cell>
          <cell r="I2583">
            <v>89310</v>
          </cell>
        </row>
        <row r="2584">
          <cell r="F2584">
            <v>8106</v>
          </cell>
          <cell r="G2584" t="str">
            <v>ADOQUIN DE CONCRETO COLOR 20X10X8CM (SUMINISTRO E INSTALACIÓN. INCLUYE BASE 4CM, MORTERO 2000 PSI Y ARENA DE SELLO)</v>
          </cell>
          <cell r="H2584" t="str">
            <v>M2</v>
          </cell>
          <cell r="I2584">
            <v>126270</v>
          </cell>
        </row>
        <row r="2585">
          <cell r="F2585">
            <v>8107</v>
          </cell>
          <cell r="G2585" t="str">
            <v>PIEZA DE REMATE FUNDIDA EN SITIO PARA CAÑUELA TIPO A121 DE 0.3X0.5X0.4 M EN CONCRETO DE 3000 PSI (INCLUYE SUMINISTRO E INSTALACIÓN)</v>
          </cell>
          <cell r="H2585" t="str">
            <v>UN</v>
          </cell>
          <cell r="I2585">
            <v>45517</v>
          </cell>
        </row>
        <row r="2586">
          <cell r="F2586">
            <v>8109</v>
          </cell>
          <cell r="G2586" t="str">
            <v>ACOMETIDA EN BAJA TENSIÓN EN CONDUCTORES CU 3X6+8 AWG, 600 V (INCLUYE SUMINISTRO E INSTALACIÓN TUBERIA PVC 3" Y CABLES)</v>
          </cell>
          <cell r="H2586" t="str">
            <v>ML</v>
          </cell>
          <cell r="I2586">
            <v>52306</v>
          </cell>
        </row>
        <row r="2587">
          <cell r="F2587">
            <v>8110</v>
          </cell>
          <cell r="G2587" t="str">
            <v>ACOMETIDA EN BAJA TENSIÓN EN CONDUCTORES CU 3X4+8 AWG, 600 V (INCLUYE SUMINISTRO E INSTALACIÓN TUBERIA PVC 3" Y CABLES)</v>
          </cell>
          <cell r="H2587" t="str">
            <v>ML</v>
          </cell>
          <cell r="I2587">
            <v>68137</v>
          </cell>
        </row>
        <row r="2588">
          <cell r="F2588">
            <v>8111</v>
          </cell>
          <cell r="G2588" t="str">
            <v>ACOMETIDA EN MEDIA TENSIÓN EN CONDUCTORES ALUMINIO 3X185 MM^2, XLPE, 15KV, 133%, +1 NO. 2 CU DESNUDO, CON CONOS DE ALIVIO, TERMINALES Y ACCESORIOS (INCLUYE SUMINISTRO E INSTALACIÓN TUBERIA PVC 3" Y CABLES)</v>
          </cell>
          <cell r="H2588" t="str">
            <v>ML</v>
          </cell>
          <cell r="I2588">
            <v>201891</v>
          </cell>
        </row>
        <row r="2589">
          <cell r="F2589">
            <v>8112</v>
          </cell>
          <cell r="G2589" t="str">
            <v>REUBICACION DE SONORIZADORES PARA INVIDENTES (INCLUYE DESMONTE).</v>
          </cell>
          <cell r="H2589" t="str">
            <v>UN</v>
          </cell>
          <cell r="I2589">
            <v>175478</v>
          </cell>
        </row>
        <row r="2590">
          <cell r="F2590">
            <v>8113</v>
          </cell>
          <cell r="G2590" t="str">
            <v>REUBICACION DE DETECTOR DE DEMANDA PEATONAL (BOTONES) NO INCLUYE CABLES. (INCLUYE DESMONTE).</v>
          </cell>
          <cell r="H2590" t="str">
            <v>UN</v>
          </cell>
          <cell r="I2590">
            <v>87740</v>
          </cell>
        </row>
        <row r="2591">
          <cell r="F2591">
            <v>8114</v>
          </cell>
          <cell r="G2591" t="str">
            <v>PINTURA EN PLASTICO EN FRIO METILMETACRILATO DE A=20CM PARA LINEAS DE DEMARCACIÓN, CON MICROESFERAS Y ESPESOR SECO SEGÚN NORMA NTC 4744. SUMINISTRO Y APLICACIÓN.</v>
          </cell>
          <cell r="H2591" t="str">
            <v>ML</v>
          </cell>
          <cell r="I2591">
            <v>19938</v>
          </cell>
        </row>
        <row r="2592">
          <cell r="F2592">
            <v>8115</v>
          </cell>
          <cell r="G2592" t="str">
            <v>SEPARADORES TIPO TRANSMILENIO DELINEADOR TIPO C EN POLIETILENO (1M X 0.15M X 0.8M) Y 2 TORNILLOS EN ACERO INOXIDABLE DE 1/2" DE ANCHO Y 4 TORNILLOS DE 1/2" DE LARGO. SUMINISTRO E INSTALACION.</v>
          </cell>
          <cell r="H2592" t="str">
            <v>UN</v>
          </cell>
          <cell r="I2592">
            <v>147271</v>
          </cell>
        </row>
        <row r="2593">
          <cell r="F2593">
            <v>8116</v>
          </cell>
          <cell r="G2593" t="str">
            <v>SEMAFORO (3X200) S2. LENTES DE POLICARBONATO DE 8" BICICLETAS LUCES, SISTEMA DE ILUMINACIÓN A LEDS, COMPATIBILIDAD C800/900, FIJACION A MENSULA. INCLUYE ELEMENTOS DE FIJACION.</v>
          </cell>
          <cell r="H2593" t="str">
            <v>UN</v>
          </cell>
          <cell r="I2593">
            <v>4159964</v>
          </cell>
        </row>
        <row r="2594">
          <cell r="F2594">
            <v>8117</v>
          </cell>
          <cell r="G2594" t="str">
            <v>ACOMETIDA EN BAJA TENSIÓN EN CONDUCTORES CU 2X8+8 AWG, 600 V (INCLUYE SUMINISTRO E INSTALACIÓN TUBERIA PVC 3" Y CABLES)</v>
          </cell>
          <cell r="H2594" t="str">
            <v>ML</v>
          </cell>
          <cell r="I2594">
            <v>38143</v>
          </cell>
        </row>
        <row r="2595">
          <cell r="F2595">
            <v>8118</v>
          </cell>
          <cell r="G2595" t="str">
            <v>ACOMETIDA EN BAJA TENSIÓN EN CONDUCTORES CU 1X8+8 AWG, 600 V (INCLUYE SUMINISTRO E INSTALACIÓN TUBERIA PVC 3" Y CABLES)</v>
          </cell>
          <cell r="H2595" t="str">
            <v>ML</v>
          </cell>
          <cell r="I2595">
            <v>32737</v>
          </cell>
        </row>
        <row r="2596">
          <cell r="F2596">
            <v>8119</v>
          </cell>
          <cell r="G2596" t="str">
            <v>PUESTA A TIERRA PARA BARRAJES PREFORMADOS DE BAJA TENSION CS340</v>
          </cell>
          <cell r="H2596" t="str">
            <v>UN</v>
          </cell>
          <cell r="I2596">
            <v>352579</v>
          </cell>
        </row>
        <row r="2597">
          <cell r="F2597">
            <v>8120</v>
          </cell>
          <cell r="G2597" t="str">
            <v>NIVELACIÓN DE CÁMARA ETB T-16 H= 0.30M (DIMENSIONES INTERNAS LARGO:2,66M, ANCHO:2,66M, ALTO 1,80M SEGÚN NORMA ETB) (INCLUYE DEMOLICION, TRANSPORTE Y DISPOSICION DE ESCOMBROS, SUMINISTROS E INSTALACIÓN BLOQUE, CONCRETO PLACA SUPERIOR, REFUERZO,MORTERO, ARO Y TAPA ETB).</v>
          </cell>
          <cell r="H2597" t="str">
            <v>UN</v>
          </cell>
          <cell r="I2597">
            <v>2151735</v>
          </cell>
        </row>
        <row r="2598">
          <cell r="F2598">
            <v>8121</v>
          </cell>
          <cell r="G2598" t="str">
            <v>NIVELACIÓN DE CÁMARA ETB T-18 H= 0.30M (DIMENSIONES INTERNAS LARGO:2,20M, ANCHO:2,20M, ALTO 1,80M SEGÚN NORMA ETB) ((INCLUYE DEMOLICION, TRANSPORTE Y DISPOSICION DE ESCOMBROS, SUMINISTROS E INSTALACIÓN BLOQUE, CONCRETO PLACA SUPERIOR, REFUERZO,MORTERO, ARO Y TAPA ETB).</v>
          </cell>
          <cell r="H2598" t="str">
            <v>UN</v>
          </cell>
          <cell r="I2598">
            <v>2359935</v>
          </cell>
        </row>
        <row r="2599">
          <cell r="F2599">
            <v>8122</v>
          </cell>
          <cell r="G2599" t="str">
            <v>NIVELACIÓN DE CAJA SENCILLA DE PASO ETB H= 0.30M (DIMENSIONES INTERNAS LARGO:0,53M, ANCHO:0,53M, ALTO 1,08M SEGÚN NORMA ETB) (INCLUYE DEMOLICION, TRANSPORTE Y DISPOSICION DE ESCOMBROS, SUMINISTROS E INSTALACIÓN BLOQUE, MORTERO, MARCO Y TAPA).</v>
          </cell>
          <cell r="H2599" t="str">
            <v>UN</v>
          </cell>
          <cell r="I2599">
            <v>906827</v>
          </cell>
        </row>
        <row r="2600">
          <cell r="F2600">
            <v>8123</v>
          </cell>
          <cell r="G2600" t="str">
            <v>LOSETA ACHURADO TIPO A20 ( INCLUYE SUMINISTRO E INSTALACIÓN.INCLUYE BASE 4CM MORTERO 1:5 Y ARENA DE SELLO)</v>
          </cell>
          <cell r="H2600" t="str">
            <v>M2</v>
          </cell>
          <cell r="I2600">
            <v>112901</v>
          </cell>
        </row>
        <row r="2601">
          <cell r="F2601">
            <v>8124</v>
          </cell>
          <cell r="G2601" t="str">
            <v>TRANSFORMADOR SEMISUMERGIBLE 115 KVA 11.4 /0.208-0.120 KV DYN5. (SUMINISTRO E INSTALACIÓN)</v>
          </cell>
          <cell r="H2601" t="str">
            <v>UN</v>
          </cell>
          <cell r="I2601">
            <v>21017017</v>
          </cell>
        </row>
        <row r="2602">
          <cell r="F2602">
            <v>8125</v>
          </cell>
          <cell r="G2602" t="str">
            <v>RETIRO DE TELÉFONOS PÚBLICOS (INCLUYE DESCONEXIÓN, DEMOLICIÓN CONCRETO, EXCAVACIÓN, RELLENO CON MATERIAL DE LA EXCAVACIÓN Y DISPOSICIÓN FINAL)</v>
          </cell>
          <cell r="H2602" t="str">
            <v>UN</v>
          </cell>
          <cell r="I2602">
            <v>65504</v>
          </cell>
        </row>
        <row r="2603">
          <cell r="F2603">
            <v>8126</v>
          </cell>
          <cell r="G2603" t="str">
            <v>ACOMETIDA EN BAJA TENSIÓN EN CONDUCTORES CU 3X2/0 + 1X2 AWG, 600 V (INCLUYE SUMINISTRO E INSTALACIÓN TUBERIA PVC 3" Y CABLES).</v>
          </cell>
          <cell r="H2603" t="str">
            <v>ML</v>
          </cell>
          <cell r="I2603">
            <v>174519</v>
          </cell>
        </row>
        <row r="2604">
          <cell r="F2604">
            <v>8127</v>
          </cell>
          <cell r="G2604" t="str">
            <v>TRANSFORMADOR SEMISUMERGIBLE 150 KVA 11.4 /0.208-0.120 KV DYN5. (SUMINISTRO E INSTALACIÓN)</v>
          </cell>
          <cell r="H2604" t="str">
            <v>UN</v>
          </cell>
          <cell r="I2604">
            <v>22385020</v>
          </cell>
        </row>
        <row r="2605">
          <cell r="F2605">
            <v>8128</v>
          </cell>
          <cell r="G2605" t="str">
            <v>SECCIONADOR O CAJA DE MANIOBRA DE 6 VÍAS, E-S 600, D200, SERIE 15 KV. SUMINISTRO E INSTALACIÓN</v>
          </cell>
          <cell r="H2605" t="str">
            <v>UN</v>
          </cell>
          <cell r="I2605">
            <v>26511751</v>
          </cell>
        </row>
        <row r="2606">
          <cell r="F2606">
            <v>8129</v>
          </cell>
          <cell r="G2606" t="str">
            <v>CONDUCTOR MONOPOLAR DE ALUMINIO, AISLADO PARA 15 KV - XLPE, SECCION 95 MM2. (INCLUYE SUMINISTRO E INSTALACIÓN).</v>
          </cell>
          <cell r="H2606" t="str">
            <v>ML</v>
          </cell>
          <cell r="I2606">
            <v>66853</v>
          </cell>
        </row>
        <row r="2607">
          <cell r="F2607">
            <v>8130</v>
          </cell>
          <cell r="G2607" t="str">
            <v>ACOMETIDA EN BAJA TENSIÓN EN CONDUCTORES 3X8+8 AWG (INCLUYE SUMINISTRO E INSTALACIÓN).</v>
          </cell>
          <cell r="H2607" t="str">
            <v>ML</v>
          </cell>
          <cell r="I2607">
            <v>44804</v>
          </cell>
        </row>
        <row r="2608">
          <cell r="F2608">
            <v>8131</v>
          </cell>
          <cell r="G2608" t="str">
            <v>RETIRO DE RED AÉREA (INCLUYE TRANSPORTE Y DISPOSICIÓN DE SOBRANTES)</v>
          </cell>
          <cell r="H2608" t="str">
            <v>ML</v>
          </cell>
          <cell r="I2608">
            <v>2566</v>
          </cell>
        </row>
        <row r="2609">
          <cell r="F2609">
            <v>8132</v>
          </cell>
          <cell r="G2609" t="str">
            <v>SECCIONADOR O CAJA DE MANIOBRA DE 4 VÍAS, E-S 600, D200, SERIE 15 KV. SUMINISTRO E INSTALACIÓN</v>
          </cell>
          <cell r="H2609" t="str">
            <v>UN</v>
          </cell>
          <cell r="I2609">
            <v>21197735</v>
          </cell>
        </row>
        <row r="2610">
          <cell r="F2610">
            <v>8133</v>
          </cell>
          <cell r="G2610" t="str">
            <v>TUBERÍA EN POLIETILENO DE 1" (INCLUYE SUMINISTRO E INSTALACIÓN HASTA DOS UNIONES Y 10 M DE TUBERÍA)</v>
          </cell>
          <cell r="H2610" t="str">
            <v>ML</v>
          </cell>
          <cell r="I2610">
            <v>6314</v>
          </cell>
        </row>
        <row r="2611">
          <cell r="F2611">
            <v>8134</v>
          </cell>
          <cell r="G2611" t="str">
            <v>NIVELACIÓN DE CÁMARA DOBLE TIPO 2"F1" COLOMBIA TELECOMUNICACIONES (DIMENSIONES INTERNAS LARGO: 1.56M, ANCHO:0,50M, ALTO 0,90M SEGÚN NORMA TELECOM) (INCLUYE DEMOLICIÓN, TRANSPORTE Y DISPOSICIÓN DE ESCOMBROS, SUMINISTROS E INSTALACIÓN BLOQUE, MORTERO, MARCO Y TAPA).</v>
          </cell>
          <cell r="H2611" t="str">
            <v>UN</v>
          </cell>
          <cell r="I2611">
            <v>810069</v>
          </cell>
        </row>
        <row r="2612">
          <cell r="F2612">
            <v>8135</v>
          </cell>
          <cell r="G2612" t="str">
            <v>PILOTE D=0.70 M DE CONCRETO TREMIE 4000 PSI (28 MPA) (INCL. EXCAVACIÓN, CARGUE, MOVILIZACIÓN, MONTAJE, DESCABECE Y DESMONTAJE EQUIPO).</v>
          </cell>
          <cell r="H2612" t="str">
            <v>ML</v>
          </cell>
          <cell r="I2612">
            <v>673383</v>
          </cell>
        </row>
        <row r="2613">
          <cell r="F2613">
            <v>8136</v>
          </cell>
          <cell r="G2613" t="str">
            <v>ACOMETIDA EN BAJA TENSIÓN EN CONDUCTORES 3X4+6 AWG (INCLUYE SUMINISTRO E INSTALACIÓN).</v>
          </cell>
          <cell r="H2613" t="str">
            <v>ML</v>
          </cell>
          <cell r="I2613">
            <v>72531</v>
          </cell>
        </row>
        <row r="2614">
          <cell r="F2614">
            <v>8138</v>
          </cell>
          <cell r="G2614" t="str">
            <v>ACOMETIDA EN BAJA TENSIÓN EN CONDUCTORES 3X2+4 AWG (INCLUYE SUMINISTRO E INSTALACIÓN).</v>
          </cell>
          <cell r="H2614" t="str">
            <v>ML</v>
          </cell>
          <cell r="I2614">
            <v>101389</v>
          </cell>
        </row>
        <row r="2615">
          <cell r="F2615">
            <v>8139</v>
          </cell>
          <cell r="G2615" t="str">
            <v>CONCRETO 4000 PSI GRAVA COMÚN PARA TOPE SÍSMICO (PREMEZCLADO. INCLUYE SUMIN., FORMALETEO Y COLOCACIÓN. NO INCL. REFUERZO, CURADO).</v>
          </cell>
          <cell r="H2615" t="str">
            <v>M3</v>
          </cell>
          <cell r="I2615">
            <v>603710</v>
          </cell>
        </row>
        <row r="2616">
          <cell r="F2616">
            <v>8140</v>
          </cell>
          <cell r="G2616" t="str">
            <v>NIVELACIÓN DE CAMARA TIPO "D" COLOMBIA TELECOMUNICACIONES (DIMENSIONES INTERNAS LARGO:1,90M, ANCHO:1,06M, ALTO:1,60M SEGÚN NORMA TELECOM)(INCLUYE DEMOLICION, TRANSPORTE Y DISPOSICION DE ESCOMBROS, SUMINISTROS E INSTALACIÓN BLOQUE, MORTERO, MARCO Y TAPA).</v>
          </cell>
          <cell r="H2616" t="str">
            <v>UN</v>
          </cell>
          <cell r="I2616">
            <v>1315538</v>
          </cell>
        </row>
        <row r="2617">
          <cell r="F2617">
            <v>8142</v>
          </cell>
          <cell r="G2617" t="str">
            <v>TUBERÍA FLEXIBLE DE ALTA DENSIDAD NEGRA. TUBO Ø6", TUBERÍA PEAD, PE100, SDR17, DN50, PE.</v>
          </cell>
          <cell r="H2617" t="str">
            <v>ML</v>
          </cell>
          <cell r="I2617">
            <v>92342</v>
          </cell>
        </row>
        <row r="2618">
          <cell r="F2618">
            <v>8143</v>
          </cell>
          <cell r="G2618" t="str">
            <v>NIVELACIÓN DE CÁMARA ETB T-18A H= 0.30M (DIMENSIONES INTERNAS LARGO:2,20M, ANCHO:2,20M, ALTO 1,80M SEGÚN NORMA ETB) (INCLUYE DEMOLICION, TRANSPORTE Y DISPOSICION DE ESCOMBROS, SUMINISTROS E INSTALACIÓN BLOQUE, CONCRETO PLACA SUPERIOR, REFUERZO,MORTERO, ARO Y TAPA ETB).</v>
          </cell>
          <cell r="H2618" t="str">
            <v>UN</v>
          </cell>
          <cell r="I2618">
            <v>2802673</v>
          </cell>
        </row>
        <row r="2619">
          <cell r="F2619">
            <v>8144</v>
          </cell>
          <cell r="G2619" t="str">
            <v>NIVELACIÓN DE CAMARA TIPO "JC" COLOMBIA TELECOMUNICACIONES (DIMENSIONES INTERNAS LARGO:2,12M, ANCHO:1,26M, ALTO:1,60M SEGÚN NORMA TELECOM)(INCLUYE DEMOLICION, TRANSPORTE Y DISPOSICION DE ESCOMBROS, SUMINISTROS E INSTALACIÓN BLOQUE, CONCRETO PLACA SUPERIOR, REFUERZO,MORTERO, ARO Y TAPA ).</v>
          </cell>
          <cell r="H2619" t="str">
            <v>UN</v>
          </cell>
          <cell r="I2619">
            <v>1093090</v>
          </cell>
        </row>
        <row r="2620">
          <cell r="F2620">
            <v>8145</v>
          </cell>
          <cell r="G2620" t="str">
            <v>NIVELACIÓN DE CAMARA TIPO "F1" COLOMBIA TELECOMUNICACIONES (DIMENSIONES INTERNAS LARGO:0,69M, ANCHO:0,56M, ALTO 0,90M) (INCLUYE DEMOLICION, TRANSPORTE Y DISPOSICION DE ESCOMBROS, SUMINISTROS E INSTALACIÓN BLOQUE, MORTERO, MARCO Y TAPA).</v>
          </cell>
          <cell r="H2620" t="str">
            <v>UN</v>
          </cell>
          <cell r="I2620">
            <v>795035</v>
          </cell>
        </row>
        <row r="2621">
          <cell r="F2621">
            <v>8146</v>
          </cell>
          <cell r="G2621" t="str">
            <v>NIVELACIÓN DE CAMARA TIPO "F2" COLOMBIA TELECOMUNICACIONES (DIMENSIONES INTERNAS LARGO:0,41M, ANCHO:0,36M, ALTO:0,90M SEGÚN NORMA TELECOM) (INCLUYE DEMOLICION, TRANSPORTE Y DISPOSICION DE ESCOMBROS, SUMINISTROS E INSTALACIÓN BLOQUE, MORTERO, MARCO Y TAPA).</v>
          </cell>
          <cell r="H2621" t="str">
            <v>UN</v>
          </cell>
          <cell r="I2621">
            <v>412018</v>
          </cell>
        </row>
        <row r="2622">
          <cell r="F2622">
            <v>8148</v>
          </cell>
          <cell r="G2622" t="str">
            <v>ACOMETIDA DOMICILIARIA DE 1" CON COLLAR DE DERIVACION DE 4" X 1/2". SUMINISTRO E INSTALACION. (INCLUYE TUBERIA PF, REGISTROS Y ACCESORIOS, LONGITUD PROMEDIO DE 6.5M, INCLUYE CAJILLA EN POLIPROPILENO PARA MEDIDOR).</v>
          </cell>
          <cell r="H2622" t="str">
            <v>UN</v>
          </cell>
          <cell r="I2622">
            <v>380507</v>
          </cell>
        </row>
        <row r="2623">
          <cell r="F2623">
            <v>8150</v>
          </cell>
          <cell r="G2623" t="str">
            <v>RECONSTRUCCIÓN CAJA DE INSPECCIÓN DOBLE PARA CANALIZACIÓN RED ETB (DIMENSIONES INTERNAS LARGO:1,02M, ANCHO:0,60M, ALTO:0,81M SEGÚN NORMA ETB) (INCLUYE MUROS , PAÑETE, MARCO Y TAPAS)</v>
          </cell>
          <cell r="H2623" t="str">
            <v>UN</v>
          </cell>
          <cell r="I2623">
            <v>1193131</v>
          </cell>
        </row>
        <row r="2624">
          <cell r="F2624">
            <v>8151</v>
          </cell>
          <cell r="G2624" t="str">
            <v>EMPATES DE TUBERÍA EN PVC A PEAD 6" LINEAL SEGÚN NORMA NS-023 (INCLUYE ACCESORIOS). SUMINISTRO E INSTALACIÓN.</v>
          </cell>
          <cell r="H2624" t="str">
            <v>UN</v>
          </cell>
          <cell r="I2624">
            <v>1711827</v>
          </cell>
        </row>
        <row r="2625">
          <cell r="F2625">
            <v>8152</v>
          </cell>
          <cell r="G2625" t="str">
            <v>RENIVELACIÓN DE ACOMETIDA DOMICILIARIA.</v>
          </cell>
          <cell r="H2625" t="str">
            <v>UN</v>
          </cell>
          <cell r="I2625">
            <v>44640</v>
          </cell>
        </row>
        <row r="2626">
          <cell r="F2626">
            <v>8153</v>
          </cell>
          <cell r="G2626" t="str">
            <v>TRANSFORMADOR SEMISUMERGIBLE 75 KVA 11.4 /0.208-0.120 KV DYN5. (SUMINISTRO E INSTALACIÓN)</v>
          </cell>
          <cell r="H2626" t="str">
            <v>UN</v>
          </cell>
          <cell r="I2626">
            <v>20515241</v>
          </cell>
        </row>
        <row r="2627">
          <cell r="F2627">
            <v>8154</v>
          </cell>
          <cell r="G2627" t="str">
            <v>RECONSTRUCCIÓN CAJA DE INSPECCIÓN SENCILLA PARA CANALIZACIÓN RED ETB (DIMENSIONES INTERNAS LARGO:0,53M, ANCHO:0,53M, ALTO 1,08M SEGÚN NORMA ETB) (INCLUYE MUROS , PAÑETE, MARCO Y TAPAS)</v>
          </cell>
          <cell r="H2627" t="str">
            <v>UN</v>
          </cell>
          <cell r="I2627">
            <v>737334</v>
          </cell>
        </row>
        <row r="2628">
          <cell r="F2628">
            <v>8155</v>
          </cell>
          <cell r="G2628" t="str">
            <v>NIVELACIÓN DE CÁMARA ETB T-13A H= 0.30M (DIMENSIONES INTERNAS LARGO:2,55M, ANCHO:1,85M, ALTO 1,80M SEGÚN NORMA ETB) (INCLUYE DEMOLICION, TRANSPORTE Y DISPOSICION DE ESCOMBROS, SUMINISTROS E INSTALACIÓN BLOQUE, CONCRETO PLACA SUPERIOR, REFUERZO,MORTERO, ARO Y TAPA ETB).</v>
          </cell>
          <cell r="H2628" t="str">
            <v>UN</v>
          </cell>
          <cell r="I2628">
            <v>1719704</v>
          </cell>
        </row>
        <row r="2629">
          <cell r="F2629">
            <v>8156</v>
          </cell>
          <cell r="G2629" t="str">
            <v>LAVADO Y MANTENIMIENTO DE SEÑAL VERTICAL (SP-SR-SI), SENCILLA O DUPLEX.</v>
          </cell>
          <cell r="H2629" t="str">
            <v>UN</v>
          </cell>
          <cell r="I2629">
            <v>4174</v>
          </cell>
        </row>
        <row r="2630">
          <cell r="F2630">
            <v>8157</v>
          </cell>
          <cell r="G2630" t="str">
            <v>TRANSFORMADOR SEMISUMERGIBLE 45 KVA 11.4 /0.208-0.120 KV DYN5. (SUMINISTRO E INSTALACIÓN)</v>
          </cell>
          <cell r="H2630" t="str">
            <v>UN</v>
          </cell>
          <cell r="I2630">
            <v>21437462</v>
          </cell>
        </row>
        <row r="2631">
          <cell r="F2631">
            <v>8158</v>
          </cell>
          <cell r="G2631" t="str">
            <v>CONCRETO 3000 PSI GRAVA COMÚN PARA PIEZA REMATE TIPO HOMBROS PARA RAMPA (PREMEZCLADO. INCLUYE SUMIN., BOMBEO CON AUTOBOMBA, FORMALETEO Y COLOCACIÓN. NO INCL. REFUERZO, CURADO).</v>
          </cell>
          <cell r="H2631" t="str">
            <v>M3</v>
          </cell>
          <cell r="I2631">
            <v>612865</v>
          </cell>
        </row>
        <row r="2632">
          <cell r="F2632">
            <v>8159</v>
          </cell>
          <cell r="G2632" t="str">
            <v>TRANSFORMADOR SEMISUMERGIBLE 225 KVA 11.4 /0.208-0.120 KV DYN5. (SUMINISTRO E INSTALACIÓN)</v>
          </cell>
          <cell r="H2632" t="str">
            <v>UN</v>
          </cell>
          <cell r="I2632">
            <v>30102117</v>
          </cell>
        </row>
        <row r="2633">
          <cell r="F2633">
            <v>8160</v>
          </cell>
          <cell r="G2633" t="str">
            <v>ADOQUÍN DE CONCRETO A26 (20X10X6) CM (SUMINISTRO E INSTALACIÓN. INCLUYE BASE 3CM ARENA NIVELACIÓN Y ARENA DE SELLO)</v>
          </cell>
          <cell r="H2633" t="str">
            <v>ML</v>
          </cell>
          <cell r="I2633">
            <v>21216</v>
          </cell>
        </row>
        <row r="2634">
          <cell r="F2634">
            <v>8161</v>
          </cell>
          <cell r="G2634" t="str">
            <v>NIVELACIÓN DE CÁMARA ETB T-16A H= 0.30M (DIMENSIONES INTERNAS LARGO:2,66M, ANCHO:2,66M, ALTO 1,80M SEGÚN NORMA ETB) (INCLUYE DEMOLICION, TRANSPORTE Y DISPOSICION DE ESCOMBROS, SUMINISTROS E INSTALACIÓN BLOQUE, CONCRETO PLACA SUPERIOR, REFUERZO,MORTERO, ARO Y TAPA ETB).</v>
          </cell>
          <cell r="H2634" t="str">
            <v>UN</v>
          </cell>
          <cell r="I2634">
            <v>2078713</v>
          </cell>
        </row>
        <row r="2635">
          <cell r="F2635">
            <v>8162</v>
          </cell>
          <cell r="G2635" t="str">
            <v>TUBERÍA FLEXIBLE DE ALTA DENSIDAD NEGRA. TUBO Ø4", TUBERÍA PEAD, PE100, SDR17, DN50, PE.</v>
          </cell>
          <cell r="H2635" t="str">
            <v>ML</v>
          </cell>
          <cell r="I2635">
            <v>47487</v>
          </cell>
        </row>
        <row r="2636">
          <cell r="F2636">
            <v>8163</v>
          </cell>
          <cell r="G2636" t="str">
            <v>TUBERÍA FLEXIBLE DE ALTA DENSIDAD NEGRA. TUBO Ø8", TUBERÍA PEAD, PE100, SDR17, DN50, PE.</v>
          </cell>
          <cell r="H2636" t="str">
            <v>ML</v>
          </cell>
          <cell r="I2636">
            <v>176360</v>
          </cell>
        </row>
        <row r="2637">
          <cell r="F2637">
            <v>8165</v>
          </cell>
          <cell r="G2637" t="str">
            <v>CAJA PARA VALVULAS GN EN MAMPOSTERÍA 0,5M X 0,5M X 0,7M (INCLUYE SUMINISTRO DE MATERIALES E INSTALACIÓN)</v>
          </cell>
          <cell r="H2637" t="str">
            <v>UN</v>
          </cell>
          <cell r="I2637">
            <v>430399</v>
          </cell>
        </row>
        <row r="2638">
          <cell r="F2638">
            <v>8166</v>
          </cell>
          <cell r="G2638" t="str">
            <v>CENEFA EN LOSETA PREFABRICADA A58 GUIA (20X20X6) CM. SUMINISTRO E INSTALACIÓN. (INCLUYE 4CM DE MORTERO 1:5 HECHO EN OBRA PARA BASE Y ARENA DE PEÑA PARA SELLO)</v>
          </cell>
          <cell r="H2638" t="str">
            <v>M2</v>
          </cell>
          <cell r="I2638">
            <v>110238</v>
          </cell>
        </row>
        <row r="2639">
          <cell r="F2639">
            <v>8167</v>
          </cell>
          <cell r="G2639" t="str">
            <v>BLOQUE DE CONCRETO ESTRUCTURAL (0.12X0.2X0.4)M PARA CONTENEDOR DE RAICES (INCLUYE SUMINISTRO E INSTALACIÓN, GROUTING 14 MPA Y GRAFIL D=6 MM PARA REFUERZO HORIZONTAL)</v>
          </cell>
          <cell r="H2639" t="str">
            <v>M2</v>
          </cell>
          <cell r="I2639">
            <v>146498</v>
          </cell>
        </row>
        <row r="2640">
          <cell r="F2640">
            <v>8168</v>
          </cell>
          <cell r="G2640" t="str">
            <v>NIVELACIÓN DE CÁMARA ETB T-14A H= 0.30M (DIMENSIONES INTERNAS LARGO:2,55M, ANCHO:2,24M, ALTO 1,80M SEGÚN NORMA ETB) (INCLUYE DEMOLICION, TRANSPORTE Y DISPOSICION DE ESCOMBROS, SUMINISTROS E INSTALACIÓN BLOQUE, CONCRETO PLACA SUPERIOR, REFUERZO,MORTERO, ARO Y TAPA ETB).</v>
          </cell>
          <cell r="H2640" t="str">
            <v>UN</v>
          </cell>
          <cell r="I2640">
            <v>2404206</v>
          </cell>
        </row>
        <row r="2641">
          <cell r="F2641">
            <v>8169</v>
          </cell>
          <cell r="G2641" t="str">
            <v>CENEFA EN LOSETA PREFABRICADA A57 TÁCTIL ALERTA (20X20X6) CM. SUMINISTRO E INSTALACIÓN. (INCLUYE 4CM DE MORTERO 1:5 HECHO EN OBRA PARA BASE Y ARENA DE PEÑA PARA SELLO)</v>
          </cell>
          <cell r="H2641" t="str">
            <v>M2</v>
          </cell>
          <cell r="I2641">
            <v>110238</v>
          </cell>
        </row>
        <row r="2642">
          <cell r="F2642">
            <v>8170</v>
          </cell>
          <cell r="G2642" t="str">
            <v>LUMINARIA LED 103W, 48 LED. 120-227 V. (INCLUYE LUMINARIA, CABLES Y ELEMENTOS DE CONEXIÓN, OBRAS COMPLEMENTARIAS Y ACCESORIOS. INCLUYE SUMINISTRO, INSTALACIÓN, PRUEBAS Y PUESTA EN FUNCIONAMIENTO).</v>
          </cell>
          <cell r="H2642" t="str">
            <v>UN</v>
          </cell>
          <cell r="I2642">
            <v>1106165</v>
          </cell>
        </row>
        <row r="2643">
          <cell r="F2643">
            <v>8171</v>
          </cell>
          <cell r="G2643" t="str">
            <v>TUBERÍA FLEXIBLE DE ALTA DENSIDAD NEGRA. TUBO Ø12", TUBERÍA PEAD, PE100, SDR17, DN50, PE.</v>
          </cell>
          <cell r="H2643" t="str">
            <v>ML</v>
          </cell>
          <cell r="I2643">
            <v>445341</v>
          </cell>
        </row>
        <row r="2644">
          <cell r="F2644">
            <v>8172</v>
          </cell>
          <cell r="G2644" t="str">
            <v>LUMINARIA LED 37W, 16 LED. 100-227 V. (INCLUYE LUMINARIA, CABLES Y ELEMENTOS DE CONEXIÓN, OBRAS COMPLEMENTARIAS Y ACCESORIOS. INCLUYE SUMINISTRO, INSTALACIÓN, PRUEBAS Y PUESTA EN FUNCIONAMIENTO).</v>
          </cell>
          <cell r="H2644" t="str">
            <v>UN</v>
          </cell>
          <cell r="I2644">
            <v>528644</v>
          </cell>
        </row>
        <row r="2645">
          <cell r="F2645">
            <v>8173</v>
          </cell>
          <cell r="G2645" t="str">
            <v>LUMINARIA LED 70W, 32 LED. 100-227 V. (INCLUYE LUMINARIA, CABLES Y ELEMENTOS DE CONEXIÓN, OBRAS COMPLEMENTARIAS Y ACCESORIOS. INCLUYE SUMINISTRO, INSTALACIÓN, PRUEBAS Y PUESTA EN FUNCIONAMIENTO).</v>
          </cell>
          <cell r="H2645" t="str">
            <v>UN</v>
          </cell>
          <cell r="I2645">
            <v>766644</v>
          </cell>
        </row>
        <row r="2646">
          <cell r="F2646">
            <v>8177</v>
          </cell>
          <cell r="G2646" t="str">
            <v>TUBERÍA FLEXIBLE DE ALTA DENSIDAD NEGRA. TUBO Ø10", TUBERÍA PEAD, PE100, SDR17, DN50, PE.</v>
          </cell>
          <cell r="H2646" t="str">
            <v>ML</v>
          </cell>
          <cell r="I2646">
            <v>293614</v>
          </cell>
        </row>
        <row r="2647">
          <cell r="F2647">
            <v>8181</v>
          </cell>
          <cell r="G2647" t="str">
            <v>EMPATES DE TUBERÍA EN PVC A PEAD 8" LINEAL SEGÚN NORMA NS-023 (INCLUYE ACCESORIOS). SUMINISTRO E INSTALACIÓN.</v>
          </cell>
          <cell r="H2647" t="str">
            <v>UN</v>
          </cell>
          <cell r="I2647">
            <v>1871919</v>
          </cell>
        </row>
        <row r="2648">
          <cell r="F2648">
            <v>8182</v>
          </cell>
          <cell r="G2648" t="str">
            <v>EMPATES DE TUBERÍA EN PVC A PEAD 12" LINEAL SEGÚN NORMA NS-023. SUMINISTRO E INSTALACIÓN. (INCLUYE ACCESORIOS).</v>
          </cell>
          <cell r="H2648" t="str">
            <v>UN</v>
          </cell>
          <cell r="I2648">
            <v>5043400</v>
          </cell>
        </row>
        <row r="2649">
          <cell r="F2649">
            <v>8183</v>
          </cell>
          <cell r="G2649" t="str">
            <v>CIELO RASO TIPO PANEL 300 C LISO LAMINA ALUMINIO 0.70 MM O SIMILAR. INCLUYE ESTRUCTURA SOPORTE CON PORTAPANEL EN ALUZINC, PINTURA POLIESTER 1 CARA, SOPORTES, ANCLAJES Y REMATES PERIMETRALES. (INCLUYE SUMINISTRO E INSTALACIÓN).</v>
          </cell>
          <cell r="H2649" t="str">
            <v>M2</v>
          </cell>
          <cell r="I2649">
            <v>398929</v>
          </cell>
        </row>
        <row r="2650">
          <cell r="F2650">
            <v>8184</v>
          </cell>
          <cell r="G2650" t="str">
            <v>ESTUCO PLASTICO EN MUROS (INCLUYE SUMINISTRO E INSTALACIÓN).</v>
          </cell>
          <cell r="H2650" t="str">
            <v>M2</v>
          </cell>
          <cell r="I2650">
            <v>6708</v>
          </cell>
        </row>
        <row r="2651">
          <cell r="F2651">
            <v>8185</v>
          </cell>
          <cell r="G2651" t="str">
            <v>TAPA (REJILLA) PARA CAÑUELA A-124. DIMENSIONES: 600X300X100MM. (INCLUYE SUMINISTRO DE MATERIALES E INSTALACIÓN)</v>
          </cell>
          <cell r="H2651" t="str">
            <v>UN</v>
          </cell>
          <cell r="I2651">
            <v>47697</v>
          </cell>
        </row>
        <row r="2652">
          <cell r="F2652">
            <v>8186</v>
          </cell>
          <cell r="G2652" t="str">
            <v>HORTENCIA (INCLUYE TIERRA NEGRA, E=20CM, SUMINISTRO Y PLANTACIÓN).</v>
          </cell>
          <cell r="H2652" t="str">
            <v>M2</v>
          </cell>
          <cell r="I2652">
            <v>72701</v>
          </cell>
        </row>
        <row r="2653">
          <cell r="F2653">
            <v>8187</v>
          </cell>
          <cell r="G2653" t="str">
            <v>SEMÁFORO CUATRO MÓDULOS FIJACIÓN EN MÁSTIL (INCLUYE SUMINISTRO E INSTALACIÓN)</v>
          </cell>
          <cell r="H2653" t="str">
            <v>UN</v>
          </cell>
          <cell r="I2653">
            <v>5806470</v>
          </cell>
        </row>
        <row r="2654">
          <cell r="F2654">
            <v>8188</v>
          </cell>
          <cell r="G2654" t="str">
            <v>SEMÁFORO CUATRO MÓDULOS FIJACIÓN EN MÁSTIL CON FLECHA DE GIRO (INCLUYE SUMINISTRO E INSTALACIÓN)</v>
          </cell>
          <cell r="H2654" t="str">
            <v>UN</v>
          </cell>
          <cell r="I2654">
            <v>5606743</v>
          </cell>
        </row>
        <row r="2655">
          <cell r="F2655">
            <v>8189</v>
          </cell>
          <cell r="G2655" t="str">
            <v>CONCRETO 4000 PSI PARA PLACA SUPERIOR CON RELACIÓN AGUA MATERIAL CEMENTANTE DE &lt; 0,45 Y ADICIÓN DE FIBRE NYCON EN PROPORCIÓN DE 0,6KG/M3 (PREMEZCLADO. INCLUYE SUMINISTRO, FORMALETA, CURADO Y COLOCACIÓN. NO INCLUYE REFUERZO)</v>
          </cell>
          <cell r="H2655" t="str">
            <v>M3</v>
          </cell>
          <cell r="I2655">
            <v>1880507</v>
          </cell>
        </row>
        <row r="2656">
          <cell r="F2656">
            <v>8190</v>
          </cell>
          <cell r="G2656" t="str">
            <v>CONCRETO 4000 PSI PARA MUROS CON RELACIÓN AGUA MATERIAL CEMENTANTE DE &lt; 0,45 Y ADICIÓN DE FIBRE NYCON EN PROPORCIÓN DE 0,6KG/M3 (PREMEZCLADO. INCLUYE SUMINISTRO, FORMALETA, CURADO Y COLOCACIÓN. NO INCLUYE REFUERZO)</v>
          </cell>
          <cell r="H2656" t="str">
            <v>M3</v>
          </cell>
          <cell r="I2656">
            <v>909215</v>
          </cell>
        </row>
        <row r="2657">
          <cell r="F2657">
            <v>8192</v>
          </cell>
          <cell r="G2657" t="str">
            <v>CONCRETO 4000 PSI PARA CONTRAFUERTES CON RELACIÓN AGUA MATERIAL CEMENTANTE DE &lt;0,45 (PREMEZCLADO. INCLUYE SUMINISTRO, FORMALETA, CURADO Y COLOCACIÓN. NO INCLUYE REFUERZO).</v>
          </cell>
          <cell r="H2657" t="str">
            <v>M3</v>
          </cell>
          <cell r="I2657">
            <v>912603</v>
          </cell>
        </row>
        <row r="2658">
          <cell r="F2658">
            <v>8193</v>
          </cell>
          <cell r="G2658" t="str">
            <v xml:space="preserve">DADO EN CONCRETO 4000 PSI CON RELACIÓN AGUA MATERIAL CEMENTANTE DE &lt;0,45 (Premezclado. Incluye suministro, formaleteo en madera, curado y colocación. (No incluye refuerzo) </v>
          </cell>
          <cell r="H2658" t="str">
            <v>M3</v>
          </cell>
          <cell r="I2658">
            <v>803314</v>
          </cell>
        </row>
        <row r="2659">
          <cell r="F2659">
            <v>8194</v>
          </cell>
          <cell r="G2659" t="str">
            <v>APOYO ELASTOMÉRICO EN NEOPRENO REFORZADO CIRCULAR. DIÁMETRO 900MM, H= 200MM, DUREZA-60 (SUMINISTRO E INSTALACIÓN).</v>
          </cell>
          <cell r="H2659" t="str">
            <v>UN</v>
          </cell>
          <cell r="I2659">
            <v>7434235</v>
          </cell>
        </row>
        <row r="2660">
          <cell r="F2660">
            <v>8195</v>
          </cell>
          <cell r="G2660" t="str">
            <v>SUPER ESTRUCTURA EN CONCRETO DE 7000 PSI PREMEZCLADO, GRAVA COMÚN (Incluye Sumin, bombeo, Formaleteo, Colocación y Curado. No incl. Refuerzo).</v>
          </cell>
          <cell r="H2660" t="str">
            <v>M3</v>
          </cell>
          <cell r="I2660">
            <v>1051563</v>
          </cell>
        </row>
        <row r="2661">
          <cell r="F2661">
            <v>8196</v>
          </cell>
          <cell r="G2661" t="str">
            <v>ATAGUÍA (SACOS EN SUELO CEMENTO) (CONFINAMIENTO DE TALUDES. PROPORCIÓN 1:0:2. SUMINISTRO, MEZCLADO, LLENADO Y COLOCACIÓN.</v>
          </cell>
          <cell r="H2661" t="str">
            <v>M3</v>
          </cell>
          <cell r="I2661">
            <v>596330</v>
          </cell>
        </row>
        <row r="2662">
          <cell r="F2662">
            <v>8197</v>
          </cell>
          <cell r="G2662" t="str">
            <v>TUBERIA METALICA CORRUGADA GALVANIZADA SEGUN NORMA ASTM A-760. DIAMETRO 108". ESPESOR DE 2,5 MM. (INCLUYE TORNILLERIA PARA EL ARMADO DE LAS LÁMINAS ENTRE SI) (INCLUYE SUMINISTRO E INSTALACIÓN).</v>
          </cell>
          <cell r="H2662" t="str">
            <v>ML</v>
          </cell>
          <cell r="I2662">
            <v>2293867</v>
          </cell>
        </row>
        <row r="2663">
          <cell r="F2663">
            <v>8200</v>
          </cell>
          <cell r="G2663" t="str">
            <v>PILOTE D=80 CM CON CONCRETO TREMIE DE 4000 PSI. (INCL. EXCAVACIÓN, CARGUE, MOVILIZACIÓN, MONTAJE Y DESMONTAJE EQUIPO Y CONCRETO)</v>
          </cell>
          <cell r="H2663" t="str">
            <v>ML</v>
          </cell>
          <cell r="I2663">
            <v>933747</v>
          </cell>
        </row>
        <row r="2664">
          <cell r="F2664">
            <v>8202</v>
          </cell>
          <cell r="G2664" t="str">
            <v>RETIRO Y REUBICACIÓN DE POSTE DE 10 METROS</v>
          </cell>
          <cell r="H2664" t="str">
            <v>UN</v>
          </cell>
          <cell r="I2664">
            <v>308087</v>
          </cell>
        </row>
        <row r="2665">
          <cell r="F2665">
            <v>8204</v>
          </cell>
          <cell r="G2665" t="str">
            <v>CONCRETO 3000 PSI PARA PEDESTAL (PREMEZCLADO. INCL. SUMINISTRO, FORMALETEO Y COLOCACIÓN. NO INCL. REFUERZO, CURADO).</v>
          </cell>
          <cell r="H2665" t="str">
            <v>M3</v>
          </cell>
          <cell r="I2665">
            <v>680654</v>
          </cell>
        </row>
        <row r="2666">
          <cell r="F2666">
            <v>8205</v>
          </cell>
          <cell r="G2666" t="str">
            <v>CONCRETO 3000 PSI (21 MPA) PARA PLACA DE PISO INCLUYENDO STEEL DECK DE 2" C-22 Y CONECTORES (PREMEZCLADO. INCLUYE SUMINISTRO, FORMALETEO Y COLOCACIÓN. NO INCL. REFUERZO, CURADO).</v>
          </cell>
          <cell r="H2666" t="str">
            <v>M2</v>
          </cell>
          <cell r="I2666">
            <v>194088</v>
          </cell>
        </row>
        <row r="2667">
          <cell r="F2667">
            <v>8209</v>
          </cell>
          <cell r="G2667" t="str">
            <v>PEDESTAL EN CONCRETO DE 3000 PSI IMPERMEABLE CON ACERO DE REFUERZO DE 3/8", ESPESOR DE PARED DE 80MM PARA EQUIPO DE CONTROL (1.20 M X 0.90 M X 0.75 M). CONSTRUCCIÓN. CON CUATRO DUCTOS PESADOS DE PVC TIPO DB D= 2".</v>
          </cell>
          <cell r="H2667" t="str">
            <v>UN</v>
          </cell>
          <cell r="I2667">
            <v>579056</v>
          </cell>
        </row>
        <row r="2668">
          <cell r="F2668">
            <v>8210</v>
          </cell>
          <cell r="G2668" t="str">
            <v>RETIRO DE CERCA EN MADERA. (INCLUYE CARGUE MANUAL). NO INCLUYE TRANSPORTE Y DISPOSICIÓN FINAL DE SOBRANTES</v>
          </cell>
          <cell r="H2668" t="str">
            <v>ML</v>
          </cell>
          <cell r="I2668">
            <v>5040</v>
          </cell>
        </row>
        <row r="2669">
          <cell r="F2669">
            <v>8212</v>
          </cell>
          <cell r="G2669" t="str">
            <v>LOSETA DE CONCRETO A20 TR. LIVIANO 20X20X6CM COLOR GRIS (SUMINISTRO E INSTALACIÓN. INCLUYE BASE 4CM ARENA NIVELACIÓN Y ARENA DE SELLO)</v>
          </cell>
          <cell r="H2669" t="str">
            <v>M2</v>
          </cell>
          <cell r="I2669">
            <v>96572</v>
          </cell>
        </row>
        <row r="2670">
          <cell r="F2670">
            <v>8213</v>
          </cell>
          <cell r="G2670" t="str">
            <v>CONDUCTOR RED DE BAJA TENSIÓN 3N2/0+1N1/0 -600V-CU</v>
          </cell>
          <cell r="H2670" t="str">
            <v>ML</v>
          </cell>
          <cell r="I2670">
            <v>165138</v>
          </cell>
        </row>
        <row r="2671">
          <cell r="F2671">
            <v>8214</v>
          </cell>
          <cell r="G2671" t="str">
            <v>CONDUCTOR RED DE B.T. 3N1/0+1N2 -600V-CU</v>
          </cell>
          <cell r="H2671" t="str">
            <v>ML</v>
          </cell>
          <cell r="I2671">
            <v>123504</v>
          </cell>
        </row>
        <row r="2672">
          <cell r="F2672">
            <v>8217</v>
          </cell>
          <cell r="G2672" t="str">
            <v>ACOMETIDA TRIFASICA (4N8 AWG-THW-600V-CU)</v>
          </cell>
          <cell r="H2672" t="str">
            <v>ML</v>
          </cell>
          <cell r="I2672">
            <v>448580</v>
          </cell>
        </row>
        <row r="2673">
          <cell r="F2673">
            <v>8218</v>
          </cell>
          <cell r="G2673" t="str">
            <v>ACOMETIDA TRIFASICA (3N2/0+1N1/0) AWG-THW-600V-CU</v>
          </cell>
          <cell r="H2673" t="str">
            <v>UN</v>
          </cell>
          <cell r="I2673">
            <v>1560090</v>
          </cell>
        </row>
        <row r="2674">
          <cell r="F2674">
            <v>8219</v>
          </cell>
          <cell r="G2674" t="str">
            <v>ACOMETIDA TRIFASICA (3N1/0+1N2) AWG-THW-600V-CU</v>
          </cell>
          <cell r="H2674" t="str">
            <v>UN</v>
          </cell>
          <cell r="I2674">
            <v>1288633</v>
          </cell>
        </row>
        <row r="2675">
          <cell r="F2675">
            <v>8220</v>
          </cell>
          <cell r="G2675" t="str">
            <v>ACOMETIDA TRIFASICA (3N2+1N4) AWG-THW-600V-CU</v>
          </cell>
          <cell r="H2675" t="str">
            <v>UN</v>
          </cell>
          <cell r="I2675">
            <v>1611123</v>
          </cell>
        </row>
        <row r="2676">
          <cell r="F2676">
            <v>8221</v>
          </cell>
          <cell r="G2676" t="str">
            <v>ACOMETIDA BIFASICA (3N8) AWG-THW-600V-CU</v>
          </cell>
          <cell r="H2676" t="str">
            <v>UN</v>
          </cell>
          <cell r="I2676">
            <v>404852</v>
          </cell>
        </row>
        <row r="2677">
          <cell r="F2677">
            <v>8222</v>
          </cell>
          <cell r="G2677" t="str">
            <v>DEMARCACION PICTOGRAMA TEXTOS DERECHOS DE LOS NIÑOS CON PINTURA ACRILICA BASE SOLVENTE (INCLUYE SUMINISTRO Y APLICACIÓN MEDIDO COMO EL AREA DEL PAÑO QUE CONTIENE EL TEXTO)</v>
          </cell>
          <cell r="H2677" t="str">
            <v>M2</v>
          </cell>
          <cell r="I2677">
            <v>58088</v>
          </cell>
        </row>
        <row r="2678">
          <cell r="F2678">
            <v>8223</v>
          </cell>
          <cell r="G2678" t="str">
            <v>DEMARCACION PICTOGRAMA NIÑOS CON PINTURA ACRILICA BASE SOLVENTE (INCLUYE SUMINISTRO Y APLICACIÓN MEDIDO COMO EL AREA DEL PAÑO QUE CONTIENE EL DIBUJO)</v>
          </cell>
          <cell r="H2678" t="str">
            <v>M2</v>
          </cell>
          <cell r="I2678">
            <v>58088</v>
          </cell>
        </row>
        <row r="2679">
          <cell r="F2679">
            <v>8224</v>
          </cell>
          <cell r="G2679" t="str">
            <v>CONTENEDOR DE RAICES (2.10X8.50X1.20M. INC. SUMINISTRO, CONSTRUCCIÓN Y FILTRO EN GRAVILLA. NO INC. TIERRA)</v>
          </cell>
          <cell r="H2679" t="str">
            <v>UN</v>
          </cell>
          <cell r="I2679">
            <v>7367433</v>
          </cell>
        </row>
        <row r="2680">
          <cell r="F2680">
            <v>8225</v>
          </cell>
          <cell r="G2680" t="str">
            <v>CONTENEDOR DE RAICES (1.40X1.80X1.20M. INC. SUMINISTRO, CONSTRUCCIÓN Y FILTRO EN GRAVILLA. NO INC. TIERRA)</v>
          </cell>
          <cell r="H2680" t="str">
            <v>UN</v>
          </cell>
          <cell r="I2680">
            <v>1551032</v>
          </cell>
        </row>
        <row r="2681">
          <cell r="F2681">
            <v>8226</v>
          </cell>
          <cell r="G2681" t="str">
            <v>ACABADO DE PELDAÑOS PARA ESCALAS SOBRE TERRENO EN LADRILLO PRENSADO 24X12X6 PEGADO DE CANTO ACORDE CON DETALLES. (SUMINISTRO E INSTALACION. INCLUYE 4 CM DE MORTERO 3000 PSI PARA BASE Y PEGA)</v>
          </cell>
          <cell r="H2681" t="str">
            <v>M2</v>
          </cell>
          <cell r="I2681">
            <v>48545</v>
          </cell>
        </row>
        <row r="2682">
          <cell r="F2682">
            <v>8227</v>
          </cell>
          <cell r="G2682" t="str">
            <v>CAÑUELA ESPECIAL A=0.10M, E=0.10M CONCRETO 3000 PSI. (FUNDIDO EN SITIO, CONCRETO HECHO EN OBRA. INC. FORMALET. Y CONST.)</v>
          </cell>
          <cell r="H2682" t="str">
            <v>ML</v>
          </cell>
          <cell r="I2682">
            <v>55619</v>
          </cell>
        </row>
        <row r="2683">
          <cell r="F2683">
            <v>8228</v>
          </cell>
          <cell r="G2683" t="str">
            <v>CENEFA LINEAL EN LOSETA PREFABRICADA TÁCTIL ALERTA A57 / A58 ANCHO 0.20M COLOR AMARILLO. (SUMINISTRO E INSTALACIÓN. INCLUYE BASE EN ARENA DE NIVELACIÓN E= 4CM Y ARENA DE SELLO).</v>
          </cell>
          <cell r="H2683" t="str">
            <v>ML</v>
          </cell>
          <cell r="I2683">
            <v>26088</v>
          </cell>
        </row>
        <row r="2684">
          <cell r="F2684">
            <v>8229</v>
          </cell>
          <cell r="G2684" t="str">
            <v>FRANJA EN ADOQUIN DE CONCRETO DEMARCADOR VISUAL A26 20X10X6CM COLOR AMARILLO. (SUMINISTRO E INSTALACIÓN. INCLUYE BASE 3CM ARENA NIVELACIÓN Y ARENA DE SELLO).</v>
          </cell>
          <cell r="H2684" t="str">
            <v>ML</v>
          </cell>
          <cell r="I2684">
            <v>17213</v>
          </cell>
        </row>
        <row r="2685">
          <cell r="F2685">
            <v>8230</v>
          </cell>
          <cell r="G2685" t="str">
            <v>LOSETA DE CONCRETO A20 TIPO PANOT TR. LIVIANO 20X20X6CM COLOR OCRE Y/O TERRACOTA O SIMILAR (SUMINISTRO E INSTALACIÓN. INCLUYE BASE 4CM ARENA NIVELACIÓN Y ARENA DE SELLO)</v>
          </cell>
          <cell r="H2685" t="str">
            <v>M2</v>
          </cell>
          <cell r="I2685">
            <v>135321</v>
          </cell>
        </row>
        <row r="2686">
          <cell r="F2686">
            <v>8231</v>
          </cell>
          <cell r="G2686" t="str">
            <v>ACERO ESTRUCTURAL A709 GRADO 50. (INCLUYE TRANSPORTE, FABRICACIÓN Y MONTAJE CON ANTICORROSIVO Y PINTURA DE ACABADO EN EPÓXICO) (INCLUYE MATERIALES, INSUMOS, HERRAMIENTAS Y EQUIPOS, ANDAMIOS, MANO DE OBRA CALIFICADA Y TODO LO NECESARIO PARA DESARROLLAR LA OBRA.</v>
          </cell>
          <cell r="H2686" t="str">
            <v>KG</v>
          </cell>
          <cell r="I2686">
            <v>16450</v>
          </cell>
        </row>
        <row r="2687">
          <cell r="F2687">
            <v>8236</v>
          </cell>
          <cell r="G2687" t="str">
            <v>PERGOLA EN SECCIÓN TUBULAR (100 X 100 MM Y 100MM X 50 MM). FACHADA FIJA EN PANELES DE VIDRIO LAMINADO DE SEGURIDAD EN 3 MÓDULOS VERTICALES CON BORDE PERIMETRAL EN NEOPRENO+ESTRUCTURA METÁLICA EXTER. DE PERFIL TRAPEZ. FIJACIÓN A ESTRUCTURA CON BUJES. SUMINISTRO E INSTALACIÓN</v>
          </cell>
          <cell r="H2687" t="str">
            <v>M2</v>
          </cell>
          <cell r="I2687">
            <v>3616851</v>
          </cell>
        </row>
        <row r="2688">
          <cell r="F2688">
            <v>8237</v>
          </cell>
          <cell r="G2688" t="str">
            <v>ADOQUIN EN CONCRETO COLOR CHOCOLATE A-25 20X10X6CM  (SUMINISTRO E INSTALACIÓN. INCLUYE BASE 4CM MORTERO 2500 PSI Y ARENA DE SELLO)</v>
          </cell>
          <cell r="H2688" t="str">
            <v>ML</v>
          </cell>
          <cell r="I2688">
            <v>17846</v>
          </cell>
        </row>
        <row r="2689">
          <cell r="F2689">
            <v>8238</v>
          </cell>
          <cell r="G2689" t="str">
            <v>NEOPRENO REFORZADO 0.35X0.35X2,5 CM DOBLE REFUERZO DUREZA 60. SUMINISTRO E INSTALACIÓN. (INCLUYE LIMPIEZA DE LA SUPERFICIE CON CHORRO DE AIRE A PRESIÓN, HERRAMIENTA MENOR Y COMPRESOR).</v>
          </cell>
          <cell r="H2689" t="str">
            <v>UN</v>
          </cell>
          <cell r="I2689">
            <v>222142</v>
          </cell>
        </row>
        <row r="2690">
          <cell r="F2690">
            <v>8239</v>
          </cell>
          <cell r="G2690" t="str">
            <v>UNIDAD LECTORA DE PIEZÓMETRO. SUMINISTRO E INSTALACIÓN</v>
          </cell>
          <cell r="H2690" t="str">
            <v>UN</v>
          </cell>
          <cell r="I2690">
            <v>7491050</v>
          </cell>
        </row>
        <row r="2691">
          <cell r="F2691">
            <v>8240</v>
          </cell>
          <cell r="G2691" t="str">
            <v>MÓDULOS SONOROS (INCLUYE SUMINISTRO E INSTALACIÓN)</v>
          </cell>
          <cell r="H2691" t="str">
            <v>UN</v>
          </cell>
          <cell r="I2691">
            <v>1396461</v>
          </cell>
        </row>
        <row r="2692">
          <cell r="F2692">
            <v>8241</v>
          </cell>
          <cell r="G2692" t="str">
            <v>CODO EN ACERO D=36" ENTRE 5° Y 22 1/2°. JUNTA ESPIGO CAMPANA CON EMPAQUE DE CAUCHO, CON REVESTIMIENTO INTERIOR Y EXTERIOR EN MORTERO DE CEMENTO. . L=0.50M X 0.50M.. PRESIÓN DE TRABAJO 150 PSI. SUMINISTRO E INSTALACIÓN</v>
          </cell>
          <cell r="H2692" t="str">
            <v>UN</v>
          </cell>
          <cell r="I2692">
            <v>7730584</v>
          </cell>
        </row>
        <row r="2693">
          <cell r="F2693">
            <v>8242</v>
          </cell>
          <cell r="G2693" t="str">
            <v>TUBERÍA EN ACERO Ø36" CON UNIONES ESPIGO/CAMPANA CON EMPAQUE DE CAUCHO. REVEST. INTERIOR Y RECUBR EXT. EN MORTERO CEMENTO. NORMA AWWA C200. L= 6.00M PRESIÓN TRABAJO 150 PSI. SUMINISTRO E INSTALACIÓN</v>
          </cell>
          <cell r="H2693" t="str">
            <v>UN</v>
          </cell>
          <cell r="I2693">
            <v>3477927</v>
          </cell>
        </row>
        <row r="2694">
          <cell r="F2694">
            <v>8243</v>
          </cell>
          <cell r="G2694" t="str">
            <v>CODO EN ACERO D=36" ENTRE 22 1/2° Y 45°. JUNTA ESPIGO CAMPANA CON EMPAQUE DE CAUCHO, CON REVESTIMIENTO INTERIOR Y EXTERIOR EN MORTERO DE CEMENTO. . L=0.80MX0.80M. PRESIÓN DE TRABAJO 150 PSI. SUMINISTRO E INSTALACIÓN</v>
          </cell>
          <cell r="H2694" t="str">
            <v>UN</v>
          </cell>
          <cell r="I2694">
            <v>9870794</v>
          </cell>
        </row>
        <row r="2695">
          <cell r="F2695">
            <v>8244</v>
          </cell>
          <cell r="G2695" t="str">
            <v>CODO EN ACERO D=36" ENTRE 45° Y 67 1/2°. JUNTA ESPIGO CAMPANA CON EMPAQUE DE CAUCHO, CON REVESTIMIENTO INTERIOR Y EXTERIOR EN MORTERO DE CEMENTO. . L=1.20MX1.20M. PRESIÓN DE TRABAJO 150 PSI. SUMINISTRO E INSTALACIÓN</v>
          </cell>
          <cell r="H2695" t="str">
            <v>UN</v>
          </cell>
          <cell r="I2695">
            <v>12473387</v>
          </cell>
        </row>
        <row r="2696">
          <cell r="F2696">
            <v>8245</v>
          </cell>
          <cell r="G2696" t="str">
            <v>CODO EN ACERO Ø=36" ENTRE 67 1/2° Y 90° JUNTA ESPIGO Y CAMPANA, CON EMPAQUE DE CAUCHO, CON REVEST.INT. Y RECUBR. EXT. EN MORTERO DE CEMENTO. L= 1.65M X 1.65M PRESIÓN DE TRABAJO 150PSI. SUMINISTRO E INSTALACIÓN</v>
          </cell>
          <cell r="H2696" t="str">
            <v>UN</v>
          </cell>
          <cell r="I2696">
            <v>15307170</v>
          </cell>
        </row>
        <row r="2697">
          <cell r="F2697">
            <v>8246</v>
          </cell>
          <cell r="G2697" t="str">
            <v>REDUCCION EN ACERO 36" X 24" CON EXTREMOS ESPIGO CAMPANA, REVEST.INTERIOR Y RECUBR EXT. EN MORTERO CEMENTO. L= 1,45M PRESIÓN TRABAJO 150 PSI. SUMINISTRO E INSTALACIÓN</v>
          </cell>
          <cell r="H2697" t="str">
            <v>UN</v>
          </cell>
          <cell r="I2697">
            <v>7081953</v>
          </cell>
        </row>
        <row r="2698">
          <cell r="F2698">
            <v>8247</v>
          </cell>
          <cell r="G2698" t="str">
            <v>TEE EN ACERO Ø 24" X 24" CON EXTREMOS ESPIGO/CAMPANA Y BRIDA EN LA DERIVACIÓN, CON REVESTIMIENTO INTERIOR Y RECUBRIMIENTO EXTERIOR EN MORTERO CEMENTO, L=1,50X0,90M. SUMINISTRO E INSTALACIÓN</v>
          </cell>
          <cell r="H2698" t="str">
            <v>UN</v>
          </cell>
          <cell r="I2698">
            <v>11734526</v>
          </cell>
        </row>
        <row r="2699">
          <cell r="F2699">
            <v>8252</v>
          </cell>
          <cell r="G2699" t="str">
            <v>NIPLE EN ACERO Ø 16" EXTREMOS BRIDA/CAMPANA, CON REVESTIMIENTO INTERIOR Y EXTERIOR EN MORTERO CEMENTO. L= 1500MM. SUMINISTRO E INSTALACIÓN</v>
          </cell>
          <cell r="H2699" t="str">
            <v>UN</v>
          </cell>
          <cell r="I2699">
            <v>3499466</v>
          </cell>
        </row>
        <row r="2700">
          <cell r="F2700">
            <v>8253</v>
          </cell>
          <cell r="G2700" t="str">
            <v>NIPLE EN ACERO Ø 24" EXTREMOS ESPIGO/BRIDA, CON REVESTIMIENTO INTERIOR Y EXTERIOR EN MORTERO CEMENTO. L= 2000MM CON SALIDA PARA VENTOSA Ø=2". SUMINISTRO E INSTALACIÓN</v>
          </cell>
          <cell r="H2700" t="str">
            <v>UN</v>
          </cell>
          <cell r="I2700">
            <v>6532851</v>
          </cell>
        </row>
        <row r="2701">
          <cell r="F2701">
            <v>8254</v>
          </cell>
          <cell r="G2701" t="str">
            <v>TUBERÍA EN ACERO Ø30" CON UNIONES ESPIGO/CAMPANA CON EMPAQUE DE CAUCHO. REVEST.INTERIOR Y RECUBR EXT. EN MORTERO CEMENTO. NORMA AWWA C200. L= 6.00M PRESIÓN TRABAJO 150 PSI. SUMINISTRO E INSTALACIÓN</v>
          </cell>
          <cell r="H2701" t="str">
            <v>ML</v>
          </cell>
          <cell r="I2701">
            <v>2363227</v>
          </cell>
        </row>
        <row r="2702">
          <cell r="F2702">
            <v>8255</v>
          </cell>
          <cell r="G2702" t="str">
            <v>CINTURÓN DE CIERRE EN ACERO PARA EMPATES DE TUBERÍA EN WSP A CCP Ø 24" LINEAL. SUMINISTRO E INSTALACIÓN</v>
          </cell>
          <cell r="H2702" t="str">
            <v>UN</v>
          </cell>
          <cell r="I2702">
            <v>870240</v>
          </cell>
        </row>
        <row r="2703">
          <cell r="F2703">
            <v>8257</v>
          </cell>
          <cell r="G2703" t="str">
            <v>CODO EN ACERO D=30" ENTRE 45° Y 67 1/2°, JUNTA ESPIGO CAMPANA CON EMPAQUE DE CAUHO, CON REVESTIMIENTO INTERIOR Y EXTERIOR EN MORTERO DE CEMENTO. L=1.00M X 1.00M. PRESIÓN DE TRABAJO 150 PSI. SUMINISTRO E INSTALACIÓN</v>
          </cell>
          <cell r="H2703" t="str">
            <v>UN</v>
          </cell>
          <cell r="I2703">
            <v>8958232</v>
          </cell>
        </row>
        <row r="2704">
          <cell r="F2704">
            <v>8258</v>
          </cell>
          <cell r="G2704" t="str">
            <v>REDUCCION EN ACERO 30" X 24" REDUCCION EN ACERO 30" X 24" CON EXTREMOS ESPIGO CAMPANA, REVEST.INTERIOR Y RECUBR EXT. EN MORTERO CEMENTO. L= 0,84M PRESIÓN TRABAJO 150 PSI. SUMINISTRO E INSTALACIÓN</v>
          </cell>
          <cell r="H2704" t="str">
            <v>UN</v>
          </cell>
          <cell r="I2704">
            <v>5777273</v>
          </cell>
        </row>
        <row r="2705">
          <cell r="F2705">
            <v>8259</v>
          </cell>
          <cell r="G2705" t="str">
            <v>UNIÓN DRESSER D=30" - JUNTA DE MONTAJE (SUMINISTRO E INSTALACIÓN)</v>
          </cell>
          <cell r="H2705" t="str">
            <v>UN</v>
          </cell>
          <cell r="I2705">
            <v>4614815</v>
          </cell>
        </row>
        <row r="2706">
          <cell r="F2706">
            <v>8262</v>
          </cell>
          <cell r="G2706" t="str">
            <v>NIPLE EN ACERO Ø=30" EXTREMOS BRIDA/CAMPANA, REVEST.INTERIOR Y RECUBR EXT. EN MORTERO CEMENTO, CON SALIDA TANGENCIAL PARA PURGA 4" L= 2500MM. SUMINISTRO E INSTALACIÓN</v>
          </cell>
          <cell r="H2706" t="str">
            <v>UN</v>
          </cell>
          <cell r="I2706">
            <v>14339722</v>
          </cell>
        </row>
        <row r="2707">
          <cell r="F2707">
            <v>8263</v>
          </cell>
          <cell r="G2707" t="str">
            <v>TEE EN ACERO Ø 30"X24" EXTREMOS ESPIGO/CAMPANA EN LA RAMA PRINCIPAL Y BRIDA EN LA DERIVACIÓN, REVEST.INTERIOR Y RECUBR EXT. EN MORTERO CEMENTO, L= 3000MM. CON SALIDA PARA BOCA DE ACCESO 24". SUMINISTRO E INSTALACIÓN</v>
          </cell>
          <cell r="H2707" t="str">
            <v>UN</v>
          </cell>
          <cell r="I2707">
            <v>16308845</v>
          </cell>
        </row>
        <row r="2708">
          <cell r="F2708">
            <v>8265</v>
          </cell>
          <cell r="G2708" t="str">
            <v>CINTURÓN DE CIERRE EN ACERO Ø 16" PARA EMPATES DE TUBERÍA EN WSP A CCP LINEAL. SUMINISTRO E INSTALACIÓN</v>
          </cell>
          <cell r="H2708" t="str">
            <v>UN</v>
          </cell>
          <cell r="I2708">
            <v>515347</v>
          </cell>
        </row>
        <row r="2709">
          <cell r="F2709">
            <v>8267</v>
          </cell>
          <cell r="G2709" t="str">
            <v>TEE EN ACERO Ø 20" X 20" CON EXTREMOS ESPIGO/CAMPANA Y BRIDA EN LA DERIVACIÓN (ACERO). SUMINISTRO E INSTALACIÓN</v>
          </cell>
          <cell r="H2709" t="str">
            <v>UN</v>
          </cell>
          <cell r="I2709">
            <v>7185311</v>
          </cell>
        </row>
        <row r="2710">
          <cell r="F2710">
            <v>8273</v>
          </cell>
          <cell r="G2710" t="str">
            <v>UNIÓN DRESSER D=20" (SUMINISTRO E INSTALACIÓN)</v>
          </cell>
          <cell r="H2710" t="str">
            <v>UN</v>
          </cell>
          <cell r="I2710">
            <v>1407762</v>
          </cell>
        </row>
        <row r="2711">
          <cell r="F2711">
            <v>8274</v>
          </cell>
          <cell r="G2711" t="str">
            <v>VÁLVULA DE MARIPOSA Ø 20" (A) (150 PSI). SUMINISTRO E INSTALACIÓN</v>
          </cell>
          <cell r="H2711" t="str">
            <v>ML</v>
          </cell>
          <cell r="I2711">
            <v>22595440</v>
          </cell>
        </row>
        <row r="2712">
          <cell r="F2712">
            <v>8276</v>
          </cell>
          <cell r="G2712" t="str">
            <v>NIPLE EN ACERO Ø 3" CON BRIDA Y EXTREMO LISO L= 300MM, REVESTIMIENTO INTERIOR Y EXTERIOR EN PINTURA EXPOXICA. SUMINISTRO E INSTALACIÓN</v>
          </cell>
          <cell r="H2712" t="str">
            <v>UN</v>
          </cell>
          <cell r="I2712">
            <v>313834</v>
          </cell>
        </row>
        <row r="2713">
          <cell r="F2713">
            <v>8278</v>
          </cell>
          <cell r="G2713" t="str">
            <v>VÁLVULA DE COMPUERTA DE Ø 3" BRONCE T/P RED WHITE - FIG 236 A. SUMINISTRO E INSTALACIÓN</v>
          </cell>
          <cell r="H2713" t="str">
            <v>UN</v>
          </cell>
          <cell r="I2713">
            <v>1074521</v>
          </cell>
        </row>
        <row r="2714">
          <cell r="F2714">
            <v>8291</v>
          </cell>
          <cell r="G2714" t="str">
            <v>CODO EN ACERO D=20" ENTRE 45° Y 67.5° JUNTA ESPIGO-CAMPANA CON EMPAQUE CAUCHO. REVESTIMIENTO INTERIOR Y EXTERIOR EN MORTERO DE CEMENTO. L=1,00X1,00M PRESIÓN TRABAJO 150 PSI. SUMINISTRO E INSTALACIÓN</v>
          </cell>
          <cell r="H2714" t="str">
            <v>ML</v>
          </cell>
          <cell r="I2714">
            <v>5720642</v>
          </cell>
        </row>
        <row r="2715">
          <cell r="F2715">
            <v>8298</v>
          </cell>
          <cell r="G2715" t="str">
            <v>CINTURÓN DE CIERRE 16" (SUMINISTRO E INSTALACIÓN)</v>
          </cell>
          <cell r="H2715" t="str">
            <v>UN</v>
          </cell>
          <cell r="I2715">
            <v>2095073</v>
          </cell>
        </row>
        <row r="2716">
          <cell r="F2716">
            <v>8301</v>
          </cell>
          <cell r="G2716" t="str">
            <v>REDUCCIÓN PVC TIPO U.M. 8"X4" (SUMINISTRO E INSTALACIÓN)</v>
          </cell>
          <cell r="H2716" t="str">
            <v>UN</v>
          </cell>
          <cell r="I2716">
            <v>298798</v>
          </cell>
        </row>
        <row r="2717">
          <cell r="F2717">
            <v>8304</v>
          </cell>
          <cell r="G2717" t="str">
            <v>EMPATES DE TUBERÍA EN PVC A HA 12" LINEAL SEGÚN NORMA NS-023 (INCLUYE TUBERIA PVC U.M. D=12" RDE 21=1M; TEE HD EXTREMO LISO 12"X12" =1UN; UNION DRESSER HD D=12"=2UN; UNION REPARACION HD EXTREMO LISO D=12"=1UN; UNION PVC U.M. NORMA NTC 382 D=12"=1UN). SUMINISTRO E INSTALACIÓN</v>
          </cell>
          <cell r="H2717" t="str">
            <v>UN</v>
          </cell>
          <cell r="I2717">
            <v>6637134</v>
          </cell>
        </row>
        <row r="2718">
          <cell r="F2718">
            <v>8305</v>
          </cell>
          <cell r="G2718" t="str">
            <v>MUEBLE O MESA CON PUERTAS EN ACERO INOXIDABLE 1.23M X 0.60M X 0.90M. SUMINISTRO E INSTALACIÓN</v>
          </cell>
          <cell r="H2718" t="str">
            <v>UN</v>
          </cell>
          <cell r="I2718">
            <v>3721998</v>
          </cell>
        </row>
        <row r="2719">
          <cell r="F2719">
            <v>8306</v>
          </cell>
          <cell r="G2719" t="str">
            <v>CODO 45° PVC PRESION E.L. D=1/2". SUMINISTRO EN INSTALACIÓN</v>
          </cell>
          <cell r="H2719" t="str">
            <v>UN</v>
          </cell>
          <cell r="I2719">
            <v>5709</v>
          </cell>
        </row>
        <row r="2720">
          <cell r="F2720">
            <v>8307</v>
          </cell>
          <cell r="G2720" t="str">
            <v>TUBERÍA HDPE 1.30M (SUMINISTRO E INSTALACIÓN)</v>
          </cell>
          <cell r="H2720" t="str">
            <v>ML</v>
          </cell>
          <cell r="I2720">
            <v>3734071</v>
          </cell>
        </row>
        <row r="2721">
          <cell r="F2721">
            <v>8308</v>
          </cell>
          <cell r="G2721" t="str">
            <v>MUEBLE O MESA CON PUERTAS EN ACERO INOXIDABLE 2.65M X 0.60M X 0.90M. SUMINISTRO E INSTALACIÓN</v>
          </cell>
          <cell r="H2721" t="str">
            <v>UN</v>
          </cell>
          <cell r="I2721">
            <v>8005998</v>
          </cell>
        </row>
        <row r="2722">
          <cell r="F2722">
            <v>8309</v>
          </cell>
          <cell r="G2722" t="str">
            <v>TUBERÍA HDPE 1.40M (SUMINISTRO E INSTALACIÓN)</v>
          </cell>
          <cell r="H2722" t="str">
            <v>ML</v>
          </cell>
          <cell r="I2722">
            <v>4079626</v>
          </cell>
        </row>
        <row r="2723">
          <cell r="F2723">
            <v>8310</v>
          </cell>
          <cell r="G2723" t="str">
            <v>TUBERÍA HDPE 1.50M (SUMINISTRO E INSTALACIÓN)</v>
          </cell>
          <cell r="H2723" t="str">
            <v>ML</v>
          </cell>
          <cell r="I2723">
            <v>4601466</v>
          </cell>
        </row>
        <row r="2724">
          <cell r="F2724">
            <v>8311</v>
          </cell>
          <cell r="G2724" t="str">
            <v>TUBERÍA HDPE 1.60M (SUMINISTRO E INSTALACIÓN)</v>
          </cell>
          <cell r="H2724" t="str">
            <v>ML</v>
          </cell>
          <cell r="I2724">
            <v>5158673</v>
          </cell>
        </row>
        <row r="2725">
          <cell r="F2725">
            <v>8312</v>
          </cell>
          <cell r="G2725" t="str">
            <v>TUBERÍA HDPE 1.80M (SUMINISTRO E INSTALACIÓN)</v>
          </cell>
          <cell r="H2725" t="str">
            <v>ML</v>
          </cell>
          <cell r="I2725">
            <v>6556520</v>
          </cell>
        </row>
        <row r="2726">
          <cell r="F2726">
            <v>8313</v>
          </cell>
          <cell r="G2726" t="str">
            <v>TUBERÍA HDPE 2.00M (SUMINISTRO E INSTALACIÓN)</v>
          </cell>
          <cell r="H2726" t="str">
            <v>ML</v>
          </cell>
          <cell r="I2726">
            <v>7981796</v>
          </cell>
        </row>
        <row r="2727">
          <cell r="F2727">
            <v>8314</v>
          </cell>
          <cell r="G2727" t="str">
            <v>GABINETE RED CONTRA INCENDIOS CLASE 2. (INCLUYE ACCESORIOS, SUMINISTRO E INSTALACIÓN)</v>
          </cell>
          <cell r="H2727" t="str">
            <v>UN</v>
          </cell>
          <cell r="I2727">
            <v>760247</v>
          </cell>
        </row>
        <row r="2728">
          <cell r="F2728">
            <v>8315</v>
          </cell>
          <cell r="G2728" t="str">
            <v>PRUEBA DE HERMETICIDAD POR EL MÉTODO DE PRESIÓN POSITIVA CON AIRE PARA REDES DE ALCANTARILLADO - TRAMOS DE Ø 27" A Ø 40"</v>
          </cell>
          <cell r="H2728" t="str">
            <v>UN</v>
          </cell>
          <cell r="I2728">
            <v>773500</v>
          </cell>
        </row>
        <row r="2729">
          <cell r="F2729">
            <v>8316</v>
          </cell>
          <cell r="G2729" t="str">
            <v>CODO 45°CXE PVC SANITARIA D=3" (INCLUYE SUMINISTRO E INSTALACIÓN).</v>
          </cell>
          <cell r="H2729" t="str">
            <v>UN</v>
          </cell>
          <cell r="I2729">
            <v>15977</v>
          </cell>
        </row>
        <row r="2730">
          <cell r="F2730">
            <v>8317</v>
          </cell>
          <cell r="G2730" t="str">
            <v>TUBERÍA HDPE Ø 3" (SUMINISTRO E INSTALACIÓN) TUBO DE POLIPROPILENO HDPE Ø 3".</v>
          </cell>
          <cell r="H2730" t="str">
            <v>ML</v>
          </cell>
          <cell r="I2730">
            <v>52589</v>
          </cell>
        </row>
        <row r="2731">
          <cell r="F2731">
            <v>8318</v>
          </cell>
          <cell r="G2731" t="str">
            <v>TUBERÍA HDPE Ø 4" (SUMINISTRO E INSTALACIÓN) TUBO DE POLIPROPILENO HDPE Ø 4".</v>
          </cell>
          <cell r="H2731" t="str">
            <v>ML</v>
          </cell>
          <cell r="I2731">
            <v>76279</v>
          </cell>
        </row>
        <row r="2732">
          <cell r="F2732">
            <v>8319</v>
          </cell>
          <cell r="G2732" t="str">
            <v>TUBERÍA HDPE Ø 6" (SUMINISTRO E INSTALACIÓN) TUBO DE POLIPROPILENO HDPE Ø 6".</v>
          </cell>
          <cell r="H2732" t="str">
            <v>ML</v>
          </cell>
          <cell r="I2732">
            <v>157363</v>
          </cell>
        </row>
        <row r="2733">
          <cell r="F2733">
            <v>8320</v>
          </cell>
          <cell r="G2733" t="str">
            <v>CODO G.RAD. HDPE 45º TIPO U.M. D=4" (SUMINISTRO E INSTALACIÓN)</v>
          </cell>
          <cell r="H2733" t="str">
            <v>UN</v>
          </cell>
          <cell r="I2733">
            <v>174636</v>
          </cell>
        </row>
        <row r="2734">
          <cell r="F2734">
            <v>8321</v>
          </cell>
          <cell r="G2734" t="str">
            <v>CODO G.RAD. HDPE 45º TIPO U.M. D=6" (SUMINISTRO E INSTALACIÓN)</v>
          </cell>
          <cell r="H2734" t="str">
            <v>UN</v>
          </cell>
          <cell r="I2734">
            <v>310865</v>
          </cell>
        </row>
        <row r="2735">
          <cell r="F2735">
            <v>8322</v>
          </cell>
          <cell r="G2735" t="str">
            <v>CODO G.RAD. HDPE 90º TIPO U.M. D=6" (SUMINISTRO E INSTALACIÓN)</v>
          </cell>
          <cell r="H2735" t="str">
            <v>UN</v>
          </cell>
          <cell r="I2735">
            <v>424004</v>
          </cell>
        </row>
        <row r="2736">
          <cell r="F2736">
            <v>8323</v>
          </cell>
          <cell r="G2736" t="str">
            <v>CODO G.RAD. HDPE 45º TIPO U.M. D=8" (SUMINISTRO E INSTALACIÓN)</v>
          </cell>
          <cell r="H2736" t="str">
            <v>UN</v>
          </cell>
          <cell r="I2736">
            <v>535953</v>
          </cell>
        </row>
        <row r="2737">
          <cell r="F2737">
            <v>8324</v>
          </cell>
          <cell r="G2737" t="str">
            <v>EMPATE ORTOGONAL PVC-PVC 12"X8" (INCLUYE SUMINISTRO E INSTALACIÓN DE TEE 12"X8"HD, 4 UNIONES, TUBERÍA RDE 21) (SUMINISTRO E INSTALACIÓN)</v>
          </cell>
          <cell r="H2737" t="str">
            <v>UN</v>
          </cell>
          <cell r="I2737">
            <v>3978865</v>
          </cell>
        </row>
        <row r="2738">
          <cell r="F2738">
            <v>8325</v>
          </cell>
          <cell r="G2738" t="str">
            <v>EMPATES DE TUBERÍA EN ACERO A AC 6" LINEAL SEGÚN NORMA NS-023 (INCLUYE ACCESORIOS). SUMINISTRO E INSTALACIÓN.</v>
          </cell>
          <cell r="H2738" t="str">
            <v>UN</v>
          </cell>
          <cell r="I2738">
            <v>3978865</v>
          </cell>
        </row>
        <row r="2739">
          <cell r="F2739">
            <v>8328</v>
          </cell>
          <cell r="G2739" t="str">
            <v>TAPÓN PVC TIPO U.M D=12" (SUMINISTRO E INSTALACIÓN)</v>
          </cell>
          <cell r="H2739" t="str">
            <v>UN</v>
          </cell>
          <cell r="I2739">
            <v>1190244</v>
          </cell>
        </row>
        <row r="2740">
          <cell r="F2740">
            <v>8330</v>
          </cell>
          <cell r="G2740" t="str">
            <v>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H2740" t="str">
            <v>ML</v>
          </cell>
          <cell r="I2740">
            <v>100086</v>
          </cell>
        </row>
        <row r="2741">
          <cell r="F2741">
            <v>8331</v>
          </cell>
          <cell r="G2741" t="str">
            <v>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H2741" t="str">
            <v>ML</v>
          </cell>
          <cell r="I2741">
            <v>30178</v>
          </cell>
        </row>
        <row r="2742">
          <cell r="F2742">
            <v>8332</v>
          </cell>
          <cell r="G2742" t="str">
            <v>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v>
          </cell>
          <cell r="H2742" t="str">
            <v>ML</v>
          </cell>
          <cell r="I2742">
            <v>99142</v>
          </cell>
        </row>
        <row r="2743">
          <cell r="F2743">
            <v>8333</v>
          </cell>
          <cell r="G2743" t="str">
            <v>JUNTA DE DILATACION JDE, CON SELLO DE HYPALON, DE ANCHO 20CM, EN AMBAS CARAS INSTALAR RELLENO DE SOPORTE TIPO ROD DE ESPUMA POLIOLEFINA PARA EL SELLADOR ELASTICO DE POLIURETANO (I-CURE) Y ENTRE LOS ROD INSTALAR ICOPOR DE ALTA DENSIDAD DE 2CM DE ESPESOR.</v>
          </cell>
          <cell r="H2743" t="str">
            <v>ML</v>
          </cell>
          <cell r="I2743">
            <v>64188</v>
          </cell>
        </row>
        <row r="2744">
          <cell r="F2744">
            <v>8335</v>
          </cell>
          <cell r="G2744" t="str">
            <v>MORTERO ACRILICO DE REPARACIÓN ALTA RESISTENCIA, AUTOIMPRIMANTE. SUMINISTRO Y APLICACIÓN. INCLUYE COSTOS DE SUMINISTRO DE MATERIALES (RECUBRIMIENTO ANTICORROSIVO EN DOS CAPAS).</v>
          </cell>
          <cell r="H2744" t="str">
            <v>M3</v>
          </cell>
          <cell r="I2744">
            <v>881000</v>
          </cell>
        </row>
        <row r="2745">
          <cell r="F2745">
            <v>8336</v>
          </cell>
          <cell r="G2745" t="str">
            <v>DEMOLICIÓN COLECTOR EN MAMPOSTERIA ESPESOR 0.25. INCLUYE TRANSPORTE Y DISPOSICIÓN FINAL DE SOBRANTES.</v>
          </cell>
          <cell r="H2745" t="str">
            <v>M3</v>
          </cell>
          <cell r="I2745">
            <v>110547</v>
          </cell>
        </row>
        <row r="2746">
          <cell r="F2746">
            <v>8337</v>
          </cell>
          <cell r="G2746" t="str">
            <v>PROTECCIÓN DE BORDES (SUMINISTRO E INSTALACIÓN ÁNGULO 2"X2"X 1/4" + 5 VARILLAS 3/8" L= 0.40M)</v>
          </cell>
          <cell r="H2746" t="str">
            <v>ML</v>
          </cell>
          <cell r="I2746">
            <v>46602</v>
          </cell>
        </row>
        <row r="2747">
          <cell r="F2747">
            <v>8338</v>
          </cell>
          <cell r="G2747" t="str">
            <v>MANIJA DE IZAJE D= 1" PARA TAPA DE CAJA VÁLVULA. SUMINISTRO E INSTALACIÓN</v>
          </cell>
          <cell r="H2747" t="str">
            <v>UN</v>
          </cell>
          <cell r="I2747">
            <v>92553</v>
          </cell>
        </row>
        <row r="2748">
          <cell r="F2748">
            <v>8339</v>
          </cell>
          <cell r="G2748" t="str">
            <v>ELEMENTOS DE VENTILACIÓN 4" PARA TAPA DE CAJA VÁLVULA. SUMINISTRO E INSTALACIÓN</v>
          </cell>
          <cell r="H2748" t="str">
            <v>UN</v>
          </cell>
          <cell r="I2748">
            <v>606467</v>
          </cell>
        </row>
        <row r="2749">
          <cell r="F2749">
            <v>8340</v>
          </cell>
          <cell r="G2749" t="str">
            <v>NEOPRENO DE 50X12X2 DUREZA 60 SIN REFUERZO. SUMINISTRO E INSTALACIÓN</v>
          </cell>
          <cell r="H2749" t="str">
            <v>UN</v>
          </cell>
          <cell r="I2749">
            <v>82675</v>
          </cell>
        </row>
        <row r="2750">
          <cell r="F2750">
            <v>8341</v>
          </cell>
          <cell r="G2750" t="str">
            <v>NEOPRENO DE 50X10X2 DUREZA 60 SIN REFUERZO. SUMINISTRO E INSTALACIÓN</v>
          </cell>
          <cell r="H2750" t="str">
            <v>UN</v>
          </cell>
          <cell r="I2750">
            <v>72678</v>
          </cell>
        </row>
        <row r="2751">
          <cell r="F2751">
            <v>8342</v>
          </cell>
          <cell r="G2751" t="str">
            <v>EMPATE ORTOGONAL PVC-PVC 12"X6" (INCLUYE SUMINISTRO E INSTALACIÓN DE TEE 12"X6" HD, 4 UNIONES, TUBERÍA RDE 21) (SUMINISTRO E INSTALACIÓN)</v>
          </cell>
          <cell r="H2751" t="str">
            <v>UN</v>
          </cell>
          <cell r="I2751">
            <v>2955755</v>
          </cell>
        </row>
        <row r="2752">
          <cell r="F2752">
            <v>8344</v>
          </cell>
          <cell r="G2752" t="str">
            <v>TEE PVC U.M. 12" X 12" (SUMINISTRO E INSTALACIÓN)</v>
          </cell>
          <cell r="H2752" t="str">
            <v>UN</v>
          </cell>
          <cell r="I2752">
            <v>3187900</v>
          </cell>
        </row>
        <row r="2753">
          <cell r="F2753">
            <v>8345</v>
          </cell>
          <cell r="G2753" t="str">
            <v>TAPÓN HD EXTREMO LISO D=2" (SUMINISTRO E INSTALACIÓN)</v>
          </cell>
          <cell r="H2753" t="str">
            <v>UN</v>
          </cell>
          <cell r="I2753">
            <v>89600</v>
          </cell>
        </row>
        <row r="2754">
          <cell r="F2754">
            <v>8346</v>
          </cell>
          <cell r="G2754" t="str">
            <v>EMPATES DE TUBERÍA EN PVC A HA 6" LINEAL SEGÚN NORMA NS-023 (INCLUYE ACCESORIOS). SUMINISTRO E INSTALACIÓN.</v>
          </cell>
          <cell r="H2754" t="str">
            <v>UN</v>
          </cell>
          <cell r="I2754">
            <v>1620433</v>
          </cell>
        </row>
        <row r="2755">
          <cell r="F2755">
            <v>8347</v>
          </cell>
          <cell r="G2755" t="str">
            <v>EMPATE ORTOGONAL PVC-PVC 6"X4" (INCLUYE SUMINISTRO E INSTALACIÓN DE TEE 6"X4"PVC, 4 UNIONES, TUBERÍA RDE 21) (SUMINISTRO E INSTALACIÓN)</v>
          </cell>
          <cell r="H2755" t="str">
            <v>UN</v>
          </cell>
          <cell r="I2755">
            <v>1504179</v>
          </cell>
        </row>
        <row r="2756">
          <cell r="F2756">
            <v>8348</v>
          </cell>
          <cell r="G2756" t="str">
            <v>EMPATE ORTOGONAL PEAD-PEAD 6"X4" (INCLUYE SUMINISTRO E INSTALACIÓN DE TEE  6"X4"PEAD, 2 UNIONES, TUBERÍA RDE 21) (SUMINISTRO E INSTALACIÓN)</v>
          </cell>
          <cell r="H2756" t="str">
            <v>UN</v>
          </cell>
          <cell r="I2756">
            <v>413283</v>
          </cell>
        </row>
        <row r="2757">
          <cell r="F2757">
            <v>8349</v>
          </cell>
          <cell r="G2757" t="str">
            <v>EMPATE ORTOGONAL PEAD-PEAD 8"X4" (INCLUYE SUMINISTRO E INSTALACIÓN DE TEE  8"X4"PEAD, 2 UNIONES, TUBERÍA RDE 21 (SUMINISTRO E INSTALACIÓN)</v>
          </cell>
          <cell r="H2757" t="str">
            <v>UN</v>
          </cell>
          <cell r="I2757">
            <v>766594</v>
          </cell>
        </row>
        <row r="2758">
          <cell r="F2758">
            <v>8350</v>
          </cell>
          <cell r="G2758" t="str">
            <v>YEE PVC SANITARIA D=6"X 8" (INCLUYE SUMINISTRO E INSTALACIÓN).</v>
          </cell>
          <cell r="H2758" t="str">
            <v>UN</v>
          </cell>
          <cell r="I2758">
            <v>290322</v>
          </cell>
        </row>
        <row r="2759">
          <cell r="F2759">
            <v>8351</v>
          </cell>
          <cell r="G2759" t="str">
            <v>EMPATE ORTOGONAL PVC-PVC 6"X6" (INCLUYE SUMINISTRO E INSTALACIÓN DE TEE 6"X6"PVC, 4 UNIONES, TUBERÍA RDE 21) (SUMINISTRO E INSTALACIÓN)</v>
          </cell>
          <cell r="H2759" t="str">
            <v>UN</v>
          </cell>
          <cell r="I2759">
            <v>1633230</v>
          </cell>
        </row>
        <row r="2760">
          <cell r="F2760">
            <v>8352</v>
          </cell>
          <cell r="G2760" t="str">
            <v>EMPATE ORTOGONAL PVC-PVC 8"X6" (INCLUYE SUMINISTRO E INSTALACIÓN DE TEE 8"X6"PVC, 4 UNIONES, TUBERÍA RDE 21) (SUMINISTRO E INSTALACIÓN)</v>
          </cell>
          <cell r="H2760" t="str">
            <v>UN</v>
          </cell>
          <cell r="I2760">
            <v>442513</v>
          </cell>
        </row>
        <row r="2761">
          <cell r="F2761">
            <v>8353</v>
          </cell>
          <cell r="G2761" t="str">
            <v>EMPATE ORTOGONAL PVC-HA 8"X6" (INCLUYE SUMINISTRO E INSTALACIÓN DE TEE 8"X6" HD, 2 ADAPTADORES , 1 BRIDA, TUBERÍA RDE 21)(SUMINISTRO E INSTALACIÓN)</v>
          </cell>
          <cell r="H2761" t="str">
            <v>UN</v>
          </cell>
          <cell r="I2761">
            <v>2251230</v>
          </cell>
        </row>
        <row r="2762">
          <cell r="F2762">
            <v>8357</v>
          </cell>
          <cell r="G2762" t="str">
            <v>EMPATES DE TUBERÍA EN PVC A HA 8" LINEAL SEGÚN NORMA NS-023 (INCLUYE ACCESORIOS). SUMINISTRO E INSTALACIÓN.</v>
          </cell>
          <cell r="H2762" t="str">
            <v>UN</v>
          </cell>
          <cell r="I2762">
            <v>2651803</v>
          </cell>
        </row>
        <row r="2763">
          <cell r="F2763">
            <v>8359</v>
          </cell>
          <cell r="G2763" t="str">
            <v>GIMNASIO EXTERIOR-DOBLE SWING. SUMINISTRO E INSTALACIÓN</v>
          </cell>
          <cell r="H2763" t="str">
            <v>UN</v>
          </cell>
          <cell r="I2763">
            <v>2813419</v>
          </cell>
        </row>
        <row r="2764">
          <cell r="F2764">
            <v>8361</v>
          </cell>
          <cell r="G2764" t="str">
            <v>EMPATES DE TUBERÍA EN PEAD A PEAD 6" LINEAL SEGÚN NORMA NS-023 (INCLUYE ACCESORIOS). SUMINISTRO E INSTALACIÓN.</v>
          </cell>
          <cell r="H2764" t="str">
            <v>UN</v>
          </cell>
          <cell r="I2764">
            <v>575086</v>
          </cell>
        </row>
        <row r="2765">
          <cell r="F2765">
            <v>8362</v>
          </cell>
          <cell r="G2765" t="str">
            <v>EMPATES DE TUBERÍA EN PEAD A PEAD 6"X6" LINEAL SEGÚN NORMA NS-023 (INCLUYE ACCESORIOS). SUMINISTRO E INSTALACIÓN.</v>
          </cell>
          <cell r="H2765" t="str">
            <v>UN</v>
          </cell>
          <cell r="I2765">
            <v>374613</v>
          </cell>
        </row>
        <row r="2766">
          <cell r="F2766">
            <v>8363</v>
          </cell>
          <cell r="G2766" t="str">
            <v>MALLA DE CERRAMIENTO M-71. SUMINISTRO E INSTALACIÓN</v>
          </cell>
          <cell r="H2766" t="str">
            <v>ML</v>
          </cell>
          <cell r="I2766">
            <v>355729</v>
          </cell>
        </row>
        <row r="2767">
          <cell r="F2767">
            <v>8364</v>
          </cell>
          <cell r="G2767" t="str">
            <v>EMPATES DE TUBERÍA EN PVC A PAD 8" LINEAL SEGÚN NORMA NS-023 (INCLUYE ACCESORIOS). SUMINISTRO E INSTALACIÓN.</v>
          </cell>
          <cell r="H2767" t="str">
            <v>UN</v>
          </cell>
          <cell r="I2767">
            <v>1009124</v>
          </cell>
        </row>
        <row r="2768">
          <cell r="F2768">
            <v>8365</v>
          </cell>
          <cell r="G2768" t="str">
            <v>REJILLA PREFABRICADA EN CONCRETO 0,5M X 1,0M X 0,1. (INCLUYE SUMINISTRO Y COLOCACIÓN, MORTERO DE 2000 PSI Y MANO DE OBRA)</v>
          </cell>
          <cell r="H2768" t="str">
            <v>UN</v>
          </cell>
          <cell r="I2768">
            <v>148905</v>
          </cell>
        </row>
        <row r="2769">
          <cell r="F2769">
            <v>8366</v>
          </cell>
          <cell r="G2769" t="str">
            <v>NIPLE 36" ACERO CARBON EXTREMOS BRIDA/CAMPANA, CON REVESTIMIENTO INTERIOR Y RECUBRIMIENTO EXTERIOR EN MORTERO CEMENTO, CON SALIDA TANGENCIAL PARA PURGA 4" L= 2500MM. SUMINISTRO E INSTALACIÓN</v>
          </cell>
          <cell r="H2769" t="str">
            <v>UN</v>
          </cell>
          <cell r="I2769">
            <v>24220611</v>
          </cell>
        </row>
        <row r="2770">
          <cell r="F2770">
            <v>8367</v>
          </cell>
          <cell r="G2770" t="str">
            <v>TUBERÍA HDPE 8" (SUMINISTRO E INSTALACIÓN)</v>
          </cell>
          <cell r="H2770" t="str">
            <v>ML</v>
          </cell>
          <cell r="I2770">
            <v>195207</v>
          </cell>
        </row>
        <row r="2771">
          <cell r="F2771">
            <v>8368</v>
          </cell>
          <cell r="G2771" t="str">
            <v>TUBERÍA HDPE 10" (SUMINISTRO E INSTALACIÓN)</v>
          </cell>
          <cell r="H2771" t="str">
            <v>ML</v>
          </cell>
          <cell r="I2771">
            <v>236524</v>
          </cell>
        </row>
        <row r="2772">
          <cell r="F2772">
            <v>8369</v>
          </cell>
          <cell r="G2772" t="str">
            <v>TUBERÍA HDPE 12" (SUMINISTRO E INSTALACIÓN)</v>
          </cell>
          <cell r="H2772" t="str">
            <v>ML</v>
          </cell>
          <cell r="I2772">
            <v>260559</v>
          </cell>
        </row>
        <row r="2773">
          <cell r="F2773">
            <v>8370</v>
          </cell>
          <cell r="G2773" t="str">
            <v>TUBERÍA HDPE 14" (SUMINISTRO E INSTALACIÓN)</v>
          </cell>
          <cell r="H2773" t="str">
            <v>ML</v>
          </cell>
          <cell r="I2773">
            <v>284449</v>
          </cell>
        </row>
        <row r="2774">
          <cell r="F2774">
            <v>8371</v>
          </cell>
          <cell r="G2774" t="str">
            <v>TUBERÍA HDPE 16" (SUMINISTRO E INSTALACIÓN)</v>
          </cell>
          <cell r="H2774" t="str">
            <v>ML</v>
          </cell>
          <cell r="I2774">
            <v>322276</v>
          </cell>
        </row>
        <row r="2775">
          <cell r="F2775">
            <v>8382</v>
          </cell>
          <cell r="G2775" t="str">
            <v>CONCRETO 4000 PSI RELACIÓN AGUA MATERIAL CEMENTANTE = 0.45 PARA ESTRUCTURAS HIDRÁULICAS SOBRE REDES DE ACUEDUCTO Y ALCANTARILLADO (PREMEZCLADO. INCLUYE SUMIN., FORMALETEO, COLOCACIÓN Y CURADO. NO INCLUYE REFUERZO).</v>
          </cell>
          <cell r="H2775" t="str">
            <v>M3</v>
          </cell>
          <cell r="I2775">
            <v>987224</v>
          </cell>
        </row>
        <row r="2776">
          <cell r="F2776">
            <v>8383</v>
          </cell>
          <cell r="G2776" t="str">
            <v>CONCRETO F´C 4000 PSI DE BAJA RETRACCIÓN, RELACIÓN AGUA MATERIAL CEMENTANTE = 0.45 PARA ESTRUCTURAS HIDRÁULICAS SOBRE REDES DE ACUEDUCTO Y ALCANTARILLADO (PREMEZCLADO. INCLUYE SUMIN., FORMALETEO, COLOCACIÓN Y CURADO. NO INCLUYE REFUERZO).</v>
          </cell>
          <cell r="H2776" t="str">
            <v>M3</v>
          </cell>
          <cell r="I2776">
            <v>987224</v>
          </cell>
        </row>
        <row r="2777">
          <cell r="F2777">
            <v>8384</v>
          </cell>
          <cell r="G2777" t="str">
            <v>TEE EN ACERO Ø 30" X 12" CON EXTREMOS ESPIGO/CAMPANA Y BRIDA EN LA DERIVACIÓN, REVESTIMIENTOS INTERIOR Y EXTERIOR EN PINTURA EPÓXICA. SUMINISTRO E INSTALACIÓN</v>
          </cell>
          <cell r="H2777" t="str">
            <v>ML</v>
          </cell>
          <cell r="I2777">
            <v>2137526</v>
          </cell>
        </row>
        <row r="2778">
          <cell r="F2778">
            <v>8386</v>
          </cell>
          <cell r="G2778" t="str">
            <v>UNIÓN JUNTA DE DESMONTAJE Ø 8 (A) (SUMINISTRO E INSTALACIÓN)</v>
          </cell>
          <cell r="H2778" t="str">
            <v>UN</v>
          </cell>
          <cell r="I2778">
            <v>1780674</v>
          </cell>
        </row>
        <row r="2779">
          <cell r="F2779">
            <v>8388</v>
          </cell>
          <cell r="G2779" t="str">
            <v>UNION REPARACION DESLIZANTE PVC D=1" (SUMINISTRO E INSTALACIÓN)</v>
          </cell>
          <cell r="H2779" t="str">
            <v>UN</v>
          </cell>
          <cell r="I2779">
            <v>26111</v>
          </cell>
        </row>
        <row r="2780">
          <cell r="F2780">
            <v>8389</v>
          </cell>
          <cell r="G2780" t="str">
            <v>TUBERIA DE ACERO AL CARBON SIN COSTURA SCH40 D=1". SUMINISTRO E INSTALACION.</v>
          </cell>
          <cell r="H2780" t="str">
            <v>ML</v>
          </cell>
          <cell r="I2780">
            <v>33463</v>
          </cell>
        </row>
        <row r="2781">
          <cell r="F2781">
            <v>8390</v>
          </cell>
          <cell r="G2781" t="str">
            <v>TUBERÍA DE ACERO AL CARBÓN SIN COSTURA SCH40 D=2"</v>
          </cell>
          <cell r="H2781" t="str">
            <v>ML</v>
          </cell>
          <cell r="I2781">
            <v>77071</v>
          </cell>
        </row>
        <row r="2782">
          <cell r="F2782">
            <v>8392</v>
          </cell>
          <cell r="G2782" t="str">
            <v>TRAGANTE CÚPULA DE 3"X 2" DE ALUMINIO. (INCLUYE SUMINISTRO E INSTALACIÓN)</v>
          </cell>
          <cell r="H2782" t="str">
            <v>UN</v>
          </cell>
          <cell r="I2782">
            <v>7726</v>
          </cell>
        </row>
        <row r="2783">
          <cell r="F2783">
            <v>8393</v>
          </cell>
          <cell r="G2783" t="str">
            <v>EMPATES DE TUBERÍA EN PVC A PEAD 3" LINEAL SEGÚN NORMA NS-023 (INCLUYE ACOPLE UNIVERSAL Ø=3"=1UN; BRIDA LOCA POLIETILENO Ø=3"=1UN; PORTABRIDA POLIETILENO Ø=3"=1UN). SUMINISTRO E INSTALACIÓN.</v>
          </cell>
          <cell r="H2783" t="str">
            <v>UN</v>
          </cell>
          <cell r="I2783">
            <v>357823</v>
          </cell>
        </row>
        <row r="2784">
          <cell r="F2784">
            <v>8399</v>
          </cell>
          <cell r="G2784" t="str">
            <v>BAJANTE PARA ACOMETIDA IMC 1 D= 6" , CAPACETE, CINTA BAND IT, CURVA PVC. (INCLUYE APERTURA DE ZANJA PARA INSTALACION DE CURVA Y TUBERIA GALVANIZADA, RESANE Y RETIRO DE ESCOMBROS). SUMINISTRO E INSTALACIÓN.</v>
          </cell>
          <cell r="H2784" t="str">
            <v>ML</v>
          </cell>
          <cell r="I2784">
            <v>837217</v>
          </cell>
        </row>
        <row r="2785">
          <cell r="F2785">
            <v>8401</v>
          </cell>
          <cell r="G2785" t="str">
            <v>TUBERÍA PVC U.M. EXT CORRUGADO/INT LISO U.M. NORMA NTC 3722-1 D=60" (INCLUYE SUMINISTRO E INSTALACIÓN)</v>
          </cell>
          <cell r="H2785" t="str">
            <v>ML</v>
          </cell>
          <cell r="I2785">
            <v>4660574</v>
          </cell>
        </row>
        <row r="2786">
          <cell r="F2786">
            <v>8402</v>
          </cell>
          <cell r="G2786" t="str">
            <v>SOPORTE PARA TUBERÍA DIÁMETRO 3" (INCLUYE SUMINISTRO E INSTALACIÓN)</v>
          </cell>
          <cell r="H2786" t="str">
            <v>UN</v>
          </cell>
          <cell r="I2786">
            <v>5013</v>
          </cell>
        </row>
        <row r="2787">
          <cell r="F2787">
            <v>8406</v>
          </cell>
          <cell r="G2787" t="str">
            <v>PUNTO ECOLÓGICO COMPUESTO POR 3 CANECAS TIPO BARCELONA M-121. (INCLUYE CONCRETO PARA ANCLAJE DE 3000 PSI PREMEZCLADO GRAVA COMÚN Y SUBBASE GRANULAR PEATONAL SBG_PEA). SUMINISTRO E INSTALACIÓN</v>
          </cell>
          <cell r="H2787" t="str">
            <v>UN</v>
          </cell>
          <cell r="I2787">
            <v>2157279</v>
          </cell>
        </row>
        <row r="2788">
          <cell r="F2788">
            <v>8407</v>
          </cell>
          <cell r="G2788" t="str">
            <v>PILOTE D=120 CM CON CONCRETO TREMIE DE 4000 PSI. (INCL. EXCAVACIÓN, CARGUE, MOVILIZACIÓN, MONTAJE Y DESMONTAJE EQUIPO Y CONCRETO)</v>
          </cell>
          <cell r="H2788" t="str">
            <v>ML</v>
          </cell>
          <cell r="I2788">
            <v>1597738</v>
          </cell>
        </row>
        <row r="2789">
          <cell r="F2789">
            <v>8409</v>
          </cell>
          <cell r="G2789" t="str">
            <v>CAMARA DE PASO TIPO P1 TIGO-UNE (H=2.5M. INCLUYE BASE, MUROS, CUBIERTA, ARO-BASE Y ARO-TAPA)</v>
          </cell>
          <cell r="H2789" t="str">
            <v>UN</v>
          </cell>
          <cell r="I2789">
            <v>5662702</v>
          </cell>
        </row>
        <row r="2790">
          <cell r="F2790">
            <v>8410</v>
          </cell>
          <cell r="G2790" t="str">
            <v>CAMARA DE PASO TIPO P3 TIGO-UNE (H=2.5M. INCLUYE BASE, MUROS, CUBIERTA, ARO-BASE Y ARO-TAPA)</v>
          </cell>
          <cell r="H2790" t="str">
            <v>UN</v>
          </cell>
          <cell r="I2790">
            <v>4631300</v>
          </cell>
        </row>
        <row r="2791">
          <cell r="F2791">
            <v>8411</v>
          </cell>
          <cell r="G2791" t="str">
            <v>PILOTE D=60 CM CON CONCRETO TREMIE DE 4000 PSI. (INCL. EXCAVACIÓN, CARGUE, MOVILIZACIÓN, MONTAJE Y DESMONTAJE EQUIPO Y CONCRETO).</v>
          </cell>
          <cell r="H2791" t="str">
            <v>ML</v>
          </cell>
          <cell r="I2791">
            <v>570163</v>
          </cell>
        </row>
        <row r="2792">
          <cell r="F2792">
            <v>8412</v>
          </cell>
          <cell r="G2792" t="str">
            <v>CODO HD 90° EXTREMO JUNTA HIDRÁULICA PARA PVC D= 8" (SUMINISTRO E INSTALACIÓN)</v>
          </cell>
          <cell r="H2792" t="str">
            <v>UN</v>
          </cell>
          <cell r="I2792">
            <v>582657</v>
          </cell>
        </row>
        <row r="2793">
          <cell r="F2793">
            <v>8413</v>
          </cell>
          <cell r="G2793" t="str">
            <v>TAPON HD EXTREMO JUNTA HIDRÁULICA D=8" (SUMINISTRO E INSTALACIÓN)</v>
          </cell>
          <cell r="H2793" t="str">
            <v>UN</v>
          </cell>
          <cell r="I2793">
            <v>285218</v>
          </cell>
        </row>
        <row r="2794">
          <cell r="F2794">
            <v>8414</v>
          </cell>
          <cell r="G2794" t="str">
            <v>TEE HD EXTREMO JUNTA HIDRÁULICA 12"X 12" (SUMINISTRO E INSTALACIÓN)</v>
          </cell>
          <cell r="H2794" t="str">
            <v>UN</v>
          </cell>
          <cell r="I2794">
            <v>3203583</v>
          </cell>
        </row>
        <row r="2795">
          <cell r="F2795">
            <v>8415</v>
          </cell>
          <cell r="G2795" t="str">
            <v>TEE HD EXTREMO JUNTA HIDRÁULICA 8"X 4" (SUMINISTRO E INSTALACIÓN)</v>
          </cell>
          <cell r="H2795" t="str">
            <v>UN</v>
          </cell>
          <cell r="I2795">
            <v>693404</v>
          </cell>
        </row>
        <row r="2796">
          <cell r="F2796">
            <v>8416</v>
          </cell>
          <cell r="G2796" t="str">
            <v>TEE HD EXTREMO JUNTA HIDRÁULICA 8"X 6" (SUMINISTRO E INSTALACIÓN)</v>
          </cell>
          <cell r="H2796" t="str">
            <v>UN</v>
          </cell>
          <cell r="I2796">
            <v>724728</v>
          </cell>
        </row>
        <row r="2797">
          <cell r="F2797">
            <v>8418</v>
          </cell>
          <cell r="G2797" t="str">
            <v>VÁLVULA TIPO MARIPOSA DE Ø 18" CLASE 150 CON EXTREMOS BRIDADOS (SUMINISTRO E INSTALACIÓN)</v>
          </cell>
          <cell r="H2797" t="str">
            <v>UN</v>
          </cell>
          <cell r="I2797">
            <v>17976275</v>
          </cell>
        </row>
        <row r="2798">
          <cell r="F2798">
            <v>8419</v>
          </cell>
          <cell r="G2798" t="str">
            <v>CODO HD 22.5° EXTREMO JUNTA HIDRÁULICA PARA PVC D= 3" (SUMINISTRO E INSTALACIÓN)</v>
          </cell>
          <cell r="H2798" t="str">
            <v>UN</v>
          </cell>
          <cell r="I2798">
            <v>174460</v>
          </cell>
        </row>
        <row r="2799">
          <cell r="F2799">
            <v>8420</v>
          </cell>
          <cell r="G2799" t="str">
            <v>CODO HD 45° EXTREMO JUNTA HIDRÁULICA PARA PVC D= 3" (SUMINISTRO E INSTALACIÓN)</v>
          </cell>
          <cell r="H2799" t="str">
            <v>UN</v>
          </cell>
          <cell r="I2799">
            <v>174460</v>
          </cell>
        </row>
        <row r="2800">
          <cell r="F2800">
            <v>8421</v>
          </cell>
          <cell r="G2800" t="str">
            <v>CODO HD 90° EXTREMO JUNTA HIDRÁULICA PARA PVC D= 3" (SUMINISTRO E INSTALACIÓN)</v>
          </cell>
          <cell r="H2800" t="str">
            <v>UN</v>
          </cell>
          <cell r="I2800">
            <v>176569</v>
          </cell>
        </row>
        <row r="2801">
          <cell r="F2801">
            <v>8422</v>
          </cell>
          <cell r="G2801" t="str">
            <v>EMPATE ORTOGONAL PVC - PVC 4"X4" (INCLUYE SUMINISTRO E INSTALACIÓN DE TEE HD, 3 UNIONES RÁPIDAS, TUBERÍA RDE 21)</v>
          </cell>
          <cell r="H2801" t="str">
            <v>UN</v>
          </cell>
          <cell r="I2801">
            <v>577309</v>
          </cell>
        </row>
        <row r="2802">
          <cell r="F2802">
            <v>8423</v>
          </cell>
          <cell r="G2802" t="str">
            <v>EMPATE ORTOGONAL PVC - PVC 6"X6" (INCLUYE SUMINISTRO E INSTALACIÓN DE TEE HD, 3 UNIONES RÁPIDAS, TUBERÍA RDE 21)</v>
          </cell>
          <cell r="H2802" t="str">
            <v>UN</v>
          </cell>
          <cell r="I2802">
            <v>814550</v>
          </cell>
        </row>
        <row r="2803">
          <cell r="F2803">
            <v>8425</v>
          </cell>
          <cell r="G2803" t="str">
            <v>BRIDA FLANGE SLIP ON D=6" ACERO SOLDABLE RF 150 LB ANSI B16.5 (SUMINISTRO E INSTALACIÓN)</v>
          </cell>
          <cell r="H2803" t="str">
            <v>UN</v>
          </cell>
          <cell r="I2803">
            <v>112698</v>
          </cell>
        </row>
        <row r="2804">
          <cell r="F2804">
            <v>8427</v>
          </cell>
          <cell r="G2804" t="str">
            <v>BRIDA FLANGE SLIP ON D=12" ACERO SOLDABLE RF 150 LB ANSI B16.5 (SUMINISTRO E INSTALACIÓN)</v>
          </cell>
          <cell r="H2804" t="str">
            <v>UN</v>
          </cell>
          <cell r="I2804">
            <v>642151</v>
          </cell>
        </row>
        <row r="2805">
          <cell r="F2805">
            <v>8430</v>
          </cell>
          <cell r="G2805" t="str">
            <v>TRASLADO ESTACION REGULADORA DE PRESION AV CIUDAD DE CALI CON AMERICAS COSTADO NORTE</v>
          </cell>
          <cell r="H2805" t="str">
            <v>UN</v>
          </cell>
          <cell r="I2805">
            <v>6106325</v>
          </cell>
        </row>
        <row r="2806">
          <cell r="F2806">
            <v>8431</v>
          </cell>
          <cell r="G2806" t="str">
            <v>TRASLADO ESTACION REGULADORA DE PRESION AV CIUDAD DE CALI AMERICAS COSTADO SUR</v>
          </cell>
          <cell r="H2806" t="str">
            <v>UN</v>
          </cell>
          <cell r="I2806">
            <v>5747455</v>
          </cell>
        </row>
        <row r="2807">
          <cell r="F2807">
            <v>8432</v>
          </cell>
          <cell r="G2807" t="str">
            <v>TRASLADO ESTACION REGULADORA DE PRESION AV CALI CON AV PRIMERA DE MAYO</v>
          </cell>
          <cell r="H2807" t="str">
            <v>UN</v>
          </cell>
          <cell r="I2807">
            <v>12074307</v>
          </cell>
        </row>
        <row r="2808">
          <cell r="F2808">
            <v>8433</v>
          </cell>
          <cell r="G2808" t="str">
            <v>LUMINARIA LED 22.7 W, 120 V, 60 HZ (INCLUYE ACCESORIOS DE INSTALACIÓN Y FIJACIÓN, CAJA DE SALIDA, ELEMENTOS DE CONEXIÓN, DE EMPALME Y DE MONTAJE NO INCLUYE TUBERIA NI CABLEADO)</v>
          </cell>
          <cell r="H2808" t="str">
            <v>UN</v>
          </cell>
          <cell r="I2808">
            <v>259374</v>
          </cell>
        </row>
        <row r="2809">
          <cell r="F2809">
            <v>8434</v>
          </cell>
          <cell r="G2809" t="str">
            <v>LUMINARIA LED 19 W, 120 V, 60 HZ (INCLUYE ACCESORIOS DE INSTALACIÓN Y FIJACIÓN, CAJA DE SALIDA, ELEMENTOS DE CONEXIÓN, DE EMPALME Y DE MONTAJE). NO INCLUYE TUBERIA NI CABLEADO)</v>
          </cell>
          <cell r="H2809" t="str">
            <v>UN</v>
          </cell>
          <cell r="I2809">
            <v>777836</v>
          </cell>
        </row>
        <row r="2810">
          <cell r="F2810">
            <v>8435</v>
          </cell>
          <cell r="G2810" t="str">
            <v>BATERÍA EXTERNA DE EMERGENCIA 120 V, 60 HZ, (PROPORCIONA ENERGÍA POR 90 MIN A LAS LUMINARIAS)</v>
          </cell>
          <cell r="H2810" t="str">
            <v>UN</v>
          </cell>
          <cell r="I2810">
            <v>520948</v>
          </cell>
        </row>
        <row r="2811">
          <cell r="F2811">
            <v>8436</v>
          </cell>
          <cell r="G2811" t="str">
            <v>REUBICACIÓN DE SEMÁFORO + BASE PEATONAL.</v>
          </cell>
          <cell r="H2811" t="str">
            <v>UN</v>
          </cell>
          <cell r="I2811">
            <v>149992</v>
          </cell>
        </row>
        <row r="2812">
          <cell r="F2812">
            <v>8437</v>
          </cell>
          <cell r="G2812" t="str">
            <v>RETIRO SEÑALIZACIÓN TIPO BANDERA</v>
          </cell>
          <cell r="H2812" t="str">
            <v>UN</v>
          </cell>
          <cell r="I2812">
            <v>327110</v>
          </cell>
        </row>
        <row r="2813">
          <cell r="F2813">
            <v>8438</v>
          </cell>
          <cell r="G2813" t="str">
            <v>TABLETA PREFABRICADA EN CONCRETO 6X20X20 CM COLOR CHOCOLATE O SIMILAR (SUMINISTRO E INSTALACIÓN)</v>
          </cell>
          <cell r="H2813" t="str">
            <v>M2</v>
          </cell>
          <cell r="I2813">
            <v>90508</v>
          </cell>
        </row>
        <row r="2814">
          <cell r="F2814">
            <v>8439</v>
          </cell>
          <cell r="G2814" t="str">
            <v>TABLETA PREFABRICADA EN CONCRETO 6X20X20 COLOR ARENA O SIMILAR (SUMINISTRO E INSTALACIÓN)</v>
          </cell>
          <cell r="H2814" t="str">
            <v>M2</v>
          </cell>
          <cell r="I2814">
            <v>90508</v>
          </cell>
        </row>
        <row r="2815">
          <cell r="F2815">
            <v>8440</v>
          </cell>
          <cell r="G2815" t="str">
            <v>TABLETA PREFABRICADA EN CONCRETO 6X20X20 COLOR OCRE O SIMILAR (SUMINISTRO E INSTALACIÓN)</v>
          </cell>
          <cell r="H2815" t="str">
            <v>M2</v>
          </cell>
          <cell r="I2815">
            <v>90508</v>
          </cell>
        </row>
        <row r="2816">
          <cell r="F2816">
            <v>8442</v>
          </cell>
          <cell r="G2816" t="str">
            <v>CABLE MONOPOLAR DE COBRE HFFR PARA 600V C.A CALIBRE NO. 6 AWG. (INCLUYE SUMINISTRO, INSTALACIÓN Y ACCESORIOS DE INSTALACIÓN).</v>
          </cell>
          <cell r="H2816" t="str">
            <v>ML</v>
          </cell>
          <cell r="I2816">
            <v>6185</v>
          </cell>
        </row>
        <row r="2817">
          <cell r="F2817">
            <v>8443</v>
          </cell>
          <cell r="G2817" t="str">
            <v>CABLE MONOPOLAR DE COBRE HFFR PARA 600V C.A CALIBRE NO. 12 AWG. (INCLUYE SUMINISTRO, INSTALACIÓN Y ACCESORIOS DE INSTALACIÓN).</v>
          </cell>
          <cell r="H2817" t="str">
            <v>ML</v>
          </cell>
          <cell r="I2817">
            <v>5811</v>
          </cell>
        </row>
        <row r="2818">
          <cell r="F2818">
            <v>8444</v>
          </cell>
          <cell r="G2818" t="str">
            <v>POSTE ORNAMENTAL METALICO ALTURA H=5 MTS TIPO M130 BRAZO SENCILLO (INCLUYE SUMINISTRO, IZAJE, APLOMADO E INSTALACIÓN)</v>
          </cell>
          <cell r="H2818" t="str">
            <v>UN</v>
          </cell>
          <cell r="I2818">
            <v>1017445</v>
          </cell>
        </row>
        <row r="2819">
          <cell r="F2819">
            <v>8445</v>
          </cell>
          <cell r="G2819" t="str">
            <v>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v>
          </cell>
          <cell r="H2819" t="str">
            <v>UN</v>
          </cell>
          <cell r="I2819">
            <v>917618</v>
          </cell>
        </row>
        <row r="2820">
          <cell r="F2820">
            <v>8448</v>
          </cell>
          <cell r="G2820" t="str">
            <v>TABLETA PREFABRICADA EN CONCRETO 6X20X20 COLOR MARRÓN (SUMINISTRO E INSTALACIÓN)</v>
          </cell>
          <cell r="H2820" t="str">
            <v>M2</v>
          </cell>
          <cell r="I2820">
            <v>90508</v>
          </cell>
        </row>
        <row r="2821">
          <cell r="F2821">
            <v>8449</v>
          </cell>
          <cell r="G2821" t="str">
            <v>TABLETA PREFABRICADA EN CONCRETO 6X20X20 COLOR GRIS NATURAL O SIMILAR (SUMINISTRO E INSTALACIÓN)</v>
          </cell>
          <cell r="H2821" t="str">
            <v>M2</v>
          </cell>
          <cell r="I2821">
            <v>90508</v>
          </cell>
        </row>
        <row r="2822">
          <cell r="F2822">
            <v>8452</v>
          </cell>
          <cell r="G2822" t="str">
            <v>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v>
          </cell>
          <cell r="H2822" t="str">
            <v>ML</v>
          </cell>
          <cell r="I2822">
            <v>186209</v>
          </cell>
        </row>
        <row r="2823">
          <cell r="F2823">
            <v>8453</v>
          </cell>
          <cell r="G2823" t="str">
            <v>1 DUCTO D= 3" PVC PESADO DB (NO INCLUYE EXCAVACIÓN NI RELLENOS). SUMINISTRO E INSTALACION.</v>
          </cell>
          <cell r="H2823" t="str">
            <v>ML</v>
          </cell>
          <cell r="I2823">
            <v>24077</v>
          </cell>
        </row>
        <row r="2824">
          <cell r="F2824">
            <v>8455</v>
          </cell>
          <cell r="G2824" t="str">
            <v>TRANSFORMADOR TIPO PEDESTAL PARA AP DE 30 KVA 11.4/0.380-0.220 KV EN ACEITE VEGETAL (INCLUYE SUMINISTRO E INSTALACIÓN).</v>
          </cell>
          <cell r="H2824" t="str">
            <v>UN</v>
          </cell>
          <cell r="I2824">
            <v>16394310</v>
          </cell>
        </row>
        <row r="2825">
          <cell r="F2825">
            <v>8456</v>
          </cell>
          <cell r="G2825" t="str">
            <v>TRANSFORMADOR TIPO PEDESTAL PARA AP DE 45 KVA 11.4/0.380-0.220 KV EN ACEITE VEGETAL (INCLUYE SUMINISTRO E INSTALACIÓN).</v>
          </cell>
          <cell r="H2825" t="str">
            <v>UN</v>
          </cell>
          <cell r="I2825">
            <v>17074923</v>
          </cell>
        </row>
        <row r="2826">
          <cell r="F2826">
            <v>8457</v>
          </cell>
          <cell r="G2826" t="str">
            <v>TRANSFORMADOR TIPO PEDESTAL PARA AP DE 75 KVA 11.4/0.380-0.220 KV EN ACEITE VEGETAL (INCLUYE SUMINISTRO E INSTALACIÓN).</v>
          </cell>
          <cell r="H2826" t="str">
            <v>UN</v>
          </cell>
          <cell r="I2826">
            <v>19574866</v>
          </cell>
        </row>
        <row r="2827">
          <cell r="F2827">
            <v>8458</v>
          </cell>
          <cell r="G2827" t="str">
            <v>TRANSFORMADOR TIPO PEDESTAL PARA AP DE 45 KVA 11.4/0.208-0.120 KV EN ACEITE VEGETAL (INCLUYE SUMINISTRO E INSTALACIÓN).</v>
          </cell>
          <cell r="H2827" t="str">
            <v>UN</v>
          </cell>
          <cell r="I2827">
            <v>5229640</v>
          </cell>
        </row>
        <row r="2828">
          <cell r="F2828">
            <v>8459</v>
          </cell>
          <cell r="G2828" t="str">
            <v>TRANSFORMADOR TIPO PEDESTAL PARA AP DE 75 KVA 11.4/0.208-0.120 KV EN ACEITE VEGETAL (INCLUYE SUMINISTRO E INSTALACIÓN).</v>
          </cell>
          <cell r="H2828" t="str">
            <v>UN</v>
          </cell>
          <cell r="I2828">
            <v>7134048</v>
          </cell>
        </row>
        <row r="2829">
          <cell r="F2829">
            <v>8460</v>
          </cell>
          <cell r="G2829" t="str">
            <v>TRANSFORMADOR TIPO PEDESTAL PARA AP DE 150 KVA 11.4/0.208-0.120 KV EN ACEITE VEGETAL (INCLUYE SUMINISTRO E INSTALACIÓN).</v>
          </cell>
          <cell r="H2829" t="str">
            <v>UN</v>
          </cell>
          <cell r="I2829">
            <v>11041028</v>
          </cell>
        </row>
        <row r="2830">
          <cell r="F2830">
            <v>8461</v>
          </cell>
          <cell r="G2830" t="str">
            <v>CONDUCTOR DE ALUMINIO THHW DE 240 MM2 600 V PVC DE 90° CT (INCLUYE SUMINISTRO E INSTALACIÓN).</v>
          </cell>
          <cell r="H2830" t="str">
            <v>ML</v>
          </cell>
          <cell r="I2830">
            <v>31755</v>
          </cell>
        </row>
        <row r="2831">
          <cell r="F2831">
            <v>8462</v>
          </cell>
          <cell r="G2831" t="str">
            <v>CABLE CONDUCTOR DE ALUMINIO REFORZADO DESNUDO, CALIBRE NO. 2 AWG (INCLUYE SUMINISTRO E INSTALACIÓN)</v>
          </cell>
          <cell r="H2831" t="str">
            <v>ML</v>
          </cell>
          <cell r="I2831">
            <v>8624</v>
          </cell>
        </row>
        <row r="2832">
          <cell r="F2832">
            <v>8464</v>
          </cell>
          <cell r="G2832" t="str">
            <v>BORDILLO EN CONCRETO GRAVA COMÚN 1" 2000 PSI, FUNDIDO EN SITIO, A LA VISTA, DE 10CM X 35CM. REFUERZO SEGÚN DISEÑO ESTRUCTURAL, SIMILAR O EQUIVALENTE. (INCLUYE SUMINISTRO, FORMALETEO, FUNDIDA Y CURADO E INSTALACIÓN).</v>
          </cell>
          <cell r="H2832" t="str">
            <v>ML</v>
          </cell>
          <cell r="I2832">
            <v>50398</v>
          </cell>
        </row>
        <row r="2833">
          <cell r="F2833">
            <v>8465</v>
          </cell>
          <cell r="G2833" t="str">
            <v>PLACA DE CONCRETO LAVADO FUNDIDA EN SITIO DE 3000 PSI (21 MPA), ESPESOR DE PLACA: 10 CM CON MALLA ELECTROSOLDADA DE MM, CON DILATACIONES REMÓVIBLES EN MADERA DE 15 X 15 MM</v>
          </cell>
          <cell r="H2833" t="str">
            <v>M2</v>
          </cell>
          <cell r="I2833">
            <v>135796</v>
          </cell>
        </row>
        <row r="2834">
          <cell r="F2834">
            <v>8466</v>
          </cell>
          <cell r="G2834" t="str">
            <v>REMATE RAMPA CONCRETO DE 3000 PSI (21 MPA) GRAVA COMÚN FUNDIDO EN SITIO. PREMEZCLADO. INCLUYE SUMINISTRO, FORMALETEO, COLOCACIÓN Y CURADO. NO INCLUYE REFUERZO).</v>
          </cell>
          <cell r="H2834" t="str">
            <v>ML</v>
          </cell>
          <cell r="I2834">
            <v>86260</v>
          </cell>
        </row>
        <row r="2835">
          <cell r="F2835">
            <v>8467</v>
          </cell>
          <cell r="G2835" t="str">
            <v>PIEDRA RAJÓN HINCADA SOBRE TERRENO NATURAL (INCLUYE SUMINISTRO E INSTALACIÓN)</v>
          </cell>
          <cell r="H2835" t="str">
            <v>M2</v>
          </cell>
          <cell r="I2835">
            <v>28761</v>
          </cell>
        </row>
        <row r="2836">
          <cell r="F2836">
            <v>8468</v>
          </cell>
          <cell r="G2836" t="str">
            <v>EMPALME DE DERIVACIÓN EN RESINA AP 839 (EMPALME RECTO / DERIVACIÓN RESINA) INCLUYE SUMINISTRO E INSTALACIÓN</v>
          </cell>
          <cell r="H2836" t="str">
            <v>UN</v>
          </cell>
          <cell r="I2836">
            <v>169508</v>
          </cell>
        </row>
        <row r="2837">
          <cell r="F2837">
            <v>8471</v>
          </cell>
          <cell r="G2837" t="str">
            <v>MALLA ELECTROSOLDADA 0.15 X 0.15 M, D= 8,5 MM, 8,5 MM (INCLUYE SUMINISTRO, FIJACIÓN E INSTALACIÓN)</v>
          </cell>
          <cell r="H2837" t="str">
            <v>KG</v>
          </cell>
          <cell r="I2837">
            <v>6222</v>
          </cell>
        </row>
        <row r="2838">
          <cell r="F2838">
            <v>8472</v>
          </cell>
          <cell r="G2838" t="str">
            <v>LUMINARIA LED RALED II RA02SII 16 LED 72 W. INCLUYE SUMINISTRO LUMINARIA E INSTALACIÓN.</v>
          </cell>
          <cell r="H2838" t="str">
            <v>UN</v>
          </cell>
          <cell r="I2838">
            <v>1072846</v>
          </cell>
        </row>
        <row r="2839">
          <cell r="F2839">
            <v>8473</v>
          </cell>
          <cell r="G2839" t="str">
            <v>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v>
          </cell>
          <cell r="H2839" t="str">
            <v>UN</v>
          </cell>
          <cell r="I2839">
            <v>531128225</v>
          </cell>
        </row>
        <row r="2840">
          <cell r="F2840">
            <v>8474</v>
          </cell>
          <cell r="G2840" t="str">
            <v>TRASLADO POSTE METÁLICO AP, H=12M, (INCLUYE ESTRUCTURAS, RETENIDAS Y SOPORTES DE RED AÉREA).</v>
          </cell>
          <cell r="H2840" t="str">
            <v>UN</v>
          </cell>
          <cell r="I2840">
            <v>350178</v>
          </cell>
        </row>
        <row r="2841">
          <cell r="F2841">
            <v>8475</v>
          </cell>
          <cell r="G2841" t="str">
            <v>BORDILLO EN CONCRETO GRAVA COMÚN 1" 2000 PSI, FUNDIDO EN SITIO, A LA VISTA, DE 20CM X 20CM. REFUERZO SEGÚN DISEÑO ESTRUCTURAL, SIMILAR O EQUIVALENTE. (INCLUYE SUMINISTRO E INSTALACIÓN, FORMALETEO, FUNDIDA Y CURADO, ACERO DE REFUERZO Y NIVELACIÓN EN ARENA)</v>
          </cell>
          <cell r="H2841" t="str">
            <v>ML</v>
          </cell>
          <cell r="I2841">
            <v>51979</v>
          </cell>
        </row>
        <row r="2842">
          <cell r="F2842">
            <v>8476</v>
          </cell>
          <cell r="G2842" t="str">
            <v>CONTENEDOR DE RAICES DE 2,50M X 2,50M H=1,40 M. (INCLUYE CONSTRUCCIÓN DE MUROS EN CONCRETO, MALLA ELECTROSOLDADA, COLOCACIÓN DE FILTRO EN GRAVILLA. NO INCLUYE TIERRA NEGRA)</v>
          </cell>
          <cell r="H2842" t="str">
            <v>UN</v>
          </cell>
          <cell r="I2842">
            <v>1799056</v>
          </cell>
        </row>
        <row r="2843">
          <cell r="F2843">
            <v>8480</v>
          </cell>
          <cell r="G2843" t="str">
            <v>TRASLADO POSTE METÁLICO AP H= 14 (INCLUYE ESTRUCTURAS, RETENIDAS Y SOPORTES DE RED AÉREAS)</v>
          </cell>
          <cell r="H2843" t="str">
            <v>UN</v>
          </cell>
          <cell r="I2843">
            <v>350178</v>
          </cell>
        </row>
        <row r="2844">
          <cell r="F2844">
            <v>8482</v>
          </cell>
          <cell r="G2844" t="str">
            <v>LUMINARIA LED RALED II 192L T2 103W. SUMINISTRO E INSTALACIÓN EN POSTE.</v>
          </cell>
          <cell r="H2844" t="str">
            <v>UN</v>
          </cell>
          <cell r="I2844">
            <v>1306329</v>
          </cell>
        </row>
        <row r="2845">
          <cell r="F2845">
            <v>8483</v>
          </cell>
          <cell r="G2845" t="str">
            <v>LUMINARIA LED RALED I 64 LED . T2. 37W. SUMINISTRO E INSTALACIÓN EN POSTE.</v>
          </cell>
          <cell r="H2845" t="str">
            <v>UN</v>
          </cell>
          <cell r="I2845">
            <v>944911</v>
          </cell>
        </row>
        <row r="2846">
          <cell r="F2846">
            <v>8484</v>
          </cell>
          <cell r="G2846" t="str">
            <v>CAJA METÁLICA PARA DERIVACIÓN 30X30X15 CM ET925 (INCLUYE SUMINISTRO E INSTALACIÓN)</v>
          </cell>
          <cell r="H2846" t="str">
            <v>UN</v>
          </cell>
          <cell r="I2846">
            <v>155593</v>
          </cell>
        </row>
        <row r="2847">
          <cell r="F2847">
            <v>8486</v>
          </cell>
          <cell r="G2847" t="str">
            <v>18 DUCTOS D=6" PVC-TDP (INCLUYE SUMINISTRO E INSTALACIÓN. NO INCLUYE RELLENOS)</v>
          </cell>
          <cell r="H2847" t="str">
            <v>ML</v>
          </cell>
          <cell r="I2847">
            <v>971000</v>
          </cell>
        </row>
        <row r="2848">
          <cell r="F2848">
            <v>8487</v>
          </cell>
          <cell r="G2848" t="str">
            <v>TUBERÍA DE CORAZA METÁLICA FLEXIBLE 2". INCLUYE SUMINISTRO E INSTALACIÓN. NO INCLUYE EXCAVACIÓN.</v>
          </cell>
          <cell r="H2848" t="str">
            <v>ML</v>
          </cell>
          <cell r="I2848">
            <v>30056</v>
          </cell>
        </row>
        <row r="2849">
          <cell r="F2849">
            <v>8488</v>
          </cell>
          <cell r="G2849" t="str">
            <v>TUBERÍA DE CORAZA METÁLICA FLEXIBLE 3/4". INCLUYE SUMINISTRO E INSTALACIÓN. NO INCLUYE EXCAVACIÓN.</v>
          </cell>
          <cell r="H2849" t="str">
            <v>ML</v>
          </cell>
          <cell r="I2849">
            <v>19690</v>
          </cell>
        </row>
        <row r="2850">
          <cell r="F2850">
            <v>8489</v>
          </cell>
          <cell r="G2850" t="str">
            <v>TRASLADO CANECA ACERO INOXIDABLE M121 (INCLUYE TRANSPORTE A SITIO DE ACOPIO E INSTALACION POSTERIOR)</v>
          </cell>
          <cell r="H2850" t="str">
            <v>UN</v>
          </cell>
          <cell r="I2850">
            <v>38210</v>
          </cell>
        </row>
        <row r="2851">
          <cell r="F2851">
            <v>8491</v>
          </cell>
          <cell r="G2851" t="str">
            <v>DEMOLICIÓN CICLOPARQUEADERO TIPO 2 REF M101</v>
          </cell>
          <cell r="H2851" t="str">
            <v>UN</v>
          </cell>
          <cell r="I2851">
            <v>8054</v>
          </cell>
        </row>
        <row r="2852">
          <cell r="F2852">
            <v>8492</v>
          </cell>
          <cell r="G2852" t="str">
            <v>TRASLADO BANCA CONCRETO CON ESPALDAR. (TRASLADO EN CAMIONETA A ALMACÉN Y REUBICACIÓN POSTERIOR).</v>
          </cell>
          <cell r="H2852" t="str">
            <v>UN</v>
          </cell>
          <cell r="I2852">
            <v>159210</v>
          </cell>
        </row>
        <row r="2853">
          <cell r="F2853">
            <v>8493</v>
          </cell>
          <cell r="G2853" t="str">
            <v>SUMINISTRO Y MONTAJE DE FOTOCONTROL INDEPENDIENTE PARA CONTROL MÚLTIPLE DE UN CIRCUITO DE ALUMBRADO CON CARGA MENOR DE 1 000 W (EXISTENTE) AP322</v>
          </cell>
          <cell r="H2853" t="str">
            <v>UN</v>
          </cell>
          <cell r="I2853">
            <v>610740</v>
          </cell>
        </row>
        <row r="2854">
          <cell r="F2854">
            <v>8494</v>
          </cell>
          <cell r="G2854" t="str">
            <v>LUMINARIA LED RALED II RA02SII 32 LED 72 W. SUMINISTRO E INSTALACIÓN</v>
          </cell>
          <cell r="H2854" t="str">
            <v>UN</v>
          </cell>
          <cell r="I2854">
            <v>1070704</v>
          </cell>
        </row>
        <row r="2855">
          <cell r="F2855">
            <v>8495</v>
          </cell>
          <cell r="G2855" t="str">
            <v>CABLE ELÉCTRICO 4X16 AWG PARA CONTROL DE SEMÁFOROS VEHICULARES TIPO ST CU 600V 75°C. SUMINISTRO E INSTALACIÓN.</v>
          </cell>
          <cell r="H2855" t="str">
            <v>ML</v>
          </cell>
          <cell r="I2855">
            <v>24391</v>
          </cell>
        </row>
        <row r="2856">
          <cell r="F2856">
            <v>8496</v>
          </cell>
          <cell r="G2856" t="str">
            <v>CABLE ELÉCTRICO 3X16 AWG PARA CONTROL DE SEMÁFOROS PEATONALES TIPO ST CU 600V 75°C. SUMINISTRO E INSTALACIÓN.</v>
          </cell>
          <cell r="H2856" t="str">
            <v>ML</v>
          </cell>
          <cell r="I2856">
            <v>21654</v>
          </cell>
        </row>
        <row r="2857">
          <cell r="F2857">
            <v>8497</v>
          </cell>
          <cell r="G2857" t="str">
            <v>CABLE ELÉCTRICO 2X8 AWG PARA ACOMETIDA TIPO ST CU 600V 75°C. SUMINISTRO E INSTALACIÓN.</v>
          </cell>
          <cell r="H2857" t="str">
            <v>ML</v>
          </cell>
          <cell r="I2857">
            <v>17003</v>
          </cell>
        </row>
        <row r="2858">
          <cell r="F2858">
            <v>8498</v>
          </cell>
          <cell r="G2858" t="str">
            <v>FRANJA DE AJUSTE DE ANCHO VARIABLE ENTRE 0.10 A 0.18MT Y PROFUNDIDAD VARIABLE ENTRE 0.06 Y 0.15MT EN CONCRETO DE 2500 PSI HECHO EN OBRA</v>
          </cell>
          <cell r="H2858" t="str">
            <v>ML</v>
          </cell>
          <cell r="I2858">
            <v>9047</v>
          </cell>
        </row>
        <row r="2859">
          <cell r="F2859">
            <v>8499</v>
          </cell>
          <cell r="G2859" t="str">
            <v>LOSETA PREFABRICADA EN CONCRETO A20 TIPO PANOT DE 20X20X6CM COLOR GRIS (SUMINISTRO E INSTALACIÓN. INCLUYE MORTERO DE 1500 PSI DE NIVELACIÓN)</v>
          </cell>
          <cell r="H2859" t="str">
            <v>M2</v>
          </cell>
          <cell r="I2859">
            <v>120700</v>
          </cell>
        </row>
        <row r="2860">
          <cell r="F2860">
            <v>8500</v>
          </cell>
          <cell r="G2860" t="str">
            <v>BORRADO DE DEMARCACIÓN VIAL POR FRESADO CON MÁQUINA</v>
          </cell>
          <cell r="H2860" t="str">
            <v>M2</v>
          </cell>
          <cell r="I2860">
            <v>61880</v>
          </cell>
        </row>
        <row r="2861">
          <cell r="F2861">
            <v>8501</v>
          </cell>
          <cell r="G2861" t="str">
            <v>PIEZA DE REMATE CURVA A117 PARA RAMPA VEHICULAR TIPO C (600X400X450MM). INCLUYE SUMINISTRO E INSTALACIÓN. INCLUYE 3CM DE MORTERO 1:5.</v>
          </cell>
          <cell r="H2861" t="str">
            <v>UN</v>
          </cell>
          <cell r="I2861">
            <v>119896</v>
          </cell>
        </row>
        <row r="2862">
          <cell r="F2862">
            <v>8503</v>
          </cell>
          <cell r="G2862" t="str">
            <v>PIEZA DE REMATE CURVA A115 PARA RAMPA VEHICULAR TIPO C (600X400X450MM). INCLUYE SUMINISTRO E INSTALACIÓN. INCLUYE 3CM DE MORTERO 1:5.</v>
          </cell>
          <cell r="H2862" t="str">
            <v>UN</v>
          </cell>
          <cell r="I2862">
            <v>107263</v>
          </cell>
        </row>
        <row r="2863">
          <cell r="F2863">
            <v>8504</v>
          </cell>
          <cell r="G2863" t="str">
            <v>TEE HD EXTREMO LISO 3"X3" (SUMINISTRO E INSTALACIÓN)</v>
          </cell>
          <cell r="H2863" t="str">
            <v>UN</v>
          </cell>
          <cell r="I2863">
            <v>224655</v>
          </cell>
        </row>
        <row r="2864">
          <cell r="F2864">
            <v>8505</v>
          </cell>
          <cell r="G2864" t="str">
            <v>KIT DE NIVELACIÓN PARA HIDRANTE DE DIÁMETRO DE 3", LONGITUD 300MM. SUMINISTRO E INSTALACIÓN.</v>
          </cell>
          <cell r="H2864" t="str">
            <v>UN</v>
          </cell>
          <cell r="I2864">
            <v>437024</v>
          </cell>
        </row>
        <row r="2865">
          <cell r="F2865">
            <v>8506</v>
          </cell>
          <cell r="G2865" t="str">
            <v>SEÑAL VERTICAL PREVENTIVA SP-46B TIPO CUADRADO CON FLECHA. EN LÁMINA GALVANIZADA CAL. 16, ÁNGULO DE 2X14. REFLECTIVO DIAMANTE TIPO XI, VERDE LIMÓN. PINTURA ELECTROSTÁTICA. (INCLUYE PEDESTAL Y DADO DE CIMENTACIÓN. INCLUYE SUMINISTRO, INSTALACION, TRANSPORTE Y DISPOSICIÓN DE TRANSPORTE.</v>
          </cell>
          <cell r="H2865" t="str">
            <v>UN</v>
          </cell>
          <cell r="I2865">
            <v>649789</v>
          </cell>
        </row>
        <row r="2866">
          <cell r="F2866">
            <v>8507</v>
          </cell>
          <cell r="G2866" t="str">
            <v>CANAL DE DRENAJE MONOLÍTICO Y REJA EN CONCRETO POLIMÉRICO RD 100V, H265 F900 (1.00 X 0.16 X 0.265 M)(INCLUYE CONCRETO 21 MPA PARA CAMA Y ATRAQUE. INCLUYE SUMINISTRO, INSTALACIÓN Y PRUEBA DE ESTANQUEIDAD)</v>
          </cell>
          <cell r="H2866" t="str">
            <v>ML</v>
          </cell>
          <cell r="I2866">
            <v>528815</v>
          </cell>
        </row>
        <row r="2867">
          <cell r="F2867">
            <v>8508</v>
          </cell>
          <cell r="G2867" t="str">
            <v>CANAL DE DRENAJE MONOLÍTICO Y REJA EN CONCRETO POLIMÉRICO RD 150V, H280 F900 (1.00 X 0.21 X 0.28 M)(INCLUYE CONCRETO 21 MPA PARA CAMA Y ATRAQUE. INCLUYE SUMINISTRO, INSTALACIÓN Y PRUEBA DE ESTANQUEIDAD)</v>
          </cell>
          <cell r="H2867" t="str">
            <v>ML</v>
          </cell>
          <cell r="I2867">
            <v>614525</v>
          </cell>
        </row>
        <row r="2868">
          <cell r="F2868">
            <v>8509</v>
          </cell>
          <cell r="G2868" t="str">
            <v>CANAL DE DRENAJE MONOLÍTICO Y REJA EN CONCRETO POLIMÉRICO RD 150V, H380 F900 (1.00 X 0.21 X 0.38 M)(INCLUYE CONCRETO 21 MPA PARA CAMA Y ATRAQUE. INCLUYE SUMINISTRO, INSTALACIÓN Y PRUEBA DE ESTANQUEIDAD)</v>
          </cell>
          <cell r="H2868" t="str">
            <v>ML</v>
          </cell>
          <cell r="I2868">
            <v>677495</v>
          </cell>
        </row>
        <row r="2869">
          <cell r="F2869">
            <v>8511</v>
          </cell>
          <cell r="G2869" t="str">
            <v>PERFORACIÓN HORIZONTAL PARA DUCTO DE POLIETILENO D=4" (INCLUYE TUBERÍA).SUMINISTRO, INSTALACIÓN, TRANSPORTE Y DISPOSICIÓN FINAL DE SOBRANTES.</v>
          </cell>
          <cell r="H2869" t="str">
            <v>ML</v>
          </cell>
          <cell r="I2869">
            <v>288417</v>
          </cell>
        </row>
        <row r="2870">
          <cell r="F2870">
            <v>8512</v>
          </cell>
          <cell r="G2870" t="str">
            <v>SARDINEL ESPECIAL A116 PARA RAMPA VEHICULAR TIPO C (SUMINISTRO E INSTALACIÓN, INCLUYE 3CM DE MORTERO 1:5</v>
          </cell>
          <cell r="H2870" t="str">
            <v>ML</v>
          </cell>
          <cell r="I2870">
            <v>227907</v>
          </cell>
        </row>
        <row r="2871">
          <cell r="F2871">
            <v>8513</v>
          </cell>
          <cell r="G2871" t="str">
            <v>VÁLVULA DE PIE ANTIGOLPE DE ARIETE - BRONCE D= 3". SUMINISTRO E INSTALACIÓN</v>
          </cell>
          <cell r="H2871" t="str">
            <v>UN</v>
          </cell>
          <cell r="I2871">
            <v>479457</v>
          </cell>
        </row>
        <row r="2872">
          <cell r="F2872">
            <v>8514</v>
          </cell>
          <cell r="G2872" t="str">
            <v>TUBERÍA CPVC Ø 3/4". SUMINISTRO E INSTALACIÓN</v>
          </cell>
          <cell r="H2872" t="str">
            <v>ML</v>
          </cell>
          <cell r="I2872">
            <v>18197</v>
          </cell>
        </row>
        <row r="2873">
          <cell r="F2873">
            <v>8515</v>
          </cell>
          <cell r="G2873" t="str">
            <v>PUNTO HIDRÁULICO AGUA CALIENTE CPVC Ø 1/2" DUCHA. INCLUYE SUMINISTRO E INSTALACIÓN, INCLUYE ACCESORIOS, TUBERÍA, SOLDADURA Y CINTA TEFLÓN.</v>
          </cell>
          <cell r="H2873" t="str">
            <v>UN</v>
          </cell>
          <cell r="I2873">
            <v>17302</v>
          </cell>
        </row>
        <row r="2874">
          <cell r="F2874">
            <v>8516</v>
          </cell>
          <cell r="G2874" t="str">
            <v>PUNTO HIDRÁULICO AGUA CALIENTE CPVC Ø 3/4" CALENTADOR. INCLUYE SUMINISTRO E INSTALACIÓN, INCLUYE ACCESORIOS, TUBERÍA, SOLDADURA Y CINTA TEFLÓN.</v>
          </cell>
          <cell r="H2874" t="str">
            <v>UN</v>
          </cell>
          <cell r="I2874">
            <v>38905</v>
          </cell>
        </row>
        <row r="2875">
          <cell r="F2875">
            <v>8518</v>
          </cell>
          <cell r="G2875" t="str">
            <v>PUNTO HIDRÁULICO AGUA FRÍA PVCP Ø 1" ORINAL. INCLUYE SUMINISTRO E INSTALACIÓN, INCLUYE ACCESORIOS, TUBERÍA, SOLDADURA Y CINTA TEFLÓN.</v>
          </cell>
          <cell r="H2875" t="str">
            <v>UN</v>
          </cell>
          <cell r="I2875">
            <v>27762</v>
          </cell>
        </row>
        <row r="2876">
          <cell r="F2876">
            <v>8519</v>
          </cell>
          <cell r="G2876" t="str">
            <v>PUNTO HIDRÁULICO AGUA FRÍA PVCP Ø 1/2" LAVAPLATOS. INCLUYE SUMINISTRO E INSTALACIÓN, INCLUYE ACCESORIOS, TUBERÍA, SOLDADURA Y CINTA TEFLÓN.</v>
          </cell>
          <cell r="H2876" t="str">
            <v>UN</v>
          </cell>
          <cell r="I2876">
            <v>19515</v>
          </cell>
        </row>
        <row r="2877">
          <cell r="F2877">
            <v>8521</v>
          </cell>
          <cell r="G2877" t="str">
            <v>UNIÓN UNIVERSAL PVC SOLDAR Ø 2". SUMINISTRO E INSTALACIÓN.</v>
          </cell>
          <cell r="H2877" t="str">
            <v>UN</v>
          </cell>
          <cell r="I2877">
            <v>9088</v>
          </cell>
        </row>
        <row r="2878">
          <cell r="F2878">
            <v>8522</v>
          </cell>
          <cell r="G2878" t="str">
            <v>TUBERÍA CPVC Ø 1/2". SUMINISTRO E INSTALACIÓN, SOLDADURA.</v>
          </cell>
          <cell r="H2878" t="str">
            <v>ML</v>
          </cell>
          <cell r="I2878">
            <v>12499</v>
          </cell>
        </row>
        <row r="2879">
          <cell r="F2879">
            <v>8523</v>
          </cell>
          <cell r="G2879" t="str">
            <v>UNIÓN CPVC TIPO U.S.Ø 1/2". SUMINISTRO E INSTALACIÓN.</v>
          </cell>
          <cell r="H2879" t="str">
            <v>UN</v>
          </cell>
          <cell r="I2879">
            <v>5311</v>
          </cell>
        </row>
        <row r="2880">
          <cell r="F2880">
            <v>8524</v>
          </cell>
          <cell r="G2880" t="str">
            <v>UNIÓN CPVC TIPO U.S. Ø 3/4". SUMINISTRO E INSTALACIÓN.</v>
          </cell>
          <cell r="H2880" t="str">
            <v>UN</v>
          </cell>
          <cell r="I2880">
            <v>5974</v>
          </cell>
        </row>
        <row r="2881">
          <cell r="F2881">
            <v>8525</v>
          </cell>
          <cell r="G2881" t="str">
            <v>CODO 90° CPVC TIPO E.L. Ø 1/2". SUMINISTRO E INSTALACIÓN.</v>
          </cell>
          <cell r="H2881" t="str">
            <v>UN</v>
          </cell>
          <cell r="I2881">
            <v>6356</v>
          </cell>
        </row>
        <row r="2882">
          <cell r="F2882">
            <v>8526</v>
          </cell>
          <cell r="G2882" t="str">
            <v>TEE CPVC TIPO E.L. Ø 1/2". SUMINISTRO E INSTALACIÓN.</v>
          </cell>
          <cell r="H2882" t="str">
            <v>UN</v>
          </cell>
          <cell r="I2882">
            <v>13959</v>
          </cell>
        </row>
        <row r="2883">
          <cell r="F2883">
            <v>8527</v>
          </cell>
          <cell r="G2883" t="str">
            <v>TEE CPVC TIPO E.L. Ø 3/4". SUMINISTRO E INSTALACIÓN.</v>
          </cell>
          <cell r="H2883" t="str">
            <v>UN</v>
          </cell>
          <cell r="I2883">
            <v>15446</v>
          </cell>
        </row>
        <row r="2884">
          <cell r="F2884">
            <v>8528</v>
          </cell>
          <cell r="G2884" t="str">
            <v>PUNTO HIDRÁULICO AGUA FRÍA PVCP Ø 1/2" LLAVE MANGUERA. INCLUYE SUMINISTRO E INSTALACIÓN, INCLUYE ACCESORIOS, TUBERÍA, SOLDADURA Y CINTA TEFLÓN.</v>
          </cell>
          <cell r="H2884" t="str">
            <v>UN</v>
          </cell>
          <cell r="I2884">
            <v>18070</v>
          </cell>
        </row>
        <row r="2885">
          <cell r="F2885">
            <v>8529</v>
          </cell>
          <cell r="G2885" t="str">
            <v>BUJE SOLDADO SANITARIA PVCS TIPO U.M. Ø4" X Ø2". INCLUYE SUMINISTRO E INSTALACIÓN.</v>
          </cell>
          <cell r="H2885" t="str">
            <v>UN</v>
          </cell>
          <cell r="I2885">
            <v>16985</v>
          </cell>
        </row>
        <row r="2886">
          <cell r="F2886">
            <v>8530</v>
          </cell>
          <cell r="G2886" t="str">
            <v>BUJE SOLDADO SANITARIA PVCS TIPO U.M. Ø6" X Ø4". INCLUYE SUMINISTRO E INSTALACIÓN.</v>
          </cell>
          <cell r="H2886" t="str">
            <v>UN</v>
          </cell>
          <cell r="I2886">
            <v>38338</v>
          </cell>
        </row>
        <row r="2887">
          <cell r="F2887">
            <v>8531</v>
          </cell>
          <cell r="G2887" t="str">
            <v>YEE SANITARIA REDUCIDA PVCS TIPO U.M. Ø6" X Ø4". INCLUYE SUMINISTRO E INSTALACIÓN.</v>
          </cell>
          <cell r="H2887" t="str">
            <v>UN</v>
          </cell>
          <cell r="I2887">
            <v>110837</v>
          </cell>
        </row>
        <row r="2888">
          <cell r="F2888">
            <v>8533</v>
          </cell>
          <cell r="G2888" t="str">
            <v>INTERRUPTOR TRIPLE CONMUTABLE PARA ENCENDIDO/APAGADO DE ILUMINACIÓN. INCLUYE ACCESORIOS DE INSTALACIÓN, FIJACIÓN, CAJA DE SALIDA Y ELEMENTOS DE CONEXIÓN. NO INCLUYE TUBERÍA NI CABLEADO.</v>
          </cell>
          <cell r="H2888" t="str">
            <v>UN</v>
          </cell>
          <cell r="I2888">
            <v>23299</v>
          </cell>
        </row>
        <row r="2889">
          <cell r="F2889">
            <v>8534</v>
          </cell>
          <cell r="G2889" t="str">
            <v>TRATAMIENTO INTEGRAL DE ÁRBOLES DE 1M A 5M. (INCLUYE RIEGO, FERTILIZACIÓN EDÁFICA, MANO DE OBRA, PODA GENERAL Y RADICULAR).</v>
          </cell>
          <cell r="H2889" t="str">
            <v>UN</v>
          </cell>
          <cell r="I2889">
            <v>195700</v>
          </cell>
        </row>
        <row r="2890">
          <cell r="F2890">
            <v>8535</v>
          </cell>
          <cell r="G2890" t="str">
            <v>TRATAMIENTO INTEGRAL DE ÁRBOLES MAYORES A 5M. (INCLUYE RIEGO, FERTILIZACIÓN EDÁFICA, MANO DE OBRA, PODA GENERAL Y RADICULAR).</v>
          </cell>
          <cell r="H2890" t="str">
            <v>UN</v>
          </cell>
          <cell r="I2890">
            <v>263200</v>
          </cell>
        </row>
        <row r="2891">
          <cell r="F2891">
            <v>8536</v>
          </cell>
          <cell r="G2891" t="str">
            <v>PINTURA ACRÍLICA BASE AGUA PARA MARCAS VIALES SIN MICROESFERAS, ESPESOR SECO DE 9 MILS Y 60% DE SÓLIDOS POR VOLUMEN, INCLUYE PICTOGRAMAS (INCLUYE SUMINISTRO Y APLICACIÓN CON EQUIPO).</v>
          </cell>
          <cell r="H2891" t="str">
            <v>M2</v>
          </cell>
          <cell r="I2891">
            <v>17153</v>
          </cell>
        </row>
        <row r="2892">
          <cell r="F2892">
            <v>8537</v>
          </cell>
          <cell r="G2892" t="str">
            <v>UBICACIÓN DE EQUIPO DE CONTROL C900V. (INCLUYE RETIRO E INSTALACIÓN Y PUESTA EN MARCHA).</v>
          </cell>
          <cell r="H2892" t="str">
            <v>UN</v>
          </cell>
          <cell r="I2892">
            <v>1764144</v>
          </cell>
        </row>
        <row r="2893">
          <cell r="F2893">
            <v>8538</v>
          </cell>
          <cell r="G2893" t="str">
            <v>1 DUCTO D= 4" PVC PESADO DB (NO INCLUYE EXCAVACIÓN NI RELLENOS). SUMINISTRO E INSTALACION.</v>
          </cell>
          <cell r="H2893" t="str">
            <v>ML</v>
          </cell>
          <cell r="I2893">
            <v>41627</v>
          </cell>
        </row>
        <row r="2894">
          <cell r="F2894">
            <v>8539</v>
          </cell>
          <cell r="G2894" t="str">
            <v>2 DUCTO D= 3" PVC PESADO DB (NO INCLUYE EXCAVACIÓN NI RELLENOS). SUMINISTRO E INSTALACION.</v>
          </cell>
          <cell r="H2894" t="str">
            <v>ML</v>
          </cell>
          <cell r="I2894">
            <v>46572</v>
          </cell>
        </row>
        <row r="2895">
          <cell r="F2895">
            <v>8540</v>
          </cell>
          <cell r="G2895" t="str">
            <v>4 DUCTO D= 3" PVC PESADO DB (NO INCLUYE EXCAVACIÓN NI RELLENOS). SUMINISTRO E INSTALACION.</v>
          </cell>
          <cell r="H2895" t="str">
            <v>ML</v>
          </cell>
          <cell r="I2895">
            <v>96067</v>
          </cell>
        </row>
        <row r="2896">
          <cell r="F2896">
            <v>8541</v>
          </cell>
          <cell r="G2896" t="str">
            <v>6 DUCTO D= 6" + 3 DUCTOS DE 3" PVC PESADO DB (NO INCLUYE EXCAVACIÓN NI RELLENOS). SUMINISTRO E INSTALACION.</v>
          </cell>
          <cell r="H2896" t="str">
            <v>ML</v>
          </cell>
          <cell r="I2896">
            <v>405043</v>
          </cell>
        </row>
        <row r="2897">
          <cell r="F2897">
            <v>8542</v>
          </cell>
          <cell r="G2897" t="str">
            <v>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v>
          </cell>
          <cell r="H2897" t="str">
            <v>UN</v>
          </cell>
          <cell r="I2897">
            <v>179084</v>
          </cell>
        </row>
        <row r="2898">
          <cell r="F2898">
            <v>8543</v>
          </cell>
          <cell r="G2898" t="str">
            <v>RETIRO DE TACHAS REFLECTIVA O ESTOPEROLES CON SU RESPECTIVO ANCLAJE. INCLUYE REPARACIÓN DEL SITIO. (INCLUYE ENTREGA EN PATIO DE LA SDM)</v>
          </cell>
          <cell r="H2898" t="str">
            <v>UN</v>
          </cell>
          <cell r="I2898">
            <v>1037</v>
          </cell>
        </row>
        <row r="2899">
          <cell r="F2899">
            <v>8544</v>
          </cell>
          <cell r="G2899" t="str">
            <v>RETIRO DE TACHONES, HITOS O RESALTOS PORTÁTILES CON SU RESPECTIVO ANCLAJE. INCLUYE REPARACIÓN DEL SITIO. (INCLUYE ENTREGA EN PATIO DE LA SDM)</v>
          </cell>
          <cell r="H2899" t="str">
            <v>UN</v>
          </cell>
          <cell r="I2899">
            <v>1037</v>
          </cell>
        </row>
        <row r="2900">
          <cell r="F2900">
            <v>8545</v>
          </cell>
          <cell r="G2900" t="str">
            <v>DEMOLICIÓN MANUAL DE POZOS, CAJAS O CÁMARAS DE EMPRESAS DE SERVICIOS PÚBLICOS EN MAMPOSTERÍA. (INCLUYE MARTILLO NEUMÁTICO DE 60 LB Y COMPRESOR PARA DEMOLICIÓN DE BASE Y TAPA Y CARGUE). NO INCLUYE TRANSPORTE.</v>
          </cell>
          <cell r="H2900" t="str">
            <v>M3</v>
          </cell>
          <cell r="I2900">
            <v>38276</v>
          </cell>
        </row>
        <row r="2901">
          <cell r="F2901">
            <v>8546</v>
          </cell>
          <cell r="G2901" t="str">
            <v>SEÑAL VERTICAL PREVENTIVA DE (60CM X 60CM) EN REFLECTIVO DE ALTA INTENSIDAD TIPO IV O SUPERIOR Y LÁMINA GALVANIZADA CAL. 16. INCLUYE PEDESTAL EN ÁNGULO Y DADO DE CIMENTACIÓN. (INCLUYE SUMINISTRO, INSTALACIÓN, TRANSPORTE Y DISPOSICIÓN DE SOBRANTES).</v>
          </cell>
          <cell r="H2901" t="str">
            <v>UN</v>
          </cell>
          <cell r="I2901">
            <v>495096</v>
          </cell>
        </row>
        <row r="2902">
          <cell r="F2902">
            <v>8547</v>
          </cell>
          <cell r="G2902" t="str">
            <v>SEÑAL VERTICAL INFORMATIVA DE (60CM X 60CM) EN REFLECTIVO DE ALTA INTENSIDAD TIPO IV O SUPERIOR Y LÁMINA GALVANIZADA CAL. 16. INCLUYE PEDESTAL EN ÁNGULO Y DADO DE CIMENTACIÓN. (INCLUYE SUMINISTRO, INSTALACIÓN, TRANSPORTE Y DISPOSICIÓN DE SOBRANTES).</v>
          </cell>
          <cell r="H2902" t="str">
            <v>UN</v>
          </cell>
          <cell r="I2902">
            <v>495096</v>
          </cell>
        </row>
        <row r="2903">
          <cell r="F2903">
            <v>8548</v>
          </cell>
          <cell r="G2903" t="str">
            <v>SEÑAL VERTICAL INFORMATIVA DE (45CM X 45CM) EN REFLECTIVO DE ALTA INTENSIDAD TIPO I, O SUPERIOR Y LÁMINA GALVANIZADA CAL. 16. INCLUYE TUBO GALVANIZADO DE 2" DE DIÁMETRO INTERNO Y DADO DE CIMENTACIÓN. (INCLUYE SUMINISTRO, INSTALACIÓN, TRANSPORTE Y DISPOSICIÓN DE SOBRANTES).</v>
          </cell>
          <cell r="H2903" t="str">
            <v>UN</v>
          </cell>
          <cell r="I2903">
            <v>320581</v>
          </cell>
        </row>
        <row r="2904">
          <cell r="F2904">
            <v>8549</v>
          </cell>
          <cell r="G2904" t="str">
            <v>SEÑAL VERTICAL PREVENTIVA DE (60CM X 60CM) CON PLAQUETA (ALTO MÍNIMO DE 23 CM) EN REFLECTIVO DE ALTA INTENSIDAD TIPO VI, O SUPERIOR Y LÁMINA GALVANIZADA CAL. 16. INCLUYE PEDESTAL EN ÁNGULO Y DADO DE CIMENTACIÓN. (INCLUYE SUMINISTRO, INSTALACIÓN, TRANSPORTE Y DISPOSICIÓN DE SOBRANTES).</v>
          </cell>
          <cell r="H2904" t="str">
            <v>UN</v>
          </cell>
          <cell r="I2904">
            <v>602910</v>
          </cell>
        </row>
        <row r="2905">
          <cell r="F2905">
            <v>8551</v>
          </cell>
          <cell r="G2905" t="str">
            <v>PISO EN CONCRETO MR 43 (300 Kg/Cm2) GRAVA COMÚN ACELERADO A 7 DÍAS, ESTAMPADO PARA POMPEYANOS Y VIAS A DESNIVEL, COLOR OCRE  (INCLUYE SUMINISTRO Y COLOCACIÓN DE CONCRETO, JUEGO DE MOLDES,  DESMOLDANTE EN POLVO, CURADOR PARA CONCRETO, CORTE Y SELLADO DE JUNTAS.)</v>
          </cell>
          <cell r="H2905" t="str">
            <v>M3</v>
          </cell>
          <cell r="I2905">
            <v>1573605</v>
          </cell>
        </row>
        <row r="2906">
          <cell r="F2906">
            <v>8552</v>
          </cell>
          <cell r="G2906" t="str">
            <v>PISO EN CONCRETO MR 43 (300 KG/CM2) GRAVA COMÚN ACELERADO A 7 DÍAS, LISO PARA POMPEYANOS Y VIAS A DESNIVEL, COLOR OCRE (INCLUYE SUMINISTRO Y COLOCACIÓN DE CONCRETO, DESMOLDANTE EN POLVO, CURADOR PARA CONCRETO, CORTE Y SELLADO DE JUNTAS.)</v>
          </cell>
          <cell r="H2906" t="str">
            <v>M3</v>
          </cell>
          <cell r="I2906">
            <v>1286452</v>
          </cell>
        </row>
        <row r="2907">
          <cell r="F2907">
            <v>8553</v>
          </cell>
          <cell r="G2907" t="str">
            <v>DESMONTE Y RETIRO DE BANCA EN MADERA M50 (INCLUYE TRANSPORTE A SITIO AUTORIZADO)</v>
          </cell>
          <cell r="H2907" t="str">
            <v>UN</v>
          </cell>
          <cell r="I2907">
            <v>39975</v>
          </cell>
        </row>
        <row r="2908">
          <cell r="F2908">
            <v>8554</v>
          </cell>
          <cell r="G2908" t="str">
            <v>PISO EN CONCRETO MR 41 (280 KG/CM2) GRAVA COMÚN ACELERADO A 7 DÍAS, ESTAMPADO PARA POMPEYANOS Y VIAS A DESNIVEL, COLOR OCRE (INCLUYE SUMINISTRO Y COLOCACIÓN DE CONCRETO, JUEGO DE MOLDES, DESMOLDANTE EN POLVO, CURADOR PARA CONCRETO, CORTE Y SELLADO DE JUNTAS.)</v>
          </cell>
          <cell r="H2908" t="str">
            <v>M3</v>
          </cell>
          <cell r="I2908">
            <v>1773141</v>
          </cell>
        </row>
        <row r="2909">
          <cell r="F2909">
            <v>8555</v>
          </cell>
          <cell r="G2909" t="str">
            <v>PISO EN CONCRETO MR 41 (280 Kg/Cm2) GRAVA COMÚN ACELERADO A 7 DÍAS, LISO PARA POMPEYANOS Y VIAS A DESNIVEL, COLOR OCRE (INCLUYE SUMINISTRO Y COLOCACIÓN DE CONCRETO, JUEGO DE MOLDES,  DESMOLDANTE EN POLVO, CURADOR PARA CONCRETO, CORTE Y SELLADO DE JUNTAS.)</v>
          </cell>
          <cell r="H2909" t="str">
            <v>M3</v>
          </cell>
          <cell r="I2909">
            <v>1487541</v>
          </cell>
        </row>
        <row r="2910">
          <cell r="F2910">
            <v>8556</v>
          </cell>
          <cell r="G2910" t="str">
            <v>MANTENIMIENTO DE PISO EN PIEDRA.(INCLUYE RETIRO DE PIEZAS SUELTAS Y REINSTALACIÓN,INCLUYE MORTERO DE PEGA 1:3, ÁREA DE NIVELACIÓN E HIDROPROTECCIÓN Y LAVADO)</v>
          </cell>
          <cell r="H2910" t="str">
            <v>M2</v>
          </cell>
          <cell r="I2910">
            <v>52873</v>
          </cell>
        </row>
        <row r="2911">
          <cell r="F2911">
            <v>8557</v>
          </cell>
          <cell r="G2911" t="str">
            <v>ADOQUÍN EN CONCRETO GRIS-EN TRABA COMÚN A-25 10X20X6CM (SUMINISTRO, INSTALACIÓN, INCLUYE MORTERO DE NIVELACIÓN, Y ARENA DE SELLO)</v>
          </cell>
          <cell r="H2911" t="str">
            <v>M2</v>
          </cell>
          <cell r="I2911">
            <v>110070</v>
          </cell>
        </row>
        <row r="2912">
          <cell r="F2912">
            <v>8558</v>
          </cell>
          <cell r="G2912" t="str">
            <v>CAJA SUBTERRÁNEA EN VÍA PACIFICADA CST2. INCLUYE CONCRETO GRAVA COMÚN DE 4000 PSI, ADITIVO IMPERMEABILIZANTE, ACERO, MICROFIBRA DE POLIPROPILENO, PASOS DE ESCALERA DE GATO. SUMINISTRO E INSTALACIÓN. ÁREA TANQUE A1-7.30M A2-2.21M PERÍMETRO 18.25M, ALTURA- 2.55M.</v>
          </cell>
          <cell r="H2912" t="str">
            <v>UN</v>
          </cell>
          <cell r="I2912">
            <v>21849129</v>
          </cell>
        </row>
        <row r="2913">
          <cell r="F2913">
            <v>8559</v>
          </cell>
          <cell r="G2913" t="str">
            <v>CAJA DE MANIOBRA EN VÍA PACIFICADA CMV. INCLUYE CONCRETO GRAVA COMÚN DE 4000 PSI, MORTERO IMPERMEABILIZADO, ACERO, PASOS DE ESCALERA DE GATO. SUMINISTRO E INSTALACIÓN. ÁREA TANQUE A1-5.50M PERÍMETRO 9.44M, ALTURA- 2.55M.</v>
          </cell>
          <cell r="H2913" t="str">
            <v>UN</v>
          </cell>
          <cell r="I2913">
            <v>16176675</v>
          </cell>
        </row>
        <row r="2914">
          <cell r="F2914">
            <v>8560</v>
          </cell>
          <cell r="G2914" t="str">
            <v>CAJA CS 275-MODIFICADA. INCLUYE CONCRETO GRAVA COMÚN 4000 PSI, ACERO, LADRILLO TOLETE RECOCIDO 24X12X6, MORTERO IMPERMEABILIZANTE, MORTERO 3000 PSI, RECEBO COMÚN, MARCO Y TAPA CAJA SENCILLA CS 275. INCLUYE SUMINISTRO Y CONSTRUCCIÓN.</v>
          </cell>
          <cell r="H2914" t="str">
            <v>UN</v>
          </cell>
          <cell r="I2914">
            <v>2181548</v>
          </cell>
        </row>
        <row r="2915">
          <cell r="F2915">
            <v>8561</v>
          </cell>
          <cell r="G2915" t="str">
            <v>SEÑAL VERTICAL GRUPO DE REGLAMENTARIAS TIPO CIRCULO (D= 45CM). SUMINISTRO E INSTALACIÓN.</v>
          </cell>
          <cell r="H2915" t="str">
            <v>UN</v>
          </cell>
          <cell r="I2915">
            <v>383689</v>
          </cell>
        </row>
        <row r="2916">
          <cell r="F2916">
            <v>8562</v>
          </cell>
          <cell r="G2916" t="str">
            <v>SEÑAL VERTICAL GRUPO DE PREVENTIVAS TIPO CUADRADO (45CM X 45CM). INCLUYE SUMINISTRO E INSTALACION.</v>
          </cell>
          <cell r="H2916" t="str">
            <v>UN</v>
          </cell>
          <cell r="I2916">
            <v>383689</v>
          </cell>
        </row>
        <row r="2917">
          <cell r="F2917">
            <v>8563</v>
          </cell>
          <cell r="G2917" t="str">
            <v>SEÑAL VERTICAL GRUPO DE REGLAMENTARIAS SR-01 TIPO OCTAGONO CON ALTURA DE 45CM. INCLUYE SUMINISTRO E INSTALACION.</v>
          </cell>
          <cell r="H2917" t="str">
            <v>UN</v>
          </cell>
          <cell r="I2917">
            <v>383689</v>
          </cell>
        </row>
        <row r="2918">
          <cell r="F2918">
            <v>8564</v>
          </cell>
          <cell r="G2918" t="str">
            <v>SEÑAL DOBLE DE 0.45X0.45M REFLECTIVO ALTA DENSIDAD TIPO IV EN LÁMINA GALVANIZADA, PEDESTAL EN ÁNGULO SP/SR/SI. SUMINISTRO E INSTALACIÓN.</v>
          </cell>
          <cell r="H2918" t="str">
            <v>UN</v>
          </cell>
          <cell r="I2918">
            <v>383689</v>
          </cell>
        </row>
        <row r="2919">
          <cell r="F2919">
            <v>8566</v>
          </cell>
          <cell r="G2919" t="str">
            <v>PINTURA EN PLÁSTICO EN FRÍO METILMETACRILATO PARA MARCAS VIALES, CON MICROESFERAS Y ESPESOR SECO SEGÚN NORMA NTC 4744. SUMINISTRO Y APLICACIÓN. (CEBRAS, FLECHAS, PICTOGRAMAS, LINEAS DE PARE, SENDEROS PEATONALES, ACHURADOS, ETC).</v>
          </cell>
          <cell r="H2919" t="str">
            <v>M2</v>
          </cell>
          <cell r="I2919">
            <v>118801</v>
          </cell>
        </row>
        <row r="2920">
          <cell r="F2920">
            <v>8567</v>
          </cell>
          <cell r="G2920" t="str">
            <v>LUMINARIA YOA MAXI 72 W( INCLUYE SUMINISTROS E INSTALACIÓN, FOTOCELDA, DUCTO, SOPORTE)</v>
          </cell>
          <cell r="H2920" t="str">
            <v>UN</v>
          </cell>
          <cell r="I2920">
            <v>2676601</v>
          </cell>
        </row>
        <row r="2921">
          <cell r="F2921">
            <v>8568</v>
          </cell>
          <cell r="G2921" t="str">
            <v>POSTE EN FIBRA DE VIDRIO H=6M (INCLUYE SUMINISTRO E INSTALACIÓN, NO INCLUYE PEDESTAL)</v>
          </cell>
          <cell r="H2921" t="str">
            <v>UN</v>
          </cell>
          <cell r="I2921">
            <v>2179284</v>
          </cell>
        </row>
        <row r="2922">
          <cell r="F2922">
            <v>8569</v>
          </cell>
          <cell r="G2922" t="str">
            <v>TRANSFORMADOR SEMISUMERGIBLE 112,5 KVA 11,4K/208-120V. (SUMINISTRO E INSTALACIÓN)</v>
          </cell>
          <cell r="H2922" t="str">
            <v>UN</v>
          </cell>
          <cell r="I2922">
            <v>21406559</v>
          </cell>
        </row>
        <row r="2923">
          <cell r="F2923">
            <v>8571</v>
          </cell>
          <cell r="G2923" t="str">
            <v>REDUCCIÓN CONCÉNTRICA PVC DE 3" X 1 1/2"(SUMINISTRO E INSTALACIÓN)</v>
          </cell>
          <cell r="H2923" t="str">
            <v>UN</v>
          </cell>
          <cell r="I2923">
            <v>27231</v>
          </cell>
        </row>
        <row r="2924">
          <cell r="F2924">
            <v>8572</v>
          </cell>
          <cell r="G2924" t="str">
            <v>BUJE SOLDADO PRESIÓN PVC DE 3" X 1 1/2" (SUMINISTRO E INSTALACIÓN)</v>
          </cell>
          <cell r="H2924" t="str">
            <v>UN</v>
          </cell>
          <cell r="I2924">
            <v>22155</v>
          </cell>
        </row>
        <row r="2925">
          <cell r="F2925">
            <v>8574</v>
          </cell>
          <cell r="G2925" t="str">
            <v>REGISTRO BOLA 3" TIPO PESADO (INCLUYE SUMINISTRO E INSTALACIÓN, SOLDADURA Y CINTA TEFLON)</v>
          </cell>
          <cell r="H2925" t="str">
            <v>UN</v>
          </cell>
          <cell r="I2925">
            <v>122593</v>
          </cell>
        </row>
        <row r="2926">
          <cell r="F2926">
            <v>8575</v>
          </cell>
          <cell r="G2926" t="str">
            <v>BUJE SOLDADO PRESIÓN CPVC D=3/4" A 1/2" (INCLUYE SUMINISTRO E INSTALACIÓN).</v>
          </cell>
          <cell r="H2926" t="str">
            <v>UN</v>
          </cell>
          <cell r="I2926">
            <v>7465</v>
          </cell>
        </row>
        <row r="2927">
          <cell r="F2927">
            <v>8576</v>
          </cell>
          <cell r="G2927" t="str">
            <v>TEE EXTREMO LISO HD 2"X2" (SUMINISTRO E INSTALACIÓN)</v>
          </cell>
          <cell r="H2927" t="str">
            <v>UN</v>
          </cell>
          <cell r="I2927">
            <v>150849</v>
          </cell>
        </row>
        <row r="2928">
          <cell r="F2928">
            <v>8579</v>
          </cell>
          <cell r="G2928" t="str">
            <v>REGISTRO BOLA 4" TIPO PESADO (INCLUYE SUMINISTRO E INSTALACIÓN, SOLDADURA Y CINTA TEFLON)</v>
          </cell>
          <cell r="H2928" t="str">
            <v>UN</v>
          </cell>
          <cell r="I2928">
            <v>143746</v>
          </cell>
        </row>
        <row r="2929">
          <cell r="F2929">
            <v>8581</v>
          </cell>
          <cell r="G2929" t="str">
            <v>UNIÓN PVC TIPO U.M. D= 1" (SUMINISTRO E INSTALACIÓN)</v>
          </cell>
          <cell r="H2929" t="str">
            <v>UN</v>
          </cell>
          <cell r="I2929">
            <v>5219</v>
          </cell>
        </row>
        <row r="2930">
          <cell r="F2930">
            <v>8582</v>
          </cell>
          <cell r="G2930" t="str">
            <v>CODO 45° PVC SOLDAR DE 3/4". (SUMINISTRO E INSTALACIÓN, SOLDADURA)</v>
          </cell>
          <cell r="H2930" t="str">
            <v>UN</v>
          </cell>
          <cell r="I2930">
            <v>6624</v>
          </cell>
        </row>
        <row r="2931">
          <cell r="F2931">
            <v>8583</v>
          </cell>
          <cell r="G2931" t="str">
            <v>TUBERÍA PVC PRESIÓN E.L. D= 3/4` RDE 21 - 200 PSI (INCLUYE LIMPIEZA Y SOLDADURA ) SUMINISTRO E INSTALACIÓN</v>
          </cell>
          <cell r="H2931" t="str">
            <v>ML</v>
          </cell>
          <cell r="I2931">
            <v>8011</v>
          </cell>
        </row>
        <row r="2932">
          <cell r="F2932">
            <v>8584</v>
          </cell>
          <cell r="G2932" t="str">
            <v>UNIÓN PVC TIPO U.M. D= 1 1/2" (SUMINISTRO E INSTALACIÓN)</v>
          </cell>
          <cell r="H2932" t="str">
            <v>UN</v>
          </cell>
          <cell r="I2932">
            <v>7162</v>
          </cell>
        </row>
        <row r="2933">
          <cell r="F2933">
            <v>8585</v>
          </cell>
          <cell r="G2933" t="str">
            <v>UNIÓN PVC TIPO U.M. D= 3/4" (SUMINISTRO E INSTALACIÓN)</v>
          </cell>
          <cell r="H2933" t="str">
            <v>UN</v>
          </cell>
          <cell r="I2933">
            <v>4714</v>
          </cell>
        </row>
        <row r="2934">
          <cell r="F2934">
            <v>8586</v>
          </cell>
          <cell r="G2934" t="str">
            <v>BUJE SOLDADO PRESIÓN PVC E.L. DE 1 1/4" X 1/2"(SUMINISTRO E INSTALACIÓN)</v>
          </cell>
          <cell r="H2934" t="str">
            <v>UN</v>
          </cell>
          <cell r="I2934">
            <v>6747</v>
          </cell>
        </row>
        <row r="2935">
          <cell r="F2935">
            <v>8587</v>
          </cell>
          <cell r="G2935" t="str">
            <v>BUJE SOLDADO PRESIÓN PVC E.L. DE 2" X 1 1/4" (SUMINISTRO E INSTALACIÓN)</v>
          </cell>
          <cell r="H2935" t="str">
            <v>UN</v>
          </cell>
          <cell r="I2935">
            <v>15916</v>
          </cell>
        </row>
        <row r="2936">
          <cell r="F2936">
            <v>8588</v>
          </cell>
          <cell r="G2936" t="str">
            <v>BUJE SOLDADO PRESIÓN PVC E.L. DE 2" X 1"(SUMINISTRO E INSTALACIÓN)</v>
          </cell>
          <cell r="H2936" t="str">
            <v>UN</v>
          </cell>
          <cell r="I2936">
            <v>15916</v>
          </cell>
        </row>
        <row r="2937">
          <cell r="F2937">
            <v>8589</v>
          </cell>
          <cell r="G2937" t="str">
            <v>BUJE SOLDADO PRESIÓN PVC E.L. DE 2" X 3/4"(SUMINISTRO E INSTALACIÓN)</v>
          </cell>
          <cell r="H2937" t="str">
            <v>UN</v>
          </cell>
          <cell r="I2937">
            <v>13875</v>
          </cell>
        </row>
        <row r="2938">
          <cell r="F2938">
            <v>8590</v>
          </cell>
          <cell r="G2938" t="str">
            <v>POZO EYECTOR EN CONCRETO 4000 PSI (28 MPA) GRAVA COMÚN - AGUAS LLUVIAS D 1.2M (PREMEZCLADO. INCLUYE SUMINISTRO, FORMALETEO, COLOCACIÓN Y CURADO Y REFUERZO).</v>
          </cell>
          <cell r="H2938" t="str">
            <v>UN</v>
          </cell>
          <cell r="I2938">
            <v>2310039</v>
          </cell>
        </row>
        <row r="2939">
          <cell r="F2939">
            <v>8591</v>
          </cell>
          <cell r="G2939" t="str">
            <v>MAMPOSTERÍA EN BLOQUE 4 E= 0.10M (INCLUYE SUMINISTRO, INSUMOS Y CONSTRUCCIÓN)</v>
          </cell>
          <cell r="H2939" t="str">
            <v>M2</v>
          </cell>
          <cell r="I2939">
            <v>56850</v>
          </cell>
        </row>
        <row r="2940">
          <cell r="F2940">
            <v>8592</v>
          </cell>
          <cell r="G2940" t="str">
            <v>REALCE DE SARDINEL A UNA ALTURA H= 0.20m, e= 0.20m. CONCRETO DE 3000 PSI. (FUNDIDO EN SITIO). Incluye suministro de concreto, formaleta metálica para sardinel, perforaciones con taladro rotopercutor hasta 3/4" y epóxico para anclaje de acero. (No incluye acero). OBRAS DE CONSERVACIÓN</v>
          </cell>
          <cell r="H2940" t="str">
            <v>ML</v>
          </cell>
          <cell r="I2940">
            <v>97113</v>
          </cell>
        </row>
        <row r="2941">
          <cell r="F2941">
            <v>8593</v>
          </cell>
          <cell r="G2941" t="str">
            <v>COPA REDUCIDA GALVANIZADA HD 2" x  3/4". (SUMINISTRO E INSTALACIÓN).</v>
          </cell>
          <cell r="H2941" t="str">
            <v>UN</v>
          </cell>
          <cell r="I2941">
            <v>44332</v>
          </cell>
        </row>
        <row r="2942">
          <cell r="F2942">
            <v>8594</v>
          </cell>
          <cell r="G2942" t="str">
            <v>UNIÓN BRIDA x ACOPLE UNIVERSAL 3"(SUMINISTRO E INSTALACIÓN).</v>
          </cell>
          <cell r="H2942" t="str">
            <v>UN</v>
          </cell>
          <cell r="I2942">
            <v>187852</v>
          </cell>
        </row>
        <row r="2943">
          <cell r="F2943">
            <v>8595</v>
          </cell>
          <cell r="G2943" t="str">
            <v>UNIÓN BRIDA x ACOPLE UNIVERSAL 4"(SUMINISTRO E INSTALACIÓN).</v>
          </cell>
          <cell r="H2943" t="str">
            <v>UN</v>
          </cell>
          <cell r="I2943">
            <v>203322</v>
          </cell>
        </row>
        <row r="2944">
          <cell r="F2944">
            <v>8597</v>
          </cell>
          <cell r="G2944" t="str">
            <v>PASAMUROS ACERO INOXIDABLE D= 1 1/2" x 50 cm PARA TUBO DE 1" (INCLUYE SUMINISTRO E INSTALACIÓN).</v>
          </cell>
          <cell r="H2944" t="str">
            <v>UN</v>
          </cell>
          <cell r="I2944">
            <v>145826</v>
          </cell>
        </row>
        <row r="2945">
          <cell r="F2945">
            <v>8598</v>
          </cell>
          <cell r="G2945" t="str">
            <v>PASAMUROS ACERO INOXIDABLE D= 4" x 50 cm PARA TUBO DE 3" (INCLUYE SUMINISTRO E INSTALACIÓN).</v>
          </cell>
          <cell r="H2945" t="str">
            <v>UN</v>
          </cell>
          <cell r="I2945">
            <v>348737</v>
          </cell>
        </row>
        <row r="2946">
          <cell r="F2946">
            <v>8599</v>
          </cell>
          <cell r="G2946" t="str">
            <v>MANÓMETRO DE PRESIÓN 0-200 PSI. (INCLUYE SUMINISTRO E INSTALACIÓN).</v>
          </cell>
          <cell r="H2946" t="str">
            <v>UN</v>
          </cell>
          <cell r="I2946">
            <v>52282</v>
          </cell>
        </row>
        <row r="2947">
          <cell r="F2947">
            <v>8600</v>
          </cell>
          <cell r="G2947" t="str">
            <v>TEE REDUCIDA PVC U.M. 4" x 3" (INCLUYE SUMINISTRO E INSTALACIÓN).</v>
          </cell>
          <cell r="H2947" t="str">
            <v>UN</v>
          </cell>
          <cell r="I2947">
            <v>475068</v>
          </cell>
        </row>
        <row r="2948">
          <cell r="F2948">
            <v>8601</v>
          </cell>
          <cell r="G2948" t="str">
            <v>PASAMUROS ACERO INOXIDABLE D= 2 1/2" x 50 cm PARA TUBO DE 2" (INCLUYE SUMINISTRO E INSTALACIÓN).</v>
          </cell>
          <cell r="H2948" t="str">
            <v>UN</v>
          </cell>
          <cell r="I2948">
            <v>242049</v>
          </cell>
        </row>
        <row r="2949">
          <cell r="F2949">
            <v>8603</v>
          </cell>
          <cell r="G2949" t="str">
            <v>PUNTO HIDRÁULICO AGUA FRÍA PVC 1/2" DUCHA. (INCLUYE SUMINISTRO E INSTALACIÓN, INCLUYE ACCESORIOS, TUBERÍA, SOLDADURA Y CINTA TEFLÓN).</v>
          </cell>
          <cell r="H2949" t="str">
            <v>UN</v>
          </cell>
          <cell r="I2949">
            <v>50309</v>
          </cell>
        </row>
        <row r="2950">
          <cell r="F2950">
            <v>8605</v>
          </cell>
          <cell r="G2950" t="str">
            <v>MAMPOSTERÍA EN BLOQUE  3 e= 0.07 m (Incluye suministro, insumos y construcción)</v>
          </cell>
          <cell r="H2950" t="str">
            <v>M2</v>
          </cell>
          <cell r="I2950">
            <v>61003</v>
          </cell>
        </row>
        <row r="2951">
          <cell r="F2951">
            <v>8606</v>
          </cell>
          <cell r="G2951" t="str">
            <v>DEMOLICIÓN PISOS DE CONCRETO - RAMPAS VEHICULARES Y PEATONALES EXISTENTES. (Espesor variable hasta 0.10 m. Incluye Cargue, transporte y disposición final de sobrantes escombrera autorizada).</v>
          </cell>
          <cell r="H2951" t="str">
            <v>M2</v>
          </cell>
          <cell r="I2951">
            <v>10321</v>
          </cell>
        </row>
        <row r="2952">
          <cell r="F2952">
            <v>8610</v>
          </cell>
          <cell r="G2952" t="str">
            <v>TRANSFORMADOR SEMISUMERGIBLE 300 KVA 11,4K/208-120V.  (Suministro e instalación)</v>
          </cell>
          <cell r="H2952" t="str">
            <v>UN</v>
          </cell>
          <cell r="I2952">
            <v>29010950</v>
          </cell>
        </row>
        <row r="2953">
          <cell r="F2953">
            <v>8611</v>
          </cell>
          <cell r="G2953" t="str">
            <v>PINTURA SOBRE ESTRUCTURA METÁLICA GALVANIZADA. INCLUYE LIMPIEZA SSPC-SP7, BARRERA EPOXICA e=3mils, ACABADO URETANO e=3mils</v>
          </cell>
          <cell r="H2953" t="str">
            <v>KG</v>
          </cell>
          <cell r="I2953">
            <v>4047</v>
          </cell>
        </row>
        <row r="2954">
          <cell r="F2954">
            <v>8612</v>
          </cell>
          <cell r="G2954" t="str">
            <v>PARCHEO EN PAVIMENTO FLEXIBLE e=0.14m.  (Incluye demolición manual y cargue de pavimento flexible de e=0.14m, transporte y disposición final de escombros, imprimación, colocación y compactación MD19 e=7cm y MD25 e=7cm , riego CRR-1, imprima CLR-0)</v>
          </cell>
          <cell r="H2954" t="str">
            <v>M2</v>
          </cell>
          <cell r="I2954">
            <v>182010</v>
          </cell>
        </row>
        <row r="2955">
          <cell r="F2955">
            <v>8613</v>
          </cell>
          <cell r="G2955" t="str">
            <v>MEZCLA ASFÁLTICA EN CALIENTE TIPO DENSO MD19 (Suministro, Extendido y Nivelación Manual y Compactación Mecanica)  Incluye: VIBRO COMPACTADOR BENITIN DE 1 TONELADA - INCLUYE OPERARIO Y COMBUSTIBLE</v>
          </cell>
          <cell r="H2955" t="str">
            <v>M3</v>
          </cell>
          <cell r="I2955">
            <v>1102241</v>
          </cell>
        </row>
        <row r="2956">
          <cell r="F2956">
            <v>8614</v>
          </cell>
          <cell r="G2956" t="str">
            <v>MEZCLA ASFÁLTICA EN CALIENTE TIPO DENSO MD25 (Suministro, Extendido y Nivelación Manual y Compactación mecanica con vibrocompactador Benitin de 1 tonelada incluye operario y combustible)</v>
          </cell>
          <cell r="H2956" t="str">
            <v>M3</v>
          </cell>
          <cell r="I2956">
            <v>1080257</v>
          </cell>
        </row>
        <row r="2957">
          <cell r="F2957">
            <v>8615</v>
          </cell>
          <cell r="G2957" t="str">
            <v>BASE GRANULAR CLASE A (BGA_BG38) o (BGB_BG25) - HORARIO NOCTURNO. (Suministro, Extendido Manual, Humedecimiento y Compactación)</v>
          </cell>
          <cell r="H2957" t="str">
            <v>M3</v>
          </cell>
          <cell r="I2957">
            <v>179294</v>
          </cell>
        </row>
        <row r="2958">
          <cell r="F2958">
            <v>8616</v>
          </cell>
          <cell r="G2958" t="str">
            <v>BASE GRANULAR CLASE A (BGA_BG38) o (BGB_BG25) (Suministro, Extendido, Nivelación, Humedecimiento y Compactación con vibrocompactador)</v>
          </cell>
          <cell r="H2958" t="str">
            <v>M3</v>
          </cell>
          <cell r="I2958">
            <v>170563</v>
          </cell>
        </row>
        <row r="2959">
          <cell r="F2959">
            <v>8617</v>
          </cell>
          <cell r="G2959" t="str">
            <v>AGREGADOS RECICLADOS PARA SUBBASE GRANULAR (AR_SBG50) (Suministro, Extendido, Nivelación, Humedecimiento y Compactación con vibrocompactador)</v>
          </cell>
          <cell r="H2959" t="str">
            <v>M3</v>
          </cell>
          <cell r="I2959">
            <v>151999</v>
          </cell>
        </row>
        <row r="2960">
          <cell r="F2960">
            <v>8618</v>
          </cell>
          <cell r="G2960" t="str">
            <v>MEZCLA ASFÁLTICA EN CALIENTE DENSA MD19 con Cemento Asfáltico (Suministro, Extendido, Nivelación y Compactación mecánica con vibrocompactador y compactador de llantas)</v>
          </cell>
          <cell r="H2960" t="str">
            <v>M3</v>
          </cell>
          <cell r="I2960">
            <v>1048762</v>
          </cell>
        </row>
        <row r="2961">
          <cell r="F2961">
            <v>8619</v>
          </cell>
          <cell r="G2961" t="str">
            <v>MEZCLA ASFÁLTICA EN CALIENTE DENSA MD19 con Cemento Asfáltico - HORARIO NOCTURNO. (Suministro, Extendido y Nivelación Manual y Compactación mecanica con vibrocompactador Benitin de 1 tonelada incluye operario y combustible)</v>
          </cell>
          <cell r="H2961" t="str">
            <v>M3</v>
          </cell>
          <cell r="I2961">
            <v>1125956</v>
          </cell>
        </row>
        <row r="2962">
          <cell r="F2962">
            <v>8620</v>
          </cell>
          <cell r="G2962" t="str">
            <v>MEZCLA ASFÁLTICA EN CALIENTE DENSA MD25 CON CEMENTO ASFÁLTICO - HORARIO NOCTURNO. (Suministro, Extendido, Nivelación y Compactación mecanica con vibrocompactador y compactador de llantas)</v>
          </cell>
          <cell r="H2962" t="str">
            <v>M3</v>
          </cell>
          <cell r="I2962">
            <v>1116056</v>
          </cell>
        </row>
        <row r="2963">
          <cell r="F2963">
            <v>8621</v>
          </cell>
          <cell r="G2963" t="str">
            <v>MEZCLA ASFÁLTICA EN CALIENTE DENSA MD25 CON CEMENTO ASFÁLTICO (Suministro, Extendido, Nivelación y Compactación mecanica con vibrocompactador y compactador de llantas)</v>
          </cell>
          <cell r="H2963" t="str">
            <v>M3</v>
          </cell>
          <cell r="I2963">
            <v>1091916</v>
          </cell>
        </row>
        <row r="2964">
          <cell r="F2964">
            <v>8622</v>
          </cell>
          <cell r="G2964" t="str">
            <v>GEOTEXTIL TEJIDO PARA SEPARACIÓN SUBRASANTE/CAPAS GRANULARES (Incluye Suministro e Instalación)</v>
          </cell>
          <cell r="H2964" t="str">
            <v>M2</v>
          </cell>
          <cell r="I2964">
            <v>9326</v>
          </cell>
        </row>
        <row r="2965">
          <cell r="F2965">
            <v>8624</v>
          </cell>
          <cell r="G2965" t="str">
            <v>RECONSTRUCCIÓN CÁMARA DE INSPECCIÓN T-18A ETB (Incluye muros, cubierta, aro-base y aro-tapa)</v>
          </cell>
          <cell r="H2965" t="str">
            <v>UN</v>
          </cell>
          <cell r="I2965">
            <v>5380467</v>
          </cell>
        </row>
        <row r="2966">
          <cell r="F2966">
            <v>8625</v>
          </cell>
          <cell r="G2966" t="str">
            <v>NIVELACIÓN DE CÁMARA TIPO "F" TELECOMUNICACIONES UNE - EPM H= 0.20m (Dimensiones internas L=0.69 m, B=0,56m, A=0.81 m) (Incluye demolición de cinta y retiro de tapa, cargue, transporte y disposición de escombros, suministro e instalación de ladrillos, mortero.</v>
          </cell>
          <cell r="H2966" t="str">
            <v>UN</v>
          </cell>
          <cell r="I2966">
            <v>359023</v>
          </cell>
        </row>
        <row r="2967">
          <cell r="F2967">
            <v>8626</v>
          </cell>
          <cell r="G2967" t="str">
            <v>NIVELACIÓN DE CÁMARA TIPO "D" TELECOMUNICACIONES UNE - EPM H= 0.40m (Dimensiones internas L=1.90 m, B=1,06m, A=1.60 m) (Incluye demolición de cinta y retiro de tapa con martillo 60 Lb, cargue, transporte y disposición de escombros, suministro e instalación</v>
          </cell>
          <cell r="H2967" t="str">
            <v>UN</v>
          </cell>
          <cell r="I2967">
            <v>2486784</v>
          </cell>
        </row>
        <row r="2968">
          <cell r="F2968">
            <v>8627</v>
          </cell>
          <cell r="G2968" t="str">
            <v>NIVELACIÓN DE CÁMARA TIPO "2F" TELECOMUNICACIONES UNE - EPM H= 0.23m (Dimensiones internas L=1.50 m, B=0,56m, A=0.90 m) (Incluye demolición de cinta y retiro de tapa, transporte y disposición de escombros, suministro e instalación de ladrillos, mortero, minicargador, acero de refuerzo.</v>
          </cell>
          <cell r="H2968" t="str">
            <v>UN</v>
          </cell>
          <cell r="I2968">
            <v>607939</v>
          </cell>
        </row>
        <row r="2969">
          <cell r="F2969">
            <v>8628</v>
          </cell>
          <cell r="G2969" t="str">
            <v>NIVELACIÓN DE CÁMARA TIPO "F2" TELECOMUNICACIONES UNE - EPM H= 0.14m (Dimensiones internas L=0.41 m, B=0,36m, A=0.56 m) (Incluye demolición de cinta y retiro de tapa, transporte y disposición de escombros, suministro e instalación de ladrillos, mortero, minicargador, acero de refuerzo.</v>
          </cell>
          <cell r="H2969" t="str">
            <v>UN</v>
          </cell>
          <cell r="I2969">
            <v>207590</v>
          </cell>
        </row>
        <row r="2970">
          <cell r="F2970">
            <v>8629</v>
          </cell>
          <cell r="G2970" t="str">
            <v>CANAL DE DRENAJE MONOLÍTICO Y REJA EN CONCRETO POLIMÉRICO RD 150V H480 F900 (1.00 X 0.21 X 0.48) m (Incluye concreto 21 MPa para cama y atraque. Incluye suministro, instalación y prueba de estanqueidad).</v>
          </cell>
          <cell r="H2970" t="str">
            <v>ML</v>
          </cell>
          <cell r="I2970">
            <v>741956</v>
          </cell>
        </row>
        <row r="2971">
          <cell r="F2971">
            <v>8631</v>
          </cell>
          <cell r="G2971" t="str">
            <v>EMPATE ORTOGONAL PVC - AC 4"X4" SEGÚN NORMA NS-023, INCLUYE SUMINISTRO E INSTALACIÓN DE TUBERÍA PVC D=4" U.M RDE 21=1 ML, TEE HD 4"X4" PARA AC=1 UN, UG HD D=4"=3 UN, ADAPTADOR U.S. D=4"=1 UN, UR HD D=4"=1 UN (Suministro e instalación).</v>
          </cell>
          <cell r="H2971" t="str">
            <v>UN</v>
          </cell>
          <cell r="I2971">
            <v>1076326</v>
          </cell>
        </row>
        <row r="2972">
          <cell r="F2972">
            <v>8632</v>
          </cell>
          <cell r="G2972" t="str">
            <v>CANAL DE DRENAJE MONOLÍTICO Y REJA EN CONCRETO POLIMÉRICO PD 100V H230 D400 (1.00 X 0.15 X 0.23) m (Incluye concreto 21 MPa para cama y atraque. Incluye suministro, instalación y prueba de estanqueidad).</v>
          </cell>
          <cell r="H2972" t="str">
            <v>ML</v>
          </cell>
          <cell r="I2972">
            <v>310282</v>
          </cell>
        </row>
        <row r="2973">
          <cell r="F2973">
            <v>8633</v>
          </cell>
          <cell r="G2973" t="str">
            <v>CANAL DE DRENAJE MONOLÍTICO Y REJA EN CONCRETO POLIMÉRICO RD 200V H330 F900 (1.00 X 0.26 X 0.33) m, INCLUYE CONCRETO 21 Mpa PARA CAMA Y ATRAQUE (Incluye suministro, instalación y prueba de estanqueidad).</v>
          </cell>
          <cell r="H2973" t="str">
            <v>ML</v>
          </cell>
          <cell r="I2973">
            <v>832359</v>
          </cell>
        </row>
        <row r="2974">
          <cell r="F2974">
            <v>8634</v>
          </cell>
          <cell r="G2974" t="str">
            <v>EMPATE ORTOGONAL PVC - HG 4"X4" SEGÚN NORMA NS-023, INCLUYE SUMINISTRO E INSTALACIÓN DE TUBERÍA PVC D=4" U.M RDE 21=1 ML, TEE HD 4"X4" PARA AC=1 UN, UG HD D=4"=3 UN, ADAPTADOR U.S. D=4"=1 UN, UR HD D=4"=1 UN (Suministro e instalación).</v>
          </cell>
          <cell r="H2974" t="str">
            <v>UN</v>
          </cell>
          <cell r="I2974">
            <v>1096415</v>
          </cell>
        </row>
        <row r="2975">
          <cell r="F2975">
            <v>8636</v>
          </cell>
          <cell r="G2975" t="str">
            <v>EMPATE ORTOGONAL PVC - PVC 4"X3" SEGÚN NORMA NS-023, INCLUYE SUMINISTRO E INSTALACIÓN DE TUBERÍA PVC D=4" U.M RDE 21=1 ML, TEE HD EL 4"X3"=1 UN, UZ U.M PVC D=4"=1 UN, UZ U.M PVC D=3"=1 UN,  UR U.M PVC D=4"=1 UN, UR U.M PVC D=3"=1 UN (Suministro e instalación).</v>
          </cell>
          <cell r="H2975" t="str">
            <v>UN</v>
          </cell>
          <cell r="I2975">
            <v>590110</v>
          </cell>
        </row>
        <row r="2976">
          <cell r="F2976">
            <v>8637</v>
          </cell>
          <cell r="G2976" t="str">
            <v>EMPATE ORTOGONAL PVC - AC 6"X6" SEGÚN NORMA NS-023, INCLUYE SUMINISTRO E INSTALACIÓN DE TUBERÍA PVC D=6" U.M RDE 21=1 ML, TEE HD 6"X6" PARA AC=1 UN, UG HD D=6"=3 UN, UZ U.M PVC D=6"=1 UN, UR HD D=6"=1 UN (Suministro e instalación).</v>
          </cell>
          <cell r="H2976" t="str">
            <v>UN</v>
          </cell>
          <cell r="I2976">
            <v>1908433</v>
          </cell>
        </row>
        <row r="2977">
          <cell r="F2977">
            <v>8638</v>
          </cell>
          <cell r="G2977" t="str">
            <v>CAJA PARA CONEXIÓN DE DRENAJE EN CONCRETO REFORZADO 28 MPa (Dimensiones internas: (0.9x0.9) m, H=1.94 m, e=0,2 m) (Incluye muros, concreto de limpieza e=0,05 m, placa de base y placa de cubierta e=0,16 m, dos arobases y arotapas HF según NP-024. Suministro y construcción.</v>
          </cell>
          <cell r="H2977" t="str">
            <v>UN</v>
          </cell>
          <cell r="I2977">
            <v>4236589</v>
          </cell>
        </row>
        <row r="2978">
          <cell r="F2978">
            <v>8639</v>
          </cell>
          <cell r="G2978" t="str">
            <v>CAJA PARA CONEXIÓN DE DRENAJE EN CONCRETO REFORZADO 28 MPa (Dimensiones internas: (1.4x1.5) m, H=2.23 m, e=0,2 m) (Incluye muros, concreto de limpieza e=0,05 m, placa de base y placa de cubierta e=0,16 m, dos arobases y arotapas HF según NP-024. Suministro y construcción.</v>
          </cell>
          <cell r="H2978" t="str">
            <v>UN</v>
          </cell>
          <cell r="I2978">
            <v>7178285</v>
          </cell>
        </row>
        <row r="2979">
          <cell r="F2979">
            <v>8640</v>
          </cell>
          <cell r="G2979" t="str">
            <v>TAPÓN HD EXTREMO JUNTA HIDRÁULICA D=3" (Suministro e instalación).</v>
          </cell>
          <cell r="H2979" t="str">
            <v>UN</v>
          </cell>
          <cell r="I2979">
            <v>79340</v>
          </cell>
        </row>
        <row r="2980">
          <cell r="F2980">
            <v>8641</v>
          </cell>
          <cell r="G2980" t="str">
            <v>TEE HD EXTREMO JUNTA HIDRÁULICA 10"x6" (Suministro e instalación).</v>
          </cell>
          <cell r="H2980" t="str">
            <v>UN</v>
          </cell>
          <cell r="I2980">
            <v>1702718</v>
          </cell>
        </row>
        <row r="2981">
          <cell r="F2981">
            <v>8642</v>
          </cell>
          <cell r="G2981" t="str">
            <v>CODO HD 22.5° EXTREMO JUNTA HIDRÁULICA PARA PVC D= 2" (Suministro e instalación)</v>
          </cell>
          <cell r="H2981" t="str">
            <v>UN</v>
          </cell>
          <cell r="I2981">
            <v>109940</v>
          </cell>
        </row>
        <row r="2982">
          <cell r="F2982">
            <v>8643</v>
          </cell>
          <cell r="G2982" t="str">
            <v>Proyecto: factibilidad, estudios y diseños de aceras, ciclorutas y conexiones peatonales en la ciudad de Bogotá D.C. Procesos de contratación vigencia 2020. ALQUILER DE ENTIBADO METÁLICO TIPO CAJÓN (E1A-E1B) O DESLIZANTE (E2) SEGÚN NORMA EAAB (Incluye colocación y transporte)</v>
          </cell>
          <cell r="H2982" t="str">
            <v>M2/MES</v>
          </cell>
          <cell r="I2982">
            <v>42441</v>
          </cell>
        </row>
        <row r="2983">
          <cell r="F2983">
            <v>8644</v>
          </cell>
          <cell r="G2983" t="str">
            <v>CAJA PARA CONEXIÓN DE DRENAJE EN CONCRETO REFORZADO 28 MPa (Dimensiones internas: (1.6x0.8) m, H=1.5 m, e=0,2 m) (Incluye muros, concreto de limpieza e=0,05 m, placa de base y placa de cubierta e=0,16 m, dos arobases y arotapas HF según NP-024. Suministro y construcción</v>
          </cell>
          <cell r="H2983" t="str">
            <v>UN</v>
          </cell>
          <cell r="I2983">
            <v>4308054</v>
          </cell>
        </row>
        <row r="2984">
          <cell r="F2984">
            <v>8645</v>
          </cell>
          <cell r="G2984" t="str">
            <v>EMPATE ORTOGONAL PVC - PVC 8"X4" SEGÚN NORMA NS-023, INCLUYE SUMINISTRO E INSTALACIÓN DE TUBERÍA PVC D=8" U.M RDE 21=1 ML, TEE HD EL 8"X4"=1 UN, UZ U.M PVC D=8"=1 UN, UZ U.M PVC D=4"=1 UN,  UR U.M PVC D=8"=1 UN, UR U.M PVC D=4"=1 UN (Suministro e instalación).</v>
          </cell>
          <cell r="H2984" t="str">
            <v>UN</v>
          </cell>
          <cell r="I2984">
            <v>2072099</v>
          </cell>
        </row>
        <row r="2985">
          <cell r="F2985">
            <v>8646</v>
          </cell>
          <cell r="G2985" t="str">
            <v>EMPATE DE TUBERÍA EN PVC A PVC 6"X4" LINEAL SEGÚN NORMA NS-023, INCLUYE  REDUCCIÓN U.M PVC 6"X4" (Suministro e instalación)</v>
          </cell>
          <cell r="H2985" t="str">
            <v>UN</v>
          </cell>
          <cell r="I2985">
            <v>333764</v>
          </cell>
        </row>
        <row r="2986">
          <cell r="F2986">
            <v>8647</v>
          </cell>
          <cell r="G2986" t="str">
            <v>EMPATE ORTOGONAL PVC - PVC 12"X4" SEGÚN NORMA NS-023, INCLUYE SUMINISTRO E INSTALACIÓN DE TUBERÍA PVC D=4" U.M RDE 21=1 ML, TEE HD EL 12"X4"=1 UN, UZ U.M PVC D=12"=1 UN, UZ U.M PVC D=4"=1 UN,  UR U.M PVC D=12"=1 UN, UR U.M PVC D=4"=1 UN (Suministro e instalación).</v>
          </cell>
          <cell r="H2986" t="str">
            <v>UN</v>
          </cell>
          <cell r="I2986">
            <v>4478673</v>
          </cell>
        </row>
        <row r="2987">
          <cell r="F2987">
            <v>8648</v>
          </cell>
          <cell r="G2987" t="str">
            <v>PILOTE D=0.50 M DE CONCRETO TREMIE 4000 PSI (28 MPA) (Incl. Excavación, Cargue, movilización, montaje, descabece y desmontaje equipo).</v>
          </cell>
          <cell r="H2987" t="str">
            <v>ML</v>
          </cell>
          <cell r="I2987">
            <v>467199</v>
          </cell>
        </row>
        <row r="2988">
          <cell r="F2988">
            <v>8649</v>
          </cell>
          <cell r="G2988" t="str">
            <v>PILOTE D=0.40 M DE CONCRETO TREMIE 4000 PSI (28 MPA) (Incl. Excavación, Cargue, movilización, montaje, descabece y desmontaje equipo).</v>
          </cell>
          <cell r="H2988" t="str">
            <v>ML</v>
          </cell>
          <cell r="I2988">
            <v>425550</v>
          </cell>
        </row>
        <row r="2989">
          <cell r="F2989">
            <v>8650</v>
          </cell>
          <cell r="G2989" t="str">
            <v>HUMECTACIÓN CON AGUA PARA CONTROL DE EROSIONES (Incluye suministro y riego manual)</v>
          </cell>
          <cell r="H2989" t="str">
            <v>LITRO</v>
          </cell>
          <cell r="I2989">
            <v>38</v>
          </cell>
        </row>
        <row r="2990">
          <cell r="F2990">
            <v>8651</v>
          </cell>
          <cell r="G2990" t="str">
            <v>PLANTACIÓN DE ÁRBOL CARISECO H= 1.5 m (Incluye aplicación y mezcla se sustrato, tutor, amarre y siembra. Incluye transporte y disposición final de sobrantes en sitio autorizado. Suministro y plantación)</v>
          </cell>
          <cell r="H2990" t="str">
            <v>UN</v>
          </cell>
          <cell r="I2990">
            <v>148000</v>
          </cell>
        </row>
        <row r="2991">
          <cell r="F2991">
            <v>8652</v>
          </cell>
          <cell r="G2991" t="str">
            <v>PLANTACIÓN DE ÁRBOL CEDRO H=1.5mt (Incluye siembra, caja, tierra abonada, tutor) SUMINISTRO Y SIEMBRA.</v>
          </cell>
          <cell r="H2991" t="str">
            <v>UN</v>
          </cell>
          <cell r="I2991">
            <v>138000</v>
          </cell>
        </row>
        <row r="2992">
          <cell r="F2992">
            <v>8653</v>
          </cell>
          <cell r="G2992" t="str">
            <v>PLANTACIÓN DE ÁRBOL SIETECUEROS H= 1.5 m (Incluye aplicación y mezcla se sustrato, tutor, amarre y siembra. Incluye transporte y disposición final de sobrantes en sitio autorizado. Suministro y plantación).</v>
          </cell>
          <cell r="H2992" t="str">
            <v>UN</v>
          </cell>
          <cell r="I2992">
            <v>133500</v>
          </cell>
        </row>
        <row r="2993">
          <cell r="F2993">
            <v>8654</v>
          </cell>
          <cell r="G2993" t="str">
            <v>PALMA ALEJANDRA H= 1.5 m (Incluye aplicación y mezcla se sustrato, tutor, amarre y siembra. Incluye transporte y disposición final de sobrantes en sitio autorizado. Suministro y plantación)</v>
          </cell>
          <cell r="H2993" t="str">
            <v>UN</v>
          </cell>
          <cell r="I2993">
            <v>205000</v>
          </cell>
        </row>
        <row r="2994">
          <cell r="F2994">
            <v>8655</v>
          </cell>
          <cell r="G2994" t="str">
            <v>GRAVILLA DE 3/4" - SUMINISTRO E INSTALACIÓN.</v>
          </cell>
          <cell r="H2994" t="str">
            <v>M3</v>
          </cell>
          <cell r="I2994">
            <v>80126</v>
          </cell>
        </row>
        <row r="2995">
          <cell r="F2995">
            <v>8656</v>
          </cell>
          <cell r="G2995" t="str">
            <v>PROCESO DE INSTALACION  DE MATERIAL GRANULAR (INCLUYE EXTENDIDO, NIVELACIÓN Y COMPACTACION)</v>
          </cell>
          <cell r="H2995" t="str">
            <v>M3</v>
          </cell>
          <cell r="I2995">
            <v>20631</v>
          </cell>
        </row>
        <row r="2996">
          <cell r="F2996">
            <v>8657</v>
          </cell>
          <cell r="G2996" t="str">
            <v>CONTROL DE POLVO CON CLORURO DE CALCIO</v>
          </cell>
          <cell r="H2996" t="str">
            <v>M2</v>
          </cell>
          <cell r="I2996">
            <v>7365</v>
          </cell>
        </row>
        <row r="2997">
          <cell r="F2997">
            <v>8712</v>
          </cell>
          <cell r="G2997" t="str">
            <v>5 DUCTOS D=6" +3 DUCTOS D=3" PVC-TDP (Incluye Suministro e Instalación. No Incluye Rellenos).</v>
          </cell>
          <cell r="H2997" t="str">
            <v>ML</v>
          </cell>
          <cell r="I2997">
            <v>339987</v>
          </cell>
        </row>
        <row r="2998">
          <cell r="F2998">
            <v>8713</v>
          </cell>
          <cell r="G2998" t="str">
            <v>2 DUCTOS D=6" +3 DUCTOS D=2" PVC-TDP (Incluye Suministro e Instalación. No Incluye Rellenos).</v>
          </cell>
          <cell r="H2998" t="str">
            <v>ML</v>
          </cell>
          <cell r="I2998">
            <v>142089</v>
          </cell>
        </row>
        <row r="2999">
          <cell r="F2999">
            <v>8714</v>
          </cell>
          <cell r="G2999" t="str">
            <v>2 DUCTOS D=6" +3 DUCTOS D=3" PVC-TDP (Incluye Suministro e Instalación. No Incluye Rellenos).</v>
          </cell>
          <cell r="H2999" t="str">
            <v>ML</v>
          </cell>
          <cell r="I2999">
            <v>172945</v>
          </cell>
        </row>
        <row r="3000">
          <cell r="F3000">
            <v>8715</v>
          </cell>
          <cell r="G3000" t="str">
            <v>CAMARA TIPO "T" TELECOMUNICACIONES UNE - EPM (Dimensiones internas L=0.69 m, B=0,56m, A=0.81 m) (Incluye base, muros en ladrillo, cubierta, aro-base y aro-tapa. Suministro y construcción).</v>
          </cell>
          <cell r="H3000" t="str">
            <v>UN</v>
          </cell>
          <cell r="I3000">
            <v>597593</v>
          </cell>
        </row>
        <row r="3001">
          <cell r="F3001">
            <v>8716</v>
          </cell>
          <cell r="G3001" t="str">
            <v>1 DUCTOS D=6" PVC-TDP (Incluye Suministro e Instalación. No Incluye Rellenos).</v>
          </cell>
          <cell r="H3001" t="str">
            <v>ML</v>
          </cell>
          <cell r="I3001">
            <v>55907</v>
          </cell>
        </row>
        <row r="3002">
          <cell r="F3002">
            <v>8717</v>
          </cell>
          <cell r="G3002" t="str">
            <v>CAMARA TIPO "2T" TELECOMUNICACIONES UNE - EPM  (Dimensiones internas L=1.50 m, B=0,56m, A=0.90 m) (Incluye base, muros en ladrillo, cubierta, aro-base y aro-tapa. Suministro y construcción).</v>
          </cell>
          <cell r="H3002" t="str">
            <v>UN</v>
          </cell>
          <cell r="I3002">
            <v>993909</v>
          </cell>
        </row>
        <row r="3003">
          <cell r="F3003">
            <v>8718</v>
          </cell>
          <cell r="G3003" t="str">
            <v>REDUCCION CONCENTRICA HD 12"x10" (Suministro e Instalación).</v>
          </cell>
          <cell r="H3003" t="str">
            <v>UN</v>
          </cell>
          <cell r="I3003">
            <v>1613987</v>
          </cell>
        </row>
        <row r="3004">
          <cell r="F3004">
            <v>8719</v>
          </cell>
          <cell r="G3004" t="str">
            <v>EMPATE ORTOGONAL PVC - HG 6"X6" SEGÚN NORMA NS-023, INCLUYE SUMINISTRO E INSTALACIÓN DE TUBERÍA PVC D=6" U.M RDE 21=1 ML, TEE HD 6"X6" PARA PVC=1 UN, UR HD D=6"=1 UN, UZ U.M PVC D=6"=1 UN, UD HD D=6"=1 UN (Suministro e instalación).</v>
          </cell>
          <cell r="H3004" t="str">
            <v>UN</v>
          </cell>
          <cell r="I3004">
            <v>1267329</v>
          </cell>
        </row>
        <row r="3005">
          <cell r="F3005">
            <v>8720</v>
          </cell>
          <cell r="G3005" t="str">
            <v>EMPATE DE TUBERÍA EN PVC A HG 6" LINEAL TIPO B SEGÚN NORMA NS-023, INCLUYE TUBERÍA PVC D=6" U.M RDE 21=1 ML, UR HD D=6"=1 UN, UZ PVC D=6"=1 UN (Suministro e instalación).</v>
          </cell>
          <cell r="H3005" t="str">
            <v>UN</v>
          </cell>
          <cell r="I3005">
            <v>651358</v>
          </cell>
        </row>
        <row r="3006">
          <cell r="F3006">
            <v>8722</v>
          </cell>
          <cell r="G3006" t="str">
            <v>UNION DE REPARACION HD EL D=4" (Suministro e Instalación).</v>
          </cell>
          <cell r="H3006" t="str">
            <v>UN</v>
          </cell>
          <cell r="I3006">
            <v>185420</v>
          </cell>
        </row>
        <row r="3007">
          <cell r="F3007">
            <v>8723</v>
          </cell>
          <cell r="G3007" t="str">
            <v>LOSETA PODOTACTIL ALERTA/GUÍA EN POLIURETANO DE ALTA DENSIDAD, ANCHO=0.4 m EN COLOR AMARILLO SEGÚN NTC 5610 (Incluye limpieza y alistamiento de superficie, suministro e instalación).</v>
          </cell>
          <cell r="H3007" t="str">
            <v>ML</v>
          </cell>
          <cell r="I3007">
            <v>170570</v>
          </cell>
        </row>
        <row r="3008">
          <cell r="F3008">
            <v>8724</v>
          </cell>
          <cell r="G3008" t="str">
            <v>CUCHARO H= 1.5 m (Incluye aplicación y mezcla se sustrato, tutor, amarre y siembra. Incluye transporte y disposición final de sobrantes en sitio autorizado. Suministro y plantación).</v>
          </cell>
          <cell r="H3008" t="str">
            <v>UN</v>
          </cell>
          <cell r="I3008">
            <v>132000</v>
          </cell>
        </row>
        <row r="3009">
          <cell r="F3009">
            <v>8725</v>
          </cell>
          <cell r="G3009" t="str">
            <v>PROTECCIÓN TEMPORAL PARA CERRAMIENTOS Y/O FACHADAS DE BIENES INMUEBLES DE INTERÉS CULTURAL, INCLUYE VARA MADERA ROLLIZA H=1.22 m, LISTÓN DE MADERA, TELA COLOR BLANCO, ESPUMA DE POLIETILENO e=5 mm (Incluye suministro y colocación).</v>
          </cell>
          <cell r="H3009" t="str">
            <v>ML</v>
          </cell>
          <cell r="I3009">
            <v>34517</v>
          </cell>
        </row>
        <row r="3010">
          <cell r="F3010">
            <v>8726</v>
          </cell>
          <cell r="G3010" t="str">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ell>
          <cell r="H3010" t="str">
            <v>UN</v>
          </cell>
          <cell r="I3010">
            <v>1013822</v>
          </cell>
        </row>
        <row r="3011">
          <cell r="F3011">
            <v>8727</v>
          </cell>
          <cell r="G3011" t="str">
            <v>HELECHO MACHO, DENSIDAD=6 u/m2 (No incluye tierra negra adicional. No incluye remoción y transporte de sobrantes. Suministro y plantación).</v>
          </cell>
          <cell r="H3011" t="str">
            <v>M2</v>
          </cell>
          <cell r="I3011">
            <v>390881</v>
          </cell>
        </row>
        <row r="3012">
          <cell r="F3012">
            <v>8728</v>
          </cell>
          <cell r="G3012" t="str">
            <v>PERFORACIÓN HORIZONTAL PARA DUCTO DE POLIETILENO D=6", INCLUYE TUBERÍA (Incluye suministro, instalación, transporte y disposición final de sobrantes)</v>
          </cell>
          <cell r="H3012" t="str">
            <v>ML</v>
          </cell>
          <cell r="I3012">
            <v>424977</v>
          </cell>
        </row>
        <row r="3013">
          <cell r="F3013">
            <v>8729</v>
          </cell>
          <cell r="G3013" t="str">
            <v>PERFORACIÓN HORIZONTAL PARA DUCTO DE POLIETILENO D=12", INCLUYE TUBERÍA (Incluye suministro, instalación, transporte y disposición final de sobrantes)</v>
          </cell>
          <cell r="H3013" t="str">
            <v>ML</v>
          </cell>
          <cell r="I3013">
            <v>851926</v>
          </cell>
        </row>
        <row r="3014">
          <cell r="F3014">
            <v>8730</v>
          </cell>
          <cell r="G3014" t="str">
            <v>SEMÁFORO (4x200) S2, LENTES DE POLICARBONATO DE 8" PARA BICICLETAS LUCES, SISTEMA DE ILUMINACIÓN A LEDS, FLECHA DE GIRO, COMPATIBILIDAD C800/900, FIJACIÓN A MÉNSULA. INCLUYE ELEMENTOS DE FIJACIÓN</v>
          </cell>
          <cell r="H3014" t="str">
            <v>UN</v>
          </cell>
          <cell r="I3014">
            <v>4906202</v>
          </cell>
        </row>
        <row r="3015">
          <cell r="F3015">
            <v>8731</v>
          </cell>
          <cell r="G3015" t="str">
            <v>NIVELACIÓN DE CÁMARA TIPO "T" TELECOMUNICACIONES UNE - EPM H= 0.20m (Dimensiones internas L=0.69 m, B=0,56m, A=0.81 m) (Incluye demolición de cinta y retiro de tapa, cargue, transporte y disposición de escombros, suministro e instalación de ladrillos, mortero, marco y tapa)</v>
          </cell>
          <cell r="H3015" t="str">
            <v>UN</v>
          </cell>
          <cell r="I3015">
            <v>356531</v>
          </cell>
        </row>
        <row r="3016">
          <cell r="F3016">
            <v>8732</v>
          </cell>
          <cell r="G3016" t="str">
            <v>NIVELACIÓN DE CÁMARA TIPO "2T" TELECOMUNICACIONES UNE - EPM H= 0.23m (Dimensiones internas L=1.50 m, B=0,56m, A=0.90 m) (Incluye demolición de cinta y retiro de tapa, cargue, transporte y disposición de escombros, suministro e instalación de ladrillos, mortero, marco y tapa)</v>
          </cell>
          <cell r="H3016" t="str">
            <v>UN</v>
          </cell>
          <cell r="I3016">
            <v>607897</v>
          </cell>
        </row>
        <row r="3017">
          <cell r="F3017">
            <v>8733</v>
          </cell>
          <cell r="G3017" t="str">
            <v>3 DUCTOS D=6" + 2 DUCTOS D=3" PVC TDP (Incluye suministro e instalación. No Incluye rellenos)</v>
          </cell>
          <cell r="H3017" t="str">
            <v>ML</v>
          </cell>
          <cell r="I3017">
            <v>208264</v>
          </cell>
        </row>
        <row r="3018">
          <cell r="F3018">
            <v>8734</v>
          </cell>
          <cell r="G3018" t="str">
            <v>4 DUCTOS D=6" + 2 DUCTOS D=3" PVC TDP (Incluye suministro e instalación. No Incluye rellenos)</v>
          </cell>
          <cell r="H3018" t="str">
            <v>ML</v>
          </cell>
          <cell r="I3018">
            <v>264299</v>
          </cell>
        </row>
        <row r="3019">
          <cell r="F3019">
            <v>8735</v>
          </cell>
          <cell r="G3019" t="str">
            <v>9 DUCTOS D=6" + 3 DUCTOS D=3" PVC TDP (Incluye suministro e instalación. No Incluye rellenos)</v>
          </cell>
          <cell r="H3019" t="str">
            <v>ML</v>
          </cell>
          <cell r="I3019">
            <v>564641</v>
          </cell>
        </row>
        <row r="3020">
          <cell r="F3020">
            <v>8736</v>
          </cell>
          <cell r="G3020" t="str">
            <v>4 DUCTOS D=6" + 3 DUCTOS D=3" PVC TDP (Incluye suministro e instalación. No Incluye rellenos)</v>
          </cell>
          <cell r="H3020" t="str">
            <v>ML</v>
          </cell>
          <cell r="I3020">
            <v>284306</v>
          </cell>
        </row>
        <row r="3021">
          <cell r="F3021">
            <v>8737</v>
          </cell>
          <cell r="G3021" t="str">
            <v>ADAPTADOR TERMINAL CAMPANA PVC D=2" (Suministro e Instalación)</v>
          </cell>
          <cell r="H3021" t="str">
            <v>UN</v>
          </cell>
          <cell r="I3021">
            <v>7067</v>
          </cell>
        </row>
        <row r="3022">
          <cell r="F3022">
            <v>8738</v>
          </cell>
          <cell r="G3022" t="str">
            <v>TRASLADO DE ARMARIOS (Incluye retiro, traslado e instalación de armario. Demolición manual, excavación y colocación de concreto para dados, transporte y disposición de sobrantes)</v>
          </cell>
          <cell r="H3022" t="str">
            <v>UN</v>
          </cell>
          <cell r="I3022">
            <v>338955</v>
          </cell>
        </row>
        <row r="3023">
          <cell r="F3023">
            <v>8739</v>
          </cell>
          <cell r="G3023" t="str">
            <v>2 DUCTOS D=6" + 2 DUCTOS D=3" PVC TDP (Incluye suministro e instalación. No Incluye rellenos)</v>
          </cell>
          <cell r="H3023" t="str">
            <v>ML</v>
          </cell>
          <cell r="I3023">
            <v>152470</v>
          </cell>
        </row>
        <row r="3024">
          <cell r="F3024">
            <v>8740</v>
          </cell>
          <cell r="G3024" t="str">
            <v>5 DUCTOS D=6" + 2 DUCTOS D=3" PVC TDP (Incluye suministro e instalación. No Incluye rellenos)</v>
          </cell>
          <cell r="H3024" t="str">
            <v>ML</v>
          </cell>
          <cell r="I3024">
            <v>319706</v>
          </cell>
        </row>
        <row r="3025">
          <cell r="F3025">
            <v>8741</v>
          </cell>
          <cell r="G3025" t="str">
            <v>1 DUCTOS D=6" + 2 DUCTOS D=3" PVC TDP (Incluye suministro e instalación. No Incluye rellenos)</v>
          </cell>
          <cell r="H3025" t="str">
            <v>ML</v>
          </cell>
          <cell r="I3025">
            <v>96500</v>
          </cell>
        </row>
        <row r="3026">
          <cell r="F3026">
            <v>8742</v>
          </cell>
          <cell r="G3026" t="str">
            <v>3 DUCTOS D=6" + 3 DUCTOS D=3" PVC TDP (Incluye suministro e instalación. No Incluye rellenos)</v>
          </cell>
          <cell r="H3026" t="str">
            <v>ML</v>
          </cell>
          <cell r="I3026">
            <v>228512</v>
          </cell>
        </row>
        <row r="3027">
          <cell r="F3027">
            <v>8743</v>
          </cell>
          <cell r="G3027" t="str">
            <v>CAJA DE INSPECCIÓN EN CONCRETO REFORZADO 28 MPa (Dimensiones internas: (1.0x1.0) m, H=2.36 m, e=0,2 m) (Incluye muros, concreto de limpieza e=0,05 m, placa de base e=0,20 m y placa de cubierta e=0,16 m, arobase y arotapa HF según NP-024 y pasos plásticos c/0.40. Suministro y construcción).</v>
          </cell>
          <cell r="H3027" t="str">
            <v>UN</v>
          </cell>
          <cell r="I3027">
            <v>4790323</v>
          </cell>
        </row>
        <row r="3028">
          <cell r="F3028">
            <v>8744</v>
          </cell>
          <cell r="G3028" t="str">
            <v>EMPATE ORTOGONAL PVC - PEAD 6"X6" SEGÚN NORMA NS-023, INCLUYE TEE PE ELECTROFUSIÓN  6"X6"=1 UN, TUBERÍiA POLIETILENO D=6"=2 ML, PORTAFLANCHE PE D=6"=2 UN, BRIDA LOCA PE D=6"=2 UN, BRIDA UNIVERSAL POR ACOPLE UNIVERSAL HD D=6"=2 UN (Suministro e instalación)</v>
          </cell>
          <cell r="H3028" t="str">
            <v>UN</v>
          </cell>
          <cell r="I3028">
            <v>2308175</v>
          </cell>
        </row>
        <row r="3029">
          <cell r="F3029">
            <v>8745</v>
          </cell>
          <cell r="G3029" t="str">
            <v>CAMARA TIPO "D" TELECOMUNICACIONES UNE - EPM (Dimensiones internas L=1.90 m, B=1,06m, A=1.60 m) (Incluye base, muros en bloque, cubierta, aro-base y aro-tapa. Suministro y construcción)</v>
          </cell>
          <cell r="H3029" t="str">
            <v>UN</v>
          </cell>
          <cell r="I3029">
            <v>3524965</v>
          </cell>
        </row>
        <row r="3030">
          <cell r="F3030">
            <v>8746</v>
          </cell>
          <cell r="G3030" t="str">
            <v>CÁMARA TIPO "2F" TELECOMUNICACIONES UNE - EPM (Dimensiones internas L=1.50 m, B=0,56m, A=0.90 m) (Incluye base, muros en ladrillo, cubierta, aro-base y aro-tapa. Suministro y construcción)</v>
          </cell>
          <cell r="H3030" t="str">
            <v>UN</v>
          </cell>
          <cell r="I3030">
            <v>1074399</v>
          </cell>
        </row>
        <row r="3031">
          <cell r="F3031">
            <v>8747</v>
          </cell>
          <cell r="G3031" t="str">
            <v>CÁMARA TIPO "F" TELECOMUNICACIONES UNE - EPM (Dimensiones internas L=0.69 m, B=0,56m, A=0.81 m) (Incluye base, muros en ladrillo, cubierta, aro-base y aro-tapa. Suministro y construcción)</v>
          </cell>
          <cell r="H3031" t="str">
            <v>UN</v>
          </cell>
          <cell r="I3031">
            <v>684972</v>
          </cell>
        </row>
        <row r="3032">
          <cell r="F3032">
            <v>8748</v>
          </cell>
          <cell r="G3032" t="str">
            <v>TEE PE TERMOFUSIÓN  6"X6" (Incluye suministro e instalación)</v>
          </cell>
          <cell r="H3032" t="str">
            <v>UN</v>
          </cell>
          <cell r="I3032">
            <v>924638</v>
          </cell>
        </row>
        <row r="3033">
          <cell r="F3033">
            <v>8749</v>
          </cell>
          <cell r="G3033" t="str">
            <v>REDUCCIÓN CONCÉNTRICA PE TERMOFUSIÓN 6"X4" (Incluye suministro e instalación)</v>
          </cell>
          <cell r="H3033" t="str">
            <v>UN</v>
          </cell>
          <cell r="I3033">
            <v>187694</v>
          </cell>
        </row>
        <row r="3034">
          <cell r="F3034">
            <v>8750</v>
          </cell>
          <cell r="G3034" t="str">
            <v>TAPÓN HD EXTREMO JUNTA HIDRÁULICA D=12" (Suministro e instalación)</v>
          </cell>
          <cell r="H3034" t="str">
            <v>UN</v>
          </cell>
          <cell r="I3034">
            <v>1181105</v>
          </cell>
        </row>
        <row r="3035">
          <cell r="F3035">
            <v>8753</v>
          </cell>
          <cell r="G3035" t="str">
            <v>BARRERA DE SEGURIDAD EN CONCRETO A-165 ( 53x60x150cm). (Suministro, transporte e Instalación).</v>
          </cell>
          <cell r="H3035" t="str">
            <v>UN</v>
          </cell>
          <cell r="I3035">
            <v>152706</v>
          </cell>
        </row>
        <row r="3036">
          <cell r="F3036">
            <v>8754</v>
          </cell>
          <cell r="G3036" t="str">
            <v>INSTALACIÓN BARRERA DE SEGURIDAD EN CONCRETO (A-165 - 53*60*150). (Instalación).</v>
          </cell>
          <cell r="H3036" t="str">
            <v>UN</v>
          </cell>
          <cell r="I3036">
            <v>74999</v>
          </cell>
        </row>
        <row r="3037">
          <cell r="F3037">
            <v>8755</v>
          </cell>
          <cell r="G3037" t="str">
            <v>INSTALACIÓN HITO DE 75cm DE ALTURA Y 8 cm DE DIAMETRO CON REFLECTIVOS DE COLOR AMARILLO. (Instalación).</v>
          </cell>
          <cell r="H3037" t="str">
            <v>UN</v>
          </cell>
          <cell r="I3037">
            <v>16029</v>
          </cell>
        </row>
        <row r="3038">
          <cell r="F3038">
            <v>8756</v>
          </cell>
          <cell r="G3038" t="str">
            <v>INSTALACIÓN SEGREGADOR BICICLETA (TACHÓN PLÁSTICO O CAUCHO ALTA RESISTENCIA COMO POLIPROPILENO DE ALTO IMPACTO, CON INSTALACIÓN ESTRUCTURA DE REFUERZO, ELEMENTOS REFLECTIVOS DE ALTA EFICIENCIA. TIPO TRANSMILENIO 40.5cmx15cmx8.5cm).(Instalación).</v>
          </cell>
          <cell r="H3038" t="str">
            <v>UN</v>
          </cell>
          <cell r="I3038">
            <v>16029</v>
          </cell>
        </row>
        <row r="3039">
          <cell r="F3039">
            <v>8764</v>
          </cell>
          <cell r="G3039" t="str">
            <v>ALQUILER DE DISPENSADOR PLÁSTICO DE TOALLAS TIPO Z_(Según Apéndice Bioseguridad Covid 19)</v>
          </cell>
          <cell r="H3039" t="str">
            <v>UN/MES</v>
          </cell>
          <cell r="I3039">
            <v>3274</v>
          </cell>
        </row>
        <row r="3040">
          <cell r="F3040">
            <v>8765</v>
          </cell>
          <cell r="G3040" t="str">
            <v>ALQUILER DE MESA PLÁSTICA DE 0.72m x 0.72m x 0.72m_(Según Apéndice Bioseguridad Covid 19)</v>
          </cell>
          <cell r="H3040" t="str">
            <v>UN/MES</v>
          </cell>
          <cell r="I3040">
            <v>6222</v>
          </cell>
        </row>
        <row r="3041">
          <cell r="F3041">
            <v>8766</v>
          </cell>
          <cell r="G3041" t="str">
            <v>ALQUILER DE TERMÓMETRO INFRARROJO PARA USO EN HUMANOS, LIBRE DE CONTACTO, IMPERMEABLE_(Según Apéndice Bioseguridad Covid 19)</v>
          </cell>
          <cell r="H3041" t="str">
            <v>UN/MES</v>
          </cell>
          <cell r="I3041">
            <v>8250</v>
          </cell>
        </row>
        <row r="3042">
          <cell r="F3042">
            <v>8768</v>
          </cell>
          <cell r="G3042" t="str">
            <v>ALQUILER LAVAMANOS PORTÁTIL EN ACERO INOXIDABLE CON DOS TANQUES PARA AGUA LIMPIA Y RESIDUAL DE 20 LT C/U_ (Según Apéndice Bioseguridad Covid 19)</v>
          </cell>
          <cell r="H3042" t="str">
            <v>UN/MES</v>
          </cell>
          <cell r="I3042">
            <v>78750</v>
          </cell>
        </row>
        <row r="3043">
          <cell r="F3043">
            <v>8771</v>
          </cell>
          <cell r="G3043" t="str">
            <v>ALQUILER CAMILLA EN FIBRA CON ARNÉS - INMOVILIZADOR Y SEÑAL. _(Según Apéndice Bioseguridad Covid 19)</v>
          </cell>
          <cell r="H3043" t="str">
            <v>UN/MES</v>
          </cell>
          <cell r="I3043">
            <v>11993</v>
          </cell>
        </row>
        <row r="3044">
          <cell r="F3044">
            <v>8772</v>
          </cell>
          <cell r="G3044" t="str">
            <v>ALQUILER DE DISPENSADOR DE JABÓN, METÁLICO DE 1LT. _(Según Apéndice Bioseguridad Covid 19)</v>
          </cell>
          <cell r="H3044" t="str">
            <v>UN/MES</v>
          </cell>
          <cell r="I3044">
            <v>7493</v>
          </cell>
        </row>
        <row r="3045">
          <cell r="F3045">
            <v>8773</v>
          </cell>
          <cell r="G3045"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v>
          </cell>
          <cell r="H3045" t="str">
            <v>UN/MES</v>
          </cell>
          <cell r="I3045">
            <v>573603</v>
          </cell>
        </row>
        <row r="3046">
          <cell r="F3046">
            <v>8774</v>
          </cell>
          <cell r="G3046"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v>
          </cell>
          <cell r="H3046" t="str">
            <v>UN/MES</v>
          </cell>
          <cell r="I3046">
            <v>401167</v>
          </cell>
        </row>
        <row r="3047">
          <cell r="F3047">
            <v>8775</v>
          </cell>
          <cell r="G3047" t="str">
            <v>ALQUILER DE FUMIGADORA DE ESPALDA. ASPERSOR BOMBA MANUAL 20 LITROS. DESINFECCIÓN_ (Según Apéndice Bioseguridad Covid 19) INCLUYE MEZCLA AGUA-HIPOCLORITO 20 mml/LITRO</v>
          </cell>
          <cell r="H3047" t="str">
            <v>UN/MES</v>
          </cell>
          <cell r="I3047">
            <v>46152</v>
          </cell>
        </row>
        <row r="3048">
          <cell r="F3048">
            <v>8776</v>
          </cell>
          <cell r="G3048" t="str">
            <v>CENEFA LINEAL EN LOSETA LISA BICAPA TIPO A51 (40 X 20 X 6) cm PARA FRANJA DE SEGURIDAD (Suministro, colocación y compactación con equipo manual. Incluye base en arena de nivelación e=4 cm y arena de sello)</v>
          </cell>
          <cell r="H3048" t="str">
            <v>ML</v>
          </cell>
          <cell r="I3048">
            <v>28141</v>
          </cell>
        </row>
        <row r="3049">
          <cell r="F3049">
            <v>8779</v>
          </cell>
          <cell r="G3049" t="str">
            <v>ANGEO PLÁSTICO (Suministro e instalación)</v>
          </cell>
          <cell r="H3049" t="str">
            <v>M2</v>
          </cell>
          <cell r="I3049">
            <v>2740</v>
          </cell>
        </row>
        <row r="3050">
          <cell r="F3050">
            <v>8780</v>
          </cell>
          <cell r="G3050" t="str">
            <v>ENROCADO EN PIEDRA PARTIDA CON DIÁMETROS DE 25 A 75 MM (Suministro y colocación)</v>
          </cell>
          <cell r="H3050" t="str">
            <v>M3</v>
          </cell>
          <cell r="I3050">
            <v>83238</v>
          </cell>
        </row>
        <row r="3051">
          <cell r="F3051">
            <v>8781</v>
          </cell>
          <cell r="G3051" t="str">
            <v>TEE PE100 PN16 TERMOFUSIÓN 12"X6" (Incluye suministro e instalación)</v>
          </cell>
          <cell r="H3051" t="str">
            <v>UN</v>
          </cell>
          <cell r="I3051">
            <v>2173511</v>
          </cell>
        </row>
        <row r="3052">
          <cell r="F3052">
            <v>8782</v>
          </cell>
          <cell r="G3052" t="str">
            <v>TRAGANTE CÚPULA CONCÉNTRICA DE 8"x 6" EN ALUMINIO (Incluye suministro e instalación)</v>
          </cell>
          <cell r="H3052" t="str">
            <v>UN</v>
          </cell>
          <cell r="I3052">
            <v>104660</v>
          </cell>
        </row>
        <row r="3053">
          <cell r="F3053">
            <v>8785</v>
          </cell>
          <cell r="G3053" t="str">
            <v>EMPATE ORTOGONAL PVC - PVC 3"X3" SEGÚN NORMA NS-023, INCLUYE SUMINISTRO E INSTALACIÓN DE TUBERÍA PVC D=3" U.M RDE 21=1 ML, TEE HD EL 3"X3"=1 UN, UZ U.M PVC D=3"=2 UN, UR U.M PVC D=3"=1 UN (Suministro e instalación)</v>
          </cell>
          <cell r="H3053" t="str">
            <v>UN</v>
          </cell>
          <cell r="I3053">
            <v>484102</v>
          </cell>
        </row>
        <row r="3054">
          <cell r="F3054">
            <v>8786</v>
          </cell>
          <cell r="G3054" t="str">
            <v>EMPATE DE TUBERÍA EN PVC A HG 8" LINEAL TIPO B SEGÚN NORMA NS-023, INCLUYE TUBERÍA PVC D=8" U.M RDE 21=1 ML, UR HD D=8"=1 UN, UZ PVC D=8"=1 UN (Suministro e instalación)</v>
          </cell>
          <cell r="H3054" t="str">
            <v>UN</v>
          </cell>
          <cell r="I3054">
            <v>947019</v>
          </cell>
        </row>
        <row r="3055">
          <cell r="F3055">
            <v>8787</v>
          </cell>
          <cell r="G3055" t="str">
            <v>EMPATE ORTOGONAL PVC - HG 8"X8" SEGÚN NORMA NS-023, INCLUYE SUMINISTRO E INSTALACIÓN DE TUBERÍA PVC D=8" U.M RDE 21=1 ML, TEE HD 8"X8" PARA PVC=1 UN, UR U.M PVC D=8"=1 UN, UZ U.M PVC D=8"=1 UN, UD HD D=8"=2 UN (Suministro e instalación)</v>
          </cell>
          <cell r="H3055" t="str">
            <v>UN</v>
          </cell>
          <cell r="I3055">
            <v>2608766</v>
          </cell>
        </row>
        <row r="3056">
          <cell r="F3056">
            <v>8788</v>
          </cell>
          <cell r="G3056" t="str">
            <v>EMPATE ORTOGONAL PVC - AC 8"X8" SEGÚN NORMA NS-023, INCLUYE SUMINISTRO E INSTALACIÓN DE TUBERÍA PVC D=8" U.M RDE 21=1 ML, TEE HD 8"X8" PARA PVC=1 UN, UR U.M PVC D=8"=1 UN, UZ U.M PVC D=8"=1 UN, UD HD D=8"=2 UN (Suministro e instalación)</v>
          </cell>
          <cell r="H3056" t="str">
            <v>UN</v>
          </cell>
          <cell r="I3056">
            <v>2608766</v>
          </cell>
        </row>
        <row r="3057">
          <cell r="F3057">
            <v>8789</v>
          </cell>
          <cell r="G3057" t="str">
            <v>ABONO ORGÁNICO COMPOST (Incluye suministro, transporte y extendido manual)</v>
          </cell>
          <cell r="H3057" t="str">
            <v>M3</v>
          </cell>
          <cell r="I3057">
            <v>9497187</v>
          </cell>
        </row>
        <row r="3058">
          <cell r="F3058">
            <v>8790</v>
          </cell>
          <cell r="G3058" t="str">
            <v>PIEDRA PÓMEZ (Incluye suministro, transporte y extendido manual)</v>
          </cell>
          <cell r="H3058" t="str">
            <v>M3</v>
          </cell>
          <cell r="I3058">
            <v>1847187</v>
          </cell>
        </row>
        <row r="3059">
          <cell r="F3059">
            <v>8791</v>
          </cell>
          <cell r="G3059" t="str">
            <v>REJA TIPO PASARELA FUNDICIÓN CLASE DE CARGA C250, Ancho=323 mm (Incluye suministro e instalación)</v>
          </cell>
          <cell r="H3059" t="str">
            <v>ML</v>
          </cell>
          <cell r="I3059">
            <v>852437</v>
          </cell>
        </row>
        <row r="3060">
          <cell r="F3060">
            <v>8792</v>
          </cell>
          <cell r="G3060" t="str">
            <v>TUBERÍA PVC SANITARIA D=10" TIPO U.S. (Incluye suministro e instalación)</v>
          </cell>
          <cell r="H3060" t="str">
            <v>ML</v>
          </cell>
          <cell r="I3060">
            <v>197930</v>
          </cell>
        </row>
        <row r="3061">
          <cell r="F3061">
            <v>8793</v>
          </cell>
          <cell r="G3061" t="str">
            <v>TEE PVC SANITARIA D=6" (Incluye suministro e instalación)</v>
          </cell>
          <cell r="H3061" t="str">
            <v>UN</v>
          </cell>
          <cell r="I3061">
            <v>213551</v>
          </cell>
        </row>
        <row r="3062">
          <cell r="F3062">
            <v>8794</v>
          </cell>
          <cell r="G3062" t="str">
            <v>CODO 22.5° CXC PVC SANITARIA D=6" (Incluye suministro e instalación).</v>
          </cell>
          <cell r="H3062" t="str">
            <v>UN</v>
          </cell>
          <cell r="I3062">
            <v>184603</v>
          </cell>
        </row>
        <row r="3063">
          <cell r="F3063">
            <v>8799</v>
          </cell>
          <cell r="G3063" t="str">
            <v>VÁLVULA CHEQUE O ANTIRETORNO DE 2" CLASE 300 (Incluye suministro e instalación).</v>
          </cell>
          <cell r="H3063" t="str">
            <v>UN</v>
          </cell>
          <cell r="I3063">
            <v>363999</v>
          </cell>
        </row>
        <row r="3064">
          <cell r="F3064">
            <v>8827</v>
          </cell>
          <cell r="G3064" t="str">
            <v>RECUBRIMIENTO EPÓXICO DE DOS COMPONENTES, CON ALTA RESISTENCIA AL ATAQUE QUÍMICO Y MECÁNICO EN LOS MUROS INTERNOS DE LOS CÁRCAMOS (DOS CAPAS DE 0.15mm C/U). Suministro e instalación.</v>
          </cell>
          <cell r="H3064" t="str">
            <v>M2</v>
          </cell>
          <cell r="I3064">
            <v>93725</v>
          </cell>
        </row>
        <row r="3065">
          <cell r="F3065">
            <v>8893</v>
          </cell>
          <cell r="G3065" t="str">
            <v>TRASLADO ESTACIÓN REGULADORA DE PRESIÓN CON RAMAL PRINCIPAL Y VRP DE 6" Y BY PASS DE 3" (Instalación). PROYECTO. Diseño de la Carrera 4 este entre las diagonales 50 Sur y la Calle 46A Bis Sur - La Victoria</v>
          </cell>
          <cell r="H3065" t="str">
            <v>UN</v>
          </cell>
          <cell r="I3065">
            <v>2024737</v>
          </cell>
        </row>
        <row r="3066">
          <cell r="F3066">
            <v>8904</v>
          </cell>
          <cell r="G3066" t="str">
            <v>SARDINEL DRENANTE H=255mm (Suministro e Instalación. Incluye 3cm Mortero 1:5)</v>
          </cell>
          <cell r="H3066" t="str">
            <v>ML</v>
          </cell>
          <cell r="I3066">
            <v>436026</v>
          </cell>
        </row>
        <row r="3067">
          <cell r="F3067">
            <v>8920</v>
          </cell>
          <cell r="G3067" t="str">
            <v>SARDINEL DE DRENAJE H=33cm Long=0,5m - INSPECCIÓN (Incluye 3cm Mortero 1:5. Suministro e Instalación.)</v>
          </cell>
          <cell r="H3067" t="str">
            <v>UN</v>
          </cell>
          <cell r="I3067">
            <v>1608849</v>
          </cell>
        </row>
        <row r="3068">
          <cell r="F3068">
            <v>8926</v>
          </cell>
          <cell r="G3068" t="str">
            <v>SARDINEL DRENANTE h=255mm, Long=0,5m-INSPECCIÓN (Incluye 3cm Mortero 1:5. Suministro e Instalación)</v>
          </cell>
          <cell r="H3068" t="str">
            <v>UN</v>
          </cell>
          <cell r="I3068">
            <v>487582</v>
          </cell>
        </row>
        <row r="3069">
          <cell r="F3069">
            <v>8946</v>
          </cell>
          <cell r="G3069" t="str">
            <v>TAPA INICIO / FINAL PARA SARDINEL DRENANTE h=255mm  (Suministro e Instalación)</v>
          </cell>
          <cell r="H3069" t="str">
            <v>UN</v>
          </cell>
          <cell r="I3069">
            <v>411411</v>
          </cell>
        </row>
        <row r="3070">
          <cell r="F3070">
            <v>8951</v>
          </cell>
          <cell r="G3070" t="str">
            <v xml:space="preserve">TAPA INICIO / FINAL PARA SARDINEL DE DRENAJE RD 200 H33 (Suministro e Instalación) </v>
          </cell>
          <cell r="H3070" t="str">
            <v>UN</v>
          </cell>
          <cell r="I3070">
            <v>432235</v>
          </cell>
        </row>
        <row r="3071">
          <cell r="F3071">
            <v>8953</v>
          </cell>
          <cell r="G3071" t="str">
            <v>BARANDA METALICA M-82 PREFABRICADA MOV. REDUCIDA BORDE DE VIA (Incluye dados de concreto 3000psi grava común de 0.20 x 0.20m y recubrimiento en epóxico y esmalte uretano). Suministro e Instalación</v>
          </cell>
          <cell r="H3071" t="str">
            <v>ML</v>
          </cell>
          <cell r="I3071">
            <v>530950</v>
          </cell>
        </row>
        <row r="3072">
          <cell r="F3072">
            <v>8955</v>
          </cell>
          <cell r="G3072" t="str">
            <v>BARANDA METALICA M-82 PREFABRICADA MOV. REDUCIDA ACCESO A PREDIOS (Incluye recubrimiento en epóxico y esmalte uretano). Suministro e Instalación</v>
          </cell>
          <cell r="H3072" t="str">
            <v>ML</v>
          </cell>
          <cell r="I3072">
            <v>503400</v>
          </cell>
        </row>
        <row r="3073">
          <cell r="F3073">
            <v>8958</v>
          </cell>
          <cell r="G3073" t="str">
            <v>BLOQUE DE CEMENTO MACIZO PEATONAL COLORES 20X20X6cm (Suministro e Instalación. Arena de sello, corte de adoquin y emboquillado)</v>
          </cell>
          <cell r="H3073" t="str">
            <v>M2</v>
          </cell>
          <cell r="I3073">
            <v>87375</v>
          </cell>
        </row>
        <row r="3074">
          <cell r="F3074">
            <v>8960</v>
          </cell>
          <cell r="G3074" t="str">
            <v>ALQUILER DE LAVAMANOS PORTATIL DE PEDAL TIPO MANOS LIBRES</v>
          </cell>
          <cell r="H3074" t="str">
            <v>UN/MES</v>
          </cell>
          <cell r="I3074">
            <v>78750</v>
          </cell>
        </row>
        <row r="3075">
          <cell r="F3075">
            <v>8961</v>
          </cell>
          <cell r="G3075" t="str">
            <v>ALQUILER DE TERMOMETRO DIGITAL, INFRAROJO PARA USO EN HUMANOS, LIBRE DE CONTACTO, IMPERMEABLE. (INCLUYE CALIBRACION)</v>
          </cell>
          <cell r="H3075" t="str">
            <v>UN/MES</v>
          </cell>
          <cell r="I3075">
            <v>59817</v>
          </cell>
        </row>
        <row r="3076">
          <cell r="F3076">
            <v>8962</v>
          </cell>
          <cell r="G3076" t="str">
            <v>ALQUILER DE DISPENSADOR DE JABÓN LÍQUIDO O GEL ANTIBACTERIAL - ALCOHOL, CON PEDAL METÁLICO</v>
          </cell>
          <cell r="H3076" t="str">
            <v>UN/MES</v>
          </cell>
          <cell r="I3076">
            <v>4165</v>
          </cell>
        </row>
        <row r="3077">
          <cell r="F3077">
            <v>8963</v>
          </cell>
          <cell r="G3077" t="str">
            <v>ALQUILER DE DISPENSADOR PLÁSTICO DE TOALLAS DE PAPEL</v>
          </cell>
          <cell r="H3077" t="str">
            <v>UN/MES</v>
          </cell>
          <cell r="I3077">
            <v>3274</v>
          </cell>
        </row>
        <row r="3078">
          <cell r="F3078">
            <v>8964</v>
          </cell>
          <cell r="G3078" t="str">
            <v>PAQUETE DE ELEMENTOS PARA LIMPIEZA Y DESINFECCIÓN PARA 10 TRABAJADORES EN OBRA (INCLUYE ALCOHOL, TOALLAS DE PAPEL, JABON LIQUIDO, GEL ANTIBACTERIAL, SUMINISTRO AGUA PARA EL LAVAMANOS)</v>
          </cell>
          <cell r="H3078" t="str">
            <v>UN/MES</v>
          </cell>
          <cell r="I3078">
            <v>456004</v>
          </cell>
        </row>
        <row r="3079">
          <cell r="F3079">
            <v>8965</v>
          </cell>
          <cell r="G3079" t="str">
            <v>RECOLECCION, TRANSPORTE Y DISPOSICION DE RESIDUOS LÍQUIDOS PROVENIENTES DE LAVAMANOS PORTATILES. (INCLUYE EQUIPO DE SUCCIÓN)</v>
          </cell>
          <cell r="H3079" t="str">
            <v>M3</v>
          </cell>
          <cell r="I3079">
            <v>297500</v>
          </cell>
        </row>
        <row r="3080">
          <cell r="F3080">
            <v>8966</v>
          </cell>
          <cell r="G3080" t="str">
            <v>ALQUILER DE BOTIQUIN TIPO B DOTADO PORTATIL</v>
          </cell>
          <cell r="H3080" t="str">
            <v>UN/MES</v>
          </cell>
          <cell r="I3080">
            <v>25493</v>
          </cell>
        </row>
        <row r="3081">
          <cell r="F3081">
            <v>8970</v>
          </cell>
          <cell r="G3081" t="str">
            <v>CAJILLA PLASTICA Y TAPA EN POLIPROPILENO PARA MEDIDOR. SUMINISTRO E INSTALACION</v>
          </cell>
          <cell r="H3081" t="str">
            <v>UN</v>
          </cell>
          <cell r="I3081">
            <v>291867</v>
          </cell>
        </row>
        <row r="3082">
          <cell r="F3082">
            <v>8971</v>
          </cell>
          <cell r="G3082" t="str">
            <v>Detección y Georreferenciación con equipos GPR (Radares de penetración terrestre) y de detección EM de tuberías enterradas bajo superficie - Incluye Equipos GNSS, Transporte, Mano de obra, informe, radargrama, planos y demás costos asociados a la actividad.</v>
          </cell>
          <cell r="H3082" t="str">
            <v>M2</v>
          </cell>
          <cell r="I3082">
            <v>5730</v>
          </cell>
        </row>
        <row r="3083">
          <cell r="F3083">
            <v>8972</v>
          </cell>
          <cell r="G3083" t="str">
            <v>AFOROS DE TRANSITO (MOTORIZADOS Y NO MOTORIZADOS) A PARTIR DE CAPTURA DE VIDEO. Incluye digitación y entrega de base de datos en archivo Excel. Captura día hábil y no hábil, con sus respectivos movimientos. Incluye todos los costos directos e indirectos.</v>
          </cell>
          <cell r="H3083" t="str">
            <v>HR</v>
          </cell>
          <cell r="I3083">
            <v>251285</v>
          </cell>
        </row>
        <row r="3084">
          <cell r="F3084">
            <v>8973</v>
          </cell>
          <cell r="G3084" t="str">
            <v>Proyecto Av.Boyacá desde la AC 170 hasta la AC 183: PISOS EN LOSETA PREFABRICADA A51 (20x40x6cm) COLOR OCRE. (Suministro e instalación. Incluye Base 4cm de Mortero 2000 PSI y Arena de Sello)</v>
          </cell>
          <cell r="H3084" t="str">
            <v>M2</v>
          </cell>
          <cell r="I3084">
            <v>68523</v>
          </cell>
        </row>
        <row r="3085">
          <cell r="F3085">
            <v>8974</v>
          </cell>
          <cell r="G3085" t="str">
            <v>Proyecto Av.Boyacá desde la AC 170 hasta la AC 183: PISOS EN LOSETA PREFABRICADA A51 (20x40x6cm) COLOR ARENA. (Suministro e instalación. Incluye Base 4cm de Mortero 2000 PSI y Arena de Sello)</v>
          </cell>
          <cell r="H3085" t="str">
            <v>M2</v>
          </cell>
          <cell r="I3085">
            <v>68523</v>
          </cell>
        </row>
        <row r="3086">
          <cell r="F3086">
            <v>8975</v>
          </cell>
          <cell r="G3086" t="str">
            <v>Proyecto Av.Boyacá desde la AC 170 hasta la AC 183: PISOS EN LOSETA PREFABRICADA A51 (20x40x6cm) COLOR GRIS. (Suministro e instalación. Incluye Base 4cm de Mortero 2000 PSI y Arena de Sello)</v>
          </cell>
          <cell r="H3086" t="str">
            <v>M2</v>
          </cell>
          <cell r="I3086">
            <v>66262</v>
          </cell>
        </row>
        <row r="3087">
          <cell r="F3087">
            <v>8976</v>
          </cell>
          <cell r="G3087" t="str">
            <v xml:space="preserve">Proyecto Av.Boyacá desde la AC 170 hasta la AC 183: PISO EN LOSETA PREFABRICADA A55 TACTIL ALERTA (40x40x6cm) COLOR AMARILLO. (Suministro e instalación. Incluye Base 4cm de Mortero 2000 PSI y Arena de Sello) </v>
          </cell>
          <cell r="H3087" t="str">
            <v>M2</v>
          </cell>
          <cell r="I3087">
            <v>82716</v>
          </cell>
        </row>
        <row r="3088">
          <cell r="F3088">
            <v>8977</v>
          </cell>
          <cell r="G3088" t="str">
            <v>Proyecto Av.Boyacá desde la AC 170 hasta la AC 183: GEOBLOQUE DE POLIESTIRENO EXPANDIDO EPS DENSIDAD 29 a 30 Kg/m3 (Suministro e Instalación)</v>
          </cell>
          <cell r="H3088" t="str">
            <v>M3</v>
          </cell>
          <cell r="I3088">
            <v>555904</v>
          </cell>
        </row>
        <row r="3089">
          <cell r="F3089">
            <v>8978</v>
          </cell>
          <cell r="G3089" t="str">
            <v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v>
          </cell>
          <cell r="H3089" t="str">
            <v>ML</v>
          </cell>
          <cell r="I3089">
            <v>371578</v>
          </cell>
        </row>
        <row r="3090">
          <cell r="F3090">
            <v>8979</v>
          </cell>
          <cell r="G3090" t="str">
            <v>Proyecto Av.Boyacá desde la AC 170 hasta la AC 183: VARILLA COOPER WELD 5/8" x 2.44m CON SOLDADURA EXOTERMICA. (Incluye Suministro e Instalación)</v>
          </cell>
          <cell r="H3090" t="str">
            <v>UN</v>
          </cell>
          <cell r="I3090">
            <v>769342</v>
          </cell>
        </row>
        <row r="3091">
          <cell r="F3091">
            <v>8980</v>
          </cell>
          <cell r="G3091" t="str">
            <v>Proyecto Av.Boyacá desde la AC 170 hasta la AC 183: ACOMETIDA DOMICILIARIA DE 1/2" CON COLLAR DE DERIVACION DE 8" x 1".  INCLUYE TUBERIA PF, REGISTROS Y ACCESORIOS, LONGITUD PROMEDIO 6.5m. INCLUYE CAJILLA EN POLIPROPILENO PARA MEDIDOR. (Suministro e Instalación)</v>
          </cell>
          <cell r="H3091" t="str">
            <v>UN</v>
          </cell>
          <cell r="I3091">
            <v>442287</v>
          </cell>
        </row>
        <row r="3092">
          <cell r="F3092">
            <v>8981</v>
          </cell>
          <cell r="G3092" t="str">
            <v>Proyecto Av.Boyacá desde la AC 170 hasta la AC 183: ACOMETIDA DOMICILIARIA DE 1" CON COLLAR DE DERIVACION DE 8" X 1". INCLUYE TUBERIA PF, REGISTROS Y ACCESORIOS, LONGITUD PROMEDIO DE 6.5m, INCLUYE CAJILLA EN POLIPROPILENO PARA MEDIDOR. (Suministro e Instalación)</v>
          </cell>
          <cell r="H3092" t="str">
            <v>UN</v>
          </cell>
          <cell r="I3092">
            <v>440543</v>
          </cell>
        </row>
        <row r="3093">
          <cell r="F3093">
            <v>8982</v>
          </cell>
          <cell r="G3093" t="str">
            <v>Proyecto Av.Boyacá desde la AC 170 hasta la AC 183: CAMARA PREFABRICADA PZ8 RECTA DIAMETRO INTERNO 1.10m, ESPESOR DE PARED: 0.126, INCLUYE AROTAPA Y TAPA. (Suministro e Instalación)</v>
          </cell>
          <cell r="H3093" t="str">
            <v>UN</v>
          </cell>
          <cell r="I3093">
            <v>9840836</v>
          </cell>
        </row>
        <row r="3094">
          <cell r="F3094">
            <v>8983</v>
          </cell>
          <cell r="G3094" t="str">
            <v>Proyecto Av.Boyacá desde la AC 170 hasta la AC 183: CAMARA PREFABRICADA PZ10 RECTA DIAMETRO INTERNO 1.20m, ESPESOR DE PARED: 0.136, INCLUYE AROTAPA Y TAPA. (Suministro e Instalación)</v>
          </cell>
          <cell r="H3094" t="str">
            <v>UN</v>
          </cell>
          <cell r="I3094">
            <v>10339732</v>
          </cell>
        </row>
        <row r="3095">
          <cell r="F3095">
            <v>8984</v>
          </cell>
          <cell r="G3095" t="str">
            <v>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v>
          </cell>
          <cell r="H3095" t="str">
            <v>ML</v>
          </cell>
          <cell r="I3095">
            <v>101054</v>
          </cell>
        </row>
        <row r="3096">
          <cell r="F3096">
            <v>8985</v>
          </cell>
          <cell r="G3096" t="str">
            <v xml:space="preserve">Proyecto Intersección a Desnivel Autopista Sur (NQS) con Av. Bosa: 4 DUCTOS D=4" PVC-TDP MAS 5 TRITUBOS (Incluye Suministro e Instalación. No Incluye Rellenos) </v>
          </cell>
          <cell r="H3096" t="str">
            <v>ML</v>
          </cell>
          <cell r="I3096">
            <v>221313</v>
          </cell>
        </row>
        <row r="3097">
          <cell r="F3097">
            <v>8986</v>
          </cell>
          <cell r="G3097" t="str">
            <v xml:space="preserve">Proyecto Intersección a Desnivel Autopista Sur (NQS) con Av. Bosa: 3 DUCTOS D=4" PVC-TDP MAS 1 TRITUBO (Incluye Suministro e Instalación. No Incluye Rellenos) </v>
          </cell>
          <cell r="H3097" t="str">
            <v>ML</v>
          </cell>
          <cell r="I3097">
            <v>118126</v>
          </cell>
        </row>
        <row r="3098">
          <cell r="F3098">
            <v>8987</v>
          </cell>
          <cell r="G3098" t="str">
            <v xml:space="preserve">Proyecto Intersección a Desnivel Autopista Sur (NQS) con Av. Bosa: 5 DUCTOS D=4" PVC-TDP MAS 2 TRITUBOS (Incluye Suministro e Instalación. No Incluye Rellenos)  </v>
          </cell>
          <cell r="H3098" t="str">
            <v>ML</v>
          </cell>
          <cell r="I3098">
            <v>196252</v>
          </cell>
        </row>
        <row r="3099">
          <cell r="F3099">
            <v>8988</v>
          </cell>
          <cell r="G3099"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H3099" t="str">
            <v>ML</v>
          </cell>
          <cell r="I3099">
            <v>1612019</v>
          </cell>
        </row>
        <row r="3100">
          <cell r="F3100">
            <v>8989</v>
          </cell>
          <cell r="G3100" t="str">
            <v xml:space="preserve">Proyecto Intersección a Desnivel Autopista Sur (NQS) con Av. Bosa: 1 DUCTO D=4" MAS  1 DUCTO DE 3" PVC-TDP  (Incluye Suministro e Instalación. No Incluye Rellenos) </v>
          </cell>
          <cell r="H3100" t="str">
            <v>ML</v>
          </cell>
          <cell r="I3100">
            <v>63288</v>
          </cell>
        </row>
        <row r="3101">
          <cell r="F3101">
            <v>8990</v>
          </cell>
          <cell r="G3101" t="str">
            <v>Proyecto Intersección a Desnivel Autopista Sur (NQS) con Av. Bosa: AISLADOR SÍSMICO CON NÚCLEO DE PLOMO. DIÁMETRO 1.20 m, DESPLAZAMIENTO MÁXIMO 150 mm Y CARGA AXIAL MÁXIMA 10000 kN (Incluye suministro e instalación).</v>
          </cell>
          <cell r="H3101" t="str">
            <v>UN</v>
          </cell>
          <cell r="I3101">
            <v>97848420</v>
          </cell>
        </row>
        <row r="3102">
          <cell r="F3102">
            <v>8991</v>
          </cell>
          <cell r="G3102" t="str">
            <v>Proyecto Intersección a Desnivel Autopista Sur (NQS) con Av. Bosa: ROBLE AUSTRALIANO H=1.5 (Incluye siembra, tierra, abono, transporte y tutor)</v>
          </cell>
          <cell r="H3102" t="str">
            <v>UN</v>
          </cell>
          <cell r="I3102">
            <v>120264</v>
          </cell>
        </row>
        <row r="3103">
          <cell r="F3103">
            <v>8992</v>
          </cell>
          <cell r="G3103" t="str">
            <v>Proyecto Intersección a Desnivel Autopista Sur (NQS) con Av. Bosa: CANALIZACIÓN 8 DUCTOS D=4" PVC - TDP + 1 TRITUBO PE 100 FOPT DE 40mm (1 1/4") RDE 13.5 (Incluye suministro e instalación. No incluye rellenos) xxx</v>
          </cell>
          <cell r="H3103" t="str">
            <v>ML</v>
          </cell>
          <cell r="I3103">
            <v>215136</v>
          </cell>
        </row>
        <row r="3104">
          <cell r="F3104">
            <v>8993</v>
          </cell>
          <cell r="G3104" t="str">
            <v>Proyecto Intersección a Desnivel Autopista Sur (NQS) con Av. Bosa: CAUCHO TEQUENDAMA H=1.5 (Incluye siembra, tierra, abono, transporte y tutor)</v>
          </cell>
          <cell r="H3104" t="str">
            <v>UN</v>
          </cell>
          <cell r="I3104">
            <v>94730</v>
          </cell>
        </row>
        <row r="3105">
          <cell r="F3105">
            <v>8994</v>
          </cell>
          <cell r="G3105" t="str">
            <v>Proyecto Intersección a Desnivel Autopista Sur (NQS) con Av. Bosa: CAJA DE PASO de 1.60m x 1.60m TEL NIN-112 UNE EPM</v>
          </cell>
          <cell r="H3105" t="str">
            <v>UN</v>
          </cell>
          <cell r="I3105">
            <v>3963346</v>
          </cell>
        </row>
        <row r="3106">
          <cell r="F3106">
            <v>8995</v>
          </cell>
          <cell r="G3106" t="str">
            <v>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v>
          </cell>
          <cell r="H3106" t="str">
            <v>ML</v>
          </cell>
          <cell r="I3106">
            <v>744494</v>
          </cell>
        </row>
        <row r="3107">
          <cell r="F3107">
            <v>8996</v>
          </cell>
          <cell r="G3107" t="str">
            <v>Proyecto Intersección a Desnivel Autopista Sur (NQS) con Av. Bosa: CINTURÓN DE CIERRE EN ACERO Φ16" REVESTIDO CON PINTURA ANTICORROSIVA. L=0,30M. FABRICADO APARTIR DE LÁMINA ASTM A 36 DE ESPESOR 6MM. PRESIÓN DE TRABAJO = 150 PSI (Incluye suministro e instalación).</v>
          </cell>
          <cell r="H3107" t="str">
            <v>UN</v>
          </cell>
          <cell r="I3107">
            <v>369245</v>
          </cell>
        </row>
        <row r="3108">
          <cell r="F3108">
            <v>8997</v>
          </cell>
          <cell r="G3108" t="str">
            <v>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v>
          </cell>
          <cell r="H3108" t="str">
            <v>UN</v>
          </cell>
          <cell r="I3108">
            <v>3777210</v>
          </cell>
        </row>
        <row r="3109">
          <cell r="F3109">
            <v>8998</v>
          </cell>
          <cell r="G3109" t="str">
            <v>Proyecto Intersección a Desnivel Autopista Sur (NQS) con Av. Bosa: CINTURÓN DE CIERRE EN ACERO Φ 24" REVESTIDO CON PINTURA ANTICORROSIVA. L=0,30M. FABRICADO APARTIR DE LÁMINA ASTM A 36 DE ESPESOR 6MM. PRESIÓN DE TRABAJO = 150 PSI (Incluye suministro e instalación).</v>
          </cell>
          <cell r="H3109" t="str">
            <v>UN</v>
          </cell>
          <cell r="I3109">
            <v>605004</v>
          </cell>
        </row>
        <row r="3110">
          <cell r="F3110">
            <v>8999</v>
          </cell>
          <cell r="G3110" t="str">
            <v>Proyecto Intersección a Desnivel Autopista Sur (NQS) con Av. Bosa: CINTURÓN DE CIERRE EN ACERO Φ36" REVESTIDO CON PINTURA ANTICORROSIVA. L=0,30M. FABRICADO APARTIR DE LÁMINA ASTM A 36 DE ESPESOR 6MM. PRESIÓN DE TRABAJO = 150 PSI (Incluye suministro e instalación).</v>
          </cell>
          <cell r="H3110" t="str">
            <v>UN</v>
          </cell>
          <cell r="I3110">
            <v>898183</v>
          </cell>
        </row>
        <row r="3111">
          <cell r="F3111">
            <v>9000</v>
          </cell>
          <cell r="G3111"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v>
          </cell>
          <cell r="H3111" t="str">
            <v>UN</v>
          </cell>
          <cell r="I3111">
            <v>11862481</v>
          </cell>
        </row>
        <row r="3112">
          <cell r="F3112">
            <v>9001</v>
          </cell>
          <cell r="G3112" t="str">
            <v>Proyecto Intersección a Desnivel Autopista Sur (NQS) con Av. Bosa: BASE GRANULAR CLASE A (BG-A) ESTABILIZADA CON CEMENTO ASFALTICO CONVENCIONAL TIPO MGEA_A (Incluye suministro, transporte, colocación y compactación).</v>
          </cell>
          <cell r="H3112" t="str">
            <v>M3</v>
          </cell>
          <cell r="I3112">
            <v>511550</v>
          </cell>
        </row>
        <row r="3113">
          <cell r="F3113">
            <v>9002</v>
          </cell>
          <cell r="G3113" t="str">
            <v>Proyecto Intersección a Desnivel Autopista Sur (NQS) con Av. Bosa: PICTOGRAMA VELOCIDAD MENOS DE 60 KM/H. (Incluye suministro e instalación).</v>
          </cell>
          <cell r="H3113" t="str">
            <v>UN</v>
          </cell>
          <cell r="I3113">
            <v>387532</v>
          </cell>
        </row>
        <row r="3114">
          <cell r="F3114">
            <v>9003</v>
          </cell>
          <cell r="G3114" t="str">
            <v>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v>
          </cell>
          <cell r="H3114" t="str">
            <v>UN</v>
          </cell>
          <cell r="I3114">
            <v>18205557</v>
          </cell>
        </row>
        <row r="3115">
          <cell r="F3115">
            <v>9004</v>
          </cell>
          <cell r="G3115" t="str">
            <v>Proyecto Intersección a Desnivel Autopista Sur (NQS) con Av. Bosa: Pilote FDP (Full displacement pile) Concreto Tremie 3000 PSI de 40 cm de diámetro.</v>
          </cell>
          <cell r="H3115" t="str">
            <v>ML</v>
          </cell>
          <cell r="I3115">
            <v>152327</v>
          </cell>
        </row>
        <row r="3116">
          <cell r="F3116">
            <v>9005</v>
          </cell>
          <cell r="G3116"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v>
          </cell>
          <cell r="H3116" t="str">
            <v>UN</v>
          </cell>
          <cell r="I3116">
            <v>552444</v>
          </cell>
        </row>
        <row r="3117">
          <cell r="F3117">
            <v>9006</v>
          </cell>
          <cell r="G3117" t="str">
            <v>Proyecto Intersección a Desnivel Autopista Sur (NQS) con Av. Bosa: COMPENSADOR DE DILATACIÓN DE GOMA DN-400 CON CUERPO EN EPDM Y REFUERZO DE NYLON; CON BRIDAS GIRATORIAS ZINCADAS EN ACERO CARBONO TALADRADAS SEGÚN ASA 150 LBS. L= 130 MM (Incluye suministro e instalación).</v>
          </cell>
          <cell r="H3117" t="str">
            <v>UN</v>
          </cell>
          <cell r="I3117">
            <v>6689050</v>
          </cell>
        </row>
        <row r="3118">
          <cell r="F3118">
            <v>9007</v>
          </cell>
          <cell r="G3118" t="str">
            <v>Proyecto Intersección a Desnivel Autopista Sur (NQS) con Av. Bosa: TUBERÍA HD, ACUEDUCTO, PN 16, D=300 mm 12" (Suministro e instalación)</v>
          </cell>
          <cell r="H3118" t="str">
            <v>ML</v>
          </cell>
          <cell r="I3118">
            <v>105806</v>
          </cell>
        </row>
        <row r="3119">
          <cell r="F3119">
            <v>9008</v>
          </cell>
          <cell r="G3119" t="str">
            <v xml:space="preserve">Proyecto Intersección a Desnivel Autopista Sur (NQS) con Av. Bosa: CAJA PARA LAS DERIVACIONES DE 24" A 12" DE LA RED MATRIZ DE ACUEDUCTO. </v>
          </cell>
          <cell r="H3119" t="str">
            <v>UN</v>
          </cell>
          <cell r="I3119">
            <v>91565441</v>
          </cell>
        </row>
        <row r="3120">
          <cell r="F3120">
            <v>9009</v>
          </cell>
          <cell r="G3120" t="str">
            <v>Proyecto Intersección a Desnivel Autopista Sur (NQS) con Av. Bosa: Demolición de muro existente con cemento expansivo</v>
          </cell>
          <cell r="H3120" t="str">
            <v>M3</v>
          </cell>
          <cell r="I3120">
            <v>123986</v>
          </cell>
        </row>
        <row r="3121">
          <cell r="F3121">
            <v>9010</v>
          </cell>
          <cell r="G3121" t="str">
            <v>Proyecto Intersección a Desnivel Autopista Sur (NQS) con Av. Bosa: TUBERÍA HD, ACUERDUCTO, PN 16, D=150mm-6" (Suministro e instalación)</v>
          </cell>
          <cell r="H3121" t="str">
            <v>ML</v>
          </cell>
          <cell r="I3121">
            <v>46137</v>
          </cell>
        </row>
        <row r="3122">
          <cell r="F3122">
            <v>9011</v>
          </cell>
          <cell r="G3122" t="str">
            <v>Proyecto Intersección a Desnivel Autopista Sur (NQS) con Av. Bosa: POSTENSIONAMIENTO PARA SUPERESTRUCTURA FU=1860 MPA ASTM A -416 GR 270 BAJA RELAJACIÓN. (Incluye torones, anclaje, ductos con uniones, servicio de tensionamiento con gato multitorón e inyección con equipos y operarios.</v>
          </cell>
          <cell r="H3122" t="str">
            <v>TON-M</v>
          </cell>
          <cell r="I3122">
            <v>3213</v>
          </cell>
        </row>
        <row r="3123">
          <cell r="F3123">
            <v>9012</v>
          </cell>
          <cell r="G3123" t="str">
            <v xml:space="preserve">Proyecto Intersección a Desnivel Autopista Sur (NQS) con Av. Bosa: 4 DUCTOS D=4" PVC-TDP MAS 2 TRITUBOS (Incluye Suministro e Instalación. No Incluye Rellenos) </v>
          </cell>
          <cell r="H3123" t="str">
            <v>ML</v>
          </cell>
          <cell r="I3123">
            <v>168368</v>
          </cell>
        </row>
        <row r="3124">
          <cell r="F3124">
            <v>9014</v>
          </cell>
          <cell r="G3124" t="str">
            <v>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H3124" t="str">
            <v>KG</v>
          </cell>
          <cell r="I3124">
            <v>19323</v>
          </cell>
        </row>
        <row r="3125">
          <cell r="F3125">
            <v>9015</v>
          </cell>
          <cell r="G3125" t="str">
            <v xml:space="preserve">Proyecto Intersección a Desnivel Autopista Sur (NQS) con Av. Bosa: CAJA PARA LAS DERIVACIONES DE 36" A 12" DE LA RED MATRIZ DE ACUEDUCTO. </v>
          </cell>
          <cell r="H3125" t="str">
            <v>UN</v>
          </cell>
          <cell r="I3125">
            <v>95983647</v>
          </cell>
        </row>
        <row r="3126">
          <cell r="F3126">
            <v>9016</v>
          </cell>
          <cell r="G3126" t="str">
            <v>Proyecto Intersección a Desnivel Autopista Sur (NQS) con Av. Bosa: FONDO DE JUNTA EN ESPUMA DE POLIETILENO DE BAJA DENSIDAD D= 32 mm. Suministro e instalación</v>
          </cell>
          <cell r="H3126" t="str">
            <v>ML</v>
          </cell>
          <cell r="I3126">
            <v>10878</v>
          </cell>
        </row>
        <row r="3127">
          <cell r="F3127">
            <v>9017</v>
          </cell>
          <cell r="G3127" t="str">
            <v>Proyecto Intersección a Desnivel Autopista Sur (NQS) con Av. Bosa: ADOQUIN DE ARCILLA COLOR ROJO O SIMILAR (26x6x6cm) (Incluye arena de peña para sello, Base 5cm en mortero de 2000 PSI) Transporte petreos 28 Km. SUMINISTRO E INSTALACIÓN.</v>
          </cell>
          <cell r="H3127" t="str">
            <v>M2</v>
          </cell>
          <cell r="I3127">
            <v>81594</v>
          </cell>
        </row>
        <row r="3128">
          <cell r="F3128">
            <v>9018</v>
          </cell>
          <cell r="G3128" t="str">
            <v>Proyecto Intersección a Desnivel Autopista Sur (NQS) con Av. Bosa: TUBERÍA HD, ACUEDUCTO, PN 16, D=100mm - 4" (Suministro e instalación)</v>
          </cell>
          <cell r="H3128" t="str">
            <v>ML</v>
          </cell>
          <cell r="I3128">
            <v>19609</v>
          </cell>
        </row>
        <row r="3129">
          <cell r="F3129">
            <v>9019</v>
          </cell>
          <cell r="G3129" t="str">
            <v>Proyecto Intersección a Desnivel Autopista Sur (NQS) con Av. Bosa: SEÑAL INFORMATIVA SI-28, TABLERO 85.01cm x 26.00cm REFLECTIVO ALTA INTENSIDAD, PEDESTAL EN ÁNGULO DE 2"x2"x1/4" H= 2.60m EN PINTURA ELECTROSTÁTICA. INCLUYE SUMINISTRO E INSTALACIÓN</v>
          </cell>
          <cell r="H3129" t="str">
            <v>UN</v>
          </cell>
          <cell r="I3129">
            <v>417896</v>
          </cell>
        </row>
        <row r="3130">
          <cell r="F3130">
            <v>9020</v>
          </cell>
          <cell r="G3130" t="str">
            <v>Proyecto Intersección a Desnivel Autopista Sur (NQS) con Av. Bosa: BASE ESTABILIZADA CON ASFALTO EN CALIENTE MEZCLADA EN PLANTA (Incluye suministro, extendido, nivelación y compactación).</v>
          </cell>
          <cell r="H3130" t="str">
            <v>M3</v>
          </cell>
          <cell r="I3130">
            <v>620478</v>
          </cell>
        </row>
        <row r="3131">
          <cell r="F3131">
            <v>9021</v>
          </cell>
          <cell r="G3131" t="str">
            <v>Proyecto Intersección a Desnivel Autopista Sur (NQS) con Av. Bosa: TUBERÍA HD, ACUEDUCTO, PN 16, D=200 mm-8" (Suministro e instalación)</v>
          </cell>
          <cell r="H3131" t="str">
            <v>ML</v>
          </cell>
          <cell r="I3131">
            <v>49075</v>
          </cell>
        </row>
        <row r="3132">
          <cell r="F3132">
            <v>9022</v>
          </cell>
          <cell r="G3132" t="str">
            <v>Proyecto Intersección a Desnivel Autopista Sur (NQS) con Av. Bosa: JUNTA DE DILATACION ELASTOMÉRICA T-160 PARA DESPLAZAMIENTO 160mm+/-80mm  (Incluye Suministro e instalación y material para anclajes).</v>
          </cell>
          <cell r="H3132" t="str">
            <v>ML</v>
          </cell>
          <cell r="I3132">
            <v>2799812</v>
          </cell>
        </row>
        <row r="3133">
          <cell r="F3133">
            <v>9023</v>
          </cell>
          <cell r="G3133" t="str">
            <v>Proyecto Intersección a Desnivel Autopista Sur (NQS) con Av. Bosa: CÁMARA EN CONCRETO DE 4000 PSI GRAVA COMÚN PREFABRICADO TIPO II. SUMINISTRO E INSTALACIÓN.</v>
          </cell>
          <cell r="H3133" t="str">
            <v>UN</v>
          </cell>
          <cell r="I3133">
            <v>21888054</v>
          </cell>
        </row>
        <row r="3134">
          <cell r="F3134">
            <v>9024</v>
          </cell>
          <cell r="G3134" t="str">
            <v>Proyecto Intersección a Desnivel Autopista Sur (NQS) con Av. Bosa: CONFORMACION DE TERRAPLENES CON MATERIAL DE EXCAVACIÓN. (Incluye equipo y mano de obra)</v>
          </cell>
          <cell r="H3134" t="str">
            <v>M3</v>
          </cell>
          <cell r="I3134">
            <v>10921</v>
          </cell>
        </row>
        <row r="3135">
          <cell r="F3135">
            <v>9025</v>
          </cell>
          <cell r="G3135" t="str">
            <v>Proyecto Intersección a Desnivel Autopista Sur (NQS) con Av. Bosa: JUNTA DE DILATACION ELASTOMÉRICA PARA DESPLAZAMIENTO MIN=+/- 100 MM A MAX =+/- 115 MM (Incluye Suministro, accesorios, materiales e instalación).</v>
          </cell>
          <cell r="H3135" t="str">
            <v>ML</v>
          </cell>
          <cell r="I3135">
            <v>3743478</v>
          </cell>
        </row>
        <row r="3136">
          <cell r="F3136">
            <v>9026</v>
          </cell>
          <cell r="G3136" t="str">
            <v>Proyecto Intersección a Desnivel Autopista Sur (NQS) con Av. Bosa: TERRAPLÉN EN CENIZA DE ALTO HORNO. INCLUYE ADICIÓN DEL 6% DE CAL. SUMINISTRO E INSTALACIÓN, EXTENDIDO, HUMEDECIMIENTO, COMPACTACIÓN Y TRANSPORTE.</v>
          </cell>
          <cell r="H3136" t="str">
            <v>M3</v>
          </cell>
          <cell r="I3136">
            <v>197260</v>
          </cell>
        </row>
        <row r="3137">
          <cell r="F3137">
            <v>9027</v>
          </cell>
          <cell r="G3137" t="str">
            <v>Proyecto Intersección a Desnivel Autopista Sur (NQS) con Av. Bosa: VÁLVULA DE MARIPOSA Ø 16"A BRIDA - BRIDA (A) (150 PSI). SUMINISTRO E INSTALACIÓN</v>
          </cell>
          <cell r="H3137" t="str">
            <v>UN</v>
          </cell>
          <cell r="I3137">
            <v>4271188</v>
          </cell>
        </row>
        <row r="3138">
          <cell r="F3138">
            <v>9028</v>
          </cell>
          <cell r="G3138" t="str">
            <v>Estudios y Diseños proyectos de Valorización: APIQUE MANUAL HASTA 1.50m DE 0.50m X 0.50m - (Relleno y adecuación del sitio - incluye transporte.)</v>
          </cell>
          <cell r="H3138" t="str">
            <v>M3</v>
          </cell>
          <cell r="I3138">
            <v>297500</v>
          </cell>
        </row>
        <row r="3139">
          <cell r="F3139">
            <v>9029</v>
          </cell>
          <cell r="G3139" t="str">
            <v>Estudios y Diseños proyectos de Valorización: APIQUE MANUAL EN ZONA DURA DE 0,65m x 0,65m x1,5m (Incluye demolición, excavación, recuperación de muestras alteradas e inalteradas, reparación con base granular y mezcla en frío e=0,10m) - Horario Nocturno</v>
          </cell>
          <cell r="H3139" t="str">
            <v>UN</v>
          </cell>
          <cell r="I3139">
            <v>678577</v>
          </cell>
        </row>
        <row r="3140">
          <cell r="F3140">
            <v>9030</v>
          </cell>
          <cell r="G3140" t="str">
            <v>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v>
          </cell>
          <cell r="H3140" t="str">
            <v>UN</v>
          </cell>
          <cell r="I3140">
            <v>874127</v>
          </cell>
        </row>
        <row r="3141">
          <cell r="F3141">
            <v>9031</v>
          </cell>
          <cell r="G3141" t="str">
            <v>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v>
          </cell>
          <cell r="H3141" t="str">
            <v>UN</v>
          </cell>
          <cell r="I3141">
            <v>1838994</v>
          </cell>
        </row>
        <row r="3142">
          <cell r="F3142">
            <v>9032</v>
          </cell>
          <cell r="G3142" t="str">
            <v>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v>
          </cell>
          <cell r="H3142" t="str">
            <v>UN</v>
          </cell>
          <cell r="I3142">
            <v>3081748</v>
          </cell>
        </row>
        <row r="3143">
          <cell r="F3143">
            <v>9033</v>
          </cell>
          <cell r="G3143" t="str">
            <v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v>
          </cell>
          <cell r="H3143" t="str">
            <v>UN</v>
          </cell>
          <cell r="I3143">
            <v>4049220</v>
          </cell>
        </row>
        <row r="3144">
          <cell r="F3144">
            <v>9034</v>
          </cell>
          <cell r="G3144" t="str">
            <v>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v>
          </cell>
          <cell r="H3144" t="str">
            <v>UN</v>
          </cell>
          <cell r="I3144">
            <v>3996649</v>
          </cell>
        </row>
        <row r="3145">
          <cell r="F3145">
            <v>9035</v>
          </cell>
          <cell r="G3145" t="str">
            <v>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v>
          </cell>
          <cell r="H3145" t="str">
            <v>UN</v>
          </cell>
          <cell r="I3145">
            <v>6859811</v>
          </cell>
        </row>
        <row r="3146">
          <cell r="F3146">
            <v>9036</v>
          </cell>
          <cell r="G3146" t="str">
            <v>PROYECTO CONSTRUCCIÓN DE LA AVENIDA BOYACÁ (AK 72) CÁMARA GRP P271 TIPO II (0°) DN ENTRADA 2000 DN SALIDA 2000 (BL1+BL2=2250 MM) DN CHIMENEA  1200 (H=1550 MM), INCLUYE ESCALERA Y ACCESORIOS, NO INCLUYE TRANSPORTE NI TUBERÍA . SUMINISTRO E INSTALACIÓ</v>
          </cell>
          <cell r="H3146" t="str">
            <v>UN</v>
          </cell>
          <cell r="I3146">
            <v>31081793</v>
          </cell>
        </row>
        <row r="3147">
          <cell r="F3147">
            <v>9037</v>
          </cell>
          <cell r="G3147" t="str">
            <v>PROYECTO CONSTRUCCIÓN DE LA AVENIDA BOYACÁ (AK 72) CÁMARA GRP P2 TIPO II (1°-30°) DN ENTRADA 2000 DN SALIDA 2000 (BL1+BL2=3200 MM) DN CHIMENEA  1200 (H=1550 MM), INCLUYE ESCALERA Y ACCESORIOS, NO  INCLUYE TRANSPORTE NI TUBERÍA . SUMINISTRO E INSTALACIÓN</v>
          </cell>
          <cell r="H3147" t="str">
            <v>UN</v>
          </cell>
          <cell r="I3147">
            <v>37912295</v>
          </cell>
        </row>
        <row r="3148">
          <cell r="F3148">
            <v>9038</v>
          </cell>
          <cell r="G3148" t="str">
            <v>PROYECTO CONSTRUCCIÓN DE LA AVENIDA BOYACÁ (AK 72) CÁMARA GRP P70 TIPO II (31°-60°) DN ENTRADA 2000 DN SALIDA 2000 (BL1+BL2=3800 MM) DN CHIMENEA  1200 (H=1550 MM), INCLUYE ESCALERA Y ACCESORIOS, NO INCLUYE TRANSPORTE NI TUBERÍA. SUMINISTRO E INSTALACIÓN</v>
          </cell>
          <cell r="H3148" t="str">
            <v>UN</v>
          </cell>
          <cell r="I3148">
            <v>42116509</v>
          </cell>
        </row>
        <row r="3149">
          <cell r="F3149">
            <v>9039</v>
          </cell>
          <cell r="G3149" t="str">
            <v>IMPERMEABILIZACIÓN DE TABLERO CON MANTO BITUMINOSO ASFÁLTICO IMPERMEABILIZANTE HDPE + FP 250 (A TODO COSTO INCLUYE PREPARACIÓN DE SUPERFICIE)</v>
          </cell>
          <cell r="H3149" t="str">
            <v>M2</v>
          </cell>
          <cell r="I3149">
            <v>50919</v>
          </cell>
        </row>
        <row r="3150">
          <cell r="F3150">
            <v>9040</v>
          </cell>
          <cell r="G3150" t="str">
            <v>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v>
          </cell>
          <cell r="H3150" t="str">
            <v>M2</v>
          </cell>
          <cell r="I3150">
            <v>405192</v>
          </cell>
        </row>
        <row r="3151">
          <cell r="F3151">
            <v>9041</v>
          </cell>
          <cell r="G3151" t="str">
            <v>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v>
          </cell>
          <cell r="H3151" t="str">
            <v>UN</v>
          </cell>
          <cell r="I3151">
            <v>990304</v>
          </cell>
        </row>
        <row r="3152">
          <cell r="F3152">
            <v>9042</v>
          </cell>
          <cell r="G3152" t="str">
            <v>DESMONTE DE BARRERAS METÁLICAS (A TODO COSTO)</v>
          </cell>
          <cell r="H3152" t="str">
            <v>ML</v>
          </cell>
          <cell r="I3152">
            <v>55521</v>
          </cell>
        </row>
        <row r="3153">
          <cell r="F3153">
            <v>9044</v>
          </cell>
          <cell r="G3153" t="str">
            <v>REFORZAMIENTO DE VIGAS METÁLICAS EN LÁMINA DE ACERO LÁMINA HR 8mm x 20"A588 GR B/A709 GR 50/W DE 8x560x9000 mm INCLUYE SUMINISTRO DE MATERIALES, EQUIPOS, TRANSPORTES, MANEJO, ALMACENAMIENTO, DESPERDICIOS Y MANO DE OBRA</v>
          </cell>
          <cell r="H3153" t="str">
            <v>UN</v>
          </cell>
          <cell r="I3153">
            <v>6184595</v>
          </cell>
        </row>
        <row r="3154">
          <cell r="F3154">
            <v>9045</v>
          </cell>
          <cell r="G3154" t="str">
            <v xml:space="preserve">DESMONTE Y MONTAJE DE DUCTERÍA EMT EXISTENTE INCLUYE MANO DE OBRA NO INCLUYE MATERIALES							</v>
          </cell>
          <cell r="H3154" t="str">
            <v>ML</v>
          </cell>
          <cell r="I3154">
            <v>6610</v>
          </cell>
        </row>
        <row r="3155">
          <cell r="F3155">
            <v>9046</v>
          </cell>
          <cell r="G3155" t="str">
            <v xml:space="preserve">DESMONTE Y MONTAJE DE CAJAS ELÉCTRICAS METÁLICAS EXISTENTES INCLUYE MANO DE OBRA NO INCLUYE MATERIALES							</v>
          </cell>
          <cell r="H3155" t="str">
            <v>UN</v>
          </cell>
          <cell r="I3155">
            <v>24764</v>
          </cell>
        </row>
        <row r="3156">
          <cell r="F3156">
            <v>9047</v>
          </cell>
          <cell r="G3156" t="str">
            <v xml:space="preserve">DESMONTE Y MONTAJE DE LUMINARIAS EXISTENTES INCLUYE MANO DE OBRA NO INCLUYE MATERIALES							</v>
          </cell>
          <cell r="H3156" t="str">
            <v>UN</v>
          </cell>
          <cell r="I3156">
            <v>68834</v>
          </cell>
        </row>
        <row r="3157">
          <cell r="F3157">
            <v>9048</v>
          </cell>
          <cell r="G3157" t="str">
            <v xml:space="preserve">DESMONTE Y MONTAJE DE CABLE EXISTENTE INCLUYE MANO DE OBRA NO INCLUYE MATERIALES							</v>
          </cell>
          <cell r="H3157" t="str">
            <v>ML</v>
          </cell>
          <cell r="I3157">
            <v>3306</v>
          </cell>
        </row>
        <row r="3158">
          <cell r="F3158">
            <v>9049</v>
          </cell>
          <cell r="G3158" t="str">
            <v>Ejecución de las obras y actividades complementarias para el reforzamiento estructural de puentes vehiculares en Bogotá D.C. Grupo C - VÁLVULA TIPO MARIPOSA DOBLE EXCENTRICIDAD SIN ACTUADOR 150PSI Ø20" (INCLUYE SUMINISTRO E INSTALACIÓN)</v>
          </cell>
          <cell r="H3158" t="str">
            <v>UN</v>
          </cell>
          <cell r="I3158">
            <v>27258350</v>
          </cell>
        </row>
        <row r="3159">
          <cell r="F3159">
            <v>9050</v>
          </cell>
          <cell r="G3159" t="str">
            <v>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v>
          </cell>
          <cell r="H3159" t="str">
            <v>UN</v>
          </cell>
          <cell r="I3159">
            <v>4453314</v>
          </cell>
        </row>
        <row r="3160">
          <cell r="F3160">
            <v>9051</v>
          </cell>
          <cell r="G3160" t="str">
            <v>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v>
          </cell>
          <cell r="H3160" t="str">
            <v>UN</v>
          </cell>
          <cell r="I3160">
            <v>6633161</v>
          </cell>
        </row>
        <row r="3161">
          <cell r="F3161">
            <v>9052</v>
          </cell>
          <cell r="G3161" t="str">
            <v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v>
          </cell>
          <cell r="H3161" t="str">
            <v>CM.PER</v>
          </cell>
          <cell r="I3161">
            <v>2555</v>
          </cell>
        </row>
        <row r="3162">
          <cell r="F3162">
            <v>9053</v>
          </cell>
          <cell r="G3162" t="str">
            <v>EXTRACCION Y REEMPLAZO DE NEOPRENO DE 5,0 CM DE ESPESOR, SECCIÓN 40 CM POR 50 CM, DUREZA 60. CON REFUERZO DE 2 LÁMINAS DE 1/4" EN LOS COSTADOS DE CADA TOPE SÍSMICO. SUMINISTRO E INSTALACIÓN.</v>
          </cell>
          <cell r="H3162" t="str">
            <v>UN</v>
          </cell>
          <cell r="I3162">
            <v>4788997</v>
          </cell>
        </row>
        <row r="3163">
          <cell r="F3163">
            <v>9054</v>
          </cell>
          <cell r="G3163" t="str">
            <v>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v>
          </cell>
          <cell r="H3163" t="str">
            <v>CM.PER</v>
          </cell>
          <cell r="I3163">
            <v>2117</v>
          </cell>
        </row>
        <row r="3164">
          <cell r="F3164">
            <v>9055</v>
          </cell>
          <cell r="G3164" t="str">
            <v>SUMINISTRO Y APLICACIÓN DE UNA CAPA DE ANTICORROSIVO DE 3 MILS DE ESPESOR DE PELÍCULA SECA IMPRIMANTE EPÓXICO, PREVIA PREPARACIÓN DE LA SUPERFICIE MEDIANTE LIMPIEZA MANUAL O MECÁNICA, SEGÚN LAS NORMAS SSPC-SP2</v>
          </cell>
          <cell r="H3164" t="str">
            <v>ML</v>
          </cell>
          <cell r="I3164">
            <v>12645</v>
          </cell>
        </row>
        <row r="3165">
          <cell r="F3165">
            <v>9056</v>
          </cell>
          <cell r="G3165" t="str">
            <v>BARRERA METALICA PARA PUENTE PEATONAL - INCLUYE SUMINISTRO E INSTALACION</v>
          </cell>
          <cell r="H3165" t="str">
            <v>ML</v>
          </cell>
          <cell r="I3165">
            <v>616252</v>
          </cell>
        </row>
        <row r="3166">
          <cell r="F3166">
            <v>9057</v>
          </cell>
          <cell r="G3166" t="str">
            <v>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v>
          </cell>
          <cell r="H3166" t="str">
            <v>ML</v>
          </cell>
          <cell r="I3166">
            <v>1638630</v>
          </cell>
        </row>
        <row r="3167">
          <cell r="F3167">
            <v>9058</v>
          </cell>
          <cell r="G3167" t="str">
            <v>MANTENIMIENTO PERIÓDICO - MEJORAMIENTO DE LA SUPERFICIE EXISTENTE CON FRESADO ESTABILIZADO AL 5% CON EMULSIÓN CRL-1</v>
          </cell>
          <cell r="H3167" t="str">
            <v>M2</v>
          </cell>
          <cell r="I3167">
            <v>129668</v>
          </cell>
        </row>
        <row r="3168">
          <cell r="F3168">
            <v>9059</v>
          </cell>
          <cell r="G3168" t="str">
            <v>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v>
          </cell>
          <cell r="H3168" t="str">
            <v>M2</v>
          </cell>
          <cell r="I3168">
            <v>38243</v>
          </cell>
        </row>
        <row r="3169">
          <cell r="F3169">
            <v>9060</v>
          </cell>
          <cell r="G3169" t="str">
            <v>Reforzamiento Puentes Vehiculares sobre la Av. Ciudad de Quito y Centenario - CTO 1436 DE 2017. INYECCIONES EPÓXICAS CON ADHESIVO ESTRUCTURAL EN LAS FISURAS EN LOS ELEMENTOS ESTRUCTURALES EXISTENTES (SOLO SE ESTIMARÁN LAS FISURAS PARA LOS ELEMENTOS QUE NO SE VAYAN A REFORZAR)</v>
          </cell>
          <cell r="H3169" t="str">
            <v>ML</v>
          </cell>
          <cell r="I3169">
            <v>32102</v>
          </cell>
        </row>
        <row r="3170">
          <cell r="F3170">
            <v>9061</v>
          </cell>
          <cell r="G3170" t="str">
            <v>Reforzamiento Puentes Vehiculares sobre la Av. Ciudad de Quito y Centenario - CTO 1436 DE 2017. REPARACIÓN DE LOS MUROS DE APROXIMACIÓN</v>
          </cell>
          <cell r="H3170" t="str">
            <v>M2</v>
          </cell>
          <cell r="I3170">
            <v>45291</v>
          </cell>
        </row>
        <row r="3171">
          <cell r="F3171">
            <v>9062</v>
          </cell>
          <cell r="G3171" t="str">
            <v>Reforzamiento Puentes Vehiculares sobre la Av. Ciudad de Quito y Centenario - CTO 1436 DE 2017.  INSTALACIÓN BARRERA CO2 (CUBRIRÁ EL PERÍMETRO DE VIGAS, PILAS Y ÁREA INFERIOR DEL TABLERO)</v>
          </cell>
          <cell r="H3171" t="str">
            <v>M2</v>
          </cell>
          <cell r="I3171">
            <v>21348</v>
          </cell>
        </row>
        <row r="3172">
          <cell r="F3172">
            <v>9063</v>
          </cell>
          <cell r="G3172" t="str">
            <v>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v>
          </cell>
          <cell r="H3172" t="str">
            <v>M2</v>
          </cell>
          <cell r="I3172">
            <v>7378</v>
          </cell>
        </row>
        <row r="3173">
          <cell r="F3173">
            <v>9064</v>
          </cell>
          <cell r="G3173" t="str">
            <v>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v>
          </cell>
          <cell r="H3173" t="str">
            <v>ML</v>
          </cell>
          <cell r="I3173">
            <v>1793167</v>
          </cell>
        </row>
        <row r="3174">
          <cell r="F3174">
            <v>9065</v>
          </cell>
          <cell r="G3174" t="str">
            <v>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v>
          </cell>
          <cell r="H3174" t="str">
            <v>ML</v>
          </cell>
          <cell r="I3174">
            <v>2069383</v>
          </cell>
        </row>
        <row r="3175">
          <cell r="F3175">
            <v>9066</v>
          </cell>
          <cell r="G3175" t="str">
            <v>Reforzamiento Puentes Vehiculares sobre la Av. Ciudad de Quito y Centenario - CTO 1436 DE 2017.  LOCALIZACIÓN Y REPLANTEO DE REDES</v>
          </cell>
          <cell r="H3175" t="str">
            <v>ML</v>
          </cell>
          <cell r="I3175">
            <v>1068</v>
          </cell>
        </row>
        <row r="3176">
          <cell r="F3176">
            <v>9067</v>
          </cell>
          <cell r="G3176" t="str">
            <v>Reforzamiento Puentes Vehiculares sobre la Av. Ciudad de Quito y Centenario - CTO 1436 DE 2017. EMPRADIZACION, incluye suministro e instalación de cespedón.</v>
          </cell>
          <cell r="H3176" t="str">
            <v>M2</v>
          </cell>
          <cell r="I3176">
            <v>6563</v>
          </cell>
        </row>
        <row r="3177">
          <cell r="F3177">
            <v>9068</v>
          </cell>
          <cell r="G3177" t="str">
            <v>Reforzamiento Puentes Vehiculares sobre la Av. Ciudad de Quito y Centenario - CTO 1436 DE 2017. TORONES POSTENSADOS PARA REFORZAMIENTO EXTERNO DE 1/2" TENSIONADO 16,9 TON. SUMINISTRO E INSTALACIÓN, TENSIONAMIENTO, MANO DE OBRA, EQUIPOS EN GENERAL</v>
          </cell>
          <cell r="H3177" t="str">
            <v>ML</v>
          </cell>
          <cell r="I3177">
            <v>20757</v>
          </cell>
        </row>
        <row r="3178">
          <cell r="F3178">
            <v>9069</v>
          </cell>
          <cell r="G3178" t="str">
            <v>Reforzamiento Puentes Vehiculares sobre la Av. Ciudad de Quito y Centenario - CTO 1436 DE 2017. REFORZAMIENTO PUENTE AV NQS - CLL 19, TORON Ø 5/8" ADHERIDO ASTM 416, GRADO 270K, BAJA RELACIÓN (VIGAS NUEVAS), incluye suministro e instalación mano de obra, equipos en general</v>
          </cell>
          <cell r="H3178" t="str">
            <v>ML</v>
          </cell>
          <cell r="I3178">
            <v>14486</v>
          </cell>
        </row>
        <row r="3179">
          <cell r="F3179">
            <v>9070</v>
          </cell>
          <cell r="G3179" t="str">
            <v>Reforzamiento Puentes Vehiculares sobre la Av. Ciudad de Quito y Centenario - CTO 1436 DE 2017.  TEE HD EXTREMO LISO 20"X20" (SUMINISTRO E INSTALACIÓN)</v>
          </cell>
          <cell r="H3179" t="str">
            <v>UN</v>
          </cell>
          <cell r="I3179">
            <v>8538241</v>
          </cell>
        </row>
        <row r="3180">
          <cell r="F3180">
            <v>9071</v>
          </cell>
          <cell r="G3180" t="str">
            <v>Reforzamiento Puentes Vehiculares sobre la Av. Ciudad de Quito y Centenario - CTO 1436 DE 2017. VALVULA PURGA D = 4" (INCLUYE SUMINISTRO E INSTALACIÓN)</v>
          </cell>
          <cell r="H3180" t="str">
            <v>UN</v>
          </cell>
          <cell r="I3180">
            <v>1047826</v>
          </cell>
        </row>
        <row r="3181">
          <cell r="F3181">
            <v>9072</v>
          </cell>
          <cell r="G3181" t="str">
            <v>LOSA DE CONCRETO MR45 ACELERADO A 7 DIAS (Suministro, Formaleteado, Colocación y Acabado. No Incluye Acero, Curado, Juntas) VIA TEXTURIZADA</v>
          </cell>
          <cell r="H3181" t="str">
            <v>M3</v>
          </cell>
          <cell r="I3181">
            <v>737542</v>
          </cell>
        </row>
        <row r="3182">
          <cell r="F3182">
            <v>9073</v>
          </cell>
          <cell r="G3182" t="str">
            <v>PISO EN CONCRETO MR45 (315 Kg/Cm2) GRAVA COMÚN ACELERADO A 7 DÍAS, ESTAMPADO PARA POMPEYANOS Y VIAS A DESNIVEL, COLOR OCRE (Incluye suministro y colocación de concreto, juego de moldes, desmoldante en polvo, curador para concreto, corte y sellado de juntas).</v>
          </cell>
          <cell r="H3182" t="str">
            <v>M2</v>
          </cell>
          <cell r="I3182">
            <v>301370</v>
          </cell>
        </row>
        <row r="3183">
          <cell r="F3183">
            <v>9074</v>
          </cell>
          <cell r="G3183" t="str">
            <v>RECUBRIMIENTO DE HASTA 5 CM CON MORTERO DE REPARACIÓN DE ALTA  RESISTENCIA DE REFUERZOS EN FIBRA</v>
          </cell>
          <cell r="H3183" t="str">
            <v>M2</v>
          </cell>
          <cell r="I3183">
            <v>206910</v>
          </cell>
        </row>
        <row r="3184">
          <cell r="F3184">
            <v>9075</v>
          </cell>
          <cell r="G3184" t="str">
            <v>SUMINISTRO E INSTALACIÓN DE REDUCCIÓN EN ACERO Ø 20" x 16" CON ESPIGO Ø 20" Y CAMPANA Ø 16, REVESTIDA INTERIOR Y EXTERIOR CON MORTERO CEMENTO. L= 0,58m PRESIÓN DE TRABAJO= 150 PSI</v>
          </cell>
          <cell r="H3184" t="str">
            <v>UN</v>
          </cell>
          <cell r="I3184">
            <v>3001842</v>
          </cell>
        </row>
        <row r="3185">
          <cell r="F3185">
            <v>9076</v>
          </cell>
          <cell r="G3185" t="str">
            <v>CODO EN ACERO Ø24" ENTRE 67 1/2° Y 90° JUNTA ESPIGO Y CAMPANA, CON EMPAQUE DE CAUCHO, CON REVEST.INT. Y RECUBR. EXT. EN MORTERO DE CEMENTO. L= 1.65m x 1.65m PRESIÓN DE TRABAJO 150PSI. SUMINISTRO E INSTALACIÓN</v>
          </cell>
          <cell r="H3185" t="str">
            <v>UN</v>
          </cell>
          <cell r="I3185">
            <v>9051576</v>
          </cell>
        </row>
        <row r="3186">
          <cell r="F3186">
            <v>9077</v>
          </cell>
          <cell r="G3186" t="str">
            <v>TAPÓN DE ACERO 16" SOLDADO (INCLUYE SUMINISTRO E INSTALACIÓN)</v>
          </cell>
          <cell r="H3186" t="str">
            <v>UN</v>
          </cell>
          <cell r="I3186">
            <v>462098</v>
          </cell>
        </row>
        <row r="3187">
          <cell r="F3187">
            <v>9078</v>
          </cell>
          <cell r="G3187" t="str">
            <v xml:space="preserve">Proyecto factibilidad, estudios y diseños para la construcción de los puntos inestables de la vía Bogotá - La Calera: RELLENO EN CONCRETO CELULAR DE 1500 psi 28 días. (Incluye Suministro e Instalación) </v>
          </cell>
          <cell r="H3187" t="str">
            <v>M3</v>
          </cell>
          <cell r="I3187">
            <v>507527</v>
          </cell>
        </row>
        <row r="3188">
          <cell r="F3188">
            <v>9079</v>
          </cell>
          <cell r="G3188" t="str">
            <v>Proyecto factibilidad, estudios y diseños para la construcción de los puntos inestables de la vía Bogotá - La Calera: MANTO GEOSINTÉTICO COMPUESTO DE CEMENTO A GRANEL. DIMENSIONES: 1.10m DE ANCHO x 8mm DE ESPESOR .  (Incluye Suministro e Instalación)</v>
          </cell>
          <cell r="H3188" t="str">
            <v>M2</v>
          </cell>
          <cell r="I3188">
            <v>324322</v>
          </cell>
        </row>
        <row r="3189">
          <cell r="F3189">
            <v>9080</v>
          </cell>
          <cell r="G3189" t="str">
            <v xml:space="preserve">Proyecto factibilidad, estudios y diseños para la construcción de los puntos inestables de la vía Bogotá - La Calera: INCLINOMETRO D=70mm (INCLUYE EQUIPO DE PERFORACIÓN, TAPON SUPERIOR E INFERIOR, SOLDADURA PARA PVC).  (Suministro y Colocación) </v>
          </cell>
          <cell r="H3189" t="str">
            <v>ML</v>
          </cell>
          <cell r="I3189">
            <v>564409</v>
          </cell>
        </row>
        <row r="3190">
          <cell r="F3190">
            <v>9081</v>
          </cell>
          <cell r="G3190" t="str">
            <v>Proyecto factibilidad, estudios y diseños para la construcción de los puntos inestables de la vía Bogotá - La Calera: MOJON DE CONCRETO DE 0,3 x 0,3 x 0,3m (Incluye Suministro e Instalación)</v>
          </cell>
          <cell r="H3190" t="str">
            <v>UN</v>
          </cell>
          <cell r="I3190">
            <v>52953</v>
          </cell>
        </row>
        <row r="3191">
          <cell r="F3191">
            <v>9082</v>
          </cell>
          <cell r="G3191"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H3191" t="str">
            <v>GLB</v>
          </cell>
          <cell r="I3191">
            <v>53265610</v>
          </cell>
        </row>
        <row r="3192">
          <cell r="F3192">
            <v>9083</v>
          </cell>
          <cell r="G3192" t="str">
            <v>Proyecto factibilidad, estudios y diseños para la construcción de los puntos inestables de la vía Bogotá - La Calera: LAMINA GALVANIZADA POR KILOGRAMO. (Incluye Suministro y colocación)</v>
          </cell>
          <cell r="H3192" t="str">
            <v>KG</v>
          </cell>
          <cell r="I3192">
            <v>8675</v>
          </cell>
        </row>
        <row r="3193">
          <cell r="F3193">
            <v>9084</v>
          </cell>
          <cell r="G3193" t="str">
            <v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v>
          </cell>
          <cell r="H3193" t="str">
            <v>UN</v>
          </cell>
          <cell r="I3193">
            <v>279888</v>
          </cell>
        </row>
        <row r="3194">
          <cell r="F3194">
            <v>9085</v>
          </cell>
          <cell r="G3194" t="str">
            <v>MEZCLA ASFÁLTICA EN CALIENTE TIPO MS 20 CON ADICIÓN DE FIBRA SINTÉTICA DE ALTA RESISTENCIA (ARAMIDA Y POLIOLEFINA).SUMINISTRO, EXTENDIDO, NIVELACIÓN Y COMPACTACIÓN</v>
          </cell>
          <cell r="H3194" t="str">
            <v>M3</v>
          </cell>
          <cell r="I3194">
            <v>696911</v>
          </cell>
        </row>
        <row r="3195">
          <cell r="F3195">
            <v>9086</v>
          </cell>
          <cell r="G319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v>
          </cell>
          <cell r="H3195" t="str">
            <v>M3</v>
          </cell>
          <cell r="I3195">
            <v>675069</v>
          </cell>
        </row>
        <row r="3196">
          <cell r="F3196">
            <v>9087</v>
          </cell>
          <cell r="G3196" t="str">
            <v>JUNTA DE DILATACION ELASTOMÉRICA 160 DESPLAZAMIENTO 160MM+/-80MM  (INCLUYE SUMINISTRO E INSTALACIÓN Y MATERIAL PARA ANCLAJES).</v>
          </cell>
          <cell r="H3196" t="str">
            <v>ML</v>
          </cell>
          <cell r="I3196">
            <v>1228686</v>
          </cell>
        </row>
        <row r="3197">
          <cell r="F3197">
            <v>9088</v>
          </cell>
          <cell r="G3197" t="str">
            <v>REEMPLAZO DE JUNTA DE DILATACION ELASTOMÉRICA 230 DESPLAZAMIENTO 230MM+/-115MM (INLCUYE SUMINSTRO, ACCESORIOS, MATERIALES E INSTALACIÓN)</v>
          </cell>
          <cell r="H3197" t="str">
            <v>ML</v>
          </cell>
          <cell r="I3197">
            <v>2684416</v>
          </cell>
        </row>
        <row r="3198">
          <cell r="F3198">
            <v>9089</v>
          </cell>
          <cell r="G3198"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H3198" t="str">
            <v>ML</v>
          </cell>
          <cell r="I3198">
            <v>2298790</v>
          </cell>
        </row>
        <row r="3199">
          <cell r="F3199">
            <v>9090</v>
          </cell>
          <cell r="G3199" t="str">
            <v>Ampliacion puente vehicular calle 153 por Autonorte - Construcción Pilote FDP (Full displacement pile) Concreto Tremie 3000 PSI de 40 cm de diámetro.</v>
          </cell>
          <cell r="H3199" t="str">
            <v>ML</v>
          </cell>
          <cell r="I3199">
            <v>148416</v>
          </cell>
        </row>
        <row r="3200">
          <cell r="F3200">
            <v>9091</v>
          </cell>
          <cell r="G3200" t="str">
            <v>Ampliacion puente vehicular calle 153 por Autonorte - Mamposteria en bloque Ecomuro de 40x40x20 cm.  Suministro e instalación.  No incluye acero de dovelas, concreto para viguetas y columnas, ni grouting de nivelación.</v>
          </cell>
          <cell r="H3200" t="str">
            <v>M2</v>
          </cell>
          <cell r="I3200">
            <v>137977</v>
          </cell>
        </row>
        <row r="3201">
          <cell r="F3201">
            <v>9092</v>
          </cell>
          <cell r="G3201" t="str">
            <v>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v>
          </cell>
          <cell r="H3201" t="str">
            <v>GLB</v>
          </cell>
          <cell r="I3201">
            <v>243464141</v>
          </cell>
        </row>
        <row r="3202">
          <cell r="F3202">
            <v>9093</v>
          </cell>
          <cell r="G3202" t="str">
            <v>Ampliacion puente vehicular calle 153 por Autonorte - Pruebas PIT a pilotes de 0.50-0.60m de diámetro</v>
          </cell>
          <cell r="H3202" t="str">
            <v>UN</v>
          </cell>
          <cell r="I3202">
            <v>160844</v>
          </cell>
        </row>
        <row r="3203">
          <cell r="F3203">
            <v>9094</v>
          </cell>
          <cell r="G3203" t="str">
            <v>VIGA CABEZAL EN CONCRETO DE 5000 PSI GRAVA COMÚN PREMEZCLADO (INCLUYE SUMINISTRO, FORMALETEO, BOMBEO CON AUTOBOMBA Y CURADO. NO INCLUYE REFUERZO)</v>
          </cell>
          <cell r="H3203" t="str">
            <v>M3</v>
          </cell>
          <cell r="I3203">
            <v>821326</v>
          </cell>
        </row>
        <row r="3204">
          <cell r="F3204">
            <v>9095</v>
          </cell>
          <cell r="G3204" t="str">
            <v>PLACA DE APROXIMACIÓN PARA PUENTE VEHICULAR EN CONCRETO DE 5000 PSI GRAVA COMÚN (PREMEZCLADO. INCLUYE SUMIN., FORMALETEO, CURADO Y COLOCACIÓN. NO INCL. REFUERZO).</v>
          </cell>
          <cell r="H3204" t="str">
            <v>M3</v>
          </cell>
          <cell r="I3204">
            <v>692826</v>
          </cell>
        </row>
        <row r="3205">
          <cell r="F3205">
            <v>9096</v>
          </cell>
          <cell r="G3205" t="str">
            <v>VIGA DIAFRAGMA EN CONCRETO DE 5000 PSI GRAVA COMÚN PREMEZCLADO (INCLUYE SUMINISTRO, FORMALETEO, BOMBEO CON AUTOBOMBA Y CURADO. NO INCLUYE REFUERZO)</v>
          </cell>
          <cell r="H3205" t="str">
            <v>M3</v>
          </cell>
          <cell r="I3205">
            <v>874139</v>
          </cell>
        </row>
        <row r="3206">
          <cell r="F3206">
            <v>9097</v>
          </cell>
          <cell r="G3206" t="str">
            <v>Conteo cualitativo y cuantitativo de fitolitos en las muestras de suelo, interpretando y reconstruyendo el contexto arqueobótanico. Incluye informe.</v>
          </cell>
          <cell r="H3206" t="str">
            <v>UN</v>
          </cell>
          <cell r="I3206">
            <v>1885000</v>
          </cell>
        </row>
        <row r="3207">
          <cell r="F3207">
            <v>9098</v>
          </cell>
          <cell r="G3207" t="str">
            <v>Datación por Carbono 14 y extracción de colageno oseo. Incluye transporte aereo de muestra desde Bogota hasta Ciudad de Mexico. Incluye informe.</v>
          </cell>
          <cell r="H3207" t="str">
            <v>UN</v>
          </cell>
          <cell r="I3207">
            <v>4076396</v>
          </cell>
        </row>
        <row r="3208">
          <cell r="F3208">
            <v>9099</v>
          </cell>
          <cell r="G3208" t="str">
            <v>Elaboración, digitalización y descripción de sección delgada de fragmento ceramica. Incluye informe.</v>
          </cell>
          <cell r="H3208" t="str">
            <v>UN</v>
          </cell>
          <cell r="I3208">
            <v>1106700</v>
          </cell>
        </row>
        <row r="3209">
          <cell r="F3209">
            <v>9100</v>
          </cell>
          <cell r="G3209" t="str">
            <v xml:space="preserve">Prueba de carga estatica en Pilote  hasta 100 Ton. ASTM D1143-07. Incluye Transporte de Equipos </v>
          </cell>
          <cell r="H3209" t="str">
            <v>UN</v>
          </cell>
          <cell r="I3209">
            <v>15291500</v>
          </cell>
        </row>
        <row r="3210">
          <cell r="F3210">
            <v>9101</v>
          </cell>
          <cell r="G3210" t="str">
            <v>Analisis Bioantropologico de  restos oseos humanos, cuarteta basica , informe y base de datos detallada. (Incluye limpieza, registro fotográfico e informe detallado).</v>
          </cell>
          <cell r="H3210" t="str">
            <v>UN</v>
          </cell>
          <cell r="I3210">
            <v>1605888</v>
          </cell>
        </row>
        <row r="3211">
          <cell r="F3211">
            <v>9102</v>
          </cell>
          <cell r="G3211" t="str">
            <v>BEE ESPUMADO (BASE ASFÁLTICA RECICLADA CON BASE ESPUMADA)</v>
          </cell>
          <cell r="H3211" t="str">
            <v>M3</v>
          </cell>
          <cell r="I3211">
            <v>118943</v>
          </cell>
        </row>
        <row r="3212">
          <cell r="F3212">
            <v>9103</v>
          </cell>
          <cell r="G3212" t="str">
            <v>Ejecución de Obras y actividades complementarias para el reforzamiento estructural de puentes vehiculares en Bogotá D.C. - MICROPILOTE PARA CIMENTACIÓN REFERENCIA TITÁN 73/35 (BARRA AUTOPERFORANTE).</v>
          </cell>
          <cell r="H3212" t="str">
            <v>ML</v>
          </cell>
          <cell r="I3212">
            <v>989661</v>
          </cell>
        </row>
        <row r="3213">
          <cell r="F3213">
            <v>9104</v>
          </cell>
          <cell r="G3213" t="str">
            <v>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v>
          </cell>
          <cell r="H3213" t="str">
            <v>UN</v>
          </cell>
          <cell r="I3213">
            <v>13875400</v>
          </cell>
        </row>
        <row r="3214">
          <cell r="F3214">
            <v>9105</v>
          </cell>
          <cell r="G3214" t="str">
            <v>Ejecución de Obras y actividades complementarias para el reforzamiento estructural de puentes vehiculares en Bogotá D.C., REDUCCION EN ACERO 24"X20" CON ESPIGO 24" Y CAMPANA 20" CON REVESTIMIENTOS INTERIOR Y EXTERIOR EN MORTERO DE CEMENTO. L=0,54 M. PRESIÓN DE TRABAJO=150 PSI.</v>
          </cell>
          <cell r="H3214" t="str">
            <v>UN</v>
          </cell>
          <cell r="I3214">
            <v>4474004</v>
          </cell>
        </row>
        <row r="3215">
          <cell r="F3215">
            <v>9106</v>
          </cell>
          <cell r="G3215" t="str">
            <v>Ejecución de Obras y actividades complementarias para el reforzamiento estructural de puentes vehiculares en Bogotá D.C., REDUCCION EN ACERO 24"X16" CON ESPIGO 24" Y CAMPANA 16" CON REVESTIMIENTOS INTERIOR Y EXTERIOR EN MORTERO DE CEMENTO. L=1,00 M. PRESIÓN DE TRABAJO=150 PSI.</v>
          </cell>
          <cell r="H3215" t="str">
            <v>UN</v>
          </cell>
          <cell r="I3215">
            <v>4752603</v>
          </cell>
        </row>
        <row r="3216">
          <cell r="F3216">
            <v>9107</v>
          </cell>
          <cell r="G3216" t="str">
            <v>REFORZAMIENTO CON TEJIDO UNIDIRECCIONAL DE FIBRA DE CARBONO . (SUMINISTRO E INSTALACIÓN,  INCLUYE TODOS LOS COSTOS DE PREPARACIÓN SUPERFICIE Y SUMINISTRO DE MATERIALES).</v>
          </cell>
          <cell r="H3216" t="str">
            <v>M2</v>
          </cell>
          <cell r="I3216">
            <v>386293</v>
          </cell>
        </row>
        <row r="3217">
          <cell r="F3217">
            <v>9108</v>
          </cell>
          <cell r="G3217" t="str">
            <v>Ejecución de Obras y actividades complementarias para el reforzamiento estructural de puentes vehiculares en Bogotá D.C., BLOQUE DE POLIESTIRENO EXPANDIDO. Densidad 30 Kg/M3 MEDIDAS 3,07m x 1,30m x 0,53m (2,12 M3). (Incluye transporte e instalación).</v>
          </cell>
          <cell r="H3217" t="str">
            <v>M3</v>
          </cell>
          <cell r="I3217">
            <v>274432</v>
          </cell>
        </row>
        <row r="3218">
          <cell r="F3218">
            <v>9109</v>
          </cell>
          <cell r="G3218" t="str">
            <v>CONCRETO 2000 PSI GRAVA COMÚN 14 MPA (140 Kg/Cm2) PARA SOLADOS (PREMEZCLADO. INCLUYE SUMINISTRO Y COLOCACIÓN).</v>
          </cell>
          <cell r="H3218" t="str">
            <v>M3</v>
          </cell>
          <cell r="I3218">
            <v>537396</v>
          </cell>
        </row>
        <row r="3219">
          <cell r="F3219">
            <v>9110</v>
          </cell>
          <cell r="G3219"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v>
          </cell>
          <cell r="H3219" t="str">
            <v>UN</v>
          </cell>
          <cell r="I3219">
            <v>112284</v>
          </cell>
        </row>
        <row r="3220">
          <cell r="F3220">
            <v>9111</v>
          </cell>
          <cell r="G3220"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v>
          </cell>
          <cell r="H3220" t="str">
            <v>UN</v>
          </cell>
          <cell r="I3220">
            <v>14503</v>
          </cell>
        </row>
        <row r="3221">
          <cell r="F3221">
            <v>9112</v>
          </cell>
          <cell r="G3221" t="str">
            <v>Ampliacion puente vehicular calle 153 por Autonorte -Prueba de carga para puente vehicular.  Incluye nivelación de precisión e informe.  No incluye señalización, vigilancia, permisos, cargas necesarias para la prueba ni el pesaje de las cargas.</v>
          </cell>
          <cell r="H3221" t="str">
            <v>UN</v>
          </cell>
          <cell r="I3221">
            <v>94129089</v>
          </cell>
        </row>
        <row r="3222">
          <cell r="F3222">
            <v>9113</v>
          </cell>
          <cell r="G3222" t="str">
            <v>Ampliacion puente vehicular calle 153 por Autonorte - Prueba dinámica PDA (dirección, instrumentación, toma de señales, análisis CAPWAP e informe)</v>
          </cell>
          <cell r="H3222" t="str">
            <v>UN</v>
          </cell>
          <cell r="I3222">
            <v>9140510</v>
          </cell>
        </row>
        <row r="3223">
          <cell r="F3223">
            <v>9114</v>
          </cell>
          <cell r="G3223" t="str">
            <v>Ampliacion puente vehicular calle 153 por autonorte - Terraplén en ceniza de alto horno y geomalla fortgrid. incluye adición del 6% de cal. suministro e instalación, extendido, humedecimiento, compactación y transporte.</v>
          </cell>
          <cell r="H3223" t="str">
            <v>M3</v>
          </cell>
          <cell r="I3223">
            <v>235763</v>
          </cell>
        </row>
        <row r="3224">
          <cell r="F3224">
            <v>9115</v>
          </cell>
          <cell r="G3224" t="str">
            <v>Ampliacion puente vehicular calle 153 por autonorte - Base estabilizada con asfalto en caliente mgea-a entregada en planta (Incluye suministro, extendido, nivelación y compactación).</v>
          </cell>
          <cell r="H3224" t="str">
            <v>M3</v>
          </cell>
          <cell r="I3224">
            <v>533836</v>
          </cell>
        </row>
        <row r="3225">
          <cell r="F3225">
            <v>9116</v>
          </cell>
          <cell r="G3225" t="str">
            <v>CICLOPARQUEO TIPO M-22-A TUBERÍA AGUA NEGRA (SUMINISTRO E INSTALACIÓN, INCLUYE BASE EN CONCRETO DE 3000 PSI HECHO EN OBRA), en tubo de 1 ¼”, calibre 2.5mm, platina de anclaje de 4” x 4” x ¼”, tornillo expansivo de 3 ¼” x ¼”.</v>
          </cell>
          <cell r="H3225" t="str">
            <v>UN</v>
          </cell>
          <cell r="I3225">
            <v>144887</v>
          </cell>
        </row>
        <row r="3226">
          <cell r="F3226">
            <v>9117</v>
          </cell>
          <cell r="G3226" t="str">
            <v>CICLOPARQUEO TIPO M-22-A TUBERÍA ACERO INOXIDABLE (SUMINISTRO E INSTALACIÓN, INCLUYE BASE EN CONCRETO DE 3000 PSI HECHO EN OBRA), en tubo de acero inoxidable de 1 ½”, calibre 3mm.</v>
          </cell>
          <cell r="H3226" t="str">
            <v>UN</v>
          </cell>
          <cell r="I3226">
            <v>310705</v>
          </cell>
        </row>
        <row r="3227">
          <cell r="F3227">
            <v>9118</v>
          </cell>
          <cell r="G3227" t="str">
            <v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v>
          </cell>
          <cell r="H3227" t="str">
            <v>UN</v>
          </cell>
          <cell r="I3227">
            <v>12078500</v>
          </cell>
        </row>
        <row r="3228">
          <cell r="F3228">
            <v>9119</v>
          </cell>
          <cell r="G3228" t="str">
            <v>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v>
          </cell>
          <cell r="H3228" t="str">
            <v>UN</v>
          </cell>
          <cell r="I3228">
            <v>11387917</v>
          </cell>
        </row>
        <row r="3229">
          <cell r="F3229">
            <v>9120</v>
          </cell>
          <cell r="G3229" t="str">
            <v>Estudios y diseños de diagnostico estructural y actualización Sísmica puentes contrato IDU 1574: Monitoreo de Piezómetro de Hilo Vibrátil (Incluye visita e informe semanal y alerta cuando la presión sea superior a 6t/m2)</v>
          </cell>
          <cell r="H3229" t="str">
            <v>UN</v>
          </cell>
          <cell r="I3229">
            <v>297500</v>
          </cell>
        </row>
        <row r="3230">
          <cell r="F3230">
            <v>9121</v>
          </cell>
          <cell r="G3230"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H3230" t="str">
            <v>UN</v>
          </cell>
          <cell r="I3230">
            <v>218575</v>
          </cell>
        </row>
        <row r="3231">
          <cell r="F3231">
            <v>9122</v>
          </cell>
          <cell r="G3231" t="str">
            <v>PINTURA SOBRE ESTRUCTURA METÁLICA GALVANIZADA. INCLUYE LIMPIEZA SSPC-SP10, BARRERA EPOXICA e=3mils, ACABADO URETANO e=3mils</v>
          </cell>
          <cell r="H3231" t="str">
            <v>KG</v>
          </cell>
          <cell r="I3231">
            <v>3346</v>
          </cell>
        </row>
        <row r="3232">
          <cell r="F3232">
            <v>9123</v>
          </cell>
          <cell r="G3232" t="str">
            <v>"AMPLIACION PUENTE VEHICULAR CALLE 153 POR AUTONORTE - CONCRETO 5000 PSI GRAVA COMÚN PREMEZCLADO PARA TABLERO PUENTE (INCLUYE SUMINISTRO E INSTALACIÓN, BOMBEO DE CONCRETO, ADITIVO PARA PUENTE DE ADHERENCIA DE CONCRETO FRESCO Y ENDURECIDO)		 					"</v>
          </cell>
          <cell r="H3232" t="str">
            <v>M3</v>
          </cell>
          <cell r="I3232">
            <v>783994</v>
          </cell>
        </row>
        <row r="3233">
          <cell r="F3233">
            <v>9124</v>
          </cell>
          <cell r="G3233" t="str">
            <v>AMPLIACION PUENTE VEHICULAR CALLE 153 POR AUTONORTE - JUNTA DE DILATACION ELASTOMÉRICA PARA DESPLAZAMIENTO TOTAL DE 180 mm (+/- 90 mm).  Incluye Suministro, accesorios, materiales e instalación.</v>
          </cell>
          <cell r="H3233" t="str">
            <v>ML</v>
          </cell>
          <cell r="I3233">
            <v>3129450</v>
          </cell>
        </row>
        <row r="3234">
          <cell r="F3234">
            <v>9125</v>
          </cell>
          <cell r="G3234" t="str">
            <v>AMPLIACION PUENTE VEHICULAR CALLE 153 POR AUTONORTE - LÁMINA DE POLIESTIRENO EXPANDIDO EPS DENSIDAD 29 a 30 Kg/m3 (Suministro e Instalación) (incluye Icopor D-12 20 MM (LAMINA) DE 1.0m x 1.0m)</v>
          </cell>
          <cell r="H3234" t="str">
            <v>UN/MES</v>
          </cell>
          <cell r="I3234">
            <v>14938</v>
          </cell>
        </row>
        <row r="3235">
          <cell r="F3235">
            <v>9126</v>
          </cell>
          <cell r="G3235" t="str">
            <v>AMPLIACION PUENTE VEHICULAR CALLE 153 POR AUTONORTE - INCLINOMETRO EN TERRENO L=20 METROS (INCLUYE PERFORACION, SUMINISTRO E INSTALACION)</v>
          </cell>
          <cell r="H3235" t="str">
            <v>UN</v>
          </cell>
          <cell r="I3235">
            <v>4848333</v>
          </cell>
        </row>
        <row r="3236">
          <cell r="F3236">
            <v>9127</v>
          </cell>
          <cell r="G3236" t="str">
            <v>AMPLIACION PUENTE VEHICULAR CALLE 153 POR AUTONORTE - PIEZOMETROS DE TUBO ABIERTO TIPO CASAGRANDE L=20 METROS (INCLUYE PERFORACION, SUMINISTRO E INSTALACION)</v>
          </cell>
          <cell r="H3236" t="str">
            <v>UN</v>
          </cell>
          <cell r="I3236">
            <v>3326315</v>
          </cell>
        </row>
        <row r="3237">
          <cell r="F3237">
            <v>9128</v>
          </cell>
          <cell r="G3237" t="str">
            <v>AMPLIACION PUENTE VEHICULAR CALLE 153 POR AUTONORTE - EXTENSOMETROS FIJOS DE VARILLA DE 20 METROS CON PUNTO DE LECTURA MANUAL Y UNA SOLA POSICION (INCLUYE PERFORACION, LECTURA E INFORME; NO INCLUYE TOPOGRAFIA)</v>
          </cell>
          <cell r="H3237" t="str">
            <v>UN</v>
          </cell>
          <cell r="I3237">
            <v>5055603</v>
          </cell>
        </row>
        <row r="3238">
          <cell r="F3238">
            <v>9129</v>
          </cell>
          <cell r="G3238"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v>
          </cell>
          <cell r="H3238" t="str">
            <v>UN/MES</v>
          </cell>
          <cell r="I3238">
            <v>357745</v>
          </cell>
        </row>
        <row r="3239">
          <cell r="F3239">
            <v>9130</v>
          </cell>
          <cell r="G3239"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v>
          </cell>
          <cell r="H3239" t="str">
            <v>UN/MES</v>
          </cell>
          <cell r="I3239">
            <v>507922</v>
          </cell>
        </row>
        <row r="3240">
          <cell r="F3240">
            <v>9131</v>
          </cell>
          <cell r="G3240" t="str">
            <v>PAQUETE DE ELEMENTOS PARA LIMPIEZA Y DESINFECCIÓN PARA 10 TRABAJADORES EN OBRA (INCLUYE ALCOHOL, TOALLAS DE PAPEL, JABON LIQUIDO, GEL ANTIBACTERIAL, SUMINISTRO AGUA PARA EL LAVAMANOS)._(Según Apéndice Bioseguridad Covid 19_V2)</v>
          </cell>
          <cell r="H3240" t="str">
            <v>UN/MES</v>
          </cell>
          <cell r="I3240">
            <v>409094</v>
          </cell>
        </row>
        <row r="3241">
          <cell r="F3241">
            <v>9132</v>
          </cell>
          <cell r="G3241" t="str">
            <v>RECOLECCION, TRANSPORTE Y DISPOSICION DE RESIDUOS LÍQUIDOS PROVENIENTES DE LAVAMANOS PORTATILES. (INCLUYE EQUIPO DE SUCCIÓN)_(Según Apéndice Bioseguridad Covid 19_V2)</v>
          </cell>
          <cell r="H3241" t="str">
            <v>M3</v>
          </cell>
          <cell r="I3241">
            <v>250000</v>
          </cell>
        </row>
        <row r="3242">
          <cell r="F3242">
            <v>9133</v>
          </cell>
          <cell r="G3242" t="str">
            <v>ALQUILER CAMILLA EN FIBRA CON ARNÉS - INMOVILIZADOR Y SEÑAL._(Según Apéndice Bioseguridad Covid 19_V1 y V2)</v>
          </cell>
          <cell r="H3242" t="str">
            <v>UN/MES</v>
          </cell>
          <cell r="I3242">
            <v>9454</v>
          </cell>
        </row>
        <row r="3243">
          <cell r="F3243">
            <v>9134</v>
          </cell>
          <cell r="G3243" t="str">
            <v>ALQUILER CARPA VESTIER 2.0M X 2.0M CON ESTRUCTURA, TECHO Y LATERALES EN LONA._(Según Apéndice Bioseguridad Covid 19_V1 y V2)</v>
          </cell>
          <cell r="H3243" t="str">
            <v>UN/MES</v>
          </cell>
          <cell r="I3243">
            <v>87571</v>
          </cell>
        </row>
        <row r="3244">
          <cell r="F3244">
            <v>9135</v>
          </cell>
          <cell r="G3244" t="str">
            <v>ALQUILER DE DISPENSADOR DE JABÓN LÍQUIDO O GEL ANTIBACTERIAL - ALCOHOL, CON PEDAL METÁLICO_(Según Apéndice Bioseguridad Covid 19_V2)</v>
          </cell>
          <cell r="H3244" t="str">
            <v>UN/MES</v>
          </cell>
          <cell r="I3244">
            <v>3500</v>
          </cell>
        </row>
        <row r="3245">
          <cell r="F3245">
            <v>9136</v>
          </cell>
          <cell r="G3245" t="str">
            <v>ALQUILER DE DISPENSADOR DE JABÓN, METÁLICO DE 1LT. _(Según Apéndice Bioseguridad Covid 19_V1)</v>
          </cell>
          <cell r="H3245" t="str">
            <v>UN/MES</v>
          </cell>
          <cell r="I3245">
            <v>6297</v>
          </cell>
        </row>
        <row r="3246">
          <cell r="F3246">
            <v>9137</v>
          </cell>
          <cell r="G3246" t="str">
            <v>ALQUILER DE DISPENSADOR PLÁSTICO DE TOALLAS DE PAPEL_(Según Apéndice Bioseguridad Covid 19_V2)</v>
          </cell>
          <cell r="H3246" t="str">
            <v>UN/MES</v>
          </cell>
          <cell r="I3246">
            <v>2752</v>
          </cell>
        </row>
        <row r="3247">
          <cell r="F3247">
            <v>9138</v>
          </cell>
          <cell r="G3247" t="str">
            <v>ALQUILER DE DISPENSADOR PLÁSTICO DE TOALLAS TIPO Z_(Según Apéndice Bioseguridad Covid 19_V1)</v>
          </cell>
          <cell r="H3247" t="str">
            <v>UN/MES</v>
          </cell>
          <cell r="I3247">
            <v>2752</v>
          </cell>
        </row>
        <row r="3248">
          <cell r="F3248">
            <v>9139</v>
          </cell>
          <cell r="G3248" t="str">
            <v>ALQUILER DE FUMIGADORA DE ESPALDA. ASPERSOR BOMBA MANUAL 20 LITROS. DESINFECCIÓN INCLUYE MEZCLA AGUA-HIPOCLORITO 20 mml/LITRO._(Según Apéndice Bioseguridad Covid 19_V1 y V2)</v>
          </cell>
          <cell r="H3248" t="str">
            <v>UN/MES</v>
          </cell>
          <cell r="I3248">
            <v>36830</v>
          </cell>
        </row>
        <row r="3249">
          <cell r="F3249">
            <v>9140</v>
          </cell>
          <cell r="G3249" t="str">
            <v>ALQUILER DE LAVAMANOS PORTATIL DE PEDAL TIPO MANOS LIBRES._(Según Apéndice Bioseguridad Covid 19_V2)</v>
          </cell>
          <cell r="H3249" t="str">
            <v>UN/MES</v>
          </cell>
          <cell r="I3249">
            <v>66177</v>
          </cell>
        </row>
        <row r="3250">
          <cell r="F3250">
            <v>9141</v>
          </cell>
          <cell r="G3250" t="str">
            <v>ALQUILER DE MESA PLÁSTICA DE 0.72m x 0.72m x 0.72m._(Según Apéndice Bioseguridad Covid 19_V1 y V2)</v>
          </cell>
          <cell r="H3250" t="str">
            <v>UN/MES</v>
          </cell>
          <cell r="I3250">
            <v>5228</v>
          </cell>
        </row>
        <row r="3251">
          <cell r="F3251">
            <v>9142</v>
          </cell>
          <cell r="G3251" t="str">
            <v>ALQUILER DE SILLA PLÁSTICA SIN BRAZOS._(Según Apéndice Bioseguridad Covid 19_V1 y V2)</v>
          </cell>
          <cell r="H3251" t="str">
            <v>UN/MES</v>
          </cell>
          <cell r="I3251">
            <v>1641</v>
          </cell>
        </row>
        <row r="3252">
          <cell r="F3252">
            <v>9143</v>
          </cell>
          <cell r="G3252" t="str">
            <v>ALQUILER DE TERMOMETRO DIGITAL, INFRAROJO PARA USO EN HUMANOS, LIBRE DE CONTACTO, IMPERMEABLE. (INCLUYE CALIBRACION)._(Según Apéndice Bioseguridad Covid 19_V2)</v>
          </cell>
          <cell r="H3252" t="str">
            <v>UN/MES</v>
          </cell>
          <cell r="I3252">
            <v>59817</v>
          </cell>
        </row>
        <row r="3253">
          <cell r="F3253">
            <v>9144</v>
          </cell>
          <cell r="G3253" t="str">
            <v>ALQUILER DE TERMÓMETRO INFRARROJO PARA USO EN HUMANOS, LIBRE DE CONTACTO, IMPERMEABLE_(Según Apéndice Bioseguridad Covid 19_V1)</v>
          </cell>
          <cell r="H3253" t="str">
            <v>UN/MES</v>
          </cell>
          <cell r="I3253">
            <v>8250</v>
          </cell>
        </row>
        <row r="3254">
          <cell r="F3254">
            <v>9145</v>
          </cell>
          <cell r="G3254" t="str">
            <v>ALQUILER LAVAMANOS PORTÁTIL EN ACERO INOXIDABLE CON DOS TANQUES PARA AGUA LIMPIA Y RESIDUAL DE 20 LT C/U._(Según Apéndice Bioseguridad Covid 19_V1)</v>
          </cell>
          <cell r="H3254" t="str">
            <v>UN/MES</v>
          </cell>
          <cell r="I3254">
            <v>66177</v>
          </cell>
        </row>
        <row r="3255">
          <cell r="F3255">
            <v>9146</v>
          </cell>
          <cell r="G3255" t="str">
            <v>ALQUILER DE ENTIBADO METALICO TIPO CAJON (E1A - E1B) (Incluye colocación y transporte)</v>
          </cell>
          <cell r="H3255" t="str">
            <v>M2</v>
          </cell>
          <cell r="I3255">
            <v>25155</v>
          </cell>
        </row>
        <row r="3256">
          <cell r="F3256">
            <v>9147</v>
          </cell>
          <cell r="G3256" t="str">
            <v>ALQUILER DE ENTIBADO METÁLICO TIPO DESLIZANTE (E2) (Incluye colocación y transporte)</v>
          </cell>
          <cell r="H3256" t="str">
            <v>M2</v>
          </cell>
          <cell r="I3256">
            <v>27858</v>
          </cell>
        </row>
        <row r="3257">
          <cell r="F3257">
            <v>9148</v>
          </cell>
          <cell r="G3257" t="str">
            <v>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v>
          </cell>
          <cell r="H3257" t="str">
            <v>UN</v>
          </cell>
          <cell r="I3257">
            <v>1141622</v>
          </cell>
        </row>
        <row r="3258">
          <cell r="F3258">
            <v>9149</v>
          </cell>
          <cell r="G3258" t="str">
            <v>RECOLECCION, TRANSPORTE Y DISPOSICION DE RESIDUOS LÍQUIDOS PROVENIENTES DE LAVAMANOS PORTATILES. (INCLUYE EQUIPO DE SUCCIÓN)._(Según Apéndice Bioseguridad Covid 19_V3)</v>
          </cell>
          <cell r="H3258" t="str">
            <v>M3</v>
          </cell>
          <cell r="I3258">
            <v>250000</v>
          </cell>
        </row>
        <row r="3259">
          <cell r="F3259">
            <v>9150</v>
          </cell>
          <cell r="G3259" t="str">
            <v>ALQUILER DE DISPENSADOR PLÁSTICO DE TOALLAS TIPO Z_(Según Apéndice Bioseguridad Covid 19_V3)</v>
          </cell>
          <cell r="H3259" t="str">
            <v>UN/MES</v>
          </cell>
          <cell r="I3259">
            <v>2752</v>
          </cell>
        </row>
        <row r="3260">
          <cell r="F3260">
            <v>9151</v>
          </cell>
          <cell r="G3260" t="str">
            <v>ALQUILER DE FUMIGADORA DE ESPALDA. ASPERSOR BOMBA MANUAL 20 LITROS. DESINFECCIÓN INCLUYE MEZCLA AGUA-HIPOCLORITO 20 mml/LITRO._(Según Apéndice Bioseguridad Covid 19_V3)</v>
          </cell>
          <cell r="H3260" t="str">
            <v>UN/MES</v>
          </cell>
          <cell r="I3260">
            <v>36830</v>
          </cell>
        </row>
        <row r="3261">
          <cell r="F3261">
            <v>9152</v>
          </cell>
          <cell r="G3261" t="str">
            <v>ALQUILER DE LAVAMANOS PORTATIL DE PEDAL TIPO MANOS LIBRES._(Según Apéndice Bioseguridad Covid 19_V3)</v>
          </cell>
          <cell r="H3261" t="str">
            <v>UN/MES</v>
          </cell>
          <cell r="I3261">
            <v>66177</v>
          </cell>
        </row>
        <row r="3262">
          <cell r="F3262">
            <v>9153</v>
          </cell>
          <cell r="G3262" t="str">
            <v>PAQUETE ELEMENTOS PARA LIMPIEZA Y DESINFECCIÓN PARA 10 TRABAJADORES EN OBRA (INCLUYE ALCOHOL GLICERINADO, TOALLAS DE PAPEL, JABON LIQUIDO, SUMINISTRO AGUA PARA EL LAVAMANOS). _(Según Apéndice Bioseguridad Covid 19_V3)</v>
          </cell>
          <cell r="H3262" t="str">
            <v>UN/MES</v>
          </cell>
          <cell r="I3262">
            <v>287526</v>
          </cell>
        </row>
        <row r="3263">
          <cell r="F3263">
            <v>9154</v>
          </cell>
          <cell r="G3263" t="str">
            <v>ALQUILER DE DISPENSADOR DE JABÓN LÍQUIDO O ALCOHOL GLICERINADO, CON PEDAL METÁLICO._(Según Apéndice Bioseguridad Covid 19_V3)</v>
          </cell>
          <cell r="H3263" t="str">
            <v>UN/MES</v>
          </cell>
          <cell r="I3263">
            <v>3500</v>
          </cell>
        </row>
        <row r="3264">
          <cell r="F3264">
            <v>9155</v>
          </cell>
          <cell r="G3264" t="str">
            <v>CICLOPARQUEADERO PORTAL SUR Y PORTAL SUBA - SUMINISTRO Y PLANTACION DE ARBOL, ESPECIE MANO DE OSO H=1.5M. INCLUYE SIEMBRA, TIERRA, ABONO, TUTOR Y TRANSPORTE</v>
          </cell>
          <cell r="H3264" t="str">
            <v>UN</v>
          </cell>
          <cell r="I3264">
            <v>200000</v>
          </cell>
        </row>
        <row r="3265">
          <cell r="F3265">
            <v>9156</v>
          </cell>
          <cell r="G3265" t="str">
            <v>CICLOPARQUEADERO PORTAL SUR Y PORTAL SUBA - JUEGO DE FERULAS INMOVILIZADORAS CARTON PLAST ADULTO POR UNIDAD CON CORREAS DE SUJECION Y CIERRE EN VELCRO (INCLUYE VELCRO, CINCO PIEZAS, PIERNA, TOBILLO, BRAZO, MUÑECA Y CUELLO)</v>
          </cell>
          <cell r="H3265" t="str">
            <v>UN</v>
          </cell>
          <cell r="I3265">
            <v>17010</v>
          </cell>
        </row>
        <row r="3266">
          <cell r="F3266">
            <v>9157</v>
          </cell>
          <cell r="G3266" t="str">
            <v>CICLOPARQUEADERO PORTAL SUR Y PORTAL SUBA - POYO EN CONCRETO DE 0.15X0.16 M (SUMINISTRO E INSTALACIÓN)</v>
          </cell>
          <cell r="H3266" t="str">
            <v>ML</v>
          </cell>
          <cell r="I3266">
            <v>30404</v>
          </cell>
        </row>
        <row r="3267">
          <cell r="F3267">
            <v>9158</v>
          </cell>
          <cell r="G3267" t="str">
            <v>CICLOPARQUEADERO PORTAL SUR Y PORTAL SUBA - AFINADO E IMPERMEABILIZACIÓN CON MANTO ASFALTICO (SUMINISTRO E INSTALACIÓN)</v>
          </cell>
          <cell r="H3267" t="str">
            <v>M2</v>
          </cell>
          <cell r="I3267">
            <v>78114</v>
          </cell>
        </row>
        <row r="3268">
          <cell r="F3268">
            <v>9159</v>
          </cell>
          <cell r="G3268"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H3268" t="str">
            <v>UN</v>
          </cell>
          <cell r="I3268">
            <v>6189637</v>
          </cell>
        </row>
        <row r="3269">
          <cell r="F3269">
            <v>9160</v>
          </cell>
          <cell r="G3269"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H3269" t="str">
            <v>UN</v>
          </cell>
          <cell r="I3269">
            <v>10001027</v>
          </cell>
        </row>
        <row r="3270">
          <cell r="F3270">
            <v>9161</v>
          </cell>
          <cell r="G3270" t="str">
            <v>CICLOPARQUEADERO PORTAL SUR Y PORTAL SUBA - CERRAMIENTO DE REJILLA EN LAMINA COLD ROLLED CAL 18 (INCLUYE FABRICACIÓN, SUMINISTRO E INSTALACIÓN)</v>
          </cell>
          <cell r="H3270" t="str">
            <v>ML</v>
          </cell>
          <cell r="I3270">
            <v>1007325</v>
          </cell>
        </row>
        <row r="3271">
          <cell r="F3271">
            <v>9162</v>
          </cell>
          <cell r="G3271" t="str">
            <v>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v>
          </cell>
          <cell r="H3271" t="str">
            <v>UN</v>
          </cell>
          <cell r="I3271">
            <v>2163087</v>
          </cell>
        </row>
        <row r="3272">
          <cell r="F3272">
            <v>9163</v>
          </cell>
          <cell r="G3272" t="str">
            <v>SUMINISTRO E INSTALACIÓN DE PUERTA ENTAMBORADA HOJA Y MARCO EN COLD ROLLED CALIBRE 18 CON PINTURA ESMALTE GRIS. CERRADURA BOWERY COLLIN POMO CROMO MATE, MONTANTE CON MARCO Y LAMINA COLD ROLLED CAL. 18 PARA PUERTA P-01 DEPOSITO (SUMINISTRO E INSTALACIÓN)</v>
          </cell>
          <cell r="H3272" t="str">
            <v>UN</v>
          </cell>
          <cell r="I3272">
            <v>1633610</v>
          </cell>
        </row>
        <row r="3273">
          <cell r="F3273">
            <v>9164</v>
          </cell>
          <cell r="G3273" t="str">
            <v>CICLOPARQUEADERO PORTAL SUR Y PORTAL SUBA - ALFAJIA METALICA 16 CMS (SUMINISTRO E INSTALACIÓN)</v>
          </cell>
          <cell r="H3273" t="str">
            <v>ML</v>
          </cell>
          <cell r="I3273">
            <v>28550</v>
          </cell>
        </row>
        <row r="3274">
          <cell r="F3274">
            <v>9165</v>
          </cell>
          <cell r="G3274" t="str">
            <v>CICLOPARQUEADERO PORTAL SUR Y PORTAL SUBA - CICLOPARQUEADERO DUPLICADOR VERTICAL DE PARQUEO PARA BICICLETAS (INCLUYE SUMINISTRO E INSTALACIÓN)</v>
          </cell>
          <cell r="H3274" t="str">
            <v>UN</v>
          </cell>
          <cell r="I3274">
            <v>2246575</v>
          </cell>
        </row>
        <row r="3275">
          <cell r="F3275">
            <v>9166</v>
          </cell>
          <cell r="G3275" t="str">
            <v xml:space="preserve">CICLOPARQUEADERO PORTAL SUR Y PORTAL SUBA - SALIDA PARA LUMINARIA DE INCRUSTAR TIPO LED 12W (AREA MANTENIMIENTO) - SUMINISTRO E INSTALACIÓN (INCLUYE CABLE Y ACCESORIOS, NO INCLUYE LUMINARIA) </v>
          </cell>
          <cell r="H3275" t="str">
            <v>UN</v>
          </cell>
          <cell r="I3275">
            <v>136231</v>
          </cell>
        </row>
        <row r="3276">
          <cell r="F3276">
            <v>9167</v>
          </cell>
          <cell r="G3276" t="str">
            <v xml:space="preserve">CICLOPARQUEADERO PORTAL SUR Y PORTAL SUBA - SALIDA PARA LUMINARIA TIPO LED 55W - SUMINISTRO E INSTALACIÓN (INCLUYE CABLE Y ACCESORIOS, NO INCLUYE LUMINARIA) </v>
          </cell>
          <cell r="H3276" t="str">
            <v>UN</v>
          </cell>
          <cell r="I3276">
            <v>146081</v>
          </cell>
        </row>
        <row r="3277">
          <cell r="F3277">
            <v>9168</v>
          </cell>
          <cell r="G3277" t="str">
            <v xml:space="preserve">CICLOPARQUEADERO PORTAL SUR Y PORTAL SUBA - SALIDA PARA LUMINARIA DE EMERGENCIA LED 6W - SUMINISTRO E INSTALACIÓN (INCLUYE CABLE Y ACCESORIOS, NO INCLUYE LUMINARIA) </v>
          </cell>
          <cell r="H3277" t="str">
            <v>UN</v>
          </cell>
          <cell r="I3277">
            <v>136231</v>
          </cell>
        </row>
        <row r="3278">
          <cell r="F3278">
            <v>9169</v>
          </cell>
          <cell r="G3278" t="str">
            <v xml:space="preserve">CICLOPARQUEADERO PORTAL SUR Y PORTAL SUBA - SALIDA PARA TOMACORRIENTE DOBLE - SUMINISTRO E INSTALACIÓN (INCLUYE CABLE Y ACCESORIOS) </v>
          </cell>
          <cell r="H3278" t="str">
            <v>UN</v>
          </cell>
          <cell r="I3278">
            <v>133094</v>
          </cell>
        </row>
        <row r="3279">
          <cell r="F3279">
            <v>9170</v>
          </cell>
          <cell r="G3279" t="str">
            <v xml:space="preserve">CICLOPARQUEADERO PORTAL SUR Y PORTAL SUBA - SALIDA PARA EXTRACTOR  - SUMINISTRO E INSTALACIÓN (INCLUYE CABLE, ACCESORIOS Y EXTRACTOR) </v>
          </cell>
          <cell r="H3279" t="str">
            <v>UN</v>
          </cell>
          <cell r="I3279">
            <v>177176</v>
          </cell>
        </row>
        <row r="3280">
          <cell r="F3280">
            <v>9171</v>
          </cell>
          <cell r="G3280" t="str">
            <v>CICLOPARQUEADERO PORTAL SUR Y PORTAL SUBA - SALIDA PARA TOMA TRIFASICA 208V, 30A  - SUMINISTRO E INSTALACIÓN (INCLUYE CABLE Y ACCESORIOS)</v>
          </cell>
          <cell r="H3280" t="str">
            <v>UN</v>
          </cell>
          <cell r="I3280">
            <v>357012</v>
          </cell>
        </row>
        <row r="3281">
          <cell r="F3281">
            <v>9172</v>
          </cell>
          <cell r="G3281" t="str">
            <v>CICLOPARQUEADERO PORTAL SUR Y PORTAL SUBA - SALIDA PARA INTERRUPTOR DOBLE - SUMINISTRO E INSTALACIÓN (INCLUYE CABLE Y ACCESORIOS)</v>
          </cell>
          <cell r="H3281" t="str">
            <v>UN</v>
          </cell>
          <cell r="I3281">
            <v>135203</v>
          </cell>
        </row>
        <row r="3282">
          <cell r="F3282">
            <v>9173</v>
          </cell>
          <cell r="G3282" t="str">
            <v>CICLOPARQUEADERO PORTAL SUR Y PORTAL SUBA - SALIDA PARA INTERRUPTOR TRIPLE - SUMINISTRO E INSTALACIÓN (INCLUYE CABLE Y ACCESORIOS)</v>
          </cell>
          <cell r="H3282" t="str">
            <v>UN</v>
          </cell>
          <cell r="I3282">
            <v>160359</v>
          </cell>
        </row>
        <row r="3283">
          <cell r="F3283">
            <v>9174</v>
          </cell>
          <cell r="G3283" t="str">
            <v xml:space="preserve"> CICLOPARQUEADERO PORTAL SUR Y PORTAL SUBA -SALIDA PARA SENSOR, INCLUYE SENSOR - SUMINISTRO E INSTALACIÓN (INCLUYE CABLE Y ACCESORIOS)</v>
          </cell>
          <cell r="H3283" t="str">
            <v>UN</v>
          </cell>
          <cell r="I3283">
            <v>183528</v>
          </cell>
        </row>
        <row r="3284">
          <cell r="F3284">
            <v>9175</v>
          </cell>
          <cell r="G3284" t="str">
            <v>CICLOPARQUEADERO PORTAL SUR Y PORTAL SUBA - ALAMBRADO EN  CABLE DE COBRE 2#8 + 1#10T, CU THHN-THWN, EN TUBERIA EMT DE 1", PARA TABLEROS DE LOCALES  - SUMINISTRO E INSTALACIÓN (INCLUYE CABLE Y ACCESORIOS)</v>
          </cell>
          <cell r="H3284" t="str">
            <v>UN</v>
          </cell>
          <cell r="I3284">
            <v>200320</v>
          </cell>
        </row>
        <row r="3285">
          <cell r="F3285">
            <v>9176</v>
          </cell>
          <cell r="G3285" t="str">
            <v>CICLOPARQUEADERO PORTAL SUR Y PORTAL SUBA - ALAMBRADO EN  CABLE CU  2(3*1 + 1*1) + 1*4T CU THHW, EN TUBERIA PVC 2 DE 3", PARA T-CCLP - SUMINISTRO E INSTALACIÓN (INCLUYE CABLE Y ACCESORIOS)</v>
          </cell>
          <cell r="H3285" t="str">
            <v>UN</v>
          </cell>
          <cell r="I3285">
            <v>327171</v>
          </cell>
        </row>
        <row r="3286">
          <cell r="F3286">
            <v>9177</v>
          </cell>
          <cell r="G3286" t="str">
            <v>CICLOPARQUEADERO PORTAL SUR Y PORTAL SUBA - CANALIZACION 2X3" PVC - SUMINISTRO E INSTALACIÓN (INCLUYE CABLE Y ACCESORIOS)</v>
          </cell>
          <cell r="H3286" t="str">
            <v>ML</v>
          </cell>
          <cell r="I3286">
            <v>47820</v>
          </cell>
        </row>
        <row r="3287">
          <cell r="F3287">
            <v>9178</v>
          </cell>
          <cell r="G3287" t="str">
            <v>CICLOPARQUEADERO PORTAL SUR Y PORTAL SUBA - CABLEADO ELECTRICO PARA RED AP EXISTENTE, EXTERIOR, CON CABLE 2X6 CU +1X10T CU, THHN - SUMINISTRO E INSTALACIÓN (INCLUYE CABLE Y ACCESORIOS)</v>
          </cell>
          <cell r="H3287" t="str">
            <v>UN</v>
          </cell>
          <cell r="I3287">
            <v>101596</v>
          </cell>
        </row>
        <row r="3288">
          <cell r="F3288">
            <v>9179</v>
          </cell>
          <cell r="G3288" t="str">
            <v>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v>
          </cell>
          <cell r="H3288" t="str">
            <v>UN</v>
          </cell>
          <cell r="I3288">
            <v>9627445</v>
          </cell>
        </row>
        <row r="3289">
          <cell r="F3289">
            <v>9180</v>
          </cell>
          <cell r="G3289" t="str">
            <v>CICLOPARQUEADERO PORTAL SUR Y PORTAL SUBA - CAJA PARA CONTROL DE ALUMBRADO, COMPUESTA POR DOS TELERRUPTORES MONOPLARES  DE 16A,  DOS  PULSADORES,   DOS LAMPARAS  DE SEÑALIZACION, MARCACION Y ELEMENTOS DE CONEXIÓN REQUERIDOS.  - (INCLUYE SUMINISTRO E INSTALACIÓN)</v>
          </cell>
          <cell r="H3289" t="str">
            <v>UN</v>
          </cell>
          <cell r="I3289">
            <v>397361</v>
          </cell>
        </row>
        <row r="3290">
          <cell r="F3290">
            <v>9181</v>
          </cell>
          <cell r="G3290" t="str">
            <v>CICLOPARQUEADERO PORTAL SUR Y PORTAL SUBA - TOTALIZADOR INDUSTRIAL DE 3X80A (INCLUYE SUMINISTRO E INSTALACIÓN)</v>
          </cell>
          <cell r="H3290" t="str">
            <v>UN</v>
          </cell>
          <cell r="I3290">
            <v>123120</v>
          </cell>
        </row>
        <row r="3291">
          <cell r="F3291">
            <v>9182</v>
          </cell>
          <cell r="G3291" t="str">
            <v>CICLOPARQUEADERO PORTAL SUR Y PORTAL SUBA - BREAKER INDUSTRIAL TRIFASICO CHINT 100A (INCLUYE SUMINISTRO E INSTALACIÓN)</v>
          </cell>
          <cell r="H3291" t="str">
            <v>UN</v>
          </cell>
          <cell r="I3291">
            <v>140274</v>
          </cell>
        </row>
        <row r="3292">
          <cell r="F3292">
            <v>9183</v>
          </cell>
          <cell r="G3292" t="str">
            <v>CICLOPARQUEADERO PORTAL SUR Y PORTAL SUBA - CAJA PASO 40X40X20 C20 (INCLUYE SUMINISTRO E INSTALACIÓN)</v>
          </cell>
          <cell r="H3292" t="str">
            <v>UN</v>
          </cell>
          <cell r="I3292">
            <v>93725</v>
          </cell>
        </row>
        <row r="3293">
          <cell r="F3293">
            <v>9184</v>
          </cell>
          <cell r="G3293" t="str">
            <v>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v>
          </cell>
          <cell r="H3293" t="str">
            <v>UN</v>
          </cell>
          <cell r="I3293">
            <v>3336823</v>
          </cell>
        </row>
        <row r="3294">
          <cell r="F3294">
            <v>9185</v>
          </cell>
          <cell r="G3294" t="str">
            <v>CICLOPARQUEADERO PORTAL SUR Y PORTAL SUBA - CERTIFICACIÓN - INSPECCION RETIE Y RETILAP CICLOPARQEADERO PORTAL SUR</v>
          </cell>
          <cell r="H3294" t="str">
            <v>UN</v>
          </cell>
          <cell r="I3294">
            <v>4403000</v>
          </cell>
        </row>
        <row r="3295">
          <cell r="F3295">
            <v>9186</v>
          </cell>
          <cell r="G3295" t="str">
            <v>CICLOPARQUEADERO PORTAL SUR Y PORTAL SUBA - CERTIFICACIÓN - INSPECCIÓN  RETIE Y RETILAP CICLOPARQUEADERO PORTAL SUBA</v>
          </cell>
          <cell r="H3295" t="str">
            <v>UN</v>
          </cell>
          <cell r="I3295">
            <v>3808000</v>
          </cell>
        </row>
        <row r="3296">
          <cell r="F3296">
            <v>9187</v>
          </cell>
          <cell r="G3296" t="str">
            <v>CICLOPARQUEADERO PORTAL SUR Y PORTAL SUBA - LAMPARA LED HERMETICA 50W  (INCLUYE INSTALACIÓN)</v>
          </cell>
          <cell r="H3296" t="str">
            <v>UN</v>
          </cell>
          <cell r="I3296">
            <v>212789</v>
          </cell>
        </row>
        <row r="3297">
          <cell r="F3297">
            <v>9188</v>
          </cell>
          <cell r="G3297" t="str">
            <v>CICLOPARQUEADERO PORTAL SUR Y PORTAL SUBA - PANEL LED DE INCRUSTAR 12W  (SUMINISTRO E INSTALACIÓN)</v>
          </cell>
          <cell r="H3297" t="str">
            <v>UN</v>
          </cell>
          <cell r="I3297">
            <v>96600</v>
          </cell>
        </row>
        <row r="3298">
          <cell r="F3298">
            <v>9189</v>
          </cell>
          <cell r="G3298" t="str">
            <v>CICLOPARQUEADERO PORTAL SUR Y PORTAL SUBA - LUMINARIA EMERGENCIA 4W  (SUMINISTRO, CABLEADO  E INSTALACIÓN)</v>
          </cell>
          <cell r="H3298" t="str">
            <v>UN</v>
          </cell>
          <cell r="I3298">
            <v>132211</v>
          </cell>
        </row>
        <row r="3299">
          <cell r="F3299">
            <v>9190</v>
          </cell>
          <cell r="G3299" t="str">
            <v>CICLOPARQUEADERO PORTAL SUR Y PORTAL SUBA - SALIDA PARA TELEFONO EN TUBERIA EMT DE 3/4", INCLUYE CABLE UTP 4P CAT. 6A, JACKS RJ45 Y TODOS LOS ELEMENTOS PARA EL BUEN FUNCIONAMIENTO DEL PUNTO DE CONEXIÓN (INCLUYE SUMINISTRO E INSTALACIÓN)</v>
          </cell>
          <cell r="H3299" t="str">
            <v>UN</v>
          </cell>
          <cell r="I3299">
            <v>412127</v>
          </cell>
        </row>
        <row r="3300">
          <cell r="F3300">
            <v>9191</v>
          </cell>
          <cell r="G3300" t="str">
            <v>CICLOPARQUEADERO PORTAL SUR Y PORTAL SUBA - SALIDA PARA CIRCUITO CERRADO DE TV, EN TUBERIA EMT DE 3/4", INCLUYE CABLE UTP CAT. 6 (INCLUYE SUMINISTRO E INSTALACIÓN)</v>
          </cell>
          <cell r="H3300" t="str">
            <v>UN</v>
          </cell>
          <cell r="I3300">
            <v>385666</v>
          </cell>
        </row>
        <row r="3301">
          <cell r="F3301">
            <v>9192</v>
          </cell>
          <cell r="G3301" t="str">
            <v>CICLOPARQUEADERO PORTAL SUR Y PORTAL SUBA - PATCH PANEL 24 CAT 6A (ENSAMBLE HERRAJE + JACK) AMP (INCLUYE SUMINISTRO E INSTALACIÓN)</v>
          </cell>
          <cell r="H3301" t="str">
            <v>UN</v>
          </cell>
          <cell r="I3301">
            <v>482834</v>
          </cell>
        </row>
        <row r="3302">
          <cell r="F3302">
            <v>9193</v>
          </cell>
          <cell r="G3302" t="str">
            <v>CICLOPARQUEADERO PORTAL SUR Y PORTAL SUBA - CAJA METALICA DE PASO DE 15X15*10 CM(INCLUYE SUMINISTRO E INSTALACIÓN)</v>
          </cell>
          <cell r="H3302" t="str">
            <v>UN</v>
          </cell>
          <cell r="I3302">
            <v>24158</v>
          </cell>
        </row>
        <row r="3303">
          <cell r="F3303">
            <v>9194</v>
          </cell>
          <cell r="G3303" t="str">
            <v>CICLOPARQUEADERO PORTAL SUR Y PORTAL SUBA - CAJA DE PASO DE 10X15X7 CM (INCLUYE SUMINISTRO E INSTALACIÓN)</v>
          </cell>
          <cell r="H3303" t="str">
            <v>UN</v>
          </cell>
          <cell r="I3303">
            <v>18565</v>
          </cell>
        </row>
        <row r="3304">
          <cell r="F3304">
            <v>9195</v>
          </cell>
          <cell r="G3304" t="str">
            <v>CICLOPARQUEADERO PORTAL SUR Y PORTAL SUBA - CAJA METALICA DE PASO 20CM X 20CM X 10CM (INCLUYE SUMINISTRO E INSTALACIÓN)</v>
          </cell>
          <cell r="H3304" t="str">
            <v>UN</v>
          </cell>
          <cell r="I3304">
            <v>28842</v>
          </cell>
        </row>
        <row r="3305">
          <cell r="F3305">
            <v>9196</v>
          </cell>
          <cell r="G3305" t="str">
            <v>CICLOPARQUEADERO PORTAL SUR Y PORTAL SUBA - MULTITOMA PARA RACK 8 SALIDAS (INCLUYE SUMINISTRO E INSTALACIÓN)</v>
          </cell>
          <cell r="H3305" t="str">
            <v>UN</v>
          </cell>
          <cell r="I3305">
            <v>59282</v>
          </cell>
        </row>
        <row r="3306">
          <cell r="F3306">
            <v>9197</v>
          </cell>
          <cell r="G3306" t="str">
            <v>CICLOPARQUEADERO PORTAL SUR Y PORTAL SUBA - ACOMETIDA DE GAS POR LOCAL, INCLUYE MEDIDOR G16 (25M3/H) (SUMINISTRO, INSTALACIÓN Y DERECHOS DE CONEXIÓN VANTI)</v>
          </cell>
          <cell r="H3306" t="str">
            <v>GLB</v>
          </cell>
          <cell r="I3306">
            <v>2597034</v>
          </cell>
        </row>
        <row r="3307">
          <cell r="F3307">
            <v>9198</v>
          </cell>
          <cell r="G3307" t="str">
            <v>PATIO ZONAL EL GACO - PLACA MACIZA DE CONTRAPISO EN CONCRETO F´C 21 MPa E:0,20M</v>
          </cell>
          <cell r="H3307" t="str">
            <v>M2</v>
          </cell>
          <cell r="I3307">
            <v>160859</v>
          </cell>
        </row>
        <row r="3308">
          <cell r="F3308">
            <v>9199</v>
          </cell>
          <cell r="G3308" t="str">
            <v>PATIO ZONAL EL GACO - PERFIL IPE - ASTM A572 GR. 50</v>
          </cell>
          <cell r="H3308" t="str">
            <v>KG</v>
          </cell>
          <cell r="I3308">
            <v>22447</v>
          </cell>
        </row>
        <row r="3309">
          <cell r="F3309">
            <v>9200</v>
          </cell>
          <cell r="G3309" t="str">
            <v>PATIO ZONAL EL GACO - DUCHA ANTIVANDÁLICA CON REGADERA TUBULAR (SUMINISTRO E INSTALACION)</v>
          </cell>
          <cell r="H3309" t="str">
            <v>UN</v>
          </cell>
          <cell r="I3309">
            <v>334002</v>
          </cell>
        </row>
        <row r="3310">
          <cell r="F3310">
            <v>9201</v>
          </cell>
          <cell r="G3310" t="str">
            <v xml:space="preserve">PATIO ZONAL EL GACO - TUBO EN ACERO SCH 40 D= 1 1/2" </v>
          </cell>
          <cell r="H3310" t="str">
            <v>ML</v>
          </cell>
          <cell r="I3310">
            <v>60011</v>
          </cell>
        </row>
        <row r="3311">
          <cell r="F3311">
            <v>9202</v>
          </cell>
          <cell r="G3311" t="str">
            <v>PATIO ZONAL EL GACO - TOMA DOBLE VOZ Y DATOS CAT 6</v>
          </cell>
          <cell r="H3311" t="str">
            <v>UN</v>
          </cell>
          <cell r="I3311">
            <v>46857</v>
          </cell>
        </row>
        <row r="3312">
          <cell r="F3312">
            <v>9203</v>
          </cell>
          <cell r="G3312" t="str">
            <v>PATIO ZONAL EL GACO - CONECTORES PLUG RJ 45 PARA CABLE UTP</v>
          </cell>
          <cell r="H3312" t="str">
            <v>UN</v>
          </cell>
          <cell r="I3312">
            <v>4262</v>
          </cell>
        </row>
        <row r="3313">
          <cell r="F3313">
            <v>9204</v>
          </cell>
          <cell r="G3313" t="str">
            <v>PATIO ZONAL EL GACO - BREAKER INDUSTRIAL TOTALIZADOR 3X20A (SUMINSTRO E INSTALACION)</v>
          </cell>
          <cell r="H3313" t="str">
            <v>UN</v>
          </cell>
          <cell r="I3313">
            <v>140206</v>
          </cell>
        </row>
        <row r="3314">
          <cell r="F3314">
            <v>9205</v>
          </cell>
          <cell r="G3314" t="str">
            <v>PATIO ZONAL EL GACO - BREAKER INDUSTRIAL TOTALIZADOR 3X30A (SUMINISTRO E INSTALACION)</v>
          </cell>
          <cell r="H3314" t="str">
            <v>UN</v>
          </cell>
          <cell r="I3314">
            <v>142090</v>
          </cell>
        </row>
        <row r="3315">
          <cell r="F3315">
            <v>9206</v>
          </cell>
          <cell r="G3315" t="str">
            <v>PATIO ZONAL EL GACO - BREAKER INDUSTRIAL TOTALIZADOR 3X40A (SUMINISTRO E INSTALACION)</v>
          </cell>
          <cell r="H3315" t="str">
            <v>UN</v>
          </cell>
          <cell r="I3315">
            <v>142090</v>
          </cell>
        </row>
        <row r="3316">
          <cell r="F3316">
            <v>9207</v>
          </cell>
          <cell r="G3316" t="str">
            <v>PATIO ZONAL EL GACO - BREAKER INDUSTRIAL TOTALIZADOR 3X100A (SUMINISTRO E INSTALACION)</v>
          </cell>
          <cell r="H3316" t="str">
            <v>UN</v>
          </cell>
          <cell r="I3316">
            <v>208283</v>
          </cell>
        </row>
        <row r="3317">
          <cell r="F3317">
            <v>9208</v>
          </cell>
          <cell r="G3317" t="str">
            <v>PATIO ZONAL EL GACO - BREAKER INDUSTRIAL TOTALIZADOR 3X80A (SUMINISTRO E INSTALACION)</v>
          </cell>
          <cell r="H3317" t="str">
            <v>UN</v>
          </cell>
          <cell r="I3317">
            <v>211284</v>
          </cell>
        </row>
        <row r="3318">
          <cell r="F3318">
            <v>9209</v>
          </cell>
          <cell r="G3318" t="str">
            <v>PATIO ZONAL EL GACO - BREAKER TIPO ENCHUFABLE 1X20A (SUMINISTRO E INSTALACION)</v>
          </cell>
          <cell r="H3318" t="str">
            <v>UN</v>
          </cell>
          <cell r="I3318">
            <v>19347</v>
          </cell>
        </row>
        <row r="3319">
          <cell r="F3319">
            <v>9210</v>
          </cell>
          <cell r="G3319" t="str">
            <v>PATIO ZONAL EL GACO - CABLE ALUMINIO AISLADO THHW, 500 KCMIL AA8000-CPT 600V 90°C CT</v>
          </cell>
          <cell r="H3319" t="str">
            <v>ML</v>
          </cell>
          <cell r="I3319">
            <v>32065</v>
          </cell>
        </row>
        <row r="3320">
          <cell r="F3320">
            <v>9211</v>
          </cell>
          <cell r="G3320" t="str">
            <v>PATIO ZONAL EL GACO - SALIDA BIFÁSICA PARA SECADOR DE MANOS EN TUBERÍA CONDUIT EMT Y/O PVC DE 1" (INCLUYE APARATO, SUMINISTRO E INSTALACIÓN)</v>
          </cell>
          <cell r="H3320" t="str">
            <v>UN</v>
          </cell>
          <cell r="I3320">
            <v>565035</v>
          </cell>
        </row>
        <row r="3321">
          <cell r="F3321">
            <v>9212</v>
          </cell>
          <cell r="G3321" t="str">
            <v>PATIO ZONAL EL GACO - SALIDA TOMACORRIENTE PARA UPS MONOFASICA DE 1 KVA EN TUBERÍA CONDUIT EMT Y/O PVC DE 3/4". (INCLUYE APARATO, SUMINISTRO E INSTALACIÓN)</v>
          </cell>
          <cell r="H3321" t="str">
            <v>UN</v>
          </cell>
          <cell r="I3321">
            <v>201048</v>
          </cell>
        </row>
        <row r="3322">
          <cell r="F3322">
            <v>9213</v>
          </cell>
          <cell r="G3322" t="str">
            <v>PATIO ZONAL EL GACO - ACOMETIDA EN CABLE DE CU THHN No 3x4 F +1x6N+ 1x8T AWG. INCLUYE ACCESORIOS DE FIJACIÓN Y CONEXIÓN</v>
          </cell>
          <cell r="H3322" t="str">
            <v>ML</v>
          </cell>
          <cell r="I3322">
            <v>68121</v>
          </cell>
        </row>
        <row r="3323">
          <cell r="F3323">
            <v>9214</v>
          </cell>
          <cell r="G3323" t="str">
            <v>PATIO ZONAL EL GACO - ACOMETIDA EN CABLE DE CU THHN No 3x1/0 F +1x2N+ 1x6T AWG. INCLUYE ACCESORIOS DE FIJACIÓN Y CONEXIÓN</v>
          </cell>
          <cell r="H3323" t="str">
            <v>ML</v>
          </cell>
          <cell r="I3323">
            <v>113387</v>
          </cell>
        </row>
        <row r="3324">
          <cell r="F3324">
            <v>9215</v>
          </cell>
          <cell r="G3324" t="str">
            <v>PATIO ZONAL EL GACO - TUBERIA ACERO SCH40 1 1/4" (INCLUYE SUMINISTRO E INSTALACION)</v>
          </cell>
          <cell r="H3324" t="str">
            <v>ML</v>
          </cell>
          <cell r="I3324">
            <v>46165</v>
          </cell>
        </row>
        <row r="3325">
          <cell r="F3325">
            <v>9216</v>
          </cell>
          <cell r="G3325" t="str">
            <v>PATIO ZONAL EL GACO - TUBERIA ACERO SCH40 2 1/2" (INCLUYE SUMINISTRO E INSTALACION)</v>
          </cell>
          <cell r="H3325" t="str">
            <v>ML</v>
          </cell>
          <cell r="I3325">
            <v>90502</v>
          </cell>
        </row>
        <row r="3326">
          <cell r="F3326">
            <v>9217</v>
          </cell>
          <cell r="G3326" t="str">
            <v>PATIO ZONAL EL GACO - ACOMETIDA EN CABLE DE CU THHN No 3x2/0 F +1x1/0N+ 1x2T AWG. INCLUYE ACCESORIOS DE FIJACIÓN Y CONEXIÓN</v>
          </cell>
          <cell r="H3326" t="str">
            <v>ML</v>
          </cell>
          <cell r="I3326">
            <v>192840</v>
          </cell>
        </row>
        <row r="3327">
          <cell r="F3327">
            <v>9218</v>
          </cell>
          <cell r="G3327" t="str">
            <v>PATIO ZONAL EL GACO - TUBERIA PVC C-900 DR-18 Ø=4", PRESIÓN DE TRABAJO=235 PSI. (INCLUYE SUMINISTRO E INSTALACION)</v>
          </cell>
          <cell r="H3327" t="str">
            <v>ML</v>
          </cell>
          <cell r="I3327">
            <v>103395</v>
          </cell>
        </row>
        <row r="3328">
          <cell r="F3328">
            <v>9219</v>
          </cell>
          <cell r="G3328" t="str">
            <v>PATIO ZONAL EL GACO - ACOMETIDA EN CABLE DE CU THHN No 3x4/0 F +1x2/0N+ 1x2T AWG. INCLUYE ACCESORIOS DE FIJACIÓN Y CONEXIÓN</v>
          </cell>
          <cell r="H3328" t="str">
            <v>ML</v>
          </cell>
          <cell r="I3328">
            <v>271734</v>
          </cell>
        </row>
        <row r="3329">
          <cell r="F3329">
            <v>9220</v>
          </cell>
          <cell r="G3329" t="str">
            <v>PATIO ZONAL EL GACO - TUBERIA PVC C-900 DR-18 Ø=6", PRESIÓN DE TRABAJO=235 PSI. (INCLUYE SUMINISTRO E INSTALACION)</v>
          </cell>
          <cell r="H3329" t="str">
            <v>ML</v>
          </cell>
          <cell r="I3329">
            <v>219186</v>
          </cell>
        </row>
        <row r="3330">
          <cell r="F3330">
            <v>9221</v>
          </cell>
          <cell r="G3330" t="str">
            <v>PATIO ZONAL EL GACO - ACOMETIDA PRINCIPAL BT. INCLUYE ACCESORIOS DE FIJACIÓN Y CONEXIÓN (INCLUYE CABLE No.2 AWG 600V 90°, CABLE No. 2/0 AWG THHN-600V COBRE,  CABLE COBRE 4/0 AWG 600V 90° C THHN/THWN,  BORNA TERMINAL DE ALUMINIO 1 HUECO, 4/0 AWG)</v>
          </cell>
          <cell r="H3330" t="str">
            <v>ML</v>
          </cell>
          <cell r="I3330">
            <v>271837</v>
          </cell>
        </row>
        <row r="3331">
          <cell r="F3331">
            <v>9222</v>
          </cell>
          <cell r="G3331" t="str">
            <v>PATIO ZONAL EL GACO - TEE HD EXTREMO JUNTA MECANICA 6"x6"x6", PARA PVC C-900. (INCLUYE SUMINISTRO E INSTALACION)</v>
          </cell>
          <cell r="H3331" t="str">
            <v>UN</v>
          </cell>
          <cell r="I3331">
            <v>779907</v>
          </cell>
        </row>
        <row r="3332">
          <cell r="F3332">
            <v>9223</v>
          </cell>
          <cell r="G3332" t="str">
            <v>PATIO ZONAL EL GACO - CABLE DE COBRE No 3x12 AWG (SUMINISTRO E INSTALACION)</v>
          </cell>
          <cell r="H3332" t="str">
            <v>ML</v>
          </cell>
          <cell r="I3332">
            <v>13534</v>
          </cell>
        </row>
        <row r="3333">
          <cell r="F3333">
            <v>9224</v>
          </cell>
          <cell r="G3333" t="str">
            <v>PATIO ZONAL EL GACO - TEE HD EXTREMO JUNTA MECANICA REDUCIDA 6"X6"X4", PARA PVC C-900. (INCLUYE SUMINISTRO E INSTALACION)</v>
          </cell>
          <cell r="H3333" t="str">
            <v>UN</v>
          </cell>
          <cell r="I3333">
            <v>596322</v>
          </cell>
        </row>
        <row r="3334">
          <cell r="F3334">
            <v>9225</v>
          </cell>
          <cell r="G3334" t="str">
            <v>PATIO ZONAL EL GACO - TEE HD EXTREMO JUNTA MECANICA 4"X4"X4", PARA PVC C-900. (INCLUYE SUMINISTRO E INSTALACION)</v>
          </cell>
          <cell r="H3334" t="str">
            <v>UN</v>
          </cell>
          <cell r="I3334">
            <v>432611</v>
          </cell>
        </row>
        <row r="3335">
          <cell r="F3335">
            <v>9226</v>
          </cell>
          <cell r="G3335" t="str">
            <v>PATIO ZONAL EL GACO - MALLA METÁLICA PLASTIFICADA (0,05X0,05M) PINTURA ANTICORROSIVA Y ESMALTE POLIESTER COLOR VERDE RAL 6028, ANCLADA A MURO EXISTENTE, PARA MURO VERDE .</v>
          </cell>
          <cell r="H3335" t="str">
            <v>M2</v>
          </cell>
          <cell r="I3335">
            <v>50344</v>
          </cell>
        </row>
        <row r="3336">
          <cell r="F3336">
            <v>9227</v>
          </cell>
          <cell r="G3336" t="str">
            <v>PATIO ZONAL EL GACO - CODO HD EXTREMO JUNTA MECANICA  90°X6" (INCLUYE SUMINISTRO E INSTALACION)</v>
          </cell>
          <cell r="H3336" t="str">
            <v>UN</v>
          </cell>
          <cell r="I3336">
            <v>539022</v>
          </cell>
        </row>
        <row r="3337">
          <cell r="F3337">
            <v>9228</v>
          </cell>
          <cell r="G3337" t="str">
            <v>PATIO ZONAL EL GACO - DIVISIONES DE BAÑO EN ACERO INOXIDABLE (INCLUYE PUERTA)</v>
          </cell>
          <cell r="H3337" t="str">
            <v>M2</v>
          </cell>
          <cell r="I3337">
            <v>541218</v>
          </cell>
        </row>
        <row r="3338">
          <cell r="F3338">
            <v>9229</v>
          </cell>
          <cell r="G3338" t="str">
            <v>PATIO ZONAL EL GACO - ANTEPECHO EN BLOQUE No.5, MORTERO 1:4 (HECHO EN OBRA) PARA RECUBRIMIENTO PERIMETRAL DE CUBIERTA EN CONCRETO</v>
          </cell>
          <cell r="H3338" t="str">
            <v>M2</v>
          </cell>
          <cell r="I3338">
            <v>27375</v>
          </cell>
        </row>
        <row r="3339">
          <cell r="F3339">
            <v>9230</v>
          </cell>
          <cell r="G3339" t="str">
            <v>PATIO ZONAL EL GACO - CODO HD EXTREMO JUNTA MECANICA 90°X4" (INCLUYE SUMINISTRO E INSTALACION)</v>
          </cell>
          <cell r="H3339" t="str">
            <v>UN</v>
          </cell>
          <cell r="I3339">
            <v>379364</v>
          </cell>
        </row>
        <row r="3340">
          <cell r="F3340">
            <v>9231</v>
          </cell>
          <cell r="G3340" t="str">
            <v>PATIO ZONAL EL GACO - CODO HD EXTREMO JUNTA MECANICA 45°X6" (INCLUYE SUMINISTRO E INSTALACION)</v>
          </cell>
          <cell r="H3340" t="str">
            <v>UN</v>
          </cell>
          <cell r="I3340">
            <v>362903</v>
          </cell>
        </row>
        <row r="3341">
          <cell r="F3341">
            <v>9232</v>
          </cell>
          <cell r="G3341" t="str">
            <v>PATIO ZONAL EL GACO - REDUCCIÓN HD EXTREMO JUNTA MECANICA  Ø6"X4" (INCLUYE SUMINISTRO E INSTALACION)</v>
          </cell>
          <cell r="H3341" t="str">
            <v>UN</v>
          </cell>
          <cell r="I3341">
            <v>184427</v>
          </cell>
        </row>
        <row r="3342">
          <cell r="F3342">
            <v>9233</v>
          </cell>
          <cell r="G3342" t="str">
            <v>PATIO ZONAL EL GACO - BRIDA RANURADA Ø4" (INCLUYE SUMINISTRO E INSTALACION)</v>
          </cell>
          <cell r="H3342" t="str">
            <v>UN</v>
          </cell>
          <cell r="I3342">
            <v>87202</v>
          </cell>
        </row>
        <row r="3343">
          <cell r="F3343">
            <v>9234</v>
          </cell>
          <cell r="G3343" t="str">
            <v>PATIO ZONAL EL GACO - BRIDA RANURADA Ø6" (INCLUYE SUMINISTRO E INSTALACION)</v>
          </cell>
          <cell r="H3343" t="str">
            <v>UN</v>
          </cell>
          <cell r="I3343">
            <v>85418</v>
          </cell>
        </row>
        <row r="3344">
          <cell r="F3344">
            <v>9235</v>
          </cell>
          <cell r="G3344" t="str">
            <v>PATIO ZONAL EL GACO - JUEGO EMPAQUES Y TORNILLERIA PARA BRIDA 4" (INCLUYE SUMINISTRO E INSTALACION)</v>
          </cell>
          <cell r="H3344" t="str">
            <v>UN</v>
          </cell>
          <cell r="I3344">
            <v>36315</v>
          </cell>
        </row>
        <row r="3345">
          <cell r="F3345">
            <v>9236</v>
          </cell>
          <cell r="G3345" t="str">
            <v>PATIO ZONAL EL GACO - JUEGO EMPAQUES Y TORNILLERIA PARA BRIDA 6" (INCLUYE SUMINISTRO E INSTALACION)</v>
          </cell>
          <cell r="H3345" t="str">
            <v>UN</v>
          </cell>
          <cell r="I3345">
            <v>39614</v>
          </cell>
        </row>
        <row r="3346">
          <cell r="F3346">
            <v>9237</v>
          </cell>
          <cell r="G3346" t="str">
            <v xml:space="preserve"> PATIO ZONAL EL GACO - ADAPTADOR HEMBRA EN COBRE DE 1/2" (SUMINISTRO E INSTALACION)</v>
          </cell>
          <cell r="H3346" t="str">
            <v>UN</v>
          </cell>
          <cell r="I3346">
            <v>7825</v>
          </cell>
        </row>
        <row r="3347">
          <cell r="F3347">
            <v>9238</v>
          </cell>
          <cell r="G3347" t="str">
            <v>PATIO ZONAL EL GACO - TAPÓN RANURADO Ø4" (INCLUYE SUMINISTRO E INSTALACION)</v>
          </cell>
          <cell r="H3347" t="str">
            <v>UN</v>
          </cell>
          <cell r="I3347">
            <v>17166</v>
          </cell>
        </row>
        <row r="3348">
          <cell r="F3348">
            <v>9239</v>
          </cell>
          <cell r="G3348" t="str">
            <v xml:space="preserve"> PATIO ZONAL EL GACO - CONDUFLEX PLÁSTICO DE 3/4" (SUMINISTRO E INSTALACION)</v>
          </cell>
          <cell r="H3348" t="str">
            <v>ML</v>
          </cell>
          <cell r="I3348">
            <v>4032</v>
          </cell>
        </row>
        <row r="3349">
          <cell r="F3349">
            <v>9240</v>
          </cell>
          <cell r="G3349" t="str">
            <v>PATIO ZONAL EL GACO - TAPÓN RANURADO Ø6" (INCLUYE SUMINISTRO E INSTALACION)</v>
          </cell>
          <cell r="H3349" t="str">
            <v>UN</v>
          </cell>
          <cell r="I3349">
            <v>35948</v>
          </cell>
        </row>
        <row r="3350">
          <cell r="F3350">
            <v>9241</v>
          </cell>
          <cell r="G3350" t="str">
            <v>PATIO ZONAL EL GACO - CONDUFLEX PLÁSTICO DE 1/2" (SUMINISTRO E INSTALACION)</v>
          </cell>
          <cell r="H3350" t="str">
            <v>ML</v>
          </cell>
          <cell r="I3350">
            <v>3018</v>
          </cell>
        </row>
        <row r="3351">
          <cell r="F3351">
            <v>9242</v>
          </cell>
          <cell r="G3351" t="str">
            <v>PATIO ZONAL EL GACO - RESTRICTOR HEXAGONAL HD TUF GRIP Ø6" (INCLUYE SUMINISTRO E INSTALACION)</v>
          </cell>
          <cell r="H3351" t="str">
            <v>UN</v>
          </cell>
          <cell r="I3351">
            <v>316547</v>
          </cell>
        </row>
        <row r="3352">
          <cell r="F3352">
            <v>9243</v>
          </cell>
          <cell r="G3352" t="str">
            <v>PATIO ZONAL EL GACO - RESTRICTOR HEXAGONAL HD TUF GRIP Ø4" (INCLUYE SUMINISTRO E INSTALACION)</v>
          </cell>
          <cell r="H3352" t="str">
            <v>UN</v>
          </cell>
          <cell r="I3352">
            <v>266416</v>
          </cell>
        </row>
        <row r="3353">
          <cell r="F3353">
            <v>9244</v>
          </cell>
          <cell r="G3353" t="str">
            <v>PATIO ZONAL EL GACO - KIT ADAPTADOR TRANSICIÓN HD 4200 Ø6" (INCLUYE SUMINISTRO E INSTALACION)</v>
          </cell>
          <cell r="H3353" t="str">
            <v>UN</v>
          </cell>
          <cell r="I3353">
            <v>584173</v>
          </cell>
        </row>
        <row r="3354">
          <cell r="F3354">
            <v>9245</v>
          </cell>
          <cell r="G3354" t="str">
            <v>PATIO ZONAL EL GACO - KIT ADAPTADOR TRANSICIÓN HD 4200 Ø4" (INCLUYE SUMINISTRO E INSTALACION)</v>
          </cell>
          <cell r="H3354" t="str">
            <v>UN</v>
          </cell>
          <cell r="I3354">
            <v>482996</v>
          </cell>
        </row>
        <row r="3355">
          <cell r="F3355">
            <v>9246</v>
          </cell>
          <cell r="G3355" t="str">
            <v>PATIO ZONAL EL GACO - RESTRICTOR HIERRO DÚCTIL SERIE 400 C-900 Ø6" (INCLUYE SUMINISTRO E INSTALACION)</v>
          </cell>
          <cell r="H3355" t="str">
            <v>UN</v>
          </cell>
          <cell r="I3355">
            <v>331866</v>
          </cell>
        </row>
        <row r="3356">
          <cell r="F3356">
            <v>9247</v>
          </cell>
          <cell r="G3356" t="str">
            <v>PATIO ZONAL EL GACO - RESTRICTOR HIERRO DÚCTIL SERIE 400 C-900 Ø4" (INCLUYE SUMINISTRO E INSTALACION)</v>
          </cell>
          <cell r="H3356" t="str">
            <v>UN</v>
          </cell>
          <cell r="I3356">
            <v>266416</v>
          </cell>
        </row>
        <row r="3357">
          <cell r="F3357">
            <v>9248</v>
          </cell>
          <cell r="G3357" t="str">
            <v>PATIO ZONAL EL GACO - VÁLVULA ANGULAR 2 1/2″ H/M ROSCADA 300 PSI BRONCE UL/FM (INCLUYE SUMINISTRO E INSTALACION)</v>
          </cell>
          <cell r="H3357" t="str">
            <v>UN</v>
          </cell>
          <cell r="I3357">
            <v>302603</v>
          </cell>
        </row>
        <row r="3358">
          <cell r="F3358">
            <v>9249</v>
          </cell>
          <cell r="G3358" t="str">
            <v>PATIO ZONAL EL GACO - ACOPLE RIGIDO RANURADO 1-¼" (INCLUYE SUMINISTRO E INSTALACION)</v>
          </cell>
          <cell r="H3358" t="str">
            <v>UN</v>
          </cell>
          <cell r="I3358">
            <v>23163</v>
          </cell>
        </row>
        <row r="3359">
          <cell r="F3359">
            <v>9250</v>
          </cell>
          <cell r="G3359" t="str">
            <v>PATIO ZONAL EL GACO - ACOPLE RIGIDO RANURADO 1-½" (INCLUYE SUMINISTRO E INSTALACION)</v>
          </cell>
          <cell r="H3359" t="str">
            <v>UN</v>
          </cell>
          <cell r="I3359">
            <v>22291</v>
          </cell>
        </row>
        <row r="3360">
          <cell r="F3360">
            <v>9251</v>
          </cell>
          <cell r="G3360" t="str">
            <v>PATIO ZONAL EL GACO - ACOPLE RIGIDO RANURADO 2" (INCLUYE SUMINISTRO E INSTALACION)</v>
          </cell>
          <cell r="H3360" t="str">
            <v>UN</v>
          </cell>
          <cell r="I3360">
            <v>23124</v>
          </cell>
        </row>
        <row r="3361">
          <cell r="F3361">
            <v>9252</v>
          </cell>
          <cell r="G3361" t="str">
            <v>PATIO ZONAL EL GACO - ACOPLE RIGIDO RANURADO 2-1/2" (INCLUYE SUMINISTRO E INSTALACION)</v>
          </cell>
          <cell r="H3361" t="str">
            <v>UN</v>
          </cell>
          <cell r="I3361">
            <v>24314</v>
          </cell>
        </row>
        <row r="3362">
          <cell r="F3362">
            <v>9253</v>
          </cell>
          <cell r="G3362" t="str">
            <v xml:space="preserve"> PATIO ZONAL EL GACO - ARBUSTO TIPO SIETE CUEROS/NAZARENO DE ALTURA 60-70CM</v>
          </cell>
          <cell r="H3362" t="str">
            <v>UN</v>
          </cell>
          <cell r="I3362">
            <v>43862</v>
          </cell>
        </row>
        <row r="3363">
          <cell r="F3363">
            <v>9254</v>
          </cell>
          <cell r="G3363" t="str">
            <v>PATIO ZONAL EL GACO - ACOPLE RIGIDO RANURADO 3" (INCLUYE SUMINISTRO E INSTALACION)</v>
          </cell>
          <cell r="H3363" t="str">
            <v>UN</v>
          </cell>
          <cell r="I3363">
            <v>25980</v>
          </cell>
        </row>
        <row r="3364">
          <cell r="F3364">
            <v>9255</v>
          </cell>
          <cell r="G3364" t="str">
            <v>PATIO ZONAL EL GACO - ACOPLE RIGIDO RANURADO 4" (INCLUYE SUMINISTRO E INSTALACION)</v>
          </cell>
          <cell r="H3364" t="str">
            <v>UN</v>
          </cell>
          <cell r="I3364">
            <v>35687</v>
          </cell>
        </row>
        <row r="3365">
          <cell r="F3365">
            <v>9256</v>
          </cell>
          <cell r="G3365" t="str">
            <v xml:space="preserve"> PATIO ZONAL EL GACO - Fachada en Ladrillo bloque estructural No. 12  ( 39 x 19 x 12)cm. (Suministro e instalación)</v>
          </cell>
          <cell r="H3365" t="str">
            <v>M2</v>
          </cell>
          <cell r="I3365">
            <v>54873</v>
          </cell>
        </row>
        <row r="3366">
          <cell r="F3366">
            <v>9257</v>
          </cell>
          <cell r="G3366" t="str">
            <v xml:space="preserve"> PATIO ZONAL EL GACO - AFINADO SIMPLE E= 4CMS (MORTERO SECO) (INCLUYE SUMINISTRO E INSTALACIÓN)</v>
          </cell>
          <cell r="H3366" t="str">
            <v>M2</v>
          </cell>
          <cell r="I3366">
            <v>44586</v>
          </cell>
        </row>
        <row r="3367">
          <cell r="F3367">
            <v>9258</v>
          </cell>
          <cell r="G3367" t="str">
            <v xml:space="preserve"> PATIO ZONAL EL GACO - ESPEJO BISELADO DE 5MM SOBRE MARCO DE MADERA (INCLUYE SUMINISTRO E INSTALACIÓN)</v>
          </cell>
          <cell r="H3367" t="str">
            <v>M2</v>
          </cell>
          <cell r="I3367">
            <v>217384</v>
          </cell>
        </row>
        <row r="3368">
          <cell r="F3368">
            <v>9259</v>
          </cell>
          <cell r="G3368" t="str">
            <v>PATIO ZONAL EL GACO - REGISTRO BOLA 3/4" PVC (INCLUYE SUMINISTRO E INSTALACION)</v>
          </cell>
          <cell r="H3368" t="str">
            <v>UN</v>
          </cell>
          <cell r="I3368">
            <v>16025</v>
          </cell>
        </row>
        <row r="3369">
          <cell r="F3369">
            <v>9260</v>
          </cell>
          <cell r="G3369" t="str">
            <v>PATIO ZONAL EL GACO - REGISTRO BOLA 1 1/2" PVC (INCLUYE SUMINISTRO E INSTALACION)</v>
          </cell>
          <cell r="H3369" t="str">
            <v>UN</v>
          </cell>
          <cell r="I3369">
            <v>31211</v>
          </cell>
        </row>
        <row r="3370">
          <cell r="F3370">
            <v>9261</v>
          </cell>
          <cell r="G3370" t="str">
            <v>PATIO ZONAL EL GACO - REGISTRO BOLA 2" PVC (INCLUYE SUMINISTRO E INSTALACION)</v>
          </cell>
          <cell r="H3370" t="str">
            <v>UN</v>
          </cell>
          <cell r="I3370">
            <v>43215</v>
          </cell>
        </row>
        <row r="3371">
          <cell r="F3371">
            <v>9262</v>
          </cell>
          <cell r="G3371" t="str">
            <v>PATIO ZONAL EL GACO - TEE 3" PVC (INCLUYE SUMINISTRO E INSTALACION)</v>
          </cell>
          <cell r="H3371" t="str">
            <v>UN</v>
          </cell>
          <cell r="I3371">
            <v>64828</v>
          </cell>
        </row>
        <row r="3372">
          <cell r="F3372">
            <v>9263</v>
          </cell>
          <cell r="G3372" t="str">
            <v>PATIO ZONAL EL GACO - TEE 4" PVC (INCLUYE SUMINISTRO E INSTALACION)</v>
          </cell>
          <cell r="H3372" t="str">
            <v>UN</v>
          </cell>
          <cell r="I3372">
            <v>135022</v>
          </cell>
        </row>
        <row r="3373">
          <cell r="F3373">
            <v>9264</v>
          </cell>
          <cell r="G3373" t="str">
            <v>PATIO ZONAL EL GACO - CODO PVCP 90° 3/4"  (INCLUYE SUMINISTRO E INSTALACION)</v>
          </cell>
          <cell r="H3373" t="str">
            <v>UN</v>
          </cell>
          <cell r="I3373">
            <v>4660</v>
          </cell>
        </row>
        <row r="3374">
          <cell r="F3374">
            <v>9265</v>
          </cell>
          <cell r="G3374" t="str">
            <v>PATIO ZONAL EL GACO - CODO PVCP 45° 1 1/4"  (INCLUYE SUMINISTRO E INSTALACION)</v>
          </cell>
          <cell r="H3374" t="str">
            <v>UN</v>
          </cell>
          <cell r="I3374">
            <v>9229</v>
          </cell>
        </row>
        <row r="3375">
          <cell r="F3375">
            <v>9266</v>
          </cell>
          <cell r="G3375" t="str">
            <v>PATIO ZONAL EL GACO - TEE 2 1/2" PVC (INCLUYE SUMINISTRO E INSTALACION)</v>
          </cell>
          <cell r="H3375" t="str">
            <v>UN</v>
          </cell>
          <cell r="I3375">
            <v>42032</v>
          </cell>
        </row>
        <row r="3376">
          <cell r="F3376">
            <v>9267</v>
          </cell>
          <cell r="G3376" t="str">
            <v>PATIO ZONAL EL GACO - SOPORTES COLGANTES UL/FM 1-1/4" (Incluye suministro e instalacion)</v>
          </cell>
          <cell r="H3376" t="str">
            <v>UN</v>
          </cell>
          <cell r="I3376">
            <v>25309</v>
          </cell>
        </row>
        <row r="3377">
          <cell r="F3377">
            <v>9268</v>
          </cell>
          <cell r="G3377" t="str">
            <v>PATIO ZONAL EL GACO - SOPORTES COLGANTES UL/FM 1-1/2" (Incluye suministro e instalacion)</v>
          </cell>
          <cell r="H3377" t="str">
            <v>UN</v>
          </cell>
          <cell r="I3377">
            <v>25428</v>
          </cell>
        </row>
        <row r="3378">
          <cell r="F3378">
            <v>9269</v>
          </cell>
          <cell r="G3378" t="str">
            <v>PATIO ZONAL EL GACO - SOPORTES COLGANTES UL/FM 2" (Incluye suministro e instalacion)</v>
          </cell>
          <cell r="H3378" t="str">
            <v>UN</v>
          </cell>
          <cell r="I3378">
            <v>25547</v>
          </cell>
        </row>
        <row r="3379">
          <cell r="F3379">
            <v>9270</v>
          </cell>
          <cell r="G3379" t="str">
            <v>PATIO ZONAL EL GACO - MANOMETRO GLICERINA CUBIERTA DE 2 1/2", 0 A 300 PSI Ø1/4" (INCLUYE SUMINISTRO E INSTALACION)</v>
          </cell>
          <cell r="H3379" t="str">
            <v>UN</v>
          </cell>
          <cell r="I3379">
            <v>72651</v>
          </cell>
        </row>
        <row r="3380">
          <cell r="F3380">
            <v>9271</v>
          </cell>
          <cell r="G3380" t="str">
            <v>PATIO ZONAL EL GACO - ROCIADOR PENDIENTE, ORIFICIO 3/4", TEMPERATURA 165° F, BRONZE Ø 3/4" - K=8,0 (INCLUYE SUMINISTRO E INSTALACION)</v>
          </cell>
          <cell r="H3380" t="str">
            <v>UN</v>
          </cell>
          <cell r="I3380">
            <v>49472</v>
          </cell>
        </row>
        <row r="3381">
          <cell r="F3381">
            <v>9272</v>
          </cell>
          <cell r="G3381" t="str">
            <v>PATIO ZONAL EL GACO - ABRAZADERA TIPO PERA UL/FM 1" (INCLUYE SUMINISTRO E INSTALACION)</v>
          </cell>
          <cell r="H3381" t="str">
            <v>UN</v>
          </cell>
          <cell r="I3381">
            <v>25196</v>
          </cell>
        </row>
        <row r="3382">
          <cell r="F3382">
            <v>9273</v>
          </cell>
          <cell r="G3382" t="str">
            <v xml:space="preserve">PATIO ZONAL EL GACO: LUMINARIA LED EMERGENCIA R12 x 1.6W. (Incluye suministro e instalación)	</v>
          </cell>
          <cell r="H3382" t="str">
            <v>UN</v>
          </cell>
          <cell r="I3382">
            <v>145069</v>
          </cell>
        </row>
        <row r="3383">
          <cell r="F3383">
            <v>9274</v>
          </cell>
          <cell r="G3383" t="str">
            <v>PATIO ZONAL EL GACO: LUMINARIA LED HERMETICA 50W DL. (Incluye suministro e instalación)</v>
          </cell>
          <cell r="H3383" t="str">
            <v>UN</v>
          </cell>
          <cell r="I3383">
            <v>182889</v>
          </cell>
        </row>
        <row r="3384">
          <cell r="F3384">
            <v>9275</v>
          </cell>
          <cell r="G3384" t="str">
            <v>PATIO ZONAL EL GACO: LED REFLECTOR JETA 50W DL. (Incluye suministro e instalación)</v>
          </cell>
          <cell r="H3384" t="str">
            <v>UN</v>
          </cell>
          <cell r="I3384">
            <v>101890</v>
          </cell>
        </row>
        <row r="3385">
          <cell r="F3385">
            <v>9276</v>
          </cell>
          <cell r="G3385" t="str">
            <v>PATIO ZONAL EL GACO - SOPORTES COLGANTES UL/FM 3" (Incluye suministro e instalacion)</v>
          </cell>
          <cell r="H3385" t="str">
            <v>UN</v>
          </cell>
          <cell r="I3385">
            <v>27034</v>
          </cell>
        </row>
        <row r="3386">
          <cell r="F3386">
            <v>9277</v>
          </cell>
          <cell r="G3386" t="str">
            <v>PATIO ZONAL EL GACO: LUMINARIA LED HIGH BAY 200W DL GC015. (Incluye suministro e instalación)</v>
          </cell>
          <cell r="H3386" t="str">
            <v>UN</v>
          </cell>
          <cell r="I3386">
            <v>485921</v>
          </cell>
        </row>
        <row r="3387">
          <cell r="F3387">
            <v>9278</v>
          </cell>
          <cell r="G3387" t="str">
            <v>PATIO ZONAL EL GACO: PLANTA ELÉCTRICA 400 kW CON CABINA. Voltaje 220 V. (Incluye suministro e instalación)</v>
          </cell>
          <cell r="H3387" t="str">
            <v>UN</v>
          </cell>
          <cell r="I3387">
            <v>194345493</v>
          </cell>
        </row>
        <row r="3388">
          <cell r="F3388">
            <v>9279</v>
          </cell>
          <cell r="G3388" t="str">
            <v>PATIO ZONAL EL GACO: TOMA TRIFILAR DE INCRUSTAR 50A/250V. (Incluye suministro e instalación)</v>
          </cell>
          <cell r="H3388" t="str">
            <v>UN</v>
          </cell>
          <cell r="I3388">
            <v>30767</v>
          </cell>
        </row>
        <row r="3389">
          <cell r="F3389">
            <v>9280</v>
          </cell>
          <cell r="G3389" t="str">
            <v>PATIO ZONAL EL GACO: PANEL LED REDONDO 18 W LUZ BLANCA FRÍA 1080 LUMENES DE INCRUSTAR. (Incluye suministro e instalación)</v>
          </cell>
          <cell r="H3389" t="str">
            <v>UN</v>
          </cell>
          <cell r="I3389">
            <v>60690</v>
          </cell>
        </row>
        <row r="3390">
          <cell r="F3390">
            <v>9281</v>
          </cell>
          <cell r="G3390" t="str">
            <v>PATIO ZONAL EL GACO - SOPORTES COLGANTES UL/FM 4" (Incluye suministro e instalacion)</v>
          </cell>
          <cell r="H3390" t="str">
            <v>UN</v>
          </cell>
          <cell r="I3390">
            <v>28284</v>
          </cell>
        </row>
        <row r="3391">
          <cell r="F3391">
            <v>9282</v>
          </cell>
          <cell r="G3391" t="str">
            <v>PATIO ZONAL EL GACO: ACOMETIDA EN CABLE THHN No 3x10 F +1x10N+ 1x10T AWG. Incluye Accesorios de Fijación  y conexión</v>
          </cell>
          <cell r="H3391" t="str">
            <v>ML</v>
          </cell>
          <cell r="I3391">
            <v>18748</v>
          </cell>
        </row>
        <row r="3392">
          <cell r="F3392">
            <v>9283</v>
          </cell>
          <cell r="G3392" t="str">
            <v>PATIO ZONAL EL GACO - SOPORTE ANTISÍSMICO 4 VÍAS (Incluye suministro e instalacion)</v>
          </cell>
          <cell r="H3392" t="str">
            <v>UN</v>
          </cell>
          <cell r="I3392">
            <v>73131</v>
          </cell>
        </row>
        <row r="3393">
          <cell r="F3393">
            <v>9284</v>
          </cell>
          <cell r="G3393" t="str">
            <v xml:space="preserve">PATIO ZONAL EL GACO: LUMINARIA LED PANEL RD 24W DL. (Incluye suministro e instalación) </v>
          </cell>
          <cell r="H3393" t="str">
            <v>UN</v>
          </cell>
          <cell r="I3393">
            <v>79007</v>
          </cell>
        </row>
        <row r="3394">
          <cell r="F3394">
            <v>9285</v>
          </cell>
          <cell r="G3394" t="str">
            <v>PATIO ZONAL EL GACO - SOPORTE AUTO-AJUSTABLE (Incluye suministro e instalacion)</v>
          </cell>
          <cell r="H3394" t="str">
            <v>UN</v>
          </cell>
          <cell r="I3394">
            <v>6325</v>
          </cell>
        </row>
        <row r="3395">
          <cell r="F3395">
            <v>9286</v>
          </cell>
          <cell r="G3395" t="str">
            <v xml:space="preserve"> PATIO ZONAL EL GACO - LISTÓN ESPARTA MULTICOLOR CARA UNICA 15 x 45 CM (SUMINISTRO E INSTALACION)</v>
          </cell>
          <cell r="H3395" t="str">
            <v>UN</v>
          </cell>
          <cell r="I3395">
            <v>10580</v>
          </cell>
        </row>
        <row r="3396">
          <cell r="F3396">
            <v>9287</v>
          </cell>
          <cell r="G3396" t="str">
            <v>PATIO ZONAL EL GACO: CODO CU 90° 3/4". (Incluye suministro e instalación)</v>
          </cell>
          <cell r="H3396" t="str">
            <v>UN</v>
          </cell>
          <cell r="I3396">
            <v>8225</v>
          </cell>
        </row>
        <row r="3397">
          <cell r="F3397">
            <v>9288</v>
          </cell>
          <cell r="G3397" t="str">
            <v xml:space="preserve"> PATIO ZONAL EL GACO - PISO EN PORCELANATO BELFORT MIEL 24X120 CM (SUMINISTRO E INSTALACION)</v>
          </cell>
          <cell r="H3397" t="str">
            <v>M2</v>
          </cell>
          <cell r="I3397">
            <v>119692</v>
          </cell>
        </row>
        <row r="3398">
          <cell r="F3398">
            <v>9289</v>
          </cell>
          <cell r="G3398" t="str">
            <v>PATIO ZONAL EL GACO - CHEQUE RANURADO Ø2" (Incluye suministro e instalacion)</v>
          </cell>
          <cell r="H3398" t="str">
            <v>UN</v>
          </cell>
          <cell r="I3398">
            <v>238527</v>
          </cell>
        </row>
        <row r="3399">
          <cell r="F3399">
            <v>9290</v>
          </cell>
          <cell r="G3399" t="str">
            <v xml:space="preserve"> PATIO ZONAL EL GACO - VENTANA TIPO V-02 REJILLA EN VIDRIO, ALUMINIO MATE, VIDRIO TEMPLADO DE SEGURIDAD TRANSPARENTE 6MM, DE 60X100CM (Incluye suministro e instalacion)</v>
          </cell>
          <cell r="H3399" t="str">
            <v>UN</v>
          </cell>
          <cell r="I3399">
            <v>278832</v>
          </cell>
        </row>
        <row r="3400">
          <cell r="F3400">
            <v>9291</v>
          </cell>
          <cell r="G3400" t="str">
            <v xml:space="preserve"> PATIO ZONAL EL GACO - VENTANA TIPO V-03 GUILLOTINA VERTICAL, EN ALUMINIO MATE, VIDRIO TEMPLADO DE SEGURIDAD TRANSPARENTE 6MM, DE 220x100CM (Incluye suministro e instalacion)</v>
          </cell>
          <cell r="H3400" t="str">
            <v>UN</v>
          </cell>
          <cell r="I3400">
            <v>1079345</v>
          </cell>
        </row>
        <row r="3401">
          <cell r="F3401">
            <v>9292</v>
          </cell>
          <cell r="G3401" t="str">
            <v>PATIO ZONAL EL GACO - CHEQUE RANURADO Ø2½" (Incluye suministro e instalacion)</v>
          </cell>
          <cell r="H3401" t="str">
            <v>UN</v>
          </cell>
          <cell r="I3401">
            <v>226172</v>
          </cell>
        </row>
        <row r="3402">
          <cell r="F3402">
            <v>9293</v>
          </cell>
          <cell r="G3402" t="str">
            <v xml:space="preserve"> PATIO ZONAL EL GACO -  TUBO POLIETILENO 1" (SUMINISTRO E INSTALACIÓN)</v>
          </cell>
          <cell r="H3402" t="str">
            <v>ML</v>
          </cell>
          <cell r="I3402">
            <v>16083</v>
          </cell>
        </row>
        <row r="3403">
          <cell r="F3403">
            <v>9294</v>
          </cell>
          <cell r="G3403" t="str">
            <v>PATIO ZONAL EL GACO - CHEQUE RANURADO Ø3" (Incluye suministro e instalacion)</v>
          </cell>
          <cell r="H3403" t="str">
            <v>UN</v>
          </cell>
          <cell r="I3403">
            <v>257770</v>
          </cell>
        </row>
        <row r="3404">
          <cell r="F3404">
            <v>9295</v>
          </cell>
          <cell r="G3404" t="str">
            <v>PATIO ZONAL EL GACO - CHEQUE RANURADO Ø4" (Incluye suministro e instalacion)</v>
          </cell>
          <cell r="H3404" t="str">
            <v>UN</v>
          </cell>
          <cell r="I3404">
            <v>358598</v>
          </cell>
        </row>
        <row r="3405">
          <cell r="F3405">
            <v>9296</v>
          </cell>
          <cell r="G3405" t="str">
            <v>PATIO ZONAL EL GACO - VÁLVULA MARIPOSA Ø1½" (Incluye suministro e instalacion)</v>
          </cell>
          <cell r="H3405" t="str">
            <v>UN</v>
          </cell>
          <cell r="I3405">
            <v>315758</v>
          </cell>
        </row>
        <row r="3406">
          <cell r="F3406">
            <v>9297</v>
          </cell>
          <cell r="G3406" t="str">
            <v>PATIO ZONAL EL GACO - VÁLVULA MARIPOSA Ø2" (Incluye suministro e instalacion)</v>
          </cell>
          <cell r="H3406" t="str">
            <v>UN</v>
          </cell>
          <cell r="I3406">
            <v>395957</v>
          </cell>
        </row>
        <row r="3407">
          <cell r="F3407">
            <v>9298</v>
          </cell>
          <cell r="G3407" t="str">
            <v>PATIO ZONAL EL GACO - LUMINARIA LED PANEL SQ 40W DL 100-277V (Incluye suministro e instalacion)</v>
          </cell>
          <cell r="H3407" t="str">
            <v>UN</v>
          </cell>
          <cell r="I3407">
            <v>132120</v>
          </cell>
        </row>
        <row r="3408">
          <cell r="F3408">
            <v>9299</v>
          </cell>
          <cell r="G3408" t="str">
            <v>PATIO ZONAL EL GACO - LUMINARIA LED LINEAL COMERCIAL 40W DL UNV (Incluye suministro e instalacion)</v>
          </cell>
          <cell r="H3408" t="str">
            <v>UN</v>
          </cell>
          <cell r="I3408">
            <v>145290</v>
          </cell>
        </row>
        <row r="3409">
          <cell r="F3409">
            <v>9300</v>
          </cell>
          <cell r="G3409" t="str">
            <v>PATIO ZONAL EL GACO - TUBO DE COBRE 3/4" (Incluye suministro e instalacion)</v>
          </cell>
          <cell r="H3409" t="str">
            <v>ML</v>
          </cell>
          <cell r="I3409">
            <v>35773</v>
          </cell>
        </row>
        <row r="3410">
          <cell r="F3410">
            <v>9301</v>
          </cell>
          <cell r="G3410" t="str">
            <v>PATIO ZONAL EL GACO - GEOMEMBRANA LISA HDPE 40 MILS. (Incluye suministro e instalacion).</v>
          </cell>
          <cell r="H3410" t="str">
            <v>M2</v>
          </cell>
          <cell r="I3410">
            <v>18350</v>
          </cell>
        </row>
        <row r="3411">
          <cell r="F3411">
            <v>9302</v>
          </cell>
          <cell r="G3411" t="str">
            <v>PATIO ZONAL EL GACO - ACCESORIOS RANURADOS 150 LBS 1" (Incluye suministro e instalacion)</v>
          </cell>
          <cell r="H3411" t="str">
            <v>UN</v>
          </cell>
          <cell r="I3411">
            <v>12378</v>
          </cell>
        </row>
        <row r="3412">
          <cell r="F3412">
            <v>9303</v>
          </cell>
          <cell r="G3412" t="str">
            <v>PATIO ZONAL EL GACO - ACCESORIO RANURADO 1¼" (Incluye suministro e instalacion)</v>
          </cell>
          <cell r="H3412" t="str">
            <v>UN</v>
          </cell>
          <cell r="I3412">
            <v>15029</v>
          </cell>
        </row>
        <row r="3413">
          <cell r="F3413">
            <v>9304</v>
          </cell>
          <cell r="G3413" t="str">
            <v>PATIO ZONAL EL GACO - ACCESORIO RANURADO 1½" (Incluye suministro e instalacion)</v>
          </cell>
          <cell r="H3413" t="str">
            <v>UN</v>
          </cell>
          <cell r="I3413">
            <v>16178</v>
          </cell>
        </row>
        <row r="3414">
          <cell r="F3414">
            <v>9305</v>
          </cell>
          <cell r="G3414" t="str">
            <v>PATIO ZONAL EL GACO - ACCESORIO RANURADO 2" (Incluye suministro e instalacion)</v>
          </cell>
          <cell r="H3414" t="str">
            <v>UN</v>
          </cell>
          <cell r="I3414">
            <v>19578</v>
          </cell>
        </row>
        <row r="3415">
          <cell r="F3415">
            <v>9306</v>
          </cell>
          <cell r="G3415" t="str">
            <v>PATIO ZONAL EL GACO - PLUG TELEFONICO CONECTOR RJ 11 (Incluye suministro e instalacion)</v>
          </cell>
          <cell r="H3415" t="str">
            <v>UN</v>
          </cell>
          <cell r="I3415">
            <v>2254</v>
          </cell>
        </row>
        <row r="3416">
          <cell r="F3416">
            <v>9307</v>
          </cell>
          <cell r="G3416" t="str">
            <v>PATIO ZONAL EL GACO - GABINETE 60 CM X 60 CM X 60 CM (Incluye suministro e instalacion)</v>
          </cell>
          <cell r="H3416" t="str">
            <v>UN</v>
          </cell>
          <cell r="I3416">
            <v>278411</v>
          </cell>
        </row>
        <row r="3417">
          <cell r="F3417">
            <v>9308</v>
          </cell>
          <cell r="G3417" t="str">
            <v>PATIO ZONAL EL GACO - GABINETE 60 CM X 60 CM X 210 CM (Incluye suministro e instalacion)</v>
          </cell>
          <cell r="H3417" t="str">
            <v>UN</v>
          </cell>
          <cell r="I3417">
            <v>791166</v>
          </cell>
        </row>
        <row r="3418">
          <cell r="F3418">
            <v>9309</v>
          </cell>
          <cell r="G3418" t="str">
            <v>PATIO ZONAL EL GACO - PATCH PANEL 24 PUNTOS (Incluye suministro e instalacion)</v>
          </cell>
          <cell r="H3418" t="str">
            <v>UN</v>
          </cell>
          <cell r="I3418">
            <v>192715</v>
          </cell>
        </row>
        <row r="3419">
          <cell r="F3419">
            <v>9310</v>
          </cell>
          <cell r="G3419" t="str">
            <v>PATIO ZONAL EL GACO - PATCHCORD CTA 6 (Incluye suministro e instalacion)</v>
          </cell>
          <cell r="H3419" t="str">
            <v>ML</v>
          </cell>
          <cell r="I3419">
            <v>4966</v>
          </cell>
        </row>
        <row r="3420">
          <cell r="F3420">
            <v>9311</v>
          </cell>
          <cell r="G3420" t="str">
            <v xml:space="preserve"> PATIO ZONAL EL GACO - TABLERO TRIFÁSICO 3F-5H DE 12 CIRCUITOS  PARA BREAKERS ENCHUFABLES (Incluye suministro e instalacion)</v>
          </cell>
          <cell r="H3420" t="str">
            <v>UN</v>
          </cell>
          <cell r="I3420">
            <v>330073</v>
          </cell>
        </row>
        <row r="3421">
          <cell r="F3421">
            <v>9312</v>
          </cell>
          <cell r="G3421" t="str">
            <v>PATIO ZONAL EL GACO - TABLERO TRIFÁSICO 3F-5H DE 36 CIRCUITOS PARA BREAKERS ENCHUFABLES (Incluye suministro e instalacion)</v>
          </cell>
          <cell r="H3421" t="str">
            <v>UN</v>
          </cell>
          <cell r="I3421">
            <v>441425</v>
          </cell>
        </row>
        <row r="3422">
          <cell r="F3422">
            <v>9313</v>
          </cell>
          <cell r="G3422" t="str">
            <v>PATIO ZONAL EL GACO - BREAKER TIPO ENCHUFABLE 2X20A (Incluye suministro e instalacion)</v>
          </cell>
          <cell r="H3422" t="str">
            <v>UN</v>
          </cell>
          <cell r="I3422">
            <v>30368</v>
          </cell>
        </row>
        <row r="3423">
          <cell r="F3423">
            <v>9314</v>
          </cell>
          <cell r="G3423" t="str">
            <v>PATIO ZONAL EL GACO - BREAKER TIPO ENCHUFABLE 3X20A (Incluye suministro e instalacion)</v>
          </cell>
          <cell r="H3423" t="str">
            <v>UN</v>
          </cell>
          <cell r="I3423">
            <v>50869</v>
          </cell>
        </row>
        <row r="3424">
          <cell r="F3424">
            <v>9315</v>
          </cell>
          <cell r="G3424" t="str">
            <v>PATIO ZONAL EL GACO - FACE PLATE SENCILLO (Incluye suministro e instalacion)</v>
          </cell>
          <cell r="H3424" t="str">
            <v>UN</v>
          </cell>
          <cell r="I3424">
            <v>4728</v>
          </cell>
        </row>
        <row r="3425">
          <cell r="F3425">
            <v>9316</v>
          </cell>
          <cell r="G3425" t="str">
            <v xml:space="preserve"> PATIO ZONAL EL GACO -  CODO DE 90° EN ACERO GALVANIZADO DE 1" (SUMINISTRO E INSTALACION)</v>
          </cell>
          <cell r="H3425" t="str">
            <v>UN</v>
          </cell>
          <cell r="I3425">
            <v>8561</v>
          </cell>
        </row>
        <row r="3426">
          <cell r="F3426">
            <v>9317</v>
          </cell>
          <cell r="G3426" t="str">
            <v xml:space="preserve"> PATIO ZONAL EL GACO -  VALVULA BOLA 3/4" PARA GAS (SUMINISTRO E INSTALACION)</v>
          </cell>
          <cell r="H3426" t="str">
            <v>UN</v>
          </cell>
          <cell r="I3426">
            <v>18407</v>
          </cell>
        </row>
        <row r="3427">
          <cell r="F3427">
            <v>9318</v>
          </cell>
          <cell r="G3427" t="str">
            <v>PATIO ZONAL EL GACO - REDUCCIÓN EN COBRE DE 3/4" A 1/2" (SUMINISTRO E INSTALACION)</v>
          </cell>
          <cell r="H3427" t="str">
            <v>UN</v>
          </cell>
          <cell r="I3427">
            <v>6625</v>
          </cell>
        </row>
        <row r="3428">
          <cell r="F3428">
            <v>9319</v>
          </cell>
          <cell r="G3428" t="str">
            <v>PATIO ZONAL EL GACO - CODO DE 90° EN COBRE DE 1/2" (SUMINISTRO E INSTALACION)</v>
          </cell>
          <cell r="H3428" t="str">
            <v>UN</v>
          </cell>
          <cell r="I3428">
            <v>5725</v>
          </cell>
        </row>
        <row r="3429">
          <cell r="F3429">
            <v>9320</v>
          </cell>
          <cell r="G3429" t="str">
            <v>PATIO ZONAL EL GACO - ADAPTADOR MACHO EN COBRE DE 1/2" (SUMINISTRO E INSTALACION)</v>
          </cell>
          <cell r="H3429" t="str">
            <v>UN</v>
          </cell>
          <cell r="I3429">
            <v>6625</v>
          </cell>
        </row>
        <row r="3430">
          <cell r="F3430">
            <v>9321</v>
          </cell>
          <cell r="G3430" t="str">
            <v>PATIO ZONAL EL GACO - TUBERIA DE 1/2" EN COBRE (SUMINISTRO E INSTALACION)</v>
          </cell>
          <cell r="H3430" t="str">
            <v>ML</v>
          </cell>
          <cell r="I3430">
            <v>25431</v>
          </cell>
        </row>
        <row r="3431">
          <cell r="F3431">
            <v>9322</v>
          </cell>
          <cell r="G3431" t="str">
            <v>PISO EN POLIPROPILENO DE ALTO IMPACTO e: 25MM PARA TABLERO DE PUENTES PEATONALES TIPO TRANSMILENIO. INCLUYE SUMINISTRO, INSTALACIÓN Y TRANSPORTE</v>
          </cell>
          <cell r="H3431" t="str">
            <v>M2</v>
          </cell>
          <cell r="I3431">
            <v>994432</v>
          </cell>
        </row>
        <row r="3432">
          <cell r="F3432">
            <v>9323</v>
          </cell>
          <cell r="G3432"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H3432" t="str">
            <v>M2</v>
          </cell>
          <cell r="I3432">
            <v>1591192</v>
          </cell>
        </row>
        <row r="3433">
          <cell r="F3433">
            <v>9324</v>
          </cell>
          <cell r="G3433"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H3433" t="str">
            <v>M2</v>
          </cell>
          <cell r="I3433">
            <v>1588319</v>
          </cell>
        </row>
        <row r="3434">
          <cell r="F3434">
            <v>9325</v>
          </cell>
          <cell r="G3434" t="str">
            <v>PISO EN POLIPROPILENO DE ALTO IMPACTO PARA ESCALERA DE PUENTES PEATONALES, ANCHO 38cm e=2cm. INCLUYE SUMINISTRO, INSTALACIÓN Y TRANSPORTE</v>
          </cell>
          <cell r="H3434" t="str">
            <v>ML</v>
          </cell>
          <cell r="I3434">
            <v>574489</v>
          </cell>
        </row>
        <row r="3435">
          <cell r="F3435">
            <v>9326</v>
          </cell>
          <cell r="G3435"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H3435" t="str">
            <v>ML</v>
          </cell>
          <cell r="I3435">
            <v>1006349</v>
          </cell>
        </row>
        <row r="3436">
          <cell r="F3436">
            <v>9327</v>
          </cell>
          <cell r="G3436"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H3436" t="str">
            <v>ML</v>
          </cell>
          <cell r="I3436">
            <v>1005258</v>
          </cell>
        </row>
        <row r="3437">
          <cell r="F3437">
            <v>9328</v>
          </cell>
          <cell r="G3437" t="str">
            <v>PATIO ZONAL EL GACO: RELLENO CON CENIZA - ESCORIA DE ALTO HORNO. INCLUYE CONFOMACIÓN COMPACTACIÓN Y TRANSPORTE</v>
          </cell>
          <cell r="H3437" t="str">
            <v>M3</v>
          </cell>
          <cell r="I3437">
            <v>55736</v>
          </cell>
        </row>
        <row r="3438">
          <cell r="F3438">
            <v>9329</v>
          </cell>
          <cell r="G3438" t="str">
            <v>PATIO ZONAL EL GACO: Puntos Rociadores hasta 0,80 m Ø¾"</v>
          </cell>
          <cell r="H3438" t="str">
            <v>UN</v>
          </cell>
          <cell r="I3438">
            <v>43820</v>
          </cell>
        </row>
        <row r="3439">
          <cell r="F3439">
            <v>9330</v>
          </cell>
          <cell r="G3439" t="str">
            <v>PATIO ZONAL EL GACO: Cheque ranurado Ø1½"</v>
          </cell>
          <cell r="H3439" t="str">
            <v>UN</v>
          </cell>
          <cell r="I3439">
            <v>278035</v>
          </cell>
        </row>
        <row r="3440">
          <cell r="F3440">
            <v>9331</v>
          </cell>
          <cell r="G3440" t="str">
            <v>PATIO ZONAL EL GACO:  Sensor de flujo Ø1½" (Reducción ranurada 2" a 1 1/2")</v>
          </cell>
          <cell r="H3440" t="str">
            <v>UN</v>
          </cell>
          <cell r="I3440">
            <v>32394</v>
          </cell>
        </row>
        <row r="3441">
          <cell r="F3441">
            <v>9332</v>
          </cell>
          <cell r="G3441" t="str">
            <v>PATIO ZONAL EL GACO:  BANDEJA PORTACABLE TIPO MALLA DE 40 CM DE ANCHO</v>
          </cell>
          <cell r="H3441" t="str">
            <v>ML</v>
          </cell>
          <cell r="I3441">
            <v>50844</v>
          </cell>
        </row>
        <row r="3442">
          <cell r="F3442">
            <v>9333</v>
          </cell>
          <cell r="G3442" t="str">
            <v>PATIO ZONAL EL GACO:  Organizador de cables para RACK 80x80 2RU.</v>
          </cell>
          <cell r="H3442" t="str">
            <v>ML</v>
          </cell>
          <cell r="I3442">
            <v>76522</v>
          </cell>
        </row>
        <row r="3443">
          <cell r="F3443">
            <v>9334</v>
          </cell>
          <cell r="G3443" t="str">
            <v>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H3443" t="str">
            <v>ML</v>
          </cell>
          <cell r="I3443">
            <v>8564</v>
          </cell>
        </row>
        <row r="3444">
          <cell r="F3444">
            <v>9335</v>
          </cell>
          <cell r="G3444" t="str">
            <v>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H3444" t="str">
            <v>ML</v>
          </cell>
          <cell r="I3444">
            <v>8564</v>
          </cell>
        </row>
        <row r="3445">
          <cell r="F3445">
            <v>9336</v>
          </cell>
          <cell r="G3445" t="str">
            <v>PATIO ZONAL EL GACO: SALIDA PARA INTERRUPTOR CONMUTABLE SENCILLO EN TUBERÍA CONDUIT EMT Y/O PVC DE 3/4" (INCLUYE, INSTALACION, SUMINISTRO E INSTALACIÓN)</v>
          </cell>
          <cell r="H3445" t="str">
            <v>UN</v>
          </cell>
          <cell r="I3445">
            <v>168882</v>
          </cell>
        </row>
        <row r="3446">
          <cell r="F3446">
            <v>9337</v>
          </cell>
          <cell r="G3446" t="str">
            <v>PATIO ZONAL EL GACO: SALIDA PARA INTERRUPTOR DOBLE EN TUBERÍA CONDUIT EMT Y/O PVC DE 3/4" (INCLUYE APARATO, SUMINISTRO E INSTALACION)</v>
          </cell>
          <cell r="H3446" t="str">
            <v>UN</v>
          </cell>
          <cell r="I3446">
            <v>170191</v>
          </cell>
        </row>
        <row r="3447">
          <cell r="F3447">
            <v>9338</v>
          </cell>
          <cell r="G3447" t="str">
            <v>PATIO ZONAL EL GACO: SALIDA PARA SENSOR DE MOVIMIENTO EN TUBERÍA CONDUIT EMT Y/O PVC DE 3/4" (INCLUYE APARATO, SUMINISTRO E INSTALACIÓN)</v>
          </cell>
          <cell r="H3447" t="str">
            <v>UN</v>
          </cell>
          <cell r="I3447">
            <v>189075</v>
          </cell>
        </row>
        <row r="3448">
          <cell r="F3448">
            <v>9339</v>
          </cell>
          <cell r="G3448" t="str">
            <v>PATIO ZONAL EL GACO: SALIDA LUMINARIA EXTERIOR EN TUBERÍA CONDUIT EMT Y/O PVC DE 3/4" (SUMINISTRO E INSTALACIÓN - NO INCLUYE LUMINARIA)</v>
          </cell>
          <cell r="H3448" t="str">
            <v>UN</v>
          </cell>
          <cell r="I3448">
            <v>123998</v>
          </cell>
        </row>
        <row r="3449">
          <cell r="F3449">
            <v>9340</v>
          </cell>
          <cell r="G3449" t="str">
            <v>PATIO ZONAL EL GACO: SALIDA LUMINARIA DE EMERGENCIA EN TUBERÍA CONDUIT EMT Y/O PVC DE 3/4" (INCLUYE APARATO, SUMINISTRO E INSTALACION)</v>
          </cell>
          <cell r="H3449" t="str">
            <v>UN</v>
          </cell>
          <cell r="I3449">
            <v>139469</v>
          </cell>
        </row>
        <row r="3450">
          <cell r="F3450">
            <v>9341</v>
          </cell>
          <cell r="G3450" t="str">
            <v>PATIO ZONAL EL GACO: ACOMETIDA EN CABLE DE CU THHN No 3x8 F +1x10N+ 1x10T AWG. INCLUYE ACCESORIOS DE FIJACIÓN Y CONEXIÓN</v>
          </cell>
          <cell r="H3450" t="str">
            <v>ML</v>
          </cell>
          <cell r="I3450">
            <v>26202</v>
          </cell>
        </row>
        <row r="3451">
          <cell r="F3451">
            <v>9342</v>
          </cell>
          <cell r="G3451" t="str">
            <v>PATIO ZONAL EL GACO: ACOMETIDA EN CABLE DE CU THHN No 3x6 F +1x8N+ 1x10T AWG. INCLUYE ACCESORIOS DE FIJACIÓN Y CONEXIÓN</v>
          </cell>
          <cell r="H3451" t="str">
            <v>ML</v>
          </cell>
          <cell r="I3451">
            <v>37804</v>
          </cell>
        </row>
        <row r="3452">
          <cell r="F3452">
            <v>9343</v>
          </cell>
          <cell r="G3452" t="str">
            <v>PATIO ZONAL EL GACO: LUMINARIA LED GDS 63.2W (INCLUYE APARATO, SUMINISTRO E INSTALACION)</v>
          </cell>
          <cell r="H3452" t="str">
            <v>ML</v>
          </cell>
          <cell r="I3452">
            <v>358712</v>
          </cell>
        </row>
        <row r="3453">
          <cell r="F3453">
            <v>9344</v>
          </cell>
          <cell r="G3453" t="str">
            <v>PATIO ZONAL EL GACO: SUMINISTRO E INSTALACIÓN DE CABLE XLPE 15 KV 240MM2 AL. SE INCLUYE ACCESORIOS DE FIJACIÓN Y SOPORTE. MATERIALES CERTIFICADOS E INSTALADOS SEGÚN NORMA NTC 2050.</v>
          </cell>
          <cell r="H3453" t="str">
            <v>ML</v>
          </cell>
          <cell r="I3453">
            <v>11591</v>
          </cell>
        </row>
        <row r="3454">
          <cell r="F3454">
            <v>9345</v>
          </cell>
          <cell r="G3454" t="str">
            <v>PATIO ZONAL EL GACO: SUMINISTRO E INSTALACIÓN DE CABLE XLPE 35 KV 240MM2 AL. SE INCLUYE ACCESORIOS DE FIJACIÓN Y SOPORTE. MATERIALES CERTIFICADOS E INSTALADOS SEGÚN NORMA NTC 2050.</v>
          </cell>
          <cell r="H3454" t="str">
            <v>ML</v>
          </cell>
          <cell r="I3454">
            <v>57598</v>
          </cell>
        </row>
        <row r="3455">
          <cell r="F3455">
            <v>9346</v>
          </cell>
          <cell r="G3455" t="str">
            <v>PATIO ZONAL EL GACO: NIPLE DE 5 CM EN ACERO GALVANIZADO DE 1" (SUMINISTRO E INSTALACION)</v>
          </cell>
          <cell r="H3455" t="str">
            <v>UN</v>
          </cell>
          <cell r="I3455">
            <v>9875</v>
          </cell>
        </row>
        <row r="3456">
          <cell r="F3456">
            <v>9347</v>
          </cell>
          <cell r="G3456" t="str">
            <v>PATIO ZONAL EL GACO: UNIÓN EN ACERO GALVANIZADO DE 1" (SUMINISTRO E INSTALACION)</v>
          </cell>
          <cell r="H3456" t="str">
            <v>UN</v>
          </cell>
          <cell r="I3456">
            <v>9275</v>
          </cell>
        </row>
        <row r="3457">
          <cell r="F3457">
            <v>9348</v>
          </cell>
          <cell r="G3457" t="str">
            <v>PATIO ZONAL EL GACO: UNIÓN EN COBRE DE 3/4" (SUMINISTRO E INSTALACION)</v>
          </cell>
          <cell r="H3457" t="str">
            <v>UN</v>
          </cell>
          <cell r="I3457">
            <v>6056</v>
          </cell>
        </row>
        <row r="3458">
          <cell r="F3458">
            <v>9349</v>
          </cell>
          <cell r="G3458" t="str">
            <v>PATIO ZONAL EL GACO: GEOTEXTIL TEJIDO TR6000 HF. (SUMINISTRO E INSTALACIÓN).</v>
          </cell>
          <cell r="H3458" t="str">
            <v>M2</v>
          </cell>
          <cell r="I3458">
            <v>22246</v>
          </cell>
        </row>
        <row r="3459">
          <cell r="F3459">
            <v>9350</v>
          </cell>
          <cell r="G3459" t="str">
            <v>PATIO ZONAL EL GACO: EQUIPO EYECTOR (SUMINISTRO E INSTALACION CON SWITCH FLOTADOR, TABLERO ELECTRICO, ALARMA SONORA)</v>
          </cell>
          <cell r="H3459" t="str">
            <v>UN</v>
          </cell>
          <cell r="I3459">
            <v>2561805</v>
          </cell>
        </row>
        <row r="3460">
          <cell r="F3460">
            <v>9351</v>
          </cell>
          <cell r="G3460" t="str">
            <v>PATIO ZONAL EL GACO: EQUIPO DE PRESION (INCLYE TODOS LOS ACCESORIOS NECESARIOS PARA SU FUNCIONAMIENTO)</v>
          </cell>
          <cell r="H3460" t="str">
            <v>UN</v>
          </cell>
          <cell r="I3460">
            <v>11982569</v>
          </cell>
        </row>
        <row r="3461">
          <cell r="F3461">
            <v>9352</v>
          </cell>
          <cell r="G3461" t="str">
            <v>PATIO ZONAL EL GACO: EQUIPO DE BOMBEO PARA RCI  (INCLYE TODOS LOS ACCESORIOS NECESARIOS PARA SU FUNCIONAMIENTO)</v>
          </cell>
          <cell r="H3461" t="str">
            <v>UN</v>
          </cell>
          <cell r="I3461">
            <v>172680910</v>
          </cell>
        </row>
        <row r="3462">
          <cell r="F3462">
            <v>9353</v>
          </cell>
          <cell r="G3462" t="str">
            <v>PATIO ZONAL EL GACO - JUEGO DE PRE MOLDEADOS TIPO EXTERIOR PARA CABLE XLPE 15KVA 240 MM2 (SUMINISTRO E INSTALACION)</v>
          </cell>
          <cell r="H3462" t="str">
            <v>UN</v>
          </cell>
          <cell r="I3462">
            <v>153080</v>
          </cell>
        </row>
        <row r="3463">
          <cell r="F3463">
            <v>9354</v>
          </cell>
          <cell r="G3463" t="str">
            <v>PATIO ZONAL EL GACO - SUMINISTRO E INSTALACIÓN DE CABLE XLPE 15 KV 240MM2 AL. SE INCLUYE ACCESORIOS DE FIJACIÓN Y SOPORTE. MATERIALES CERTIFICADOS E INSTALADOS SEGÚN NORMA NTC 2050</v>
          </cell>
          <cell r="H3463" t="str">
            <v>UN</v>
          </cell>
          <cell r="I3463">
            <v>11356</v>
          </cell>
        </row>
        <row r="3464">
          <cell r="F3464">
            <v>9355</v>
          </cell>
          <cell r="G3464" t="str">
            <v>PATIO ZONAL EL GACO - REDUCCIÓN EN ACERO GALVANIZADO DE 1" A 3/4" (SUMINISTRO E INSTALACION)</v>
          </cell>
          <cell r="H3464" t="str">
            <v>UN</v>
          </cell>
          <cell r="I3464">
            <v>7097</v>
          </cell>
        </row>
        <row r="3465">
          <cell r="F3465">
            <v>9356</v>
          </cell>
          <cell r="G3465" t="str">
            <v>PATIO ZONAL EL GACO - TEE EN COBRE DE 3/4" (SUMINISTRO E INSTALACION)</v>
          </cell>
          <cell r="H3465" t="str">
            <v>UN</v>
          </cell>
          <cell r="I3465">
            <v>8526</v>
          </cell>
        </row>
        <row r="3466">
          <cell r="F3466">
            <v>9357</v>
          </cell>
          <cell r="G3466" t="str">
            <v>PATIO ZONAL EL GACO - TEJA EN METACRILATO TRANSPARENTE DE 1,5 CM DE GROSOR (SUMINISTRO E INSTALACION)</v>
          </cell>
          <cell r="H3466" t="str">
            <v>M2</v>
          </cell>
          <cell r="I3466">
            <v>61132</v>
          </cell>
        </row>
        <row r="3467">
          <cell r="F3467">
            <v>9358</v>
          </cell>
          <cell r="G3467" t="str">
            <v>PATIO ZONAL EL GACO - ADAPTADOR MACHO EN COBRE DE 3/4" (SUMINISTRO E INSTALACION)</v>
          </cell>
          <cell r="H3467" t="str">
            <v>UN</v>
          </cell>
          <cell r="I3467">
            <v>7925</v>
          </cell>
        </row>
        <row r="3468">
          <cell r="F3468">
            <v>9359</v>
          </cell>
          <cell r="G3468" t="str">
            <v>PATIO ZONAL EL GACO - PORCELANATO PARED PARA GRES NAVIA ACERO COLOR GRIS SIMILAR O EQUIVALENTE (SUMINISTRO E INSTALACION)</v>
          </cell>
          <cell r="H3468" t="str">
            <v>M2</v>
          </cell>
          <cell r="I3468">
            <v>85282</v>
          </cell>
        </row>
        <row r="3469">
          <cell r="F3469">
            <v>9360</v>
          </cell>
          <cell r="G3469" t="str">
            <v>PATIO ZONAL EL GACO - PISO EN PORCELANATO ADOBERY COLOR WENGUE SIMILAR O EQUIVALENTE (SUMINISTRO E INSTALACION)</v>
          </cell>
          <cell r="H3469" t="str">
            <v>M2</v>
          </cell>
          <cell r="I3469">
            <v>129142</v>
          </cell>
        </row>
        <row r="3470">
          <cell r="F3470">
            <v>9361</v>
          </cell>
          <cell r="G3470" t="str">
            <v>PATIO ZONAL EL GACO - POCETA EN ACERO INOXIDABLE (SUMINISTRO E INSTALACION)</v>
          </cell>
          <cell r="H3470" t="str">
            <v>UN</v>
          </cell>
          <cell r="I3470">
            <v>79352</v>
          </cell>
        </row>
        <row r="3471">
          <cell r="F3471">
            <v>9362</v>
          </cell>
          <cell r="G3471" t="str">
            <v>PATIO ZONAL EL GACO - MANTO PERMANENTE TRM 500 (INCLUYE SUMINISTRO E INSTALACION)</v>
          </cell>
          <cell r="H3471" t="str">
            <v>M2</v>
          </cell>
          <cell r="I3471">
            <v>14667</v>
          </cell>
        </row>
        <row r="3472">
          <cell r="F3472">
            <v>9363</v>
          </cell>
          <cell r="G3472" t="str">
            <v>PATIO ZONAL EL GACO - BANDEJA PORTAEQUIPOS 370 mm (SUMINISTRO E INSTALACIÓN)</v>
          </cell>
          <cell r="H3472" t="str">
            <v>ML</v>
          </cell>
          <cell r="I3472">
            <v>55260</v>
          </cell>
        </row>
        <row r="3473">
          <cell r="F3473">
            <v>9364</v>
          </cell>
          <cell r="G3473" t="str">
            <v>PATIO ZONAL EL GACO - BANDEJA DE FIBRA OPTICA 24 PUERTOS (SUMINISTRO E INSTALACIÓN)</v>
          </cell>
          <cell r="H3473" t="str">
            <v>UN</v>
          </cell>
          <cell r="I3473">
            <v>391817</v>
          </cell>
        </row>
        <row r="3474">
          <cell r="F3474">
            <v>9365</v>
          </cell>
          <cell r="G3474" t="str">
            <v>PATIO ZONAL EL GACO - CONECTORES LC (SUMINISTRO E INSTALACIÓN)</v>
          </cell>
          <cell r="H3474" t="str">
            <v>UN</v>
          </cell>
          <cell r="I3474">
            <v>74519</v>
          </cell>
        </row>
        <row r="3475">
          <cell r="F3475">
            <v>9366</v>
          </cell>
          <cell r="G3475" t="str">
            <v>PATIO ZONAL EL GACO - ADAPTADOR MACHO - EN BRONCE DE 1" (SUMINISTRO E INSTALACION)</v>
          </cell>
          <cell r="H3475" t="str">
            <v>UN</v>
          </cell>
          <cell r="I3475">
            <v>10425</v>
          </cell>
        </row>
        <row r="3476">
          <cell r="F3476">
            <v>9367</v>
          </cell>
          <cell r="G3476" t="str">
            <v>VENTANA TIPO V-01  PIVOTE VERTICAL,  EN ALUMINIO, VIDRIO TEMPLADO DE SEGURIDAD INCOLORO 6MM,  CON BASCULANTE Y DEMAS ELEMENTOS PARA SU NORMAL FUNCIONAMIENTO. MEDIDA 100x 220CM (Incluye suministro en instalacion)</v>
          </cell>
          <cell r="H3476" t="str">
            <v>UN</v>
          </cell>
          <cell r="I3476">
            <v>833000</v>
          </cell>
        </row>
        <row r="3477">
          <cell r="F3477">
            <v>9368</v>
          </cell>
          <cell r="G3477" t="str">
            <v>PUERTA TIPO P-03 EN ALUMINIO CON VIDRIO, DE SEGURIDAD INCOLORO DE 6MM. Y DEMAS ELEMENTOS PARA SU NORMAL FUNCIONAMIENTO. MEDIDA 80x220 CM. (Incluye suministro e Instalacion)</v>
          </cell>
          <cell r="H3477" t="str">
            <v>UN</v>
          </cell>
          <cell r="I3477">
            <v>1130500</v>
          </cell>
        </row>
        <row r="3478">
          <cell r="F3478">
            <v>9369</v>
          </cell>
          <cell r="G3478" t="str">
            <v>PATIO ZONAL EL GACO - TEE HD RANURADA UL/HM 2½" (INCLUYE SUMINISTRO E INSTALACION).</v>
          </cell>
          <cell r="H3478" t="str">
            <v>UN</v>
          </cell>
          <cell r="I3478">
            <v>29444</v>
          </cell>
        </row>
        <row r="3479">
          <cell r="F3479">
            <v>9370</v>
          </cell>
          <cell r="G3479" t="str">
            <v>PATIO ZONAL EL GACO - CODO HD RANURADO UL/HM 3" (INCLUYE SUMINISTRO E INSTALACION).</v>
          </cell>
          <cell r="H3479" t="str">
            <v>UN</v>
          </cell>
          <cell r="I3479">
            <v>26446</v>
          </cell>
        </row>
        <row r="3480">
          <cell r="F3480">
            <v>9371</v>
          </cell>
          <cell r="G3480" t="str">
            <v>PATIO ZONAL EL GACO - SEMICODO HD RANURADO UL/HM  4" (INCLUYE SUMINISTRO E INSTALACION).</v>
          </cell>
          <cell r="H3480" t="str">
            <v>UN</v>
          </cell>
          <cell r="I3480">
            <v>33764</v>
          </cell>
        </row>
        <row r="3481">
          <cell r="F3481">
            <v>9372</v>
          </cell>
          <cell r="G3481" t="str">
            <v>PATIO ZONAL EL GACO - Canal de drenaje Q max Neo 300 (1 m) por componentes, (INCLUYE CUERPO PARTE INFERIOR Y SUPERIOR, 2 REJILLAS EN ACERO GAVANIZADO, SUMINISTRO E INSTALACION)</v>
          </cell>
          <cell r="H3481" t="str">
            <v>ML</v>
          </cell>
          <cell r="I3481">
            <v>917479</v>
          </cell>
        </row>
        <row r="3482">
          <cell r="F3482">
            <v>9373</v>
          </cell>
          <cell r="G3482" t="str">
            <v>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v>
          </cell>
          <cell r="H3482" t="str">
            <v>UN</v>
          </cell>
          <cell r="I3482">
            <v>3101340</v>
          </cell>
        </row>
        <row r="3483">
          <cell r="F3483">
            <v>9374</v>
          </cell>
          <cell r="G3483"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v>
          </cell>
          <cell r="H3483" t="str">
            <v>UN</v>
          </cell>
          <cell r="I3483">
            <v>68072814</v>
          </cell>
        </row>
        <row r="3484">
          <cell r="F3484">
            <v>9375</v>
          </cell>
          <cell r="G3484"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v>
          </cell>
          <cell r="H3484" t="str">
            <v>UN</v>
          </cell>
          <cell r="I3484">
            <v>80397392</v>
          </cell>
        </row>
        <row r="3485">
          <cell r="F3485">
            <v>9376</v>
          </cell>
          <cell r="G3485"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v>
          </cell>
          <cell r="H3485" t="str">
            <v>UN</v>
          </cell>
          <cell r="I3485">
            <v>46048497</v>
          </cell>
        </row>
        <row r="3486">
          <cell r="F3486">
            <v>9377</v>
          </cell>
          <cell r="G3486"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H3486" t="str">
            <v>ML</v>
          </cell>
          <cell r="I3486">
            <v>4284349</v>
          </cell>
        </row>
        <row r="3487">
          <cell r="F3487">
            <v>9378</v>
          </cell>
          <cell r="G3487"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H3487" t="str">
            <v>UN</v>
          </cell>
          <cell r="I3487">
            <v>7488092</v>
          </cell>
        </row>
        <row r="3488">
          <cell r="F3488">
            <v>9379</v>
          </cell>
          <cell r="G3488" t="str">
            <v>PATIO ZONAL EL GACO - Adaptador cambio de sección para canal de drenaje QMAX 550 a sumidero fabricado en polietileno, de sección oval. Longitud total 800 mm, altura exterior 740 mm y ancho exterior 665 mm. Peso: 11,8 kg. (INCLUYE SUMINISTRO E INSTALACIÓN.</v>
          </cell>
          <cell r="H3488" t="str">
            <v>UN</v>
          </cell>
          <cell r="I3488">
            <v>2954767</v>
          </cell>
        </row>
        <row r="3489">
          <cell r="F3489">
            <v>9380</v>
          </cell>
          <cell r="G3489"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v>
          </cell>
          <cell r="H3489" t="str">
            <v>ML</v>
          </cell>
          <cell r="I3489">
            <v>5352287</v>
          </cell>
        </row>
        <row r="3490">
          <cell r="F3490">
            <v>9381</v>
          </cell>
          <cell r="G3490" t="str">
            <v>PATIO ZONAL EL GACO - Adaptador cambio de sección para canal de drenaje a sumidero fabricado en polietileno, de sección oval. Longitud total 800 mm, altura exterior 895 mm y ancho exterior 765 mm. Peso: 15,8 kg. (INCLUYE SUMINISTRO E INSTALACION).</v>
          </cell>
          <cell r="H3490" t="str">
            <v>UN</v>
          </cell>
          <cell r="I3490">
            <v>3292452</v>
          </cell>
        </row>
        <row r="3491">
          <cell r="F3491">
            <v>9382</v>
          </cell>
          <cell r="G3491" t="str">
            <v>PATIO ZONAL EL GACO - Tanque para regulación de flujos pluviales (150 m3) 19,20x4,80 (INCLUYE SUMINISTRO E INSTALACION).</v>
          </cell>
          <cell r="H3491" t="str">
            <v>UN</v>
          </cell>
          <cell r="I3491">
            <v>301472693</v>
          </cell>
        </row>
        <row r="3492">
          <cell r="F3492">
            <v>9383</v>
          </cell>
          <cell r="G3492" t="str">
            <v>PATIO ZONAL EL GACO - Tanque para regulación de flujos pluviales (70 m3) 10,80x4,20 (INCLUYE SUMINISTRO E INSTALACION).</v>
          </cell>
          <cell r="H3492" t="str">
            <v>UN</v>
          </cell>
          <cell r="I3492">
            <v>147436897</v>
          </cell>
        </row>
        <row r="3493">
          <cell r="F3493">
            <v>9384</v>
          </cell>
          <cell r="G3493" t="str">
            <v>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v>
          </cell>
          <cell r="H3493" t="str">
            <v>ML</v>
          </cell>
          <cell r="I3493">
            <v>782940</v>
          </cell>
        </row>
        <row r="3494">
          <cell r="F3494">
            <v>9385</v>
          </cell>
          <cell r="G3494"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v>
          </cell>
          <cell r="H3494" t="str">
            <v>ML</v>
          </cell>
          <cell r="I3494">
            <v>1429196</v>
          </cell>
        </row>
        <row r="3495">
          <cell r="F3495">
            <v>9386</v>
          </cell>
          <cell r="G3495" t="str">
            <v>PATIO ZONAL EL GACO: Reja Passarela FF F400 50 cm S300 (incluye Marco) (INCLUYE SUMINISTRO E INSTALACIÓN).</v>
          </cell>
          <cell r="H3495" t="str">
            <v>ML</v>
          </cell>
          <cell r="I3495">
            <v>730176</v>
          </cell>
        </row>
        <row r="3496">
          <cell r="F3496">
            <v>9387</v>
          </cell>
          <cell r="G3496" t="str">
            <v>PATIO ZONAL EL GACO - TANQUE SEPARADOR DE HIDROCARBUROS (INCLUYE SUMINISTRO E INSTALACIÓN).</v>
          </cell>
          <cell r="H3496" t="str">
            <v>UN</v>
          </cell>
          <cell r="I3496">
            <v>31088769</v>
          </cell>
        </row>
        <row r="3497">
          <cell r="F3497">
            <v>9388</v>
          </cell>
          <cell r="G3497" t="str">
            <v>PATIO ZONAL EL GACO - TANQUE DE FILTRACION (INCLUYE SUMINISTRO E INSTALACION).</v>
          </cell>
          <cell r="H3497" t="str">
            <v>UN</v>
          </cell>
          <cell r="I3497">
            <v>62482547</v>
          </cell>
        </row>
        <row r="3498">
          <cell r="F3498">
            <v>9389</v>
          </cell>
          <cell r="G3498" t="str">
            <v>PATIO ZONAL EL GACO: Jack RJ-45 para incrustar categoría 6 (INCLUYE SUMINISTRO E INSTALACON).</v>
          </cell>
          <cell r="H3498" t="str">
            <v>UN</v>
          </cell>
          <cell r="I3498">
            <v>19142</v>
          </cell>
        </row>
        <row r="3499">
          <cell r="F3499">
            <v>9390</v>
          </cell>
          <cell r="G3499" t="str">
            <v>PATIO ZONAL EL GACO - KIT FAN OUT SC/LC PARA FIBRA MULTIMODO OM3 (SUMINISTRO E INSTALACIÓN).</v>
          </cell>
          <cell r="H3499" t="str">
            <v>UN</v>
          </cell>
          <cell r="I3499">
            <v>22278</v>
          </cell>
        </row>
        <row r="3500">
          <cell r="F3500">
            <v>9391</v>
          </cell>
          <cell r="G3500" t="str">
            <v xml:space="preserve"> PATIO ZONAL EL GACO: PDU VERTICAL PARA RACK (SUMINISTRO E INSTALACIÓN).</v>
          </cell>
          <cell r="H3500" t="str">
            <v>UN</v>
          </cell>
          <cell r="I3500">
            <v>313358</v>
          </cell>
        </row>
        <row r="3501">
          <cell r="F3501">
            <v>9392</v>
          </cell>
          <cell r="G3501" t="str">
            <v>PATIO ZONAL EL GACO: PATCH CORD DE FIBRA ÓPTICA SC/LC L=2m (SUMINISTRO E INSTALACIÓN).</v>
          </cell>
          <cell r="H3501" t="str">
            <v>UN</v>
          </cell>
          <cell r="I3501">
            <v>38726</v>
          </cell>
        </row>
        <row r="3502">
          <cell r="F3502">
            <v>9393</v>
          </cell>
          <cell r="G3502" t="str">
            <v>PATIO ZONAL EL GACO: Terminal Premoldeada Tipo Interior para 15 KV 2-250 KCM (INCLUYE SUMINISTRO E INSTALACIÓN).</v>
          </cell>
          <cell r="H3502" t="str">
            <v>UN</v>
          </cell>
          <cell r="I3502">
            <v>122522</v>
          </cell>
        </row>
        <row r="3503">
          <cell r="F3503">
            <v>9394</v>
          </cell>
          <cell r="G3503"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H3503" t="str">
            <v>ML</v>
          </cell>
          <cell r="I3503">
            <v>1525510</v>
          </cell>
        </row>
        <row r="3504">
          <cell r="F3504">
            <v>9395</v>
          </cell>
          <cell r="G350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H3504" t="str">
            <v>ML</v>
          </cell>
          <cell r="I3504">
            <v>2341320</v>
          </cell>
        </row>
        <row r="3505">
          <cell r="F3505">
            <v>9396</v>
          </cell>
          <cell r="G350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H3505" t="str">
            <v>ML</v>
          </cell>
          <cell r="I3505">
            <v>842392</v>
          </cell>
        </row>
        <row r="3506">
          <cell r="F3506">
            <v>9397</v>
          </cell>
          <cell r="G3506"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H3506" t="str">
            <v>ML</v>
          </cell>
          <cell r="I3506">
            <v>842392</v>
          </cell>
        </row>
        <row r="3507">
          <cell r="F3507">
            <v>9398</v>
          </cell>
          <cell r="G3507"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H3507" t="str">
            <v>ML</v>
          </cell>
          <cell r="I3507">
            <v>911197</v>
          </cell>
        </row>
        <row r="3508">
          <cell r="F3508">
            <v>9399</v>
          </cell>
          <cell r="G3508" t="str">
            <v>PATIO ZONAL EL GACO: DRENES VERTICALES TIPO MECHA CON PERFORACION  (INCLUYE SUMINISTRO E INSTALACIÓN, LA MOVILIZACIÓN Y LA DESMOVILIZACIÓN DE EQUIPOS PARA PERFORACION DE DRENES TIPO MECHA)</v>
          </cell>
          <cell r="H3508" t="str">
            <v>ML</v>
          </cell>
          <cell r="I3508">
            <v>7586</v>
          </cell>
        </row>
        <row r="3509">
          <cell r="F3509">
            <v>9400</v>
          </cell>
          <cell r="G3509" t="str">
            <v>PATIO ZONAL EL GACO: Niples pasa-muros acero inoxidable ranurados 1" de 60cm de longitud. Incluye suministro e instalación</v>
          </cell>
          <cell r="H3509" t="str">
            <v>UN</v>
          </cell>
          <cell r="I3509">
            <v>87605</v>
          </cell>
        </row>
        <row r="3510">
          <cell r="F3510">
            <v>9401</v>
          </cell>
          <cell r="G3510" t="str">
            <v>PATIO ZONAL EL GACO: Niples pasa-muros acero inoxidable ranurados 1 1/4" de 60cm de longitud. Incluye suministro e instalación</v>
          </cell>
          <cell r="H3510" t="str">
            <v>UN</v>
          </cell>
          <cell r="I3510">
            <v>109604</v>
          </cell>
        </row>
        <row r="3511">
          <cell r="F3511">
            <v>9402</v>
          </cell>
          <cell r="G3511" t="str">
            <v>PATIO ZONAL EL GACO: Válvula mariposa Ø2½". Incluye suministro e instalación</v>
          </cell>
          <cell r="H3511" t="str">
            <v>UN</v>
          </cell>
          <cell r="I3511">
            <v>524491</v>
          </cell>
        </row>
        <row r="3512">
          <cell r="F3512">
            <v>9403</v>
          </cell>
          <cell r="G3512" t="str">
            <v>PATIO ZONAL EL GACO: Válvula mariposa Ø3". Incluye suministro e instalación</v>
          </cell>
          <cell r="H3512" t="str">
            <v>UN</v>
          </cell>
          <cell r="I3512">
            <v>545792</v>
          </cell>
        </row>
        <row r="3513">
          <cell r="F3513">
            <v>9404</v>
          </cell>
          <cell r="G3513" t="str">
            <v>PATIO ZONAL EL GACO: Válvula mariposa Ø4". Incluye suministro e instalación</v>
          </cell>
          <cell r="H3513" t="str">
            <v>UN</v>
          </cell>
          <cell r="I3513">
            <v>610521</v>
          </cell>
        </row>
        <row r="3514">
          <cell r="F3514">
            <v>9405</v>
          </cell>
          <cell r="G3514" t="str">
            <v>PATIO ZONAL EL GACO: Sensor de flujo Ø2". Incluye suministro e instalación</v>
          </cell>
          <cell r="H3514" t="str">
            <v>UN</v>
          </cell>
          <cell r="I3514">
            <v>450467</v>
          </cell>
        </row>
        <row r="3515">
          <cell r="F3515">
            <v>9406</v>
          </cell>
          <cell r="G3515" t="str">
            <v>PATIO ZONAL EL GACO: Sensor de flujo Ø2½". Incluye suministro e instalación</v>
          </cell>
          <cell r="H3515" t="str">
            <v>UN</v>
          </cell>
          <cell r="I3515">
            <v>424721</v>
          </cell>
        </row>
        <row r="3516">
          <cell r="F3516">
            <v>9407</v>
          </cell>
          <cell r="G3516" t="str">
            <v>PATIO ZONAL EL GACO: Sensor de flujo Ø3". Incluye suministro e instalación</v>
          </cell>
          <cell r="H3516" t="str">
            <v>UN</v>
          </cell>
          <cell r="I3516">
            <v>494027</v>
          </cell>
        </row>
        <row r="3517">
          <cell r="F3517">
            <v>9408</v>
          </cell>
          <cell r="G3517" t="str">
            <v>PATIO ZONAL EL GACO: Sensor de flujo Ø4". Incluye suministro e instalación</v>
          </cell>
          <cell r="H3517" t="str">
            <v>UN</v>
          </cell>
          <cell r="I3517">
            <v>457249</v>
          </cell>
        </row>
        <row r="3518">
          <cell r="F3518">
            <v>9409</v>
          </cell>
          <cell r="G3518" t="str">
            <v>PATIO ZONAL EL GACO: Válvula desaireadora Ø ¾". Incluye suministro e instalación</v>
          </cell>
          <cell r="H3518" t="str">
            <v>UN</v>
          </cell>
          <cell r="I3518">
            <v>392410</v>
          </cell>
        </row>
        <row r="3519">
          <cell r="F3519">
            <v>9410</v>
          </cell>
          <cell r="G3519" t="str">
            <v>PATIO ZONAL EL GACO: Válvula desaireadora Ø 1". Incluye suministro e instalación</v>
          </cell>
          <cell r="H3519" t="str">
            <v>UN</v>
          </cell>
          <cell r="I3519">
            <v>468963</v>
          </cell>
        </row>
        <row r="3520">
          <cell r="F3520">
            <v>9411</v>
          </cell>
          <cell r="G3520" t="str">
            <v>PATIO ZONAL EL GACO: Válvula OS&amp;Y Flanchada 4" Supervisada. Incluye suministro e instalación</v>
          </cell>
          <cell r="H3520" t="str">
            <v>UN</v>
          </cell>
          <cell r="I3520">
            <v>1047846</v>
          </cell>
        </row>
        <row r="3521">
          <cell r="F3521">
            <v>9412</v>
          </cell>
          <cell r="G3521" t="str">
            <v>PATIO ZONAL EL GACO: Válvula OS&amp;Y Flanchada 6" Supervisada. Incluye suministro e instalación</v>
          </cell>
          <cell r="H3521" t="str">
            <v>UN</v>
          </cell>
          <cell r="I3521">
            <v>2267253</v>
          </cell>
        </row>
        <row r="3522">
          <cell r="F3522">
            <v>9413</v>
          </cell>
          <cell r="G3522" t="str">
            <v>PATIO ZONAL EL GACO: GABINETE RACK AÉREO TIPO 1 UR de alto 16 x ancho 40 x fondo 40cm. Incluye suministro e instalación</v>
          </cell>
          <cell r="H3522" t="str">
            <v>UN</v>
          </cell>
          <cell r="I3522">
            <v>130971</v>
          </cell>
        </row>
        <row r="3523">
          <cell r="F3523">
            <v>9414</v>
          </cell>
          <cell r="G3523" t="str">
            <v>PATIO ZONAL EL GACO: Niples pasa-muros acero inoxidable ranurados 1 1/2" de 60cm de longitud. Incluye suministro e instalación</v>
          </cell>
          <cell r="H3523" t="str">
            <v>UN</v>
          </cell>
          <cell r="I3523">
            <v>124604</v>
          </cell>
        </row>
        <row r="3524">
          <cell r="F3524">
            <v>9415</v>
          </cell>
          <cell r="G3524" t="str">
            <v>PATIO ZONAL EL GACO: Niples pasa-muros acero inoxidable ranurados 2" de 60cm de longitud. Incluye suministro e instalación</v>
          </cell>
          <cell r="H3524" t="str">
            <v>UN</v>
          </cell>
          <cell r="I3524">
            <v>146604</v>
          </cell>
        </row>
        <row r="3525">
          <cell r="F3525">
            <v>9416</v>
          </cell>
          <cell r="G3525" t="str">
            <v>PATIO ZONAL EL GACO: Ajardinamiento tipo cerca viva con plantas trepadoras. Incluye Suministro, Transporte y Plantación. Incluye Mano de obra de jardinería</v>
          </cell>
          <cell r="H3525" t="str">
            <v>M2</v>
          </cell>
          <cell r="I3525">
            <v>26790</v>
          </cell>
        </row>
        <row r="3526">
          <cell r="F3526">
            <v>9417</v>
          </cell>
          <cell r="G3526" t="str">
            <v>PATIO ZONAL EL GACO: ASCENSOR HIDRÁULICO (SIN CUARTO DE MAQUINAS) CON PUERTAS AUTOMÁTICAS. Incluye suministro, transporte e instalación</v>
          </cell>
          <cell r="H3526" t="str">
            <v>GLB</v>
          </cell>
          <cell r="I3526">
            <v>77350000</v>
          </cell>
        </row>
        <row r="3527">
          <cell r="F3527">
            <v>9418</v>
          </cell>
          <cell r="G3527" t="str">
            <v>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v>
          </cell>
          <cell r="H3527" t="str">
            <v>UN</v>
          </cell>
          <cell r="I3527">
            <v>221417</v>
          </cell>
        </row>
        <row r="3528">
          <cell r="F3528">
            <v>9419</v>
          </cell>
          <cell r="G3528"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H3528" t="str">
            <v>M2</v>
          </cell>
          <cell r="I3528">
            <v>658391</v>
          </cell>
        </row>
        <row r="3529">
          <cell r="F3529">
            <v>9420</v>
          </cell>
          <cell r="G3529" t="str">
            <v>PATIO ZONAL EL GACO: Niples pasa-muros acero inoxidable ranurados 2 1/2" de 60cm de longitud</v>
          </cell>
          <cell r="H3529" t="str">
            <v>UN</v>
          </cell>
          <cell r="I3529">
            <v>216104</v>
          </cell>
        </row>
        <row r="3530">
          <cell r="F3530">
            <v>9421</v>
          </cell>
          <cell r="G3530" t="str">
            <v>PATIO ZONAL EL GACO: Niples pasa-muros acero inoxidable ranurados 3" de 60cm de longitud</v>
          </cell>
          <cell r="H3530" t="str">
            <v>UN</v>
          </cell>
          <cell r="I3530">
            <v>263604</v>
          </cell>
        </row>
        <row r="3531">
          <cell r="F3531">
            <v>9422</v>
          </cell>
          <cell r="G3531" t="str">
            <v>PATIO ZONAL EL GACO: Niples pasa-muros acero inoxidable ranurados 4" de 60cm de longitud</v>
          </cell>
          <cell r="H3531" t="str">
            <v>UN</v>
          </cell>
          <cell r="I3531">
            <v>349604</v>
          </cell>
        </row>
        <row r="3532">
          <cell r="F3532">
            <v>9423</v>
          </cell>
          <cell r="G3532" t="str">
            <v>PATIO ZONAL EL GACO: Niples pasa-muros acero inoxidable ranurados 6" de 60cm de longitud</v>
          </cell>
          <cell r="H3532" t="str">
            <v>UN</v>
          </cell>
          <cell r="I3532">
            <v>561973</v>
          </cell>
        </row>
        <row r="3533">
          <cell r="F3533">
            <v>9424</v>
          </cell>
          <cell r="G3533" t="str">
            <v>PATIO ZONAL EL GACO: CAL HIDRATADA AL 10%. (SUMINISTRO, EXTENDIDO, NIVELACION, HUMEDECIMIENTO Y COMPACTACION).</v>
          </cell>
          <cell r="H3533" t="str">
            <v>M3</v>
          </cell>
          <cell r="I3533">
            <v>467900</v>
          </cell>
        </row>
        <row r="3534">
          <cell r="F3534">
            <v>9425</v>
          </cell>
          <cell r="G3534"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H3534" t="str">
            <v>ML</v>
          </cell>
          <cell r="I3534">
            <v>2250377</v>
          </cell>
        </row>
        <row r="3535">
          <cell r="F3535">
            <v>9426</v>
          </cell>
          <cell r="G3535" t="str">
            <v>Proyecto: RECUPERACIÓN DEL ESPACIO PÚBLICO SOBRE LOS PREDIOS REMANENTES DEL IDU. GRUPOS 1 Y 2. VIGENCIA 2022 - M-13-A / BANCA RECTANGULAR / LARGA CON M-11-A ADOSADO. Suministro e Instalación.</v>
          </cell>
          <cell r="H3535" t="str">
            <v>UN</v>
          </cell>
          <cell r="I3535">
            <v>3301870</v>
          </cell>
        </row>
        <row r="3536">
          <cell r="F3536">
            <v>9427</v>
          </cell>
          <cell r="G3536" t="str">
            <v>Proyecto: RECUPERACIÓN DEL ESPACIO PÚBLICO SOBRE LOS PREDIOS REMANENTES DEL IDU. GRUPOS 1 Y 2. VIGENCIA 2022 - M-13-A / BANCA RECTANGULAR / MEDIANA CON M-11-A ADOSADO. Suministro e Instalación.</v>
          </cell>
          <cell r="H3536" t="str">
            <v>UN</v>
          </cell>
          <cell r="I3536">
            <v>1626766</v>
          </cell>
        </row>
        <row r="3537">
          <cell r="F3537">
            <v>9428</v>
          </cell>
          <cell r="G3537" t="str">
            <v>Proyecto: RECUPERACIÓN DEL ESPACIO PÚBLICO SOBRE LOS PREDIOS REMANENTES DEL IDU. GRUPOS 1 Y 2. VIGENCIA 2022 - M-30-A / ALCORQUE CUADRADO / EN U. Suministro e Instalación.</v>
          </cell>
          <cell r="H3537" t="str">
            <v>UN</v>
          </cell>
          <cell r="I3537">
            <v>1029806</v>
          </cell>
        </row>
        <row r="3538">
          <cell r="F3538">
            <v>9429</v>
          </cell>
          <cell r="G3538" t="str">
            <v>Proyecto: RECUPERACIÓN DEL ESPACIO PÚBLICO SOBRE LOS PREDIOS REMANENTES DEL IDU. GRUPOS 1 Y 2. VIGENCIA 2022 - M-16-A / BOLARDO ESFERA / 40 CM. Suministro e Instalación</v>
          </cell>
          <cell r="H3538" t="str">
            <v>UN</v>
          </cell>
          <cell r="I3538">
            <v>556782</v>
          </cell>
        </row>
        <row r="3539">
          <cell r="F3539">
            <v>9430</v>
          </cell>
          <cell r="G3539" t="str">
            <v>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v>
          </cell>
          <cell r="H3539" t="str">
            <v>UN</v>
          </cell>
          <cell r="I3539">
            <v>20950608</v>
          </cell>
        </row>
        <row r="3540">
          <cell r="F3540">
            <v>9431</v>
          </cell>
          <cell r="G3540" t="str">
            <v>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v>
          </cell>
          <cell r="H3540" t="str">
            <v>UN</v>
          </cell>
          <cell r="I3540">
            <v>56692054</v>
          </cell>
        </row>
        <row r="3541">
          <cell r="F3541">
            <v>9432</v>
          </cell>
          <cell r="G3541" t="str">
            <v>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v>
          </cell>
          <cell r="H3541" t="str">
            <v>UN</v>
          </cell>
          <cell r="I3541">
            <v>2069376</v>
          </cell>
        </row>
        <row r="3542">
          <cell r="F3542">
            <v>9433</v>
          </cell>
          <cell r="G3542" t="str">
            <v>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v>
          </cell>
          <cell r="H3542" t="str">
            <v>UN</v>
          </cell>
          <cell r="I3542">
            <v>1878651</v>
          </cell>
        </row>
        <row r="3543">
          <cell r="F3543">
            <v>9434</v>
          </cell>
          <cell r="G3543" t="str">
            <v>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v>
          </cell>
          <cell r="H3543" t="str">
            <v>UN</v>
          </cell>
          <cell r="I3543">
            <v>2088890</v>
          </cell>
        </row>
        <row r="3544">
          <cell r="F3544">
            <v>9435</v>
          </cell>
          <cell r="G3544" t="str">
            <v>Proyecto: RECUPERACIÓN DEL ESPACIO PÚBLICO SOBRE LOS PREDIOS REMANENTES DEL IDU. GRUPOS 1 Y 2. VIGENCIA 2022 - SUMINISTRO, PUESTO EN OBRA E INSTALACIÓN DE GIMNASIO AL AIRE LIBRE TIPO PLUS "BICICLETA RECUMBENT". (GARANTÍA DE 1 AÑO). Suministro e Instalación</v>
          </cell>
          <cell r="H3544" t="str">
            <v>UN</v>
          </cell>
          <cell r="I3544">
            <v>4953676</v>
          </cell>
        </row>
        <row r="3545">
          <cell r="F3545">
            <v>9436</v>
          </cell>
          <cell r="G3545" t="str">
            <v>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v>
          </cell>
          <cell r="H3545" t="str">
            <v>UN</v>
          </cell>
          <cell r="I3545">
            <v>3184944</v>
          </cell>
        </row>
        <row r="3546">
          <cell r="F3546">
            <v>9437</v>
          </cell>
          <cell r="G3546" t="str">
            <v>Proyecto: RECUPERACIÓN DEL ESPACIO PÚBLICO SOBRE LOS PREDIOS REMANENTES DEL IDU. GRUPOS 1 Y 2. VIGENCIA 2022 - SUMINISTRO, PUESTO EN OBRA E INSTALACIÓN DE GIMNASIO AL AIRE LIBRE TIPO PLUS "BANCO ABDOMINAL INCLINADA". (GARANTÍA DE 1 AÑO). Suministro e Instalación</v>
          </cell>
          <cell r="H3546" t="str">
            <v>UN</v>
          </cell>
          <cell r="I3546">
            <v>2131720</v>
          </cell>
        </row>
        <row r="3547">
          <cell r="F3547">
            <v>9438</v>
          </cell>
          <cell r="G3547" t="str">
            <v>Proyecto: RECUPERACIÓN DEL ESPACIO PÚBLICO SOBRE LOS PREDIOS REMANENTES DEL IDU. GRUPOS 1 Y 2. VIGENCIA 2022 - SUMINISTRO, PUESTO EN OBRA E INSTALACIÓN DE GIMNASIO AL AIRE LIBRE TIPO PLUS "BANCO ABDOMINAL PLANA". (GARANTÍA DE 1 AÑO). Suministro e Instalación</v>
          </cell>
          <cell r="H3547" t="str">
            <v>UN</v>
          </cell>
          <cell r="I3547">
            <v>2131720</v>
          </cell>
        </row>
        <row r="3548">
          <cell r="F3548">
            <v>9439</v>
          </cell>
          <cell r="G3548" t="str">
            <v>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v>
          </cell>
          <cell r="H3548" t="str">
            <v>UN</v>
          </cell>
          <cell r="I3548">
            <v>2781106</v>
          </cell>
        </row>
        <row r="3549">
          <cell r="F3549">
            <v>9440</v>
          </cell>
          <cell r="G3549" t="str">
            <v>Proyecto: RECUPERACIÓN DEL ESPACIO PÚBLICO SOBRE LOS PREDIOS REMANENTES DEL IDU. GRUPOS 1 Y 2. VIGENCIA 2022 - SUMINISTRO, PUESTO EN OBRA E INSTALACIÓN DE GIMNASIO AL AIRE LIBRE TIPO PLUS "TRIPLE PECHO ESPALDA PIERNA". (GARANTÍA DE 1 AÑO). Suministro e Instalación</v>
          </cell>
          <cell r="H3549" t="str">
            <v>UN</v>
          </cell>
          <cell r="I3549">
            <v>9708421</v>
          </cell>
        </row>
        <row r="3550">
          <cell r="F3550">
            <v>9441</v>
          </cell>
          <cell r="G3550" t="str">
            <v>Proyecto: RECUPERACIÓN DEL ESPACIO PÚBLICO SOBRE LOS PREDIOS REMANENTES DEL IDU. GRUPOS 1 Y 2. VIGENCIA 2022 - SUMINISTRO, PUESTO EN OBRA E INSTALACIÓN DE GIMNASIO AL AIRE LIBRE TIPO PLUS "MULTIFUNCIONAL A4". (GARANTÍA DE 1 AÑO). Suministro e Instalación</v>
          </cell>
          <cell r="H3550" t="str">
            <v>UN</v>
          </cell>
          <cell r="I3550">
            <v>15331336</v>
          </cell>
        </row>
        <row r="3551">
          <cell r="F3551">
            <v>9442</v>
          </cell>
          <cell r="G3551" t="str">
            <v>Proyecto: RECUPERACIÓN DEL ESPACIO PÚBLICO SOBRE LOS PREDIOS REMANENTES DEL IDU. GRUPOS 1 Y 2. VIGENCIA 2022 - SUMINISTRO, PUESTO EN OBRA E INSTALACIÓN DE GIMNASIO AL AIRE LIBRE TIPO PLUS "MODULO JINETE". (GARANTÍA DE 1 AÑO). Suministro e Instalación</v>
          </cell>
          <cell r="H3551" t="str">
            <v>UN</v>
          </cell>
          <cell r="I3551">
            <v>3665679</v>
          </cell>
        </row>
        <row r="3552">
          <cell r="F3552">
            <v>9443</v>
          </cell>
          <cell r="G3552" t="str">
            <v>Proyecto: RECUPERACIÓN DEL ESPACIO PÚBLICO SOBRE LOS PREDIOS REMANENTES DEL IDU. GRUPOS 1 Y 2. VIGENCIA 2022 - SUMINISTRO, PUESTO EN OBRA E INSTALACIÓN DE GIMNASIO AL AIRE LIBRE TIPO PLUS "MODULO GRX". (GARANTÍA DE 1 AÑO). Suministro e Instalación</v>
          </cell>
          <cell r="H3552" t="str">
            <v>UN</v>
          </cell>
          <cell r="I3552">
            <v>5717868</v>
          </cell>
        </row>
        <row r="3553">
          <cell r="F3553">
            <v>9444</v>
          </cell>
          <cell r="G3553" t="str">
            <v>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v>
          </cell>
          <cell r="H3553" t="str">
            <v>M2</v>
          </cell>
          <cell r="I3553">
            <v>408848</v>
          </cell>
        </row>
        <row r="3554">
          <cell r="F3554">
            <v>9445</v>
          </cell>
          <cell r="G3554" t="str">
            <v>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H3554" t="str">
            <v>KG</v>
          </cell>
          <cell r="I3554">
            <v>17952</v>
          </cell>
        </row>
        <row r="3555">
          <cell r="F3555">
            <v>9446</v>
          </cell>
          <cell r="G3555" t="str">
            <v>PROYECTO CONSTRUCCION PUENTES SAN AGUSTIN Y LOS ANDES - PRUEBA DE CARGA ESTÁTICA PARA PUENTE VEHICULAR CON SUPERESTRUCTURA EN CONCRETO. (INCLUYE LOGISTICA, EQUIPOS Y PERSONAL PARA TOMA DE INFORMACION, PROCESAMIENTO DE LA MISMA Y ENTREGA DE INFORME FINAL)</v>
          </cell>
          <cell r="H3555" t="str">
            <v>UN</v>
          </cell>
          <cell r="I3555">
            <v>10710000</v>
          </cell>
        </row>
        <row r="3556">
          <cell r="F3556">
            <v>9448</v>
          </cell>
          <cell r="G3556" t="str">
            <v>PATIO ZONAL EL GACO - LOSA DE PISO ALIGERADA CON CASETÓN PERDIDO EN CONCRETO COLOR GRIS F'C 28 Mpa, H: 0,30M CON TORTA SUPERIOR E INFERIOR E: 0,05M Y VIGUETAS DE 0,10M (Incluye: Casetón perdido y dilatación perimetral con sellador plástico)</v>
          </cell>
          <cell r="H3556" t="str">
            <v>M2</v>
          </cell>
          <cell r="I3556">
            <v>202715</v>
          </cell>
        </row>
        <row r="3557">
          <cell r="F3557">
            <v>9449</v>
          </cell>
          <cell r="G3557" t="str">
            <v>PATIO ZONAL EL GACO - LOSA DE PISO ALIGERADA CON CASETON PERDIDO EN CONCRETO COLOR GRIS F´C 28 MPa, H: 0,40M CON TORTA SUPERIOR E= 0,07M Y TORTA INFERIOR E:0,15 M Y VIGUETAS DE 0,15M (Incluye: Casetón perdido y dilatación perimetral con sellador plástico)</v>
          </cell>
          <cell r="H3557" t="str">
            <v>M2</v>
          </cell>
          <cell r="I3557">
            <v>317591</v>
          </cell>
        </row>
        <row r="3558">
          <cell r="F3558">
            <v>9450</v>
          </cell>
          <cell r="G3558" t="str">
            <v>PATIO ZONAL EL GACO - LOSA DE PISO ALIGERADA CON CASETÓN PERDIDO EN CONCRETO COLOR GRIS F´C 28 MPa, H: 0,60M CON TORTA SUPERIOR E= 0,05M Y TORTA INFERIOR E:0,10 M Y VIGUETAS DE 0,15M (Incluye: Casetón perdido y dilatación perimetral con sellador plástico)</v>
          </cell>
          <cell r="H3558" t="str">
            <v>M2</v>
          </cell>
          <cell r="I3558">
            <v>402900</v>
          </cell>
        </row>
        <row r="3559">
          <cell r="F3559">
            <v>9451</v>
          </cell>
          <cell r="G3559" t="str">
            <v>PATIO ZONAL EL GACO - PLACA ENTREPISO ALIGERADA CON CASETÓN PERDIDO EN CONCRETO COLOR GRIS F´C 28 MPA H: 0,35 TORTA SUPERIOR E INFERIOR CON E:0,05M Y VIGUETAS 0,10MT (Incluye: Casetón perdido y dilatación perimetral con sellador plástico)</v>
          </cell>
          <cell r="H3559" t="str">
            <v>M2</v>
          </cell>
          <cell r="I3559">
            <v>260307</v>
          </cell>
        </row>
        <row r="3560">
          <cell r="F3560">
            <v>9452</v>
          </cell>
          <cell r="G3560" t="str">
            <v>PATIO ZONAL EL GACO - LOSA DE PISO ALIGERADA CON CASETON PERDIDO, CON VIGUETAS DE 0,15 X 0,60 M EN CONCRETO COLOR GRIS F´C 28 MPA, ESPESOR DE LOSETA E:0,20M(Incluye: Casetón pedido y dilación perimetral con sellador plástico)</v>
          </cell>
          <cell r="H3560" t="str">
            <v>M2</v>
          </cell>
          <cell r="I3560">
            <v>408155</v>
          </cell>
        </row>
        <row r="3561">
          <cell r="F3561">
            <v>9453</v>
          </cell>
          <cell r="G3561" t="str">
            <v>PATIO ZONAL EL GACO - CERTIFICACION DE CONECTORIZACION DE FIBRA OPTICA (POR PAR)</v>
          </cell>
          <cell r="H3561" t="str">
            <v>UN</v>
          </cell>
          <cell r="I3561">
            <v>17850</v>
          </cell>
        </row>
        <row r="3562">
          <cell r="F3562">
            <v>9454</v>
          </cell>
          <cell r="G3562" t="str">
            <v>PATIO ZONAL EL GACO - UPS 1 KVA MONOFASICA VIN 120V, VOUT 120V (SUMINISTRO E INSTALACION)</v>
          </cell>
          <cell r="H3562" t="str">
            <v>UN</v>
          </cell>
          <cell r="I3562">
            <v>1134885</v>
          </cell>
        </row>
        <row r="3563">
          <cell r="F3563">
            <v>9455</v>
          </cell>
          <cell r="G3563"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v>
          </cell>
          <cell r="H3563" t="str">
            <v>UN</v>
          </cell>
          <cell r="I3563">
            <v>7564910</v>
          </cell>
        </row>
        <row r="3564">
          <cell r="F3564">
            <v>9456</v>
          </cell>
          <cell r="G3564" t="str">
            <v>PATIO ZONAL EL GACO - FIBRA MULTIMODO 12 HILOS (INCLUYE SUMINISTRO E INSTALACION)</v>
          </cell>
          <cell r="H3564" t="str">
            <v>ML</v>
          </cell>
          <cell r="I3564">
            <v>20502</v>
          </cell>
        </row>
        <row r="3565">
          <cell r="F3565">
            <v>9457</v>
          </cell>
          <cell r="G3565" t="str">
            <v>PATIO ZONAL EL GACO - TOPELLANTA T-60 EN CONCRETO (INCLUYE SUMINISTRO E INSTALACIÓN, INCLUYE ANCLAJE PARA INSTALACION)</v>
          </cell>
          <cell r="H3565" t="str">
            <v>UN</v>
          </cell>
          <cell r="I3565">
            <v>47667</v>
          </cell>
        </row>
        <row r="3566">
          <cell r="F3566">
            <v>9458</v>
          </cell>
          <cell r="G3566" t="str">
            <v>PATIO ZONAL EL GACO - TAPA CIEGA PARA CONECTORES DE FIBRA (INCLUYE SUMINISTRO E INSTALACION)</v>
          </cell>
          <cell r="H3566" t="str">
            <v>UN</v>
          </cell>
          <cell r="I3566">
            <v>23502</v>
          </cell>
        </row>
        <row r="3567">
          <cell r="F3567">
            <v>9459</v>
          </cell>
          <cell r="G3567" t="str">
            <v>PATIO ZONAL EL GACO - CABLE DE ACERO TENSADO ENTRE ANCLAJES. (Incluye suministro e instalación).</v>
          </cell>
          <cell r="H3567" t="str">
            <v>ML</v>
          </cell>
          <cell r="I3567">
            <v>25978</v>
          </cell>
        </row>
        <row r="3568">
          <cell r="F3568">
            <v>9460</v>
          </cell>
          <cell r="G3568" t="str">
            <v>PATIO ZONAL EL GACO - PISO GRES PORCELANATO COLOR MARFIL MATE 60X60 CM O SIMILAR. (INCLUYE SUMINISTRO E INSTALACIÓN).</v>
          </cell>
          <cell r="H3568" t="str">
            <v>M2</v>
          </cell>
          <cell r="I3568">
            <v>82494</v>
          </cell>
        </row>
        <row r="3569">
          <cell r="F3569">
            <v>9461</v>
          </cell>
          <cell r="G3569" t="str">
            <v>PATIO ZONAL EL GACO - LÁMINA DE DRYWALL SUPÉRBORARD 6 MM X 2440 MM X 1220 MM (SUMINISTRO E INSTALACIÓN).</v>
          </cell>
          <cell r="H3569" t="str">
            <v>M2</v>
          </cell>
          <cell r="I3569">
            <v>69629</v>
          </cell>
        </row>
        <row r="3570">
          <cell r="F3570">
            <v>9462</v>
          </cell>
          <cell r="G3570" t="str">
            <v>VIGA CAJON PREESFORZADA EN CONCRETO PREMEZCLADO DE 5000 PSI (34 Mpa) GRAVA COMUN, CON APOYO EN VIGA METÁLICA HEA 450 (Incluye suministro, cimbra de soporte, forza andamios, forza acero losa, formaleteo metálico, curado y colocación. No incluye refuerzo)</v>
          </cell>
          <cell r="H3570" t="str">
            <v>M3</v>
          </cell>
          <cell r="I3570">
            <v>1786564</v>
          </cell>
        </row>
        <row r="3571">
          <cell r="F3571">
            <v>9463</v>
          </cell>
          <cell r="G3571" t="str">
            <v>APOYO ELASTOMÉRICO EN NEOPRENO SIN REFUERZO DUREZA 60 PARA APOYO SUPERESTRUCTURA. (SUMINISTRO E INSTALACIÓN).</v>
          </cell>
          <cell r="H3571" t="str">
            <v>dm3</v>
          </cell>
          <cell r="I3571">
            <v>50579</v>
          </cell>
        </row>
        <row r="3572">
          <cell r="F3572">
            <v>9464</v>
          </cell>
          <cell r="G3572"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H3572" t="str">
            <v>UN</v>
          </cell>
          <cell r="I3572">
            <v>5593000</v>
          </cell>
        </row>
        <row r="3573">
          <cell r="F3573">
            <v>9465</v>
          </cell>
          <cell r="G3573"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H3573" t="str">
            <v>TON-M</v>
          </cell>
          <cell r="I3573">
            <v>2482</v>
          </cell>
        </row>
        <row r="3574">
          <cell r="F3574">
            <v>9466</v>
          </cell>
          <cell r="G3574" t="str">
            <v>PAQUETE ELEMENTOS PARA LIMPIEZA Y DESINFECCIÓN PARA 10 TRABAJADORES EN OBRA (INCLUYE ALCOHOL GLICERINADO, TOALLAS DE PAPEL, JABON LIQUIDO, SUMINISTRO AGUA PARA EL LAVAMANOS). _(Según Apéndice Bioseguridad Covid 19_V4)</v>
          </cell>
          <cell r="H3574" t="str">
            <v>UN/MES</v>
          </cell>
          <cell r="I3574">
            <v>287526</v>
          </cell>
        </row>
        <row r="3575">
          <cell r="F3575">
            <v>9467</v>
          </cell>
          <cell r="G3575" t="str">
            <v>RECOLECCION, TRANSPORTE Y DISPOSICION DE RESIDUOS LÍQUIDOS PROVENIENTES DE LAVAMANOS PORTATILES. (INCLUYE EQUIPO DE SUCCIÓN)._(Según Apéndice Bioseguridad Covid 19_V4)</v>
          </cell>
          <cell r="H3575" t="str">
            <v>M3</v>
          </cell>
          <cell r="I3575">
            <v>250000</v>
          </cell>
        </row>
        <row r="3576">
          <cell r="F3576">
            <v>9468</v>
          </cell>
          <cell r="G3576" t="str">
            <v>ALQUILER DE LAVAMANOS PORTATIL DE PEDAL TIPO MANOS LIBRES._(Según Apéndice Bioseguridad Covid 19_V4)</v>
          </cell>
          <cell r="H3576" t="str">
            <v>UN/MES</v>
          </cell>
          <cell r="I3576">
            <v>66177</v>
          </cell>
        </row>
        <row r="3577">
          <cell r="F3577">
            <v>9469</v>
          </cell>
          <cell r="G3577" t="str">
            <v>ALQUILER DE DISPENSADOR DE JABÓN LÍQUIDO O ALCOHOL GLICERINADO, CON PEDAL METÁLICO._(Según Apéndice Bioseguridad Covid 19_V4)</v>
          </cell>
          <cell r="H3577" t="str">
            <v>UN/MES</v>
          </cell>
          <cell r="I3577">
            <v>3500</v>
          </cell>
        </row>
        <row r="3578">
          <cell r="F3578">
            <v>9470</v>
          </cell>
          <cell r="G3578" t="str">
            <v>ALQUILER DE DISPENSADOR PLÁSTICO DE TOALLAS TIPO Z_(Según Apéndice Bioseguridad Covid 19_V4)</v>
          </cell>
          <cell r="H3578" t="str">
            <v>UN/MES</v>
          </cell>
          <cell r="I3578">
            <v>2752</v>
          </cell>
        </row>
        <row r="3579">
          <cell r="F3579">
            <v>9471</v>
          </cell>
          <cell r="G3579" t="str">
            <v>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v>
          </cell>
          <cell r="H3579" t="str">
            <v>UN</v>
          </cell>
          <cell r="I3579">
            <v>8406636</v>
          </cell>
        </row>
        <row r="3580">
          <cell r="F3580">
            <v>9472</v>
          </cell>
          <cell r="G3580"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H3580" t="str">
            <v>UN</v>
          </cell>
          <cell r="I3580">
            <v>7397840</v>
          </cell>
        </row>
        <row r="3581">
          <cell r="F3581">
            <v>9473</v>
          </cell>
          <cell r="G3581"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H3581" t="str">
            <v>UN</v>
          </cell>
          <cell r="I3581">
            <v>7070612</v>
          </cell>
        </row>
        <row r="3582">
          <cell r="F3582">
            <v>9474</v>
          </cell>
          <cell r="G3582"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H3582" t="str">
            <v>UN</v>
          </cell>
          <cell r="I3582">
            <v>10194292</v>
          </cell>
        </row>
        <row r="3583">
          <cell r="F3583">
            <v>9475</v>
          </cell>
          <cell r="G3583"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H3583" t="str">
            <v>UN</v>
          </cell>
          <cell r="I3583">
            <v>9399483</v>
          </cell>
        </row>
        <row r="3584">
          <cell r="F3584">
            <v>9476</v>
          </cell>
          <cell r="G3584"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H3584" t="str">
            <v>UN</v>
          </cell>
          <cell r="I3584">
            <v>4250501</v>
          </cell>
        </row>
        <row r="3585">
          <cell r="F3585">
            <v>9477</v>
          </cell>
          <cell r="G3585"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H3585" t="str">
            <v>UN</v>
          </cell>
          <cell r="I3585">
            <v>4008603</v>
          </cell>
        </row>
        <row r="3586">
          <cell r="F3586">
            <v>9478</v>
          </cell>
          <cell r="G3586"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H3586" t="str">
            <v>UN</v>
          </cell>
          <cell r="I3586">
            <v>9503154</v>
          </cell>
        </row>
        <row r="3587">
          <cell r="F3587">
            <v>9479</v>
          </cell>
          <cell r="G3587"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H3587" t="str">
            <v>UN</v>
          </cell>
          <cell r="I3587">
            <v>9589546</v>
          </cell>
        </row>
        <row r="3588">
          <cell r="F3588">
            <v>9480</v>
          </cell>
          <cell r="G3588"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H3588" t="str">
            <v>UN</v>
          </cell>
          <cell r="I3588">
            <v>5252652</v>
          </cell>
        </row>
        <row r="3589">
          <cell r="F3589">
            <v>9481</v>
          </cell>
          <cell r="G3589"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H3589" t="str">
            <v>UN</v>
          </cell>
          <cell r="I3589">
            <v>5736449</v>
          </cell>
        </row>
        <row r="3590">
          <cell r="F3590">
            <v>9482</v>
          </cell>
          <cell r="G3590"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H3590" t="str">
            <v>UN</v>
          </cell>
          <cell r="I3590">
            <v>7239675</v>
          </cell>
        </row>
        <row r="3591">
          <cell r="F3591">
            <v>9483</v>
          </cell>
          <cell r="G3591"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H3591" t="str">
            <v>UN</v>
          </cell>
          <cell r="I3591">
            <v>5598221</v>
          </cell>
        </row>
        <row r="3592">
          <cell r="F3592">
            <v>9484</v>
          </cell>
          <cell r="G3592"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H3592" t="str">
            <v>UN</v>
          </cell>
          <cell r="I3592">
            <v>3369300</v>
          </cell>
        </row>
        <row r="3593">
          <cell r="F3593">
            <v>9485</v>
          </cell>
          <cell r="G3593"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H3593" t="str">
            <v>UN</v>
          </cell>
          <cell r="I3593">
            <v>13822769</v>
          </cell>
        </row>
        <row r="3594">
          <cell r="F3594">
            <v>9486</v>
          </cell>
          <cell r="G3594" t="str">
            <v>PROYECTO ESPECIFICO PATIO ZONAL ALAMEDA EL JARDIN - AFINADO SIMPLE E= 4CMS (MORTERO SECO) (INCLUYE SUMINISTRO E INSTALACIÓN)</v>
          </cell>
          <cell r="H3594" t="str">
            <v>M2</v>
          </cell>
          <cell r="I3594">
            <v>31602</v>
          </cell>
        </row>
        <row r="3595">
          <cell r="F3595">
            <v>9487</v>
          </cell>
          <cell r="G3595" t="str">
            <v>PROYECTO ESPECIFICO PATIO ZONAL ALAMEDA EL JARDIN - AFINADO IMPERMEABLE E= 4CMS (INCLUYE SUMINISTRO E INSTALACIÓN)</v>
          </cell>
          <cell r="H3595" t="str">
            <v>M2</v>
          </cell>
          <cell r="I3595">
            <v>129361</v>
          </cell>
        </row>
        <row r="3596">
          <cell r="F3596">
            <v>9488</v>
          </cell>
          <cell r="G3596" t="str">
            <v>PROYECTO ESPECIFICO PATIO ZONAL ALAMEDA EL JARDIN - BALDOSA HEXAGONAL PREPULIDA LISTONES GRIS. COLOR VERDE, PARA EXTERIORES 30 X 30 CM. ESPESOR 25 MM. SUMINISTRO E INSTALACIÓN</v>
          </cell>
          <cell r="H3596" t="str">
            <v>M2</v>
          </cell>
          <cell r="I3596">
            <v>51238</v>
          </cell>
        </row>
        <row r="3597">
          <cell r="F3597">
            <v>9489</v>
          </cell>
          <cell r="G3597" t="str">
            <v>PROYECTO ESPECIFICO PATIO ZONAL ALAMEDA EL JARDIN - PISO LAMINADO SPC (STONE PLASTIC COMPOSITE), TRAFICO COMERCIAL, ACABADO TEXTURA MATE, TONO CASTAÑO, CON DILATACION EN ALUMINIO. SUMINISTRO E INSTALACIÓN</v>
          </cell>
          <cell r="H3597" t="str">
            <v>M2</v>
          </cell>
          <cell r="I3597">
            <v>73057</v>
          </cell>
        </row>
        <row r="3598">
          <cell r="F3598">
            <v>9490</v>
          </cell>
          <cell r="G3598" t="str">
            <v>PROYECTO ESPECIFICO PATIO ZONAL ALAMEDA EL JARDIN - PISO EN PORCELANATO GRIS FORMATO 30 X 60. SUMINISTRO E INSTALACIÓN</v>
          </cell>
          <cell r="H3598" t="str">
            <v>M2</v>
          </cell>
          <cell r="I3598">
            <v>84788</v>
          </cell>
        </row>
        <row r="3599">
          <cell r="F3599">
            <v>9491</v>
          </cell>
          <cell r="G3599" t="str">
            <v>PROYECTO ESPECIFICO PATIO ZONAL ALAMEDA EL JARDIN - BALDOSA EN MICROGRANO COLOR NEGRO AZABACHE FORMATO 30X30. SUMINISTRO E INSTALACIÓN</v>
          </cell>
          <cell r="H3599" t="str">
            <v>M2</v>
          </cell>
          <cell r="I3599">
            <v>88941</v>
          </cell>
        </row>
        <row r="3600">
          <cell r="F3600">
            <v>9492</v>
          </cell>
          <cell r="G3600" t="str">
            <v>PROYECTO ESPECIFICO PATIO ZONAL ALAMEDA EL JARDIN - PORCELANATO PARA PARED COLOR BLANCO FORMATO 20.5 X 20.5. SUMINISTRO E INSTALACIÓN</v>
          </cell>
          <cell r="H3600" t="str">
            <v>M2</v>
          </cell>
          <cell r="I3600">
            <v>58341</v>
          </cell>
        </row>
        <row r="3601">
          <cell r="F3601">
            <v>9493</v>
          </cell>
          <cell r="G3601" t="str">
            <v>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v>
          </cell>
          <cell r="H3601" t="str">
            <v>M2</v>
          </cell>
          <cell r="I3601">
            <v>100941</v>
          </cell>
        </row>
        <row r="3602">
          <cell r="F3602">
            <v>9494</v>
          </cell>
          <cell r="G3602" t="str">
            <v>PROYECTO ESPECIFICO PATIO ZONAL ALAMEDA EL JARDIN - ESPEJO EN CRISTAL FLOTADO DE 4MM SIN BISELAR, CON BORDE PULIDO AHERIDO A MURO CON SILICONA ANTIHONGOS TRANSPARENTE (INCLUYE SUMINISTRO E INSTALACIÓN). SUMINISTRO E INSTALACIÓN</v>
          </cell>
          <cell r="H3602" t="str">
            <v>M2</v>
          </cell>
          <cell r="I3602">
            <v>125144</v>
          </cell>
        </row>
        <row r="3603">
          <cell r="F3603">
            <v>9495</v>
          </cell>
          <cell r="G3603" t="str">
            <v>PROYECTO ESPECIFICO PATIO ZONAL ALAMEDA EL JARDIN - PANEL SEPARADOR DE ORINALES DE 1,00 M X 0,50 M O APROXIMADO, ANCLADO A MURO EN LAMINA DE ACERO INOXIDABLE. SUMINISTRO E INSTALACIÓN</v>
          </cell>
          <cell r="H3603" t="str">
            <v>UN</v>
          </cell>
          <cell r="I3603">
            <v>277955</v>
          </cell>
        </row>
        <row r="3604">
          <cell r="F3604">
            <v>9496</v>
          </cell>
          <cell r="G3604" t="str">
            <v>PROYECTO ESPECIFICO PATIO ZONAL ALAMEDA EL JARDIN - TAPA PARA REGISTRO DE 20 X 20 CM. SUMINISTRO E INSTALACIÓN</v>
          </cell>
          <cell r="H3604" t="str">
            <v>UN</v>
          </cell>
          <cell r="I3604">
            <v>15092</v>
          </cell>
        </row>
        <row r="3605">
          <cell r="F3605">
            <v>9497</v>
          </cell>
          <cell r="G3605" t="str">
            <v>PROYECTO ESPECIFICO PATIO ZONAL ALAMEDA EL JARDIN - TUBERÍA PVC - S8, D=10" NORMA NTC 3722-3. SUMINISTRO E INSTALACIÓN</v>
          </cell>
          <cell r="H3605" t="str">
            <v>ML</v>
          </cell>
          <cell r="I3605">
            <v>78777</v>
          </cell>
        </row>
        <row r="3606">
          <cell r="F3606">
            <v>9498</v>
          </cell>
          <cell r="G3606" t="str">
            <v>PROYECTO ESPECIFICO PATIO ZONAL ALAMEDA EL JARDIN - TUBERÍA PVC-P DE 1/2" RDE 9. SUMINISTRO E INSTALACIÓN</v>
          </cell>
          <cell r="H3606" t="str">
            <v>ML</v>
          </cell>
          <cell r="I3606">
            <v>8349</v>
          </cell>
        </row>
        <row r="3607">
          <cell r="F3607">
            <v>9499</v>
          </cell>
          <cell r="G3607" t="str">
            <v>PROYECTO ESPECIFICO PATIO ZONAL ALAMEDA EL JARDIN - TUBERÍA PVC-P DE 3/4" RDE 11. SUMINISTRO E INSTALACIÓN</v>
          </cell>
          <cell r="H3607" t="str">
            <v>ML</v>
          </cell>
          <cell r="I3607">
            <v>7235</v>
          </cell>
        </row>
        <row r="3608">
          <cell r="F3608">
            <v>9500</v>
          </cell>
          <cell r="G3608" t="str">
            <v>PROYECTO ESPECIFICO PATIO ZONAL ALAMEDA EL JARDIN - REGISTRO EN BRONCE DE PASO DIRECTO ROSCADO DE 3/4". SUMINISTRO E INSTALACIÓN</v>
          </cell>
          <cell r="H3608" t="str">
            <v>UN</v>
          </cell>
          <cell r="I3608">
            <v>44109</v>
          </cell>
        </row>
        <row r="3609">
          <cell r="F3609">
            <v>9501</v>
          </cell>
          <cell r="G3609" t="str">
            <v>PROYECTO ESPECIFICO PATIO ZONAL ALAMEDA EL JARDIN - REGISTRO EN BRONCE DE PASO DIRECTO ROSCADO DE 1". SUMINISTRO E INSTALACIÓN</v>
          </cell>
          <cell r="H3609" t="str">
            <v>UN</v>
          </cell>
          <cell r="I3609">
            <v>59949</v>
          </cell>
        </row>
        <row r="3610">
          <cell r="F3610">
            <v>9502</v>
          </cell>
          <cell r="G3610" t="str">
            <v>PROYECTO ESPECIFICO PATIO ZONAL ALAMEDA EL JARDIN - REGISTRO EN BRONCE DE PASO DIRECTO ROSCADO DE 1 1/4". SUMINISTRO E INSTALACIÓN</v>
          </cell>
          <cell r="H3610" t="str">
            <v>UN</v>
          </cell>
          <cell r="I3610">
            <v>82493</v>
          </cell>
        </row>
        <row r="3611">
          <cell r="F3611">
            <v>9503</v>
          </cell>
          <cell r="G3611" t="str">
            <v>PROYECTO ESPECIFICO PATIO ZONAL ALAMEDA EL JARDIN - REGISTRO EN BRONCE DE PASO DIRECTO ROSCADO DE 1 1/2". SUMINISTRO E INSTALACIÓN</v>
          </cell>
          <cell r="H3611" t="str">
            <v>UN</v>
          </cell>
          <cell r="I3611">
            <v>93126</v>
          </cell>
        </row>
        <row r="3612">
          <cell r="F3612">
            <v>9504</v>
          </cell>
          <cell r="G3612" t="str">
            <v>PROYECTO ESPECIFICO PATIO ZONAL ALAMEDA EL JARDIN - REGISTRO EN BRONCE DE PASO DIRECTO ROSCADO DE 2". SUMINISTRO E INSTALACIÓN</v>
          </cell>
          <cell r="H3612" t="str">
            <v>UN</v>
          </cell>
          <cell r="I3612">
            <v>133641</v>
          </cell>
        </row>
        <row r="3613">
          <cell r="F3613">
            <v>9505</v>
          </cell>
          <cell r="G3613" t="str">
            <v>PROYECTO ESPECIFICO PATIO ZONAL ALAMEDA EL JARDIN - TUBERÍA DE ACERO AL CARBON SCH10 D=4". SUMINISTRO E INSTALACIÓN</v>
          </cell>
          <cell r="H3613" t="str">
            <v>ML</v>
          </cell>
          <cell r="I3613">
            <v>107480</v>
          </cell>
        </row>
        <row r="3614">
          <cell r="F3614">
            <v>9506</v>
          </cell>
          <cell r="G3614" t="str">
            <v>PROYECTO ESPECIFICO PATIO ZONAL ALAMEDA EL JARDIN - TUBERÍA DE ACERO AL CARBON SCH10 D=6". SUMINISTRO E INSTALACIÓN</v>
          </cell>
          <cell r="H3614" t="str">
            <v>ML</v>
          </cell>
          <cell r="I3614">
            <v>171794</v>
          </cell>
        </row>
        <row r="3615">
          <cell r="F3615">
            <v>9507</v>
          </cell>
          <cell r="G3615" t="str">
            <v>PROYECTO ESPECIFICO PATIO ZONAL ALAMEDA EL JARDIN - TUBERÍA DE ACERO AL CARBON SCH10 D=3". SUMINISTRO E INSTALACIÓN</v>
          </cell>
          <cell r="H3615" t="str">
            <v>ML</v>
          </cell>
          <cell r="I3615">
            <v>88073</v>
          </cell>
        </row>
        <row r="3616">
          <cell r="F3616">
            <v>9508</v>
          </cell>
          <cell r="G3616" t="str">
            <v>PROYECTO ESPECIFICO PATIO ZONAL ALAMEDA EL JARDIN - TUBERÍA DE ACERO AL CARBON SCH10 D=2". SUMINISTRO E INSTALACIÓN</v>
          </cell>
          <cell r="H3616" t="str">
            <v>ML</v>
          </cell>
          <cell r="I3616">
            <v>72168</v>
          </cell>
        </row>
        <row r="3617">
          <cell r="F3617">
            <v>9509</v>
          </cell>
          <cell r="G3617" t="str">
            <v>PROYECTO ESPECIFICO PATIO ZONAL ALAMEDA EL JARDIN - TUBERÍA DE ACERO AL CARBON SCH40 D=1". SUMINISTRO E INSTALACIÓN</v>
          </cell>
          <cell r="H3617" t="str">
            <v>ML</v>
          </cell>
          <cell r="I3617">
            <v>48034</v>
          </cell>
        </row>
        <row r="3618">
          <cell r="F3618">
            <v>9510</v>
          </cell>
          <cell r="G3618" t="str">
            <v>PROYECTO ESPECIFICO PATIO ZONAL ALAMEDA EL JARDIN - SALIDA LUMINARIA PARA INTERIORES EN TUBERÍA CONDUIT EMT Y/O PVC DE 3/4" (SUMINISTRO E INSTALACION - NO INCLUYE LUMINARIA)</v>
          </cell>
          <cell r="H3618" t="str">
            <v>UN</v>
          </cell>
          <cell r="I3618">
            <v>61100</v>
          </cell>
        </row>
        <row r="3619">
          <cell r="F3619">
            <v>9511</v>
          </cell>
          <cell r="G3619" t="str">
            <v>PROYECTO ESPECIFICO PATIO ZONAL ALAMEDA EL JARDIN - ACOMETIDA EN CABLE DE CU THHN No 3x6 F +1x8N+ 1x10T AWG. INCLUYE ACCESORIOS DE FIJACIÓN Y CONEXIÓN</v>
          </cell>
          <cell r="H3619" t="str">
            <v>ML</v>
          </cell>
          <cell r="I3619">
            <v>37804</v>
          </cell>
        </row>
        <row r="3620">
          <cell r="F3620">
            <v>9512</v>
          </cell>
          <cell r="G3620" t="str">
            <v>PROYECTO ESPECIFICO PATIO ZONAL ALAMEDA EL JARDIN - ACOMETIDA EN CABLE DE CU THHN No 3x4 F +1x6N+ 1x8T AWG. INCLUYE ACCESORIOS DE FIJACIÓN Y CONEXIÓN</v>
          </cell>
          <cell r="H3620" t="str">
            <v>ML</v>
          </cell>
          <cell r="I3620">
            <v>59698</v>
          </cell>
        </row>
        <row r="3621">
          <cell r="F3621">
            <v>9513</v>
          </cell>
          <cell r="G3621" t="str">
            <v>PROYECTO ESPECIFICO PATIO ZONAL ALAMEDA EL JARDIN - ACOMETIDA EN CABLE DE CU THHN No 3x1/0 F +1x2N+ 1x6T AWG. INCLUYE ACCESORIOS DE FIJACIÓN Y CONEXIÓN</v>
          </cell>
          <cell r="H3621" t="str">
            <v>ML</v>
          </cell>
          <cell r="I3621">
            <v>104946</v>
          </cell>
        </row>
        <row r="3622">
          <cell r="F3622">
            <v>9514</v>
          </cell>
          <cell r="G3622" t="str">
            <v>PROYECTO ESPECIFICO PATIO ZONAL ALAMEDA EL JARDIN - ACOMETIDA EN CABLE DE CU THHN No 3x4/0 F +1x2/0N+ 1x2T AWG. INCLUYE ACCESORIOS DE FIJACIÓN Y CONEXIÓN</v>
          </cell>
          <cell r="H3622" t="str">
            <v>ML</v>
          </cell>
          <cell r="I3622">
            <v>263141</v>
          </cell>
        </row>
        <row r="3623">
          <cell r="F3623">
            <v>9515</v>
          </cell>
          <cell r="G3623" t="str">
            <v>PROYECTO ESPECIFICO PATIO ZONAL ALAMEDA EL JARDIN - TN6-1 MODULO MANTENIMIENTO. TABLERO IP54 USO EXTERIOR, INCLUYE BREAKER TOTALIZADOR, INTERRUPTORES SEGÚN PLANO UNIFILAR, CABLEADO DE POTENCIA, CERTIFICADO RETIE. SUMINISTRO E INSTALACIÓN</v>
          </cell>
          <cell r="H3623" t="str">
            <v>UN</v>
          </cell>
          <cell r="I3623">
            <v>5626841</v>
          </cell>
        </row>
        <row r="3624">
          <cell r="F3624">
            <v>9516</v>
          </cell>
          <cell r="G3624" t="str">
            <v>PROYECTO ESPECIFICO PATIO ZONAL ALAMEDA EL JARDIN - TN3-1 MODULO PINTURA. TABLERO IP54 USO EXTERIOR, INCLUYE BREAKER TOTALIZADOR, INTERRUPTORES SEGÚN PLANO UNIFILAR, CABLEADO DE POTENCIA, CERTIFICADO RETIE. SUMINISTRO E INSTALACIÓN.</v>
          </cell>
          <cell r="H3624" t="str">
            <v>UN</v>
          </cell>
          <cell r="I3624">
            <v>4734341</v>
          </cell>
        </row>
        <row r="3625">
          <cell r="F3625">
            <v>9517</v>
          </cell>
          <cell r="G3625" t="str">
            <v>PROYECTO ESPECIFICO PATIO ZONAL ALAMEDA EL JARDIN - TN3-1 MODULO LAVADO. TABLERO IP54 USO EXTERIOR, INCLUYE BREAKER TOTALIZADOR, INTERRUPTORES SEGÚN PLANO UNIFILAR, CABLEADO DE POTENCIA, CERTIFICADO RETIE. SUMINISTRO E INSTALACIÓN</v>
          </cell>
          <cell r="H3625" t="str">
            <v>UN</v>
          </cell>
          <cell r="I3625">
            <v>4508241</v>
          </cell>
        </row>
        <row r="3626">
          <cell r="F3626">
            <v>9518</v>
          </cell>
          <cell r="G3626" t="str">
            <v xml:space="preserve">PROYECTO ESPECIFICO PATIO ZONAL ALAMEDA EL JARDIN - SIFON PVC 135° D=3". SUMINISTRO E INSTALACIÓN </v>
          </cell>
          <cell r="H3626" t="str">
            <v>UN</v>
          </cell>
          <cell r="I3626">
            <v>21952</v>
          </cell>
        </row>
        <row r="3627">
          <cell r="F3627">
            <v>9520</v>
          </cell>
          <cell r="G3627" t="str">
            <v>PROYECTO ESPECIFICO PATIO ZONAL ALAMEDA EL JARDIN: TRAMPA DE GRASAS DE 95 LT. (Incluye Suministro e Instalación)</v>
          </cell>
          <cell r="H3627" t="str">
            <v>UN</v>
          </cell>
          <cell r="I3627">
            <v>292745</v>
          </cell>
        </row>
        <row r="3628">
          <cell r="F3628">
            <v>9521</v>
          </cell>
          <cell r="G3628" t="str">
            <v>PROYECTO ESPECIFICO PATIO ZONAL ALAMEDA EL JARDIN: ENDURECEDOR DE  PISO A  BASE DE  CUARZO  (Incluye Suministro e Instalación)</v>
          </cell>
          <cell r="H3628" t="str">
            <v>M2</v>
          </cell>
          <cell r="I3628">
            <v>17267</v>
          </cell>
        </row>
        <row r="3629">
          <cell r="F3629">
            <v>9522</v>
          </cell>
          <cell r="G3629" t="str">
            <v>PROYECTO ESPECIFICO PATIO ZONAL ALAMEDA EL JARDIN: 	DIVISIONES CANTILIVER ANCLADAS A MURO Y PUERTAS SANITARIOS EN ACERO INOXIDABLE, LÍNEA INSTITUCIONAL. (PUERTAS INCLUYEN CERRADO Y GANCHO ROPA). Suministro e instalación</v>
          </cell>
          <cell r="H3629" t="str">
            <v>M2</v>
          </cell>
          <cell r="I3629">
            <v>541218</v>
          </cell>
        </row>
        <row r="3630">
          <cell r="F3630">
            <v>9524</v>
          </cell>
          <cell r="G3630" t="str">
            <v xml:space="preserve">PROYECTO ESPECIFICO PATIO ZONAL ALAMEDA EL JARDIN: 	MACROMEDIDOR PARA AGUA POTABLE DE 2". TIPO HELICE WOLTMANN, DIÁMETRO DE 2". Suministro e instalación </v>
          </cell>
          <cell r="H3630" t="str">
            <v>UN</v>
          </cell>
          <cell r="I3630">
            <v>1906830</v>
          </cell>
        </row>
        <row r="3631">
          <cell r="F3631">
            <v>9525</v>
          </cell>
          <cell r="G3631" t="str">
            <v xml:space="preserve">PROYECTO ESPECIFICO PATIO ZONAL ALAMEDA EL JARDIN: 	TANQUE 1000 HI-PRESS 1000 LITROS VERTICAL . Suministro e instalación  </v>
          </cell>
          <cell r="H3631" t="str">
            <v>UN</v>
          </cell>
          <cell r="I3631">
            <v>4673626</v>
          </cell>
        </row>
        <row r="3632">
          <cell r="F3632">
            <v>9526</v>
          </cell>
          <cell r="G3632" t="str">
            <v xml:space="preserve">PROYECTO ESPECIFICO PATIO ZONAL ALAMEDA EL JARDIN: 	JUEGO DE PRE MOLDEADOS TIPO EXTERIOR PARA CABLE XLPE 15KVA PARA CALIBRES ENTRE 2-4-0. Suministro e instalación  </v>
          </cell>
          <cell r="H3632" t="str">
            <v>UN</v>
          </cell>
          <cell r="I3632">
            <v>318184</v>
          </cell>
        </row>
        <row r="3633">
          <cell r="F3633">
            <v>9527</v>
          </cell>
          <cell r="G3633" t="str">
            <v xml:space="preserve">PROYECTO ESPECIFICO PATIO ZONAL ALAMEDA EL JARDIN: 	PLANTA ELÉCTRICA DE 300 KVA. VOLTAJE 220V. Suministro e instalación  </v>
          </cell>
          <cell r="H3633" t="str">
            <v>UN</v>
          </cell>
          <cell r="I3633">
            <v>133023219</v>
          </cell>
        </row>
        <row r="3634">
          <cell r="F3634">
            <v>9528</v>
          </cell>
          <cell r="G3634" t="str">
            <v>PROYECTO ESPECIFICO PATIO ZONAL ALAMEDA EL JARDIN: BORDILLO ANTEPECHO POLIMERO TIPO B PARA VENTANAS, EN CONCRETO 0.40 x 0.25 MTS. (ALIGERADO). (SUMINSTRO E INSTALACION)</v>
          </cell>
          <cell r="H3634" t="str">
            <v>ML</v>
          </cell>
          <cell r="I3634">
            <v>30021</v>
          </cell>
        </row>
        <row r="3635">
          <cell r="F3635">
            <v>9529</v>
          </cell>
          <cell r="G3635" t="str">
            <v>PROYECTO ESPECIFICO PATIO ZONAL ALAMEDA EL JARDIN: LAMPARA FLUORESCENTE COMPACTO - EXTERIORES (Suministro e instalación)</v>
          </cell>
          <cell r="H3635" t="str">
            <v>UN</v>
          </cell>
          <cell r="I3635">
            <v>41172</v>
          </cell>
        </row>
        <row r="3636">
          <cell r="F3636">
            <v>9530</v>
          </cell>
          <cell r="G3636" t="str">
            <v>PROYECTO ESPECIFICO PATIO ZONAL ALAMEDA EL JARDIN: SENSOR DE MOVIMIENTO 360° PARA LUMINARIA - FOTOCONTROL (Incluye Suministro e Instalación).</v>
          </cell>
          <cell r="H3636" t="str">
            <v>UN</v>
          </cell>
          <cell r="I3636">
            <v>49166</v>
          </cell>
        </row>
        <row r="3637">
          <cell r="F3637">
            <v>9531</v>
          </cell>
          <cell r="G3637" t="str">
            <v>PROYECTO ESPECIFICO PATIO ZONAL ALAMEDA EL JARDIN: LAMPARA HALOGENA DE INCRUSTAR EN PISO (Suministro e instalación)</v>
          </cell>
          <cell r="H3637" t="str">
            <v>UN</v>
          </cell>
          <cell r="I3637">
            <v>116375</v>
          </cell>
        </row>
        <row r="3638">
          <cell r="F3638">
            <v>9532</v>
          </cell>
          <cell r="G3638" t="str">
            <v>PROYECTO ESPECIFICO PATIO ZONAL ALAMEDA EL JARDIN: CONCRETO TREMIE 4000 PSI (28 Mpa) PARA PANTALLAS (INCLUYE SUMINISTRO E INSTALACIÓN. NO INCLUYE REFUERZO)</v>
          </cell>
          <cell r="H3638" t="str">
            <v>M3</v>
          </cell>
          <cell r="I3638">
            <v>606436</v>
          </cell>
        </row>
        <row r="3639">
          <cell r="F3639">
            <v>9533</v>
          </cell>
          <cell r="G3639" t="str">
            <v>PROYECTO ESPECIFICO PATIO ZONAL ALAMEDA EL JARDIN: CONCRETO PULIDO SIN ACABADO (INCLUYE SUMINISTRO E INSTALACIÓN)</v>
          </cell>
          <cell r="H3639" t="str">
            <v>M2</v>
          </cell>
          <cell r="I3639">
            <v>463550</v>
          </cell>
        </row>
        <row r="3640">
          <cell r="F3640">
            <v>9534</v>
          </cell>
          <cell r="G3640" t="str">
            <v>PROYECTO ESPECIFICO PATIO ZONAL ALAMEDA EL JARDIN: ESCALERA MACIZA A LA VISTA EN CONCRETO COLOR GRIS F ́C 5000 PSI, (CONSTRUCCION: INCLUYE AUTOBOMBA, CONCRETO DE 5000 PSI, CAMILLA DE MADERA NUEVA, DESMOLDANTE EN POLVO, MANO DE OBRA)</v>
          </cell>
          <cell r="H3640" t="str">
            <v>M3</v>
          </cell>
          <cell r="I3640">
            <v>720688</v>
          </cell>
        </row>
        <row r="3641">
          <cell r="F3641">
            <v>9535</v>
          </cell>
          <cell r="G3641" t="str">
            <v>PROYECTO ESPECIFICO PATIO ZONAL ALAMEDA EL JARDIN: CONCRETO IMPERMEABILIZADO SUPERESTRUCTURA DE 5000 PSI PREMEZCLADO, GRAVA COMÚN (INCLUYE SUMINISTRO, BOMBEO, FORMALETEO, COLOCACIÓN, CURADO Y JUNTAS. NO INCL. REFUERZO).</v>
          </cell>
          <cell r="H3641" t="str">
            <v>M3</v>
          </cell>
          <cell r="I3641">
            <v>898379</v>
          </cell>
        </row>
        <row r="3642">
          <cell r="F3642">
            <v>9536</v>
          </cell>
          <cell r="G3642" t="str">
            <v>PROYECTO ESPECIFICO PATIO ZONAL ALAMEDA EL JARDIN: SALIDA BIFÁSICA PARA SECADOR DE MANOS EN TUBERÍA CONDUIT EMT Y/O PVC DE 3/4" (SUMINISTRO E INSTALACIÓN)</v>
          </cell>
          <cell r="H3642" t="str">
            <v>UN</v>
          </cell>
          <cell r="I3642">
            <v>454621</v>
          </cell>
        </row>
        <row r="3643">
          <cell r="F3643">
            <v>9537</v>
          </cell>
          <cell r="G3643" t="str">
            <v>PROYECTO ESPECIFICO PATIO ZONAL ALAMEDA EL JARDIN: BREAKER INDUSTRIAL TOTALIZADOR 3X30A (SUMINSTRO E INSTALACION)</v>
          </cell>
          <cell r="H3643" t="str">
            <v>UN</v>
          </cell>
          <cell r="I3643">
            <v>140149</v>
          </cell>
        </row>
        <row r="3644">
          <cell r="F3644">
            <v>9538</v>
          </cell>
          <cell r="G3644" t="str">
            <v>PROYECTO ESPECIFICO PATIO ZONAL ALAMEDA EL JARDIN: BREAKER INDUSTRIAL TOTALIZADOR 3X40A (SUMINSTRO E INSTALACION)</v>
          </cell>
          <cell r="H3644" t="str">
            <v>UN</v>
          </cell>
          <cell r="I3644">
            <v>140145</v>
          </cell>
        </row>
        <row r="3645">
          <cell r="F3645">
            <v>9539</v>
          </cell>
          <cell r="G3645" t="str">
            <v>PROYECTO ESPECIFICO PATIO ZONAL ALAMEDA EL JARDIN: BREAKER INDUSTRIAL TOTALIZADOR 3X20A (SUMINSTRO E INSTALACION)</v>
          </cell>
          <cell r="H3645" t="str">
            <v>UN</v>
          </cell>
          <cell r="I3645">
            <v>138265</v>
          </cell>
        </row>
        <row r="3646">
          <cell r="F3646">
            <v>9540</v>
          </cell>
          <cell r="G3646" t="str">
            <v>PROYECTO ESPECIFICO PATIO ZONAL ALAMEDA EL JARDIN: BREAKER INDUSTRIAL TOTALIZADOR 3X50A, 3X60A y 3X80A (SUMINSTRO E INSTALACION)</v>
          </cell>
          <cell r="H3646" t="str">
            <v>UN</v>
          </cell>
          <cell r="I3646">
            <v>206339</v>
          </cell>
        </row>
        <row r="3647">
          <cell r="F3647">
            <v>9541</v>
          </cell>
          <cell r="G3647" t="str">
            <v>PROYECTO ESPECIFICO PATIO ZONAL ALAMEDA EL JARDIN: TABLERO BOMBAS DE ACUERDO A DIAGRAMA UNIFILAR (SUMINISTRO E INSTALACION)</v>
          </cell>
          <cell r="H3647" t="str">
            <v>UN</v>
          </cell>
          <cell r="I3647">
            <v>643792</v>
          </cell>
        </row>
        <row r="3648">
          <cell r="F3648">
            <v>9542</v>
          </cell>
          <cell r="G3648" t="str">
            <v>PROYECTO ESPECIFICO PATIO ZONAL ALAMEDA EL JARDIN: SALIDA PARA INTERRUPTOR CONMUTABLE (SUMINISTRO E INSTALACION)</v>
          </cell>
          <cell r="H3648" t="str">
            <v>UN</v>
          </cell>
          <cell r="I3648">
            <v>204415</v>
          </cell>
        </row>
        <row r="3649">
          <cell r="F3649">
            <v>9543</v>
          </cell>
          <cell r="G3649" t="str">
            <v>PROYECTO ESPECIFICO PATIO ZONAL ALAMEDA EL JARDIN: BREAKER TIPO ENCHUFABLE 1X20A (SUMINSTRO E INSTALACION)</v>
          </cell>
          <cell r="H3649" t="str">
            <v>UN</v>
          </cell>
          <cell r="I3649">
            <v>17428</v>
          </cell>
        </row>
        <row r="3650">
          <cell r="F3650">
            <v>9545</v>
          </cell>
          <cell r="G3650" t="str">
            <v>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v>
          </cell>
          <cell r="H3650" t="str">
            <v>ML</v>
          </cell>
          <cell r="I3650">
            <v>286100</v>
          </cell>
        </row>
        <row r="3651">
          <cell r="F3651">
            <v>9547</v>
          </cell>
          <cell r="G3651" t="str">
            <v>ESTUDIOS Y DISEÑOS PARA SITIOS INESTABLES EN BOGOTÁ D.C - SUBMURACIÓN EN CONCRETO POBRE F'C =14 MPA. INCLUYE SUMINISTRO Y COLOCACIÓN</v>
          </cell>
          <cell r="H3651" t="str">
            <v>M3</v>
          </cell>
          <cell r="I3651">
            <v>584390</v>
          </cell>
        </row>
        <row r="3652">
          <cell r="F3652">
            <v>9548</v>
          </cell>
          <cell r="G3652" t="str">
            <v>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v>
          </cell>
          <cell r="H3652" t="str">
            <v>ML</v>
          </cell>
          <cell r="I3652">
            <v>678479</v>
          </cell>
        </row>
        <row r="3653">
          <cell r="F3653">
            <v>9549</v>
          </cell>
          <cell r="G3653" t="str">
            <v>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v>
          </cell>
          <cell r="H3653" t="str">
            <v>ML</v>
          </cell>
          <cell r="I3653">
            <v>881174</v>
          </cell>
        </row>
        <row r="3654">
          <cell r="F3654">
            <v>9550</v>
          </cell>
          <cell r="G3654" t="str">
            <v>ESTUDIOS Y DISEÑOS PARA SITIOS INESTABLES EN BOGOTÁ D.C - CABEZALES PARA TENSIONAMIENTO DE ANCLAJES EN CONCRETO F'C=28MPA. (INCLUYE ACERO DE REFUERZO)</v>
          </cell>
          <cell r="H3654" t="str">
            <v>M3</v>
          </cell>
          <cell r="I3654">
            <v>913497</v>
          </cell>
        </row>
        <row r="3655">
          <cell r="F3655">
            <v>9551</v>
          </cell>
          <cell r="G3655" t="str">
            <v>ESTUDIOS Y DISEÑOS PARA SITIOS INESTABLES EN BOGOTÁ D.C - ANCLAJE FLEXIBLE DE CABLE ESPIRAL Ø=10.5MM . INCLUYE PERFORACIÓN Y DADO EN CONCRETO PARA PROTECCIÓN</v>
          </cell>
          <cell r="H3655" t="str">
            <v>ML</v>
          </cell>
          <cell r="I3655">
            <v>43118</v>
          </cell>
        </row>
        <row r="3656">
          <cell r="F3656">
            <v>9552</v>
          </cell>
          <cell r="G3656" t="str">
            <v>ESTUDIOS Y DISEÑOS PARA SITIOS INESTABLES EN BOGOTÁ D.C - PLATINA DE ACERO LAMINADO A36 PARA APLICACIONES ESTRUCTUDARES. DIMENSIONES 0.3M*0.3M E=25MM</v>
          </cell>
          <cell r="H3656" t="str">
            <v>UN</v>
          </cell>
          <cell r="I3656">
            <v>107941</v>
          </cell>
        </row>
        <row r="3657">
          <cell r="F3657">
            <v>9553</v>
          </cell>
          <cell r="G3657" t="str">
            <v>ESTUDIOS Y DISEÑOS PARA SITIOS INESTABLES EN BOGOTÁ D.C - CABLE ACERADO Ø=10,0MM, INCLUYE PLATINA, GRAPAS Y ANCLAJE EXPANSIVO DE SUJECIÓN</v>
          </cell>
          <cell r="H3657" t="str">
            <v>ML</v>
          </cell>
          <cell r="I3657">
            <v>25676</v>
          </cell>
        </row>
        <row r="3658">
          <cell r="F3658">
            <v>9554</v>
          </cell>
          <cell r="G3658" t="str">
            <v>ESTUDIOS Y DISEÑOS PARA SITIOS INESTABLES EN BOGOTÁ D.C - TRANSPORTE DE MATERIALES PÉTREOS A LA REGIÓN DE SUMAPAZ</v>
          </cell>
          <cell r="H3658" t="str">
            <v>M3-KM</v>
          </cell>
          <cell r="I3658">
            <v>1449</v>
          </cell>
        </row>
        <row r="3659">
          <cell r="F3659">
            <v>9555</v>
          </cell>
          <cell r="G3659" t="str">
            <v>ESTUDIOS Y DISEÑOS PARA SITIOS INESTABLES EN BOGOTÁ D.C. CAISSON ØINT= 0,90 M CON ANILLOS E=12CM EN CONCRETO DE F'C=21MPA. INCLUYE EXCAVACIÓN. NO INCLUYE ACERO DE REFUERZO</v>
          </cell>
          <cell r="H3659" t="str">
            <v>ML</v>
          </cell>
          <cell r="I3659">
            <v>1345527</v>
          </cell>
        </row>
        <row r="3660">
          <cell r="F3660">
            <v>9556</v>
          </cell>
          <cell r="G3660" t="str">
            <v>ESTUDIOS Y DISEÑOS PARA SITIOS INESTABLES EN BOGOTÁ D.C. CAISSON ØINT= 1,00 M CON ANILLOS E=12CM EN CONCRETO DE F'C=21MPA. INCLUYE EXCAVACIÓN. NO INCLUYE ACERO DE REFUERZO</v>
          </cell>
          <cell r="H3660" t="str">
            <v>ML</v>
          </cell>
          <cell r="I3660">
            <v>1545858</v>
          </cell>
        </row>
        <row r="3661">
          <cell r="F3661">
            <v>9557</v>
          </cell>
          <cell r="G3661" t="str">
            <v>ESTUDIOS Y DISEÑOS PARA SITIOS INESTABLES EN BOGOTÁ D.C. CAISSON ØINT= 1,10 M CON ANILLOS E=12CM EN CONCRETO DE F'C=21MPA. INCLUYE EXCAVACIÓN. NO INCLUYE ACERO DE REFUERZO</v>
          </cell>
          <cell r="H3661" t="str">
            <v>ML</v>
          </cell>
          <cell r="I3661">
            <v>1760156</v>
          </cell>
        </row>
        <row r="3662">
          <cell r="F3662">
            <v>9558</v>
          </cell>
          <cell r="G3662" t="str">
            <v>ESTUDIOS Y DISEÑOS PARA SITIOS INESTABLES EN BOGOTÁ D.C. CAISSON ØINT= 1,20M CON ANILLOS E=12CM EN CONCRETO DE F'C=21MPA. INCLUYE EXCAVACIÓN. NO INCLUYE ACERO DE REFUERZO</v>
          </cell>
          <cell r="H3662" t="str">
            <v>ML</v>
          </cell>
          <cell r="I3662">
            <v>1837374</v>
          </cell>
        </row>
        <row r="3663">
          <cell r="F3663">
            <v>9559</v>
          </cell>
          <cell r="G3663" t="str">
            <v>ESTUDIOS Y DISEÑOS PARA SITIOS INESTABLES EN BOGOTÁ D.C. CAISSON ØINT= 0.80 M CON ANILLOS E=10CM EN CONCRETO DE F'C=21MPA. INCLUYE EXCAVACIÓN  Y RETIRO. NO INCLUYE ACERO DE REFUERZO</v>
          </cell>
          <cell r="H3663" t="str">
            <v>ML</v>
          </cell>
          <cell r="I3663">
            <v>1167293</v>
          </cell>
        </row>
        <row r="3664">
          <cell r="F3664">
            <v>9560</v>
          </cell>
          <cell r="G3664" t="str">
            <v>ESTUDIOS Y DISEÑOS PARA SITIOS INESTABLES EN BOGOTÁ D.C. - DESARME DE GAVIONES. NO INCLUYE RETIRO Y DISPOSICIÓN FINAL DE ESCOMBROS</v>
          </cell>
          <cell r="H3664" t="str">
            <v>M3</v>
          </cell>
          <cell r="I3664">
            <v>16619</v>
          </cell>
        </row>
        <row r="3665">
          <cell r="F3665">
            <v>9562</v>
          </cell>
          <cell r="G3665" t="str">
            <v>EJECUCIÓN DE OBRAS Y ACTIVIDADES COMPLEMENTARIAS PARA EL REFORZAMIENTO ESTRUCTURAL DE PUENTES VEHICULARES EN BOGOTÁ D.C. GRUPO 3, POLIETILENO (MATERIAL ORIGINAL CAL 6). (INCLUYE SUMINISTRO E INSTALACIÓN).</v>
          </cell>
          <cell r="H3665" t="str">
            <v>M2</v>
          </cell>
          <cell r="I3665">
            <v>1857</v>
          </cell>
        </row>
        <row r="3666">
          <cell r="F3666">
            <v>9563</v>
          </cell>
          <cell r="G3666" t="str">
            <v>RETIRO DE TUBERIA DE CONCRETO Diámetro = 1,40m  (Incluye cargue, retiro de material, transporte y disposición final de escombros en sitio autorizado).</v>
          </cell>
          <cell r="H3666" t="str">
            <v>ML</v>
          </cell>
          <cell r="I3666">
            <v>137857</v>
          </cell>
        </row>
        <row r="3667">
          <cell r="F3667">
            <v>9565</v>
          </cell>
          <cell r="G3667"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H3667" t="str">
            <v>UN</v>
          </cell>
          <cell r="I3667">
            <v>21411609</v>
          </cell>
        </row>
        <row r="3668">
          <cell r="F3668">
            <v>9566</v>
          </cell>
          <cell r="G3668" t="str">
            <v>AVENIDA CONTADOR (CL. 134) - BANCA EN CONCRETO M-01-A (SUMINISTRO E INSTALACIÓN)</v>
          </cell>
          <cell r="H3668" t="str">
            <v>UN</v>
          </cell>
          <cell r="I3668">
            <v>1490919</v>
          </cell>
        </row>
        <row r="3669">
          <cell r="F3669">
            <v>9567</v>
          </cell>
          <cell r="G3669" t="str">
            <v>AVENIDA CONTADOR (CL. 134) - Reconstrucción de bordillo Concreto f'c 28MPa incluye tratamiento al acero de refuerzo existente</v>
          </cell>
          <cell r="H3669" t="str">
            <v>M3</v>
          </cell>
          <cell r="I3669">
            <v>765054</v>
          </cell>
        </row>
        <row r="3670">
          <cell r="F3670">
            <v>9568</v>
          </cell>
          <cell r="G3670" t="str">
            <v>AVENIDA CONTADOR (CL. 134) - BOLARDO METALICO M-15-A (SUMINISTRO E INSTALACIÓN. INCLUYE BASE EN CONCRETO 3000 PSI, PREMEZCLADO)</v>
          </cell>
          <cell r="H3670" t="str">
            <v>UN</v>
          </cell>
          <cell r="I3670">
            <v>281825</v>
          </cell>
        </row>
        <row r="3671">
          <cell r="F3671">
            <v>9569</v>
          </cell>
          <cell r="G3671" t="str">
            <v>AVENIDA CONTADOR (CL. 134) - PAPELERA DOBLE EN ACERO M-121 (SUMINISTRO E INSTALACIÓN. INCLUYE BASE EN CONCRETO 3000 PSI, PREMEZCLADO)</v>
          </cell>
          <cell r="H3671" t="str">
            <v>UN</v>
          </cell>
          <cell r="I3671">
            <v>1528785</v>
          </cell>
        </row>
        <row r="3672">
          <cell r="F3672">
            <v>9570</v>
          </cell>
          <cell r="G3672" t="str">
            <v>AVENIDA CONTADOR (CL. 134) - GEOMEMBRANA LISA HDPE 40 MILS. (Incluye suministro e instalacion).</v>
          </cell>
          <cell r="H3672" t="str">
            <v>M2</v>
          </cell>
          <cell r="I3672">
            <v>17914</v>
          </cell>
        </row>
        <row r="3673">
          <cell r="F3673">
            <v>9571</v>
          </cell>
          <cell r="G3673" t="str">
            <v>AVENIDA CONTADOR (CL. 134) - 10 DUCTOS D=4" PVC-TDP (INCLUYE SUMINISTRO E INSTALACIÓN. NO INCLUYE RELLENOS)</v>
          </cell>
          <cell r="H3673" t="str">
            <v>ML</v>
          </cell>
          <cell r="I3673">
            <v>238282</v>
          </cell>
        </row>
        <row r="3674">
          <cell r="F3674">
            <v>9572</v>
          </cell>
          <cell r="G3674" t="str">
            <v>AVENIDA CONTADOR (CL. 134) - Recubrimiento de protección a la corrosión, cementoso, modificado con resina epóxica, de tres componentes, con inhibidor de corrosión y puente de adherencia. Suministro y aplicación</v>
          </cell>
          <cell r="H3674" t="str">
            <v>UN</v>
          </cell>
          <cell r="I3674">
            <v>8831</v>
          </cell>
        </row>
        <row r="3675">
          <cell r="F3675">
            <v>9573</v>
          </cell>
          <cell r="G3675" t="str">
            <v>AVENIDA CONTADOR (CL. 134) - SUMINISTRO E INSTALACIÓN DE BARANDA VEHICULAR. ACERO ESTRUCTURAL A500-GR-C Y A572 GR50</v>
          </cell>
          <cell r="H3675" t="str">
            <v>KG</v>
          </cell>
          <cell r="I3675">
            <v>22250</v>
          </cell>
        </row>
        <row r="3676">
          <cell r="F3676">
            <v>9574</v>
          </cell>
          <cell r="G3676" t="str">
            <v>AVENIDA CONTADOR (CL. 134) - PUENTE DE ADHERENCIA TIPO SIKADUR 32 PRIMER Ó EQUIVALENTE</v>
          </cell>
          <cell r="H3676" t="str">
            <v>M2</v>
          </cell>
          <cell r="I3676">
            <v>111234</v>
          </cell>
        </row>
        <row r="3677">
          <cell r="F3677">
            <v>9575</v>
          </cell>
          <cell r="G3677" t="str">
            <v>AVENIDA CONTADOR (CL. 134) - DESMONTE DE BARANDA VEHICULAR</v>
          </cell>
          <cell r="H3677" t="str">
            <v>ML</v>
          </cell>
          <cell r="I3677">
            <v>17181</v>
          </cell>
        </row>
        <row r="3678">
          <cell r="F3678">
            <v>9576</v>
          </cell>
          <cell r="G3678" t="str">
            <v>AVENIDA CONTADOR (CL. 134) - SANDBLASTING, IMPRIMACIÓN, APLICACIÓN DE RECUBRIMIENTO EPÓXICO Y PINTURA ACRÍLICA</v>
          </cell>
          <cell r="H3678" t="str">
            <v>ML</v>
          </cell>
          <cell r="I3678">
            <v>50480</v>
          </cell>
        </row>
        <row r="3679">
          <cell r="F3679">
            <v>9577</v>
          </cell>
          <cell r="G3679" t="str">
            <v>ESTUDIOS Y DISEÑOS PARA SITIOS INESTABLES EN BOGOTÁ D.C - MATERIAL SELECCIONADO PARA CONFORMACIÓN DE CAPA DE RODADURA EN AFIRMADO. INCLUYE SUMINISTRO, EXTENDIDO, NIVELACIÓN, HUMEDECIMIENTO Y COMPACTACIÓN CON VIBROCOMPACTADOR</v>
          </cell>
          <cell r="H3679" t="str">
            <v>M3</v>
          </cell>
          <cell r="I3679">
            <v>148067</v>
          </cell>
        </row>
        <row r="3680">
          <cell r="F3680">
            <v>9578</v>
          </cell>
          <cell r="G3680" t="str">
            <v>ESTUDIOS Y DISEÑOS PARA SITIOS INESTABLES EN BOGOTÁ D.C - VIGA DE AMARRE EN CONCRETO DE F'C = 21 MPA GRAVA COMÚN (INCLUYE TRANSPORTE DE MATERIAL)</v>
          </cell>
          <cell r="H3680" t="str">
            <v>M3</v>
          </cell>
          <cell r="I3680">
            <v>584673</v>
          </cell>
        </row>
        <row r="3681">
          <cell r="F3681">
            <v>9579</v>
          </cell>
          <cell r="G3681" t="str">
            <v>ESTUDIOS Y DISEÑOS PARA SITIOS INESTABLES EN BOGOTÁ D.C - MANTO PARA CONTROL DE EROSIÓN TERRATRAC TRM15 O EQUIVALENTE (INCLUYE SUMINISTRO E INSTALACIÓN)</v>
          </cell>
          <cell r="H3681" t="str">
            <v>M2</v>
          </cell>
          <cell r="I3681">
            <v>13561</v>
          </cell>
        </row>
        <row r="3682">
          <cell r="F3682">
            <v>9580</v>
          </cell>
          <cell r="G3682" t="str">
            <v>ESTUDIOS Y DISEÑOS PARA SITIOS INESTABLES EN BOGOTÁ D.C - RELLENO CON TRITURADO ENTRE 1" Y 1 1/2" INCLUYE SUMINISTRO, TRANSPORTE, EXTENDIDO MANUAL Y COLOCACIÓN</v>
          </cell>
          <cell r="H3682" t="str">
            <v>M3</v>
          </cell>
          <cell r="I3682">
            <v>138594</v>
          </cell>
        </row>
        <row r="3683">
          <cell r="F3683">
            <v>9581</v>
          </cell>
          <cell r="G3683" t="str">
            <v>ESTUDIOS Y DISEÑOS PARA SITIOS INESTABLES EN BOGOTÁ D.C - GEODREN PLANAR, A= 0,50M PARA MUROS MECANICAMENTE ESTABILIZADA. INCLUYE SUMINISTRO E INSTALACIÓN</v>
          </cell>
          <cell r="H3683" t="str">
            <v>ML</v>
          </cell>
          <cell r="I3683">
            <v>11888</v>
          </cell>
        </row>
        <row r="3684">
          <cell r="F3684">
            <v>9582</v>
          </cell>
          <cell r="G3684" t="str">
            <v>ESTUDIOS Y DISEÑOS PARA SITIOS INESTABLES EN BOGOTÁ D.C - GEODREN PLANAR ANCHO 0,5M DISPUESTO HORIZONTALMENTE EN TRASADOS MURO DE MAPOSTERIA MECANICAMENTE ESTABLIZADO. INCLUYE SUMINISTRO E INSTALACIÓN</v>
          </cell>
          <cell r="H3684" t="str">
            <v>ML</v>
          </cell>
          <cell r="I3684">
            <v>11328</v>
          </cell>
        </row>
        <row r="3685">
          <cell r="F3685">
            <v>9583</v>
          </cell>
          <cell r="G3685" t="str">
            <v>ESTUDIOS Y DISEÑOS PARA SITIOS INESTABLES EN BOGOTÁ D.C - TUBERÍA PVC PARA DRENAJE Ø=2" SIN FILTRO. INCLUYE SUMINISTRO E INSTALACIÓN</v>
          </cell>
          <cell r="H3685" t="str">
            <v>ML</v>
          </cell>
          <cell r="I3685">
            <v>20808</v>
          </cell>
        </row>
        <row r="3686">
          <cell r="F3686">
            <v>9584</v>
          </cell>
          <cell r="G3686" t="str">
            <v>ESTUDIOS Y DISEÑOS PARA SITIOS INESTABLES EN BOGOTÁ D.C - CONSTRUCCIÓN DE CAJA RECOLECTORA DE AGUAS LLUVIAS EN CONCRETO PREMEZCLADO DE 3000 PSI FUNDIDO EN SITIO DE 1MX1MX1.40M. INCLUYE ACERO DE REFUERZO, CONSTRUCCIÓN DE PLACA DE FONDO, MUROS EN CONCRETO IMPERMEABILIZADO Y TAPA</v>
          </cell>
          <cell r="H3686" t="str">
            <v>UN</v>
          </cell>
          <cell r="I3686">
            <v>1151634</v>
          </cell>
        </row>
        <row r="3687">
          <cell r="F3687">
            <v>9585</v>
          </cell>
          <cell r="G3687" t="str">
            <v>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v>
          </cell>
          <cell r="H3687" t="str">
            <v>ML</v>
          </cell>
          <cell r="I3687">
            <v>91361</v>
          </cell>
        </row>
        <row r="3688">
          <cell r="F3688">
            <v>9586</v>
          </cell>
          <cell r="G3688"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v>
          </cell>
          <cell r="H3688" t="str">
            <v>UN</v>
          </cell>
          <cell r="I3688">
            <v>71400000</v>
          </cell>
        </row>
        <row r="3689">
          <cell r="F3689">
            <v>9587</v>
          </cell>
          <cell r="G3689"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H3689" t="str">
            <v>UN</v>
          </cell>
          <cell r="I3689">
            <v>844601</v>
          </cell>
        </row>
        <row r="3690">
          <cell r="F3690">
            <v>9588</v>
          </cell>
          <cell r="G3690"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H3690" t="str">
            <v>UN</v>
          </cell>
          <cell r="I3690">
            <v>403800000</v>
          </cell>
        </row>
        <row r="3691">
          <cell r="F3691">
            <v>9589</v>
          </cell>
          <cell r="G3691" t="str">
            <v>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v>
          </cell>
          <cell r="H3691" t="str">
            <v>GLB</v>
          </cell>
          <cell r="I3691">
            <v>3726067663</v>
          </cell>
        </row>
        <row r="3692">
          <cell r="F3692">
            <v>9590</v>
          </cell>
          <cell r="G3692" t="str">
            <v>LAMINA ALFAJOR (INCLUYE SUMINISTRO E INSTALACIÓN).</v>
          </cell>
          <cell r="H3692" t="str">
            <v>GLB</v>
          </cell>
          <cell r="I3692">
            <v>25121</v>
          </cell>
        </row>
        <row r="3693">
          <cell r="F3693">
            <v>9591</v>
          </cell>
          <cell r="G3693"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H3693" t="str">
            <v>M2</v>
          </cell>
          <cell r="I3693">
            <v>637</v>
          </cell>
        </row>
        <row r="3694">
          <cell r="F3694">
            <v>9592</v>
          </cell>
          <cell r="G3694"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H3694" t="str">
            <v>M2</v>
          </cell>
          <cell r="I3694">
            <v>1027</v>
          </cell>
        </row>
        <row r="3695">
          <cell r="F3695">
            <v>9593</v>
          </cell>
          <cell r="G3695" t="str">
            <v>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v>
          </cell>
          <cell r="H3695" t="str">
            <v>UN</v>
          </cell>
          <cell r="I3695">
            <v>7566018</v>
          </cell>
        </row>
        <row r="3696">
          <cell r="F3696">
            <v>9594</v>
          </cell>
          <cell r="G3696" t="str">
            <v>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v>
          </cell>
          <cell r="H3696" t="str">
            <v>UN</v>
          </cell>
          <cell r="I3696">
            <v>4298421</v>
          </cell>
        </row>
        <row r="3697">
          <cell r="F3697">
            <v>9595</v>
          </cell>
          <cell r="G3697" t="str">
            <v>CONSTRUCCIÓN DE LA INTERSECCIÓN A DESNIVEL DE PUENTE ARANDA -CODO WSP D=18" ENTRE 67.5° Y 90° L=0.60m x 0.60m EN ACERO REVEST. INT. Y RECUBR EXT. EN MORTERO DE CEMENTO. SUMIN. E INSTAL. INCL. UNIONES (ESPIGO Y CAMPANA). PRESION DE TRABAJO=350 PSI.</v>
          </cell>
          <cell r="H3697" t="str">
            <v>UN</v>
          </cell>
          <cell r="I3697">
            <v>4551184</v>
          </cell>
        </row>
        <row r="3698">
          <cell r="F3698">
            <v>9596</v>
          </cell>
          <cell r="G3698"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H3698" t="str">
            <v>UN</v>
          </cell>
          <cell r="I3698">
            <v>5999890</v>
          </cell>
        </row>
        <row r="3699">
          <cell r="F3699">
            <v>9597</v>
          </cell>
          <cell r="G3699" t="str">
            <v>CONSTRUCCIÓN DE LA INTERSECCIÓN A DESNIVEL DE PUENTE ARANDA -REDUCCIÓN EN ACERO D=18" A D=12" CON ESPIGO EN D=18" Y CAMPANA EN D=12", CON REVESTIMIENTO INTERIOR Y RECUBIRMIENTO EXTERIOR EN MORTERO DE CEMENTO. L=0,20M. PRESIÓN DE TRABAJO 150 PSI.</v>
          </cell>
          <cell r="H3699" t="str">
            <v>UN</v>
          </cell>
          <cell r="I3699">
            <v>2919932</v>
          </cell>
        </row>
        <row r="3700">
          <cell r="F3700">
            <v>9598</v>
          </cell>
          <cell r="G3700" t="str">
            <v>CONSTRUCCIÓN DE LA INTERSECCIÓN A DESNIVEL DE PUENTE ARANDA - TEE HD EXTREMO JUNTA HIDRÁULICA 12"x8" (Suministro e Instalación)</v>
          </cell>
          <cell r="H3700" t="str">
            <v>UN</v>
          </cell>
          <cell r="I3700">
            <v>3096287</v>
          </cell>
        </row>
        <row r="3701">
          <cell r="F3701">
            <v>9599</v>
          </cell>
          <cell r="G3701" t="str">
            <v>CONSTRUCCIÓN DE LA INTERSECCIÓN A DESNIVEL DE PUENTE ARANDA -REDUCCIÓN EN ACERO D=18" A D=8" CON ESPIGO EN D=18" Y CAMPANA EN D=8", CON REVESTIMIENTO INTERIOR Y RECUBIRMIENTO EXTERIOR EN MORTERO DE CEMENTO. L=0,20M. PRESIÓN DE TRABAJO 150 PSI.</v>
          </cell>
          <cell r="H3701" t="str">
            <v>UN</v>
          </cell>
          <cell r="I3701">
            <v>2730603</v>
          </cell>
        </row>
        <row r="3702">
          <cell r="F3702">
            <v>9600</v>
          </cell>
          <cell r="G3702" t="str">
            <v>CONSTRUCCIÓN DE LA INTERSECCIÓN A DESNIVEL DE PUENTE ARANDA - TEE HD EXTREMO JUNTA HIDRÁULICA 12"x6" (Suministro e Instalación)</v>
          </cell>
          <cell r="H3702" t="str">
            <v>UN</v>
          </cell>
          <cell r="I3702">
            <v>2830897</v>
          </cell>
        </row>
        <row r="3703">
          <cell r="F3703">
            <v>9601</v>
          </cell>
          <cell r="G3703" t="str">
            <v>CONSTRUCCIÓN DE LA INTERSECCIÓN A DESNIVEL DE PUENTE ARANDA -REDUCCIÓN EN ACERO D=20" A D=18" CON ESPIGO EN D=20" Y CAMPANA EN D=18", CON REVESTIMIENTO INTERIOR Y RECUBIRMIENTO EXTERIOR EN MORTERO DE CEMENTO. L=0,20M. PRESIÓN DE TRABAJO 150 PSI.</v>
          </cell>
          <cell r="H3703" t="str">
            <v>UN</v>
          </cell>
          <cell r="I3703">
            <v>2902320</v>
          </cell>
        </row>
        <row r="3704">
          <cell r="F3704">
            <v>9602</v>
          </cell>
          <cell r="G3704" t="str">
            <v>CONSTRUCCIÓN DE LA INTERSECCIÓN A DESNIVEL DE PUENTE ARANDA - TEE HD EXTREMO JUNTA HIDRÁULICA 6"x 6" (Suministro e Instalación)</v>
          </cell>
          <cell r="H3704" t="str">
            <v>UN</v>
          </cell>
          <cell r="I3704">
            <v>711756</v>
          </cell>
        </row>
        <row r="3705">
          <cell r="F3705">
            <v>9603</v>
          </cell>
          <cell r="G3705" t="str">
            <v>CONSTRUCCIÓN DE LA INTERSECCIÓN A DESNIVEL DE PUENTE ARANDA - VÁLVULA TIPO MARIPOSA DE Ø 8" CLASE 150 CON EXTREMOS BRIDADOS (Suministro e Instalación)</v>
          </cell>
          <cell r="H3705" t="str">
            <v>UN</v>
          </cell>
          <cell r="I3705">
            <v>9197046</v>
          </cell>
        </row>
        <row r="3706">
          <cell r="F3706">
            <v>9604</v>
          </cell>
          <cell r="G3706" t="str">
            <v>CONSTRUCCIÓN DE LA INTERSECCIÓN A DESNIVEL DE PUENTE ARANDA - TEE HD EXTREMO JUNTA HIDRÁULICA 8"x 8" (Suministro e Instalación)</v>
          </cell>
          <cell r="H3706" t="str">
            <v>UN</v>
          </cell>
          <cell r="I3706">
            <v>1241306</v>
          </cell>
        </row>
        <row r="3707">
          <cell r="F3707">
            <v>9605</v>
          </cell>
          <cell r="G3707" t="str">
            <v>CONSTRUCCIÓN DE LA INTERSECCIÓN A DESNIVEL DE PUENTE ARANDA -REDUCCIÓN EN ACERO D=24" A D=18" CON ESPIGO EN D=24" Y CAMPANA EN D=18", CON REVESTIMIENTO INTERIOR Y RECUBIRMIENTO EXTERIOR EN MORTERO DE CEMENTO. L=0,20M. PRESIÓN DE TRABAJO 150 PSI.</v>
          </cell>
          <cell r="H3707" t="str">
            <v>UN</v>
          </cell>
          <cell r="I3707">
            <v>3674111</v>
          </cell>
        </row>
        <row r="3708">
          <cell r="F3708">
            <v>9606</v>
          </cell>
          <cell r="G3708" t="str">
            <v>CONSTRUCCIÓN DE LA INTERSECCIÓN A DESNIVEL DE PUENTE ARANDA -NIPLE EN ACERO Ø=27" EXTREMOS BRIDA/CAMPANA, REVESTIMIENTO INTERIOR Y RECUBRIMIENTO EXTERIOR EN MORTERO DE CEMENTO, CON SALIDA TANGENCIAL PARA PURGA 6" L= 2500mm. SUMINISTRO E INSTALACIÓN. PRESIÓN DE TRABAJO 150 PSI.</v>
          </cell>
          <cell r="H3708" t="str">
            <v>UN</v>
          </cell>
          <cell r="I3708">
            <v>9924824</v>
          </cell>
        </row>
        <row r="3709">
          <cell r="F3709">
            <v>9607</v>
          </cell>
          <cell r="G3709" t="str">
            <v>CONSTRUCCIÓN DE LA INTERSECCIÓN A DESNIVEL DE PUENTE ARANDA -NIPLE EN ACERO Ø=36" EXTREMOS ESPIGO/CAMPANA, REVESTIMIENTO INTERIOR Y RECUBRIMIENTO EXTERIOR EN MORTERO DE CEMENTO, CON SALIDA PARA PITOMETRO 2" L= 3000mm. SUMINISTRO E INSTALACIÓN. PRESIÓN DE TRABAJO 150 PSI.</v>
          </cell>
          <cell r="H3709" t="str">
            <v>UN</v>
          </cell>
          <cell r="I3709">
            <v>10679891</v>
          </cell>
        </row>
        <row r="3710">
          <cell r="F3710">
            <v>9608</v>
          </cell>
          <cell r="G3710" t="str">
            <v>CONSTRUCCIÓN DE LA INTERSECCIÓN A DESNIVEL DE PUENTE ARANDA - CÁMARA EN CONCRETO DE 4000 PSI GRAVA COMÚN PREFABRICADO TIPO II. SUMINISTRO E INSTALACIÓN.</v>
          </cell>
          <cell r="H3710" t="str">
            <v>UN</v>
          </cell>
          <cell r="I3710">
            <v>21888081</v>
          </cell>
        </row>
        <row r="3711">
          <cell r="F3711">
            <v>9609</v>
          </cell>
          <cell r="G3711" t="str">
            <v xml:space="preserve"> CONSTRUCCIÓN DE LA INTERSECCIÓN A DESNIVEL DE PUENTE ARANDA -REDUCCIÓN EN ACERO D=36" A D=30" CON ESPIGO EN D=36" Y CAMPANA EN D=30", CON REVESTIMIENTO INTERIOR Y RECUBIRMIENTO EXTERIOR EN MORTERO DE CEMENTO. L=0,20M. PRESIÓN DE TRABAJO 150 PSI.</v>
          </cell>
          <cell r="H3711" t="str">
            <v>UN</v>
          </cell>
          <cell r="I3711">
            <v>5695933</v>
          </cell>
        </row>
        <row r="3712">
          <cell r="F3712">
            <v>9610</v>
          </cell>
          <cell r="G3712" t="str">
            <v xml:space="preserve"> CONSTRUCCIÓN DE LA INTERSECCIÓN A DESNIVEL DE PUENTE ARANDA -CODO 42" WSP ENTRE 5° Y 22.5° WSP ACERO CARBON NORMA AWWA C200 150 PSI, CON RECUBRIMIENTO SEGÚN NORMA AWWA C205, EXTREMO ESPIGO, CAMPANA. (Incluye suministro e instalación)</v>
          </cell>
          <cell r="H3712" t="str">
            <v>UN</v>
          </cell>
          <cell r="I3712">
            <v>7264353</v>
          </cell>
        </row>
        <row r="3713">
          <cell r="F3713">
            <v>9611</v>
          </cell>
          <cell r="G3713" t="str">
            <v>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H3713" t="str">
            <v>ML</v>
          </cell>
          <cell r="I3713">
            <v>4971369</v>
          </cell>
        </row>
        <row r="3714">
          <cell r="F3714">
            <v>9612</v>
          </cell>
          <cell r="G3714" t="str">
            <v xml:space="preserve"> CONSTRUCCIÓN DE LA INTERSECCIÓN A DESNIVEL DE PUENTE ARANDA -UNIÓN DE DESMONTAJE RÍGIDA D=36" CLASE 150 (Suministro e instalación)</v>
          </cell>
          <cell r="H3714" t="str">
            <v>UN</v>
          </cell>
          <cell r="I3714">
            <v>12241112</v>
          </cell>
        </row>
        <row r="3715">
          <cell r="F3715">
            <v>9613</v>
          </cell>
          <cell r="G3715" t="str">
            <v>CONSTRUCCIÓN DE LA INTERSECCIÓN A DESNIVEL DE PUENTE ARANDA - VÁLVULA TIPO MARIPOSA DE Ø 4" CLASE 150 CON EXTREMOS BRIDADOS (Suministro e Instalación)</v>
          </cell>
          <cell r="H3715" t="str">
            <v>UN</v>
          </cell>
          <cell r="I3715">
            <v>329863</v>
          </cell>
        </row>
        <row r="3716">
          <cell r="F3716">
            <v>9614</v>
          </cell>
          <cell r="G3716" t="str">
            <v xml:space="preserve"> CONSTRUCCIÓN DE LA INTERSECCIÓN A DESNIVEL DE PUENTE ARANDA -VÁLVULA TIPO MARIPOSA DE Ø 36", ASTM A536, CL 150 #, CON EXTREMOS BRIDADOS ANSI/ASME B16.47 (Suministro e instalación)</v>
          </cell>
          <cell r="H3716" t="str">
            <v>UN</v>
          </cell>
          <cell r="I3716">
            <v>53617612</v>
          </cell>
        </row>
        <row r="3717">
          <cell r="F3717">
            <v>9615</v>
          </cell>
          <cell r="G3717" t="str">
            <v>CONSTRUCCIÓN DE LA INTERSECCIÓN A DESNIVEL DE PUENTE ARANDA - VÁLVULA TIPO MARIPOSA DE Ø 6" CLASE 150 CON EXTREMOS BRIDADOS (Suministro e Instalación)</v>
          </cell>
          <cell r="H3717" t="str">
            <v>UN</v>
          </cell>
          <cell r="I3717">
            <v>522266</v>
          </cell>
        </row>
        <row r="3718">
          <cell r="F3718">
            <v>9616</v>
          </cell>
          <cell r="G3718" t="str">
            <v>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v>
          </cell>
          <cell r="H3718" t="str">
            <v>UN</v>
          </cell>
          <cell r="I3718">
            <v>8276435</v>
          </cell>
        </row>
        <row r="3719">
          <cell r="F3719">
            <v>9617</v>
          </cell>
          <cell r="G3719" t="str">
            <v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v>
          </cell>
          <cell r="H3719" t="str">
            <v>UN</v>
          </cell>
          <cell r="I3719">
            <v>461015</v>
          </cell>
        </row>
        <row r="3720">
          <cell r="F3720">
            <v>9618</v>
          </cell>
          <cell r="G3720" t="str">
            <v>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v>
          </cell>
          <cell r="H3720" t="str">
            <v>UN</v>
          </cell>
          <cell r="I3720">
            <v>5442430</v>
          </cell>
        </row>
        <row r="3721">
          <cell r="F3721">
            <v>9619</v>
          </cell>
          <cell r="G3721" t="str">
            <v>CONSTRUCCIÓN DE LA INTERSECCIÓN A DESNIVEL DE PUENTE ARANDA - CODO HD 22.5° EXTREMO JUNTA HIDRÁULICA PARA PVC D= 6" (Suministro e Instalación)</v>
          </cell>
          <cell r="H3721" t="str">
            <v>UN</v>
          </cell>
          <cell r="I3721">
            <v>465406</v>
          </cell>
        </row>
        <row r="3722">
          <cell r="F3722">
            <v>9620</v>
          </cell>
          <cell r="G3722" t="str">
            <v xml:space="preserve"> CONSTRUCCIÓN DE LA INTERSECCIÓN A DESNIVEL DE PUENTE ARANDA -ACOMETIDA DOMICILIARIA PARA TUB. P/PAL EN 6" a medidor en 3/4". SUMINISTRO E INSTALACIÓN. (INCLUYE TUBERIA PF D=3/4", CAJILLA EN POLIPROPILENO, REGISTROS Y ACCESORIOS, LOG. PROM. = 6.50m).</v>
          </cell>
          <cell r="H3722" t="str">
            <v>UN</v>
          </cell>
          <cell r="I3722">
            <v>511111</v>
          </cell>
        </row>
        <row r="3723">
          <cell r="F3723">
            <v>9621</v>
          </cell>
          <cell r="G3723" t="str">
            <v>CONSTRUCCIÓN DE LA INTERSECCIÓN A DESNIVEL DE PUENTE ARANDA -  TEE HD EXTREMO JUNTA HIDRÁULICA 6"x 4" (Suministro e Instalación)</v>
          </cell>
          <cell r="H3723" t="str">
            <v>UN</v>
          </cell>
          <cell r="I3723">
            <v>570146</v>
          </cell>
        </row>
        <row r="3724">
          <cell r="F3724">
            <v>9622</v>
          </cell>
          <cell r="G3724" t="str">
            <v>CONSTRUCCIÓN DE LA INTERSECCIÓN A DESNIVEL DE PUENTE ARANDA - UNION PVC U.M. EXT CORRUGADO/INT LISO U.M. NORMA NTC 3722-1 D=160MM (6") (Suministro e Instalación)</v>
          </cell>
          <cell r="H3724" t="str">
            <v>ML</v>
          </cell>
          <cell r="I3724">
            <v>49706</v>
          </cell>
        </row>
        <row r="3725">
          <cell r="F3725">
            <v>9623</v>
          </cell>
          <cell r="G3725" t="str">
            <v>CONSTRUCCIÓN DE LA INTERSECCIÓN A DESNIVEL DE PUENTE ARANDA -  TEE HD EXTREMO JUNTA HIDRÁULICA 12" x 4" (Suministro e Instalación)</v>
          </cell>
          <cell r="H3725" t="str">
            <v>UN</v>
          </cell>
          <cell r="I3725">
            <v>2743830</v>
          </cell>
        </row>
        <row r="3726">
          <cell r="F3726">
            <v>9624</v>
          </cell>
          <cell r="G3726" t="str">
            <v>CONSTRUCCIÓN DE LA INTERSECCIÓN A DESNIVEL DE PUENTE ARANDA - REDUCCION  EN ACERO 27° A 24° EN CCP. (Incluye espigo Ø=27" y campana Ø=24", revestida interior y exteriormente con mortero de cemento. L=0.35m. Presión de trabajo=150 psi).</v>
          </cell>
          <cell r="H3726" t="str">
            <v>UN</v>
          </cell>
          <cell r="I3726">
            <v>3887596</v>
          </cell>
        </row>
        <row r="3727">
          <cell r="F3727">
            <v>9625</v>
          </cell>
          <cell r="G3727" t="str">
            <v>CONSTRUCCIÓN DE LA INTERSECCIÓN A DESNIVEL DE PUENTE ARANDA - REDUCCIÓN  EN ACERO 45° x 42° CON ESPIGO Ø=45" Y CAMPANA Ø=42", revestida interior y exteriormente con mortero de cemento. L=0.35m. Presión de trabajo=150 psi) SUMINISTRO E INSTALACIÓN</v>
          </cell>
          <cell r="H3727" t="str">
            <v>UN</v>
          </cell>
          <cell r="I3727">
            <v>7132823</v>
          </cell>
        </row>
        <row r="3728">
          <cell r="F3728">
            <v>9626</v>
          </cell>
          <cell r="G3728" t="str">
            <v>CONSTRUCCIÓN DE LA INTERSECCIÓN A DESNIVEL DE PUENTE ARANDA - CODO HD 22.5° EXTREMO JUNTA HIDRÁULICA PARA PVC D= 8" (Suministro e Instalación)</v>
          </cell>
          <cell r="H3728" t="str">
            <v>UN</v>
          </cell>
          <cell r="I3728">
            <v>721358</v>
          </cell>
        </row>
        <row r="3729">
          <cell r="F3729">
            <v>9627</v>
          </cell>
          <cell r="G3729" t="str">
            <v>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v>
          </cell>
          <cell r="H3729" t="str">
            <v>UN</v>
          </cell>
          <cell r="I3729">
            <v>12018998</v>
          </cell>
        </row>
        <row r="3730">
          <cell r="F3730">
            <v>9628</v>
          </cell>
          <cell r="G3730" t="str">
            <v>CONSTRUCCIÓN DE LA INTERSECCIÓN A DESNIVEL DE PUENTE ARANDA - TAPON HD EXTREMO JUNTA HIDRÁULICA D=4"  (Suministro e Instalación)</v>
          </cell>
          <cell r="H3730" t="str">
            <v>UN</v>
          </cell>
          <cell r="I3730">
            <v>218915</v>
          </cell>
        </row>
        <row r="3731">
          <cell r="F3731">
            <v>9629</v>
          </cell>
          <cell r="G3731" t="str">
            <v>CONSTRUCCIÓN DE LA INTERSECCIÓN A DESNIVEL DE PUENTE ARANDA - CODO HD 45° EXTREMO JUNTA HIDRÁULICA PARA PVC D= 8" (Suministro e Instalación)</v>
          </cell>
          <cell r="H3731" t="str">
            <v>UN</v>
          </cell>
          <cell r="I3731">
            <v>924848</v>
          </cell>
        </row>
        <row r="3732">
          <cell r="F3732">
            <v>9630</v>
          </cell>
          <cell r="G3732" t="str">
            <v>CONSTRUCCIÓN DE LA INTERSECCIÓN A DESNIVEL DE PUENTE ARANDA - TUBO EN ACERO Ø 20" CON UNIONES ESPIGO/CAMPANA CON EMPAQUE DE CAUCHO. REVEST.INTERIOR Y RECUBR EXT. EN MORTERO CEMENTO. L= 6.00m PRESIÓN TRABAJO 150 PSI. NORMA AWWA C200 A PARTIR DE LÁMINA ASTM A 36</v>
          </cell>
          <cell r="H3732" t="str">
            <v>ML</v>
          </cell>
          <cell r="I3732">
            <v>1012635</v>
          </cell>
        </row>
        <row r="3733">
          <cell r="F3733">
            <v>9631</v>
          </cell>
          <cell r="G3733" t="str">
            <v>CONSTRUCCIÓN DE LA INTERSECCIÓN A DESNIVEL DE PUENTE ARANDA - TEE HD EXTREMO JUNTA HIDRÁULICA 4"x 4" (Suministro e Instalación)</v>
          </cell>
          <cell r="H3733" t="str">
            <v>UN</v>
          </cell>
          <cell r="I3733">
            <v>420206</v>
          </cell>
        </row>
        <row r="3734">
          <cell r="F3734">
            <v>9632</v>
          </cell>
          <cell r="G3734" t="str">
            <v>CONSTRUCCIÓN DE LA INTERSECCIÓN A DESNIVEL DE PUENTE ARANDA - TAPON HD EXTREMO JUNTA HIDRÁULICA D=6"  (Suministro e Instalación)</v>
          </cell>
          <cell r="H3734" t="str">
            <v>UN</v>
          </cell>
          <cell r="I3734">
            <v>448585</v>
          </cell>
        </row>
        <row r="3735">
          <cell r="F3735">
            <v>9633</v>
          </cell>
          <cell r="G3735" t="str">
            <v>CONSTRUCCIÓN DE LA INTERSECCIÓN A DESNIVEL DE PUENTE ARANDA -REDUCCIÓN EN ACERO D=45" D=36" CON CAMPANA D=45" Y ESPIGO D=36", CON REVESTIMIENTO INTERIOR Y RECUBRIMIENTO EXTERIOR  EN MORTERO DE CEMENTO. PRESIÓN DE TRABAJO = 150 PSI. (Incluye suministro e instalación).</v>
          </cell>
          <cell r="H3735" t="str">
            <v>UN</v>
          </cell>
          <cell r="I3735">
            <v>6996603</v>
          </cell>
        </row>
        <row r="3736">
          <cell r="F3736">
            <v>9634</v>
          </cell>
          <cell r="G3736" t="str">
            <v>CONSTRUCCIÓN DE LA INTERSECCIÓN A DESNIVEL DE PUENTE ARANDA - VÁLVULA TIPO MARIPOSA DE Ø 24" CLASE 150 CON EXTREMOS BRIDADOS (Suministro e Instalación)</v>
          </cell>
          <cell r="H3736" t="str">
            <v>UN</v>
          </cell>
          <cell r="I3736">
            <v>25451274</v>
          </cell>
        </row>
        <row r="3737">
          <cell r="F3737">
            <v>9635</v>
          </cell>
          <cell r="G3737" t="str">
            <v>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v>
          </cell>
          <cell r="H3737" t="str">
            <v>ML</v>
          </cell>
          <cell r="I3737">
            <v>1556474</v>
          </cell>
        </row>
        <row r="3738">
          <cell r="F3738">
            <v>9636</v>
          </cell>
          <cell r="G3738" t="str">
            <v>CONSTRUCCIÓN DE LA INTERSECCIÓN A DESNIVEL DE PUENTE ARANDA -NIPLE EN ACERO Ø=36" EXTREMOS ESPIGO/CAMPANA, REVESTIMIENTO INTERIOR Y RECUBRIMIENTO EXTERIOR EN MORTERO DE CEMENTO, CON SALIDA BRIDADA (ANSI B16.5) PARA VENTOSA 6" PRESIÓN DE DISEÑO 150 PSI (Suministro e instalación)</v>
          </cell>
          <cell r="H3738" t="str">
            <v>UN</v>
          </cell>
          <cell r="I3738">
            <v>5161021</v>
          </cell>
        </row>
        <row r="3739">
          <cell r="F3739">
            <v>9637</v>
          </cell>
          <cell r="G3739" t="str">
            <v>CONSTRUCCIÓN DE LA INTERSECCIÓN A DESNIVEL DE PUENTE ARANDA - VALVULA COMPUERTA ELASTICA VASTAGO NO ASCENDENTE JUNTA HIDRÁULICA D=6" (Suministro e Instalación)</v>
          </cell>
          <cell r="H3739" t="str">
            <v>UN</v>
          </cell>
          <cell r="I3739">
            <v>1897011</v>
          </cell>
        </row>
        <row r="3740">
          <cell r="F3740">
            <v>9638</v>
          </cell>
          <cell r="G3740" t="str">
            <v>CONSTRUCCIÓN DE LA INTERSECCIÓN A DESNIVEL DE PUENTE ARANDA - VALVULA COMPUERTA ELASTICA VASTAGO NO ASCENDENTE EXTREMO JUNTA HIDRÁULICA D=4" (Suministro e Instalación)</v>
          </cell>
          <cell r="H3740" t="str">
            <v>UN</v>
          </cell>
          <cell r="I3740">
            <v>1020479</v>
          </cell>
        </row>
        <row r="3741">
          <cell r="F3741">
            <v>9639</v>
          </cell>
          <cell r="G3741" t="str">
            <v>CONSTRUCCIÓN DE LA INTERSECCIÓN A DESNIVEL DE PUENTE ARANDA - CÁMARA EN CONCRETO PREFABRICADA TIPO I (Suministro e instalación)</v>
          </cell>
          <cell r="H3741" t="str">
            <v>UN</v>
          </cell>
          <cell r="I3741">
            <v>40558954</v>
          </cell>
        </row>
        <row r="3742">
          <cell r="F3742">
            <v>9640</v>
          </cell>
          <cell r="G3742" t="str">
            <v>CONSTRUCCIÓN DE LA INTERSECCIÓN A DESNIVEL DE PUENTE ARANDA - CODO 45° PVC ALCANTARILLADO D= 6". (Suministro en instalación)</v>
          </cell>
          <cell r="H3742" t="str">
            <v>UN</v>
          </cell>
          <cell r="I3742">
            <v>89809</v>
          </cell>
        </row>
        <row r="3743">
          <cell r="F3743">
            <v>9641</v>
          </cell>
          <cell r="G3743" t="str">
            <v>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H3743" t="str">
            <v>UN</v>
          </cell>
          <cell r="I3743">
            <v>730026</v>
          </cell>
        </row>
        <row r="3744">
          <cell r="F3744">
            <v>9642</v>
          </cell>
          <cell r="G3744" t="str">
            <v>CONSTRUCCIÓN DE LA INTERSECCIÓN A DESNIVEL DE PUENTE ARANDA - CODO HD 45° EXTREMO JUNTA HIDRÁULICA PARA PVC D= 6" (Suministro e Instalación)</v>
          </cell>
          <cell r="H3744" t="str">
            <v>UN</v>
          </cell>
          <cell r="I3744">
            <v>508348</v>
          </cell>
        </row>
        <row r="3745">
          <cell r="F3745">
            <v>9643</v>
          </cell>
          <cell r="G3745" t="str">
            <v>CONSTRUCCIÓN DE LA INTERSECCIÓN A DESNIVEL DE PUENTE ARANDA -NIPLE EN ACERO Ø=18" EXTREMOS ESPIGO/CAMPANA, REVESTIMIENTO INTERIOR Y RECUBRIMIENTO EXTERIOR EN MORTERO DE CEMENTO, CON SALIDA BRIDADA SEGÚN ANSI B16.5 PARA VENTOSA 3". PRESIÓN DE DISEÑO 150 PSI. (Suministro e instalación)</v>
          </cell>
          <cell r="H3745" t="str">
            <v>UN</v>
          </cell>
          <cell r="I3745">
            <v>2551953</v>
          </cell>
        </row>
        <row r="3746">
          <cell r="F3746">
            <v>9644</v>
          </cell>
          <cell r="G3746" t="str">
            <v>CONSTRUCCIÓN DE LA INTERSECCIÓN A DESNIVEL DE PUENTE ARANDA - CODO HD 22.5° EXTREMO JUNTA HIDRÁULICA PARA PVC D= 12" (Suministro e Instalación)</v>
          </cell>
          <cell r="H3746" t="str">
            <v>UN</v>
          </cell>
          <cell r="I3746">
            <v>2105806</v>
          </cell>
        </row>
        <row r="3747">
          <cell r="F3747">
            <v>9645</v>
          </cell>
          <cell r="G3747" t="str">
            <v>CONSTRUCCIÓN DE LA INTERSECCIÓN A DESNIVEL DE PUENTE ARANDA - CODO HD 45° EXTREMO JUNTA HIDRÁULICA PARA PVC D= 12" (Suministro e Instalación)</v>
          </cell>
          <cell r="H3747" t="str">
            <v>UN</v>
          </cell>
          <cell r="I3747">
            <v>2156903</v>
          </cell>
        </row>
        <row r="3748">
          <cell r="F3748">
            <v>9646</v>
          </cell>
          <cell r="G3748" t="str">
            <v>CONSTRUCCIÓN DE LA INTERSECCIÓN A DESNIVEL DE PUENTE ARANDA - CODO HD 90° EXTREMO JUNTA HIDRÁULICA PARA PVC D= 12" (Suministro e Instalación)</v>
          </cell>
          <cell r="H3748" t="str">
            <v>UN</v>
          </cell>
          <cell r="I3748">
            <v>2318816</v>
          </cell>
        </row>
        <row r="3749">
          <cell r="F3749">
            <v>9647</v>
          </cell>
          <cell r="G3749" t="str">
            <v>CONSTRUCCIÓN DE LA INTERSECCIÓN A DESNIVEL DE PUENTE ARANDA - CODO HD 90° EXTREMO JUNTA HIDRÁULICA PARA PVC D= 4" (Suministro e Instalación)</v>
          </cell>
          <cell r="H3749" t="str">
            <v>UN</v>
          </cell>
          <cell r="I3749">
            <v>323816</v>
          </cell>
        </row>
        <row r="3750">
          <cell r="F3750">
            <v>9648</v>
          </cell>
          <cell r="G3750" t="str">
            <v>CONSTRUCCIÓN DE LA INTERSECCIÓN A DESNIVEL DE PUENTE ARANDA -CINTURÓN DE CIERRE EN ACERO Φ 42". PRESIÓN DE TRABAJO 150 PSI. REVESTIDO CON PINTURA ANTICORROSIVA. SUMINISTRADO SUELTO PARA SER INSTALADO EN OBRA POR OTROS. L=0,30M. FABRICADO A PARTIR DE LÁMINA ASTM A 36.</v>
          </cell>
          <cell r="H3750" t="str">
            <v>UN</v>
          </cell>
          <cell r="I3750">
            <v>1240791</v>
          </cell>
        </row>
        <row r="3751">
          <cell r="F3751">
            <v>9649</v>
          </cell>
          <cell r="G3751" t="str">
            <v>CONSTRUCCIÓN DE LA INTERSECCIÓN A DESNIVEL DE PUENTE ARANDA - CODO HD 45° EXTREMO JUNTA HIDRÁULICA PARA PVC D= 4" (Suministro e Instalación)</v>
          </cell>
          <cell r="H3751" t="str">
            <v>UN</v>
          </cell>
          <cell r="I3751">
            <v>235756</v>
          </cell>
        </row>
        <row r="3752">
          <cell r="F3752">
            <v>9650</v>
          </cell>
          <cell r="G3752" t="str">
            <v>CONSTRUCCIÓN DE LA INTERSECCIÓN A DESNIVEL DE PUENTE ARANDA - CODO HD 22.5° EXTREMO JUNTA HIDRÁULICA PARA PVC D= 4" (Suministro e Instalación)</v>
          </cell>
          <cell r="H3752" t="str">
            <v>UN</v>
          </cell>
          <cell r="I3752">
            <v>181183</v>
          </cell>
        </row>
        <row r="3753">
          <cell r="F3753">
            <v>9651</v>
          </cell>
          <cell r="G3753" t="str">
            <v>CONSTRUCCIÓN DE LA INTERSECCIÓN A DESNIVEL DE PUENTE ARANDA -CINTURÓN DE CIERRE EN ACERO Φ 30". PRESIÓN DE TRABAJO 150 PSI. REVESTIDO CON PINTURA ANTICORROSIVA. SUMINISTRADO SUELTO PARA SER INSTALADO EN OBRA POR OTROS. L=0,30M. FABRICADO A PARTIR DE LÁMINA ASTM A 36.</v>
          </cell>
          <cell r="H3753" t="str">
            <v>UN</v>
          </cell>
          <cell r="I3753">
            <v>849328</v>
          </cell>
        </row>
        <row r="3754">
          <cell r="F3754">
            <v>9652</v>
          </cell>
          <cell r="G3754" t="str">
            <v>CONSTRUCCIÓN DE LA INTERSECCIÓN A DESNIVEL DE PUENTE ARANDA -CINTURÓN DE CIERRE EN ACERO Φ 20". PRESIÓN DE TRABAJO 150. REVESTIDO CON PINTURA ANTICORROSIVA. SUMINISTRADO SUELTO PARA SER INSTALADO EN OBRA POR OTROS. L=0,30M. FABRICADO A PARTIR DE LÁMINA ASTM A 36.</v>
          </cell>
          <cell r="H3754" t="str">
            <v>UN</v>
          </cell>
          <cell r="I3754">
            <v>641040</v>
          </cell>
        </row>
        <row r="3755">
          <cell r="F3755">
            <v>9653</v>
          </cell>
          <cell r="G3755" t="str">
            <v>CONSTRUCCIÓN DE LA INTERSECCIÓN A DESNIVEL DE PUENTE ARANDA -NIPLE EN ACERO Ø=30" EXTREMOS ESPIGO/CAMPANA, REVESTIMIENTO INTERIOR Y EXTERIOR EN MORTERO DE CEMENTO, CON SALIDA BRIDADA SEGÚN ANSI B16.5 PARA VENTOSA 6". PRESIÓN DE DISEÑO 350 PSI (Suministro e instalación)</v>
          </cell>
          <cell r="H3755" t="str">
            <v>UN</v>
          </cell>
          <cell r="I3755">
            <v>4268991</v>
          </cell>
        </row>
        <row r="3756">
          <cell r="F3756">
            <v>9654</v>
          </cell>
          <cell r="G3756" t="str">
            <v>CONSTRUCCIÓN DE LA INTERSECCIÓN A DESNIVEL DE PUENTE ARANDA - CODO HD 90° EXTREMO JUNTA HIDRÁULICA PARA PVC D= 6" (Suministro e Instalación)</v>
          </cell>
          <cell r="H3756" t="str">
            <v>UN</v>
          </cell>
          <cell r="I3756">
            <v>587996</v>
          </cell>
        </row>
        <row r="3757">
          <cell r="F3757">
            <v>9655</v>
          </cell>
          <cell r="G3757" t="str">
            <v>CONSTRUCCIÓN DE LA INTERSECCIÓN A DESNIVEL DE PUENTE ARANDA - CODO HD 11.25° JUNTA HIDRAULICA PARA PVC D=12" (Suministro e Instalación)</v>
          </cell>
          <cell r="H3757" t="str">
            <v>UN</v>
          </cell>
          <cell r="I3757">
            <v>1876136</v>
          </cell>
        </row>
        <row r="3758">
          <cell r="F3758">
            <v>9656</v>
          </cell>
          <cell r="G3758" t="str">
            <v>CONSTRUCCIÓN DE LA INTERSECCIÓN A DESNIVEL DE PUENTE ARANDA - VALVULA COMPUERTA ELASTICA VASTAGO NO ASCENDENTE EXTREMO JUNTA HIDRÁULICA D=8" (Suministro e Instalación)</v>
          </cell>
          <cell r="H3758" t="str">
            <v>UN</v>
          </cell>
          <cell r="I3758">
            <v>2732949</v>
          </cell>
        </row>
        <row r="3759">
          <cell r="F3759">
            <v>9657</v>
          </cell>
          <cell r="G3759" t="str">
            <v>CONSTRUCCIÓN DE LA INTERSECCIÓN A DESNIVEL DE PUENTE ARANDA - VALVULA COMPUERTA ELASTICA VASTAGO NO ASCENDENTE EXTREMO JUNTA HIDRÁULICA D=12" (Suministro e Instalación).</v>
          </cell>
          <cell r="H3759" t="str">
            <v>UN</v>
          </cell>
          <cell r="I3759">
            <v>6267249</v>
          </cell>
        </row>
        <row r="3760">
          <cell r="F3760">
            <v>9658</v>
          </cell>
          <cell r="G3760" t="str">
            <v>CONSTRUCCIÓN DE LA INTERSECCIÓN A DESNIVEL DE PUENTE ARANDA - TEE EN ACERO Ø 16" x 12" CON EXTREMOS ESPIGO/CAMPANA Y BRIDA EN LA DERIVACIÓN (A). SUMINISTRO E INSTALACIÓN</v>
          </cell>
          <cell r="H3760" t="str">
            <v>UN</v>
          </cell>
          <cell r="I3760">
            <v>3102222</v>
          </cell>
        </row>
        <row r="3761">
          <cell r="F3761">
            <v>9659</v>
          </cell>
          <cell r="G3761" t="str">
            <v>CONSTRUCCIÓN DE LA INTERSECCIÓN A DESNIVEL DE PUENTE ARANDA - VÁLVULA  DE CHEQUE 4" (A) (150PSI) (Suministro e instalación)</v>
          </cell>
          <cell r="H3761" t="str">
            <v>UN</v>
          </cell>
          <cell r="I3761">
            <v>876343</v>
          </cell>
        </row>
        <row r="3762">
          <cell r="F3762">
            <v>9660</v>
          </cell>
          <cell r="G3762" t="str">
            <v>CONSTRUCCIÓN DE LA INTERSECCIÓN A DESNIVEL DE PUENTE ARANDA - CODO EN ACERO D=24" CON REVESTIMIENTO INTERIOR Y EXTERIOR EN MORTERO DE CEMENTO. ENTRE 22 1/2° Y 45° L=0.80M X 0.80M. INCLUYE JUNTA ESPIGO-CAMPANA CON EMPAQUES DE CAUCHO. SUMINISTRO E INSTALACIÓN</v>
          </cell>
          <cell r="H3762" t="str">
            <v>UN</v>
          </cell>
          <cell r="I3762">
            <v>4805734</v>
          </cell>
        </row>
        <row r="3763">
          <cell r="F3763">
            <v>9661</v>
          </cell>
          <cell r="G3763" t="str">
            <v>CONSTRUCCIÓN DE LA INTERSECCIÓN A DESNIVEL DE PUENTE ARANDA - CODO EN ACERO Ø=24" ENTRE 67 1/2° Y 90° JUNTA ESPIGO Y CAMPANA, CON EMPAQUE DE CAUCHO, CON REVEST.INT. Y RECUBR. EXT. EN MORTERO DE CEMENTO. L= 1.75m x 1.75m PRESIÓN DE TRABAJO 150PSI. SUMINISTRO E INSTALACIÓN</v>
          </cell>
          <cell r="H3763" t="str">
            <v>UN</v>
          </cell>
          <cell r="I3763">
            <v>8303620</v>
          </cell>
        </row>
        <row r="3764">
          <cell r="F3764">
            <v>9662</v>
          </cell>
          <cell r="G3764" t="str">
            <v>CONSTRUCCIÓN DE LA INTERSECCIÓN A DESNIVEL DE PUENTE ARANDA - NIPLE EN ACERO Ø=24" EXTREMOS ESPIGO/BRIDA L=2000mm CON SALIDA PARA VENTOSA Ø4" Y BY-PASS Ø4"(Incluye suministro e instalación)</v>
          </cell>
          <cell r="H3764" t="str">
            <v>UN</v>
          </cell>
          <cell r="I3764">
            <v>4869449</v>
          </cell>
        </row>
        <row r="3765">
          <cell r="F3765">
            <v>9663</v>
          </cell>
          <cell r="G3765" t="str">
            <v>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v>
          </cell>
          <cell r="H3765" t="str">
            <v>ML</v>
          </cell>
          <cell r="I3765">
            <v>899739</v>
          </cell>
        </row>
        <row r="3766">
          <cell r="F3766">
            <v>9664</v>
          </cell>
          <cell r="G3766" t="str">
            <v>CONSTRUCCIÓN DE LA INTERSECCIÓN A DESNIVEL DE PUENTE ARANDA - EMPATES DE TUBERÍA EN PVC A PEAD 4" LINEAL SEGÚN NORMA NS-023 (INCLUYE ACCESORIOS). SUMINISTRO E INSTALACIÓN.</v>
          </cell>
          <cell r="H3766" t="str">
            <v>UN</v>
          </cell>
          <cell r="I3766">
            <v>616194</v>
          </cell>
        </row>
        <row r="3767">
          <cell r="F3767">
            <v>9665</v>
          </cell>
          <cell r="G3767" t="str">
            <v>CONSTRUCCIÓN DE LA INTERSECCIÓN A DESNIVEL DE PUENTE ARANDA - NIPLE EN ACERO Ø=36" EXTREMOS ESPIGO/BRIDA, CON REVESTIMIENTO INTERIOR Y RECUBRIMIENTO EXTERIOR EN MORTERO CEMENTO, L=2000mm CON SALIDA PARA VENTOSA Ø4" Y BY-PASS Ø4". SUMINISTRO E INSTALACIÓN</v>
          </cell>
          <cell r="H3767" t="str">
            <v>UN</v>
          </cell>
          <cell r="I3767">
            <v>9156171</v>
          </cell>
        </row>
        <row r="3768">
          <cell r="F3768">
            <v>9666</v>
          </cell>
          <cell r="G3768" t="str">
            <v>CONSTRUCCIÓN DE LA INTERSECCIÓN A DESNIVEL DE PUENTE ARANDA - CODO EN ACERO D=30"  ENTRE 5° Y 22 1/2°, JUNTA ESPIGO CAMPANA CON EMPAQUE DE CAUCHO, CON REVESTIMIENTO INTERIOR Y EXTERIOR EN MORTERO DE CEMENTO. L=0.45M X 0.45M. PRESIÓN DE TRABAJO 150 PSI. SUMINISTRO E INSTALACIÓN</v>
          </cell>
          <cell r="H3768" t="str">
            <v>UN</v>
          </cell>
          <cell r="I3768">
            <v>4781527</v>
          </cell>
        </row>
        <row r="3769">
          <cell r="F3769">
            <v>9667</v>
          </cell>
          <cell r="G3769" t="str">
            <v>CONSTRUCCIÓN DE LA INTERSECCIÓN A DESNIVEL DE PUENTE ARANDA -  CONCRETO 4000 PSI GRAVA COMÚN PARA DADOS DE COLUMNAS (Premezclado. Incluye Sumin, Formaleteo, bombeo, Colocación y curado. No incl. Refuerzo).</v>
          </cell>
          <cell r="H3769" t="str">
            <v>M3</v>
          </cell>
          <cell r="I3769">
            <v>658340</v>
          </cell>
        </row>
        <row r="3770">
          <cell r="F3770">
            <v>9668</v>
          </cell>
          <cell r="G3770" t="str">
            <v>CONSTRUCCIÓN DE LA INTERSECCIÓN A DESNIVEL DE PUENTE ARANDA - BASE GRANULAR CLASE A (BG-A) ESTABILIZADA CON CEMENTO ASFALTICO CONVENCIONAL TIPO MGEA_A (Incluye suministro, transporte, colocación y compactación)</v>
          </cell>
          <cell r="H3770" t="str">
            <v>M3</v>
          </cell>
          <cell r="I3770">
            <v>511289</v>
          </cell>
        </row>
        <row r="3771">
          <cell r="F3771">
            <v>9669</v>
          </cell>
          <cell r="G3771" t="str">
            <v>CONSTRUCCIÓN DE LA INTERSECCIÓN A DESNIVEL DE PUENTE ARANDA - CONCRETO 4000 PSI GRAVA COMÚN PARA COLUMNAS. (Premezclado. Incluye Suministro, Formaleteo y Colocación. No incl. Refuerzo, Curado)</v>
          </cell>
          <cell r="H3771" t="str">
            <v>M3</v>
          </cell>
          <cell r="I3771">
            <v>740950</v>
          </cell>
        </row>
        <row r="3772">
          <cell r="F3772">
            <v>9670</v>
          </cell>
          <cell r="G3772" t="str">
            <v>CONSTRUCCIÓN DE LA INTERSECCIÓN A DESNIVEL DE PUENTE ARANDA - CONCRETO 4000 PSI GRAVA COMÚN ( 28 MPA) PARA ESTRIBOS (Premezclado. Incluye Suministro, Formaleteo, Bombeo,  Colocación y Curado. No incluye Refuerzo)</v>
          </cell>
          <cell r="H3772" t="str">
            <v>M3</v>
          </cell>
          <cell r="I3772">
            <v>722467</v>
          </cell>
        </row>
        <row r="3773">
          <cell r="F3773">
            <v>9671</v>
          </cell>
          <cell r="G3773" t="str">
            <v>CONSTRUCCIÓN DE LA INTERSECCIÓN A DESNIVEL DE PUENTE ARANDA - POSTENSIONAMIENTO PARA SUPERESTRUCTURA FU=1860 MPA ASTM A -416 GR 270 BAJA RELAJACIÓN. (Incluye torones, anclaje, ductos con uniones, servicio de tensionamiento con gato multitorón e inyección con equipos y operarios.</v>
          </cell>
          <cell r="H3773" t="str">
            <v>TON-M</v>
          </cell>
          <cell r="I3773">
            <v>3213</v>
          </cell>
        </row>
        <row r="3774">
          <cell r="F3774">
            <v>9672</v>
          </cell>
          <cell r="G3774" t="str">
            <v>CONSTRUCCIÓN DE LA INTERSECCIÓN A DESNIVEL DE PUENTE ARANDA - CONCRETO 3000 PSI (21 MPA) GRAVA COMÚN PARA LOSA DE APROXIMACIÓN (Premezclado. Incluye suministro, formaleteo, colocación y curado. No incluye refuerzo)</v>
          </cell>
          <cell r="H3774" t="str">
            <v>M3</v>
          </cell>
          <cell r="I3774">
            <v>767674</v>
          </cell>
        </row>
        <row r="3775">
          <cell r="F3775">
            <v>9673</v>
          </cell>
          <cell r="G3775" t="str">
            <v>CONSTRUCCIÓN DE LA INTERSECCIÓN A DESNIVEL DE PUENTE ARANDA - IMPERMEABILIZACIÓN EN LAMINAS PARA TABLERO DE SUPERESTRUCTURA (Incluye Suministro e instalación)</v>
          </cell>
          <cell r="H3775" t="str">
            <v>M2</v>
          </cell>
          <cell r="I3775">
            <v>2164</v>
          </cell>
        </row>
        <row r="3776">
          <cell r="F3776">
            <v>9674</v>
          </cell>
          <cell r="G3776" t="str">
            <v>CONSTRUCCIÓN DE LA INTERSECCIÓN A DESNIVEL DE PUENTE ARANDA - JUNTA DE DILATACION ELASTOMÉRICA PARA DESPLAZAMIENTO MIN=+/- 65 MM A MAX =+/- 80 MM (Incluye Suministro, accesorios, materiales e instalación).</v>
          </cell>
          <cell r="H3776" t="str">
            <v>ML</v>
          </cell>
          <cell r="I3776">
            <v>1226905</v>
          </cell>
        </row>
        <row r="3777">
          <cell r="F3777">
            <v>9675</v>
          </cell>
          <cell r="G3777" t="str">
            <v>CONSTRUCCIÓN DE LA INTERSECCIÓN A DESNIVEL DE PUENTE ARANDA - APOYO ELASTOMÉRICO TIPO SLIDE-FLON 60x70x7,5 cm PARA SUPERESTRUCTURA ^=+/- 180 mm Y CARGA AXIAL SEGÚN PLANOS. Incluye lámina de fijación, lámina de teflón, accesorios, suministro e instalación</v>
          </cell>
          <cell r="H3777" t="str">
            <v>UN</v>
          </cell>
          <cell r="I3777">
            <v>7985477</v>
          </cell>
        </row>
        <row r="3778">
          <cell r="F3778">
            <v>9676</v>
          </cell>
          <cell r="G3778" t="str">
            <v>CONSTRUCCIÓN DE LA INTERSECCIÓN A DESNIVEL DE PUENTE ARANDA - NEOPRENO REFORZADO DUREZA 60 PARA TOPES SISMICOS PARA SUPERESTRUCTURAS  (Incluye suministro e instalación).</v>
          </cell>
          <cell r="H3778" t="str">
            <v>dm3</v>
          </cell>
          <cell r="I3778">
            <v>70804</v>
          </cell>
        </row>
        <row r="3779">
          <cell r="F3779">
            <v>9677</v>
          </cell>
          <cell r="G3779" t="str">
            <v>CONSTRUCCIÓN DE LA INTERSECCIÓN A DESNIVEL DE PUENTE ARANDA - JUNTA DE DILATACION JNA-330 PARA DESPLAZAMIENTO =+/- 165 MM A MAX (Incluye Suministro, accesorios, materiales e instalación)</v>
          </cell>
          <cell r="H3779" t="str">
            <v>ML</v>
          </cell>
          <cell r="I3779">
            <v>7218555</v>
          </cell>
        </row>
        <row r="3780">
          <cell r="F3780">
            <v>9678</v>
          </cell>
          <cell r="G3780" t="str">
            <v>CONSTRUCCIÓN DE LA INTERSECCIÓN A DESNIVEL DE PUENTE ARANDA - CONCRETO 4000 PSI GRAVA COMÚN PARA ESTRUCTURA DE APROXIMACIÓN (Colocación de concreto Premezclado con grava común. Incluye Suministro, Formaleta metálica, Bombeo, Curado. No incluye Refuerzo).</v>
          </cell>
          <cell r="H3780" t="str">
            <v>M3</v>
          </cell>
          <cell r="I3780">
            <v>646529</v>
          </cell>
        </row>
        <row r="3781">
          <cell r="F3781">
            <v>9679</v>
          </cell>
          <cell r="G3781" t="str">
            <v>CONSTRUCCIÓN DE LA INTERSECCIÓN A DESNIVEL DE PUENTE ARANDA - CONCRETO 3500 PSI (24 MPA) GRAVA COMÚN PARA BARRERA DE PROTECCIÓN. (Premezclado. Incluye Suministro, bombeo, Formaleteo, Colocación y Curado. No incl. Refuerzo)</v>
          </cell>
          <cell r="H3781" t="str">
            <v>M3</v>
          </cell>
          <cell r="I3781">
            <v>644824</v>
          </cell>
        </row>
        <row r="3782">
          <cell r="F3782">
            <v>9680</v>
          </cell>
          <cell r="G3782" t="str">
            <v>CONSTRUCCIÓN DE LA INTERSECCIÓN A DESNIVEL DE PUENTE ARANDA - BARRAJE PREFORMADO BT DE 6 SALIDAS PARA AP INCLUYE FUSIBLE DE PROTECCIÓN DE CABLE 500 AMP, NORMA CODENSA SC340. JGO x1. INCLUYE SOPORTE PARA BARRAJE JGOx2</v>
          </cell>
          <cell r="H3782" t="str">
            <v>UN</v>
          </cell>
          <cell r="I3782">
            <v>182043</v>
          </cell>
        </row>
        <row r="3783">
          <cell r="F3783">
            <v>9681</v>
          </cell>
          <cell r="G3783" t="str">
            <v>CONSTRUCCIÓN DE LA INTERSECCIÓN A DESNIVEL DE PUENTE ARANDA - PRUEBA DE CARGA ESTÁTICA PARA PUENTE VEHICULAR CON SUPERESTRUCTURA EN CONCRETO. (INCLUYE LOGISTICA, EQUIPOS Y PERSONAL PARA TOMA DE INFORMACION, PROCESAMIENTO DE LA MISMA Y ENTREGA DE INFORME FINAL)</v>
          </cell>
          <cell r="H3783" t="str">
            <v>UN</v>
          </cell>
          <cell r="I3783">
            <v>27088164</v>
          </cell>
        </row>
        <row r="3784">
          <cell r="F3784">
            <v>9682</v>
          </cell>
          <cell r="G3784" t="str">
            <v>CONSTRUCCIÓN DE LA INTERSECCIÓN A DESNIVEL DE PUENTE ARANDA - MATERIAL GRANULAR DRENANTE (1 1/2") PARA LLENOS EN MUROS DE CONTENCION (Suministro, Extendido Manual,  Compactación con vibrocompactador patecabra)</v>
          </cell>
          <cell r="H3784" t="str">
            <v>M3</v>
          </cell>
          <cell r="I3784">
            <v>205681</v>
          </cell>
        </row>
        <row r="3785">
          <cell r="F3785">
            <v>9683</v>
          </cell>
          <cell r="G3785" t="str">
            <v>ESTUDIOS Y DISEÑOS PARA SITIOS INESTABLES EN BOGOTÁ D.C - CONSTRUCCIÓN DE TERRAZAS EN MADERA ROLLIZA H=1,20M. INCLUYE EXCAVACIÓN Y RECONFORMACIÓN DEL TERRENO</v>
          </cell>
          <cell r="H3785" t="str">
            <v>ML</v>
          </cell>
          <cell r="I3785">
            <v>141167</v>
          </cell>
        </row>
        <row r="3786">
          <cell r="F3786">
            <v>9684</v>
          </cell>
          <cell r="G3786" t="str">
            <v>ESTUDIOS Y DISEÑOS PARA SITIOS INESTABLES EN BOGOTÁ D.C - DISIPADOR EN GUADUA. INCLUYE SUMINISTRO E INSTALACIÓN DE GUADUA INMUNIZADA Ø= 10-12CM Y COLOCACIÓN DE MATERIAL PETREO DRENANTE</v>
          </cell>
          <cell r="H3786" t="str">
            <v>ML</v>
          </cell>
          <cell r="I3786">
            <v>491747</v>
          </cell>
        </row>
        <row r="3787">
          <cell r="F3787">
            <v>9685</v>
          </cell>
          <cell r="G3787" t="str">
            <v>ESTUDIOS Y DISEÑOS PARA SITIOS INESTABLES EN BOGOTÁ D.C - PANTALLA EN GUADUA INMUNIZADA H=1,00M. INCLUYE EXCAVACIÓN, RECONFORMACIÓN DEL TERRENO Y CIMENTACIÓN EN CONCRETO F'C= 14MPA DE PARALES</v>
          </cell>
          <cell r="H3787" t="str">
            <v>ML</v>
          </cell>
          <cell r="I3787">
            <v>286835</v>
          </cell>
        </row>
        <row r="3788">
          <cell r="F3788">
            <v>9686</v>
          </cell>
          <cell r="G3788" t="str">
            <v>ESTUDIOS Y DISEÑOS PARA SITIOS INESTABLES EN BOGOTÁ D.C - CONSTRUCCIÓN TERRAZAS EN GUADUA INMUNIZADA. INCLUYE EXCAVACIÓN Y RECONFORMACIÓN DEL TERRENO</v>
          </cell>
          <cell r="H3788" t="str">
            <v>ML</v>
          </cell>
          <cell r="I3788">
            <v>153743</v>
          </cell>
        </row>
        <row r="3789">
          <cell r="F3789">
            <v>9687</v>
          </cell>
          <cell r="G3789" t="str">
            <v>ESTUDIOS Y DISEÑOS PARA SITIOS INESTABLES EN BOGOTÁ D.C - SUMINISTRO E INSTALACIÓN GEOROLLO (BIOROLL) REVEGETADO TIPO FILTER DRENCH O SIMILAR, PARA CONTROL DE EROSIÓN Y DISMINUCIÓN DE ENERGÍA DEL FLUJO EN ÁREAS DE ESCORRENTÍA. INCLUYE TRASIEGO INTERNO MENOR A 100M</v>
          </cell>
          <cell r="H3789" t="str">
            <v>ML</v>
          </cell>
          <cell r="I3789">
            <v>56597</v>
          </cell>
        </row>
        <row r="3790">
          <cell r="F3790">
            <v>9688</v>
          </cell>
          <cell r="G3790" t="str">
            <v>ESTUDIOS Y DISEÑOS PARA SITIOS INESTABLES EN BOGOTÁ D.C - SISTEMA DE GEOBIOESTABILIZACIÓN DE GEOBIOMALLA SJ-HB-150 O SIMILAR CON FINES DE GEOBIOPROTECCIÓN Y REVEGETALIZACIÓN PARA CONTROL DE EROSIÓN Y ESTABILIZACIÓN DE TALUDES. INCLUYE TRASIEGO INTERNO MENOR A 100M</v>
          </cell>
          <cell r="H3790" t="str">
            <v>M2</v>
          </cell>
          <cell r="I3790">
            <v>94992</v>
          </cell>
        </row>
        <row r="3791">
          <cell r="F3791">
            <v>9689</v>
          </cell>
          <cell r="G3791" t="str">
            <v>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v>
          </cell>
          <cell r="H3791" t="str">
            <v>M2</v>
          </cell>
          <cell r="I3791">
            <v>248930</v>
          </cell>
        </row>
        <row r="3792">
          <cell r="F3792">
            <v>9690</v>
          </cell>
          <cell r="G3792" t="str">
            <v>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v>
          </cell>
          <cell r="H3792" t="str">
            <v>M2</v>
          </cell>
          <cell r="I3792">
            <v>284422</v>
          </cell>
        </row>
        <row r="3793">
          <cell r="F3793">
            <v>9691</v>
          </cell>
          <cell r="G3793" t="str">
            <v>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v>
          </cell>
          <cell r="H3793" t="str">
            <v>ML</v>
          </cell>
          <cell r="I3793">
            <v>316184</v>
          </cell>
        </row>
        <row r="3794">
          <cell r="F3794">
            <v>9692</v>
          </cell>
          <cell r="G3794" t="str">
            <v>ESTUDIOS Y DISEÑOS PARA SITIOS INESTABLES EN BOGOTÁ D.C -ANCLAJE ACTIVO CON BARRA ROSCADA Ø=18MM, FY= 500N/MM2 (BARRA DYWIDAG 18MM 950/1050). INCLUYE TUERCA HEXAGONAL DYWIDAG 18MM Y ACOPLE DYWIDAG 18MM 950/1050. INCLUYE PERFORACIÓN, LECHADA EN BULBO DE ANCLAJE A 3M, TUERCA Y CENTRADORES</v>
          </cell>
          <cell r="H3794" t="str">
            <v>ML</v>
          </cell>
          <cell r="I3794">
            <v>198337</v>
          </cell>
        </row>
        <row r="3795">
          <cell r="F3795">
            <v>9693</v>
          </cell>
          <cell r="G3795" t="str">
            <v>ESTUDIOS Y DISEÑOS PARA SITIOS INESTABLES EN BOGOTÁ D.C - RELLENO CON TRITUARADO DE 2". INCLUYE SUMINISTRO, TRANSPORTE, EXTENDIDO MANUAL Y COLOCACIÓN</v>
          </cell>
          <cell r="H3795" t="str">
            <v>M3</v>
          </cell>
          <cell r="I3795">
            <v>125427</v>
          </cell>
        </row>
        <row r="3796">
          <cell r="F3796">
            <v>9694</v>
          </cell>
          <cell r="G3796" t="str">
            <v>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v>
          </cell>
          <cell r="H3796" t="str">
            <v>M3</v>
          </cell>
          <cell r="I3796">
            <v>1037256</v>
          </cell>
        </row>
        <row r="3797">
          <cell r="F3797">
            <v>9695</v>
          </cell>
          <cell r="G3797" t="str">
            <v>REFORZAMIENTO ESTRUCTURAL DEL PUENTE VEHICULAR AV. MEDELLÍN (CALLE 80) POR AV. NQS (Cra. 30) EN BOGOTÁ D.C - RECRECIMIENTO CARAS FRONTALES DE PILAS EN CONCRETO DE 4000 PSI. INCLUYE FORMALETA, CONCRETO Y ANDAMIOS CERTIFICADOS, TRABAJO HASTA 4 M DE ALTURA</v>
          </cell>
          <cell r="H3797" t="str">
            <v>M2</v>
          </cell>
          <cell r="I3797">
            <v>168947</v>
          </cell>
        </row>
        <row r="3798">
          <cell r="F3798">
            <v>9696</v>
          </cell>
          <cell r="G3798" t="str">
            <v>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3798" t="str">
            <v>UN</v>
          </cell>
          <cell r="I3798">
            <v>123400</v>
          </cell>
        </row>
        <row r="3799">
          <cell r="F3799">
            <v>9697</v>
          </cell>
          <cell r="G3799" t="str">
            <v>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v>
          </cell>
          <cell r="H3799" t="str">
            <v>UN</v>
          </cell>
          <cell r="I3799">
            <v>2139333</v>
          </cell>
        </row>
        <row r="3800">
          <cell r="F3800">
            <v>9698</v>
          </cell>
          <cell r="G3800" t="str">
            <v>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H3800" t="str">
            <v>M3</v>
          </cell>
          <cell r="I3800">
            <v>1034385</v>
          </cell>
        </row>
        <row r="3801">
          <cell r="F3801">
            <v>9699</v>
          </cell>
          <cell r="G3801" t="str">
            <v>REFORZAMIENTO ESTRUCTURAL DEL PUENTE VEHICULAR AV. MEDELLÍN (CALLE 80) POR AV. NQS (Cra. 30) EN BOGOTÁ D.C - POLIESTIRENO LÁMINA DE 1,00X1,00X0,05 M, DENSIDAD 35 KG/M3 E=0.05M. SUMINISTRO E INSTALACIÓN</v>
          </cell>
          <cell r="H3801" t="str">
            <v>M2</v>
          </cell>
          <cell r="I3801">
            <v>62356</v>
          </cell>
        </row>
        <row r="3802">
          <cell r="F3802">
            <v>9700</v>
          </cell>
          <cell r="G3802" t="str">
            <v>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v>
          </cell>
          <cell r="H3802" t="str">
            <v>UN</v>
          </cell>
          <cell r="I3802">
            <v>519820</v>
          </cell>
        </row>
        <row r="3803">
          <cell r="F3803">
            <v>9701</v>
          </cell>
          <cell r="G3803" t="str">
            <v>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v>
          </cell>
          <cell r="H3803" t="str">
            <v>UN</v>
          </cell>
          <cell r="I3803">
            <v>398090</v>
          </cell>
        </row>
        <row r="3804">
          <cell r="F3804">
            <v>9702</v>
          </cell>
          <cell r="G3804" t="str">
            <v>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v>
          </cell>
          <cell r="H3804" t="str">
            <v>KG</v>
          </cell>
          <cell r="I3804">
            <v>16450</v>
          </cell>
        </row>
        <row r="3805">
          <cell r="F3805">
            <v>9703</v>
          </cell>
          <cell r="G3805" t="str">
            <v>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H3805" t="str">
            <v>UN</v>
          </cell>
          <cell r="I3805">
            <v>354481</v>
          </cell>
        </row>
        <row r="3806">
          <cell r="F3806">
            <v>9704</v>
          </cell>
          <cell r="G3806" t="str">
            <v>ESTUDIOS Y DISEÑOS PARA SITIOS INESTABLES EN BOGOTÁ D.C -TABLESTACADO METÁLICO RECUPERABLE EN ACERO TIPO ESTRUCTURAL. INCLUYE SUMINISTRO E INSTALACIÓN.</v>
          </cell>
          <cell r="H3806" t="str">
            <v>M2</v>
          </cell>
          <cell r="I3806">
            <v>355266</v>
          </cell>
        </row>
        <row r="3807">
          <cell r="F3807">
            <v>9705</v>
          </cell>
          <cell r="G3807" t="str">
            <v>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v>
          </cell>
          <cell r="H3807" t="str">
            <v>M2</v>
          </cell>
          <cell r="I3807">
            <v>134327</v>
          </cell>
        </row>
        <row r="3808">
          <cell r="F3808">
            <v>9706</v>
          </cell>
          <cell r="G3808" t="str">
            <v>REFORZAMIENTO ESTRUCTURAL DEL PUENTE VEHICULAR AV. MEDELLÍN (CALLE 80) POR AV. NQS (Cra. 30) EN BOGOTÁ D.C - JUNTA ELASTOMÉRICA MOVIMIENTO 50 MM +/- 25 MM (INCLUYE SUMINISTRO E INSTALACIÓN Y TODOS LOS COSTOS DE SUMINISTRO E INSTALACIÓN DE MATERIAL PARA ANCLAJE)</v>
          </cell>
          <cell r="H3808" t="str">
            <v>ML</v>
          </cell>
          <cell r="I3808">
            <v>1809212</v>
          </cell>
        </row>
        <row r="3809">
          <cell r="F3809">
            <v>9707</v>
          </cell>
          <cell r="G3809" t="str">
            <v>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v>
          </cell>
          <cell r="H3809" t="str">
            <v>ML</v>
          </cell>
          <cell r="I3809">
            <v>238708</v>
          </cell>
        </row>
        <row r="3810">
          <cell r="F3810">
            <v>9708</v>
          </cell>
          <cell r="G3810" t="str">
            <v>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v>
          </cell>
          <cell r="H3810" t="str">
            <v>UN</v>
          </cell>
          <cell r="I3810">
            <v>85172797</v>
          </cell>
        </row>
        <row r="3811">
          <cell r="F3811">
            <v>9709</v>
          </cell>
          <cell r="G3811" t="str">
            <v>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v>
          </cell>
          <cell r="H3811" t="str">
            <v>UN</v>
          </cell>
          <cell r="I3811">
            <v>604750</v>
          </cell>
        </row>
        <row r="3812">
          <cell r="F3812">
            <v>9710</v>
          </cell>
          <cell r="G3812" t="str">
            <v>REFORZAMIENTO ESTRUCTURAL DEL PUENTE VEHICULAR AV. MEDELLÍN (CALLE 80) POR AV. NQS (Cra. 30) EN BOGOTÁ D.C - IZAJE COMPUTARIZADO POR APOYO DE NEOPRENO, INCLUYE TRANSPORTES, EQUIPOS Y TÉCNICO. NO INCLUYE ESTRUCTURA DE APOYO</v>
          </cell>
          <cell r="H3812" t="str">
            <v>UN</v>
          </cell>
          <cell r="I3812">
            <v>3184542</v>
          </cell>
        </row>
        <row r="3813">
          <cell r="F3813">
            <v>9711</v>
          </cell>
          <cell r="G3813" t="str">
            <v>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v>
          </cell>
          <cell r="H3813" t="str">
            <v>ML</v>
          </cell>
          <cell r="I3813">
            <v>2230763</v>
          </cell>
        </row>
        <row r="3814">
          <cell r="F3814">
            <v>9712</v>
          </cell>
          <cell r="G3814" t="str">
            <v>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v>
          </cell>
          <cell r="H3814" t="str">
            <v>UN</v>
          </cell>
          <cell r="I3814">
            <v>44710900</v>
          </cell>
        </row>
        <row r="3815">
          <cell r="F3815">
            <v>9713</v>
          </cell>
          <cell r="G3815" t="str">
            <v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v>
          </cell>
          <cell r="H3815" t="str">
            <v>UN</v>
          </cell>
          <cell r="I3815">
            <v>36719794</v>
          </cell>
        </row>
        <row r="3816">
          <cell r="F3816">
            <v>9714</v>
          </cell>
          <cell r="G3816" t="str">
            <v>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v>
          </cell>
          <cell r="H3816" t="str">
            <v>UN</v>
          </cell>
          <cell r="I3816">
            <v>523536</v>
          </cell>
        </row>
        <row r="3817">
          <cell r="F3817">
            <v>9715</v>
          </cell>
          <cell r="G3817" t="str">
            <v>CONSTRUCCIÓN INTERSECCIÓN A DESNIVEL PUENTE ARANDA Y DEMÁS OBRAS COMPLEMENTARIAS TRONCAL CALLE 13 -PUERTA METÁLICA ENTAMBORADA CAL 18 DE 4" INCLUYE PINTURA ELECTROSTÁTICA COLOR GRIS 7014 INCLUYE MARCO BISAGRAS REDONDAS Y CERRADURA. SUMINISTRO E INSTALACIÓN.</v>
          </cell>
          <cell r="H3817" t="str">
            <v>UN</v>
          </cell>
          <cell r="I3817">
            <v>1413300</v>
          </cell>
        </row>
        <row r="3818">
          <cell r="F3818">
            <v>9716</v>
          </cell>
          <cell r="G3818" t="str">
            <v>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v>
          </cell>
          <cell r="H3818" t="str">
            <v>M2</v>
          </cell>
          <cell r="I3818">
            <v>800715</v>
          </cell>
        </row>
        <row r="3819">
          <cell r="F3819">
            <v>9717</v>
          </cell>
          <cell r="G3819"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H3819" t="str">
            <v>ML</v>
          </cell>
          <cell r="I3819">
            <v>130226</v>
          </cell>
        </row>
        <row r="3820">
          <cell r="F3820">
            <v>9718</v>
          </cell>
          <cell r="G3820" t="str">
            <v>CONSTRUCCIÓN INTERSECCIÓN A DESNIVEL PUENTE ARANDA Y DEMÁS OBRAS COMPLEMENTARIAS TRONCAL CALLE 13 - JUNTA DE DILATACION ELASTOMÉRICA PARA DESPLAZAMIENTO MIN=+/- 115 MM A MAX =+/- 130 MM (INCLUYE SUMINISTRO, ACCESORIOS, MATERIALES E INSTALACIÓN).</v>
          </cell>
          <cell r="H3820" t="str">
            <v>ML</v>
          </cell>
          <cell r="I3820">
            <v>4794217</v>
          </cell>
        </row>
        <row r="3821">
          <cell r="F3821">
            <v>9719</v>
          </cell>
          <cell r="G3821" t="str">
            <v xml:space="preserve">CONSTRUCCIÓN INTERSECCIÓN A DESNIVEL PUENTE ARANDA Y DEMÁS OBRAS COMPLEMENTARIAS TRONCAL CALLE 13 -JUNTA DE DILATACION ELASTOMÉRICA PARA DESPLAZAMIENTO MIN=+/- 80 MM A MAX =+/- 100 MM (INCLUYE SUMINISTRO, ACCESORIOS, MATERIALES E INSTALACIÓN). </v>
          </cell>
          <cell r="H3821" t="str">
            <v>ML</v>
          </cell>
          <cell r="I3821">
            <v>1686836</v>
          </cell>
        </row>
        <row r="3822">
          <cell r="F3822">
            <v>9720</v>
          </cell>
          <cell r="G3822" t="str">
            <v>CONSTRUCCIÓN INTERSECCIÓN A DESNIVEL PUENTE ARANDA Y DEMÁS OBRAS COMPLEMENTARIAS TRONCAL CALLE 13 - JUNTA DE DILATACION ELASTOMÉRICA PARA DESPLAZAMIENTO MIN=+/- 100 MM A MAX =+/- 115 MM (INCLUYE SUMINISTRO, ACCESORIOS, MATERIALES E INSTALACIÓN).</v>
          </cell>
          <cell r="H3822" t="str">
            <v>ML</v>
          </cell>
          <cell r="I3822">
            <v>4808388</v>
          </cell>
        </row>
        <row r="3823">
          <cell r="F3823">
            <v>9721</v>
          </cell>
          <cell r="G3823" t="str">
            <v>CONSTRUCCIÓN INTERSECCIÓN A DESNIVEL PUENTE ARANDA Y DEMÁS OBRAS COMPLEMENTARIAS TRONCAL CALLE 13 -DEMARCACION TEXTO ZONA ESCOLAR. AREA: 5.65 M2. (E=2.3 MM, TERMOPLASTICA, SUMINISTRO Y APLICACIÓN CON EQUIPO. INCLUYE MICROESFERAS).</v>
          </cell>
          <cell r="H3823" t="str">
            <v>UN</v>
          </cell>
          <cell r="I3823">
            <v>686092</v>
          </cell>
        </row>
        <row r="3824">
          <cell r="F3824">
            <v>9722</v>
          </cell>
          <cell r="G3824" t="str">
            <v>CONSTRUCCIÓN INTERSECCIÓN A DESNIVEL PUENTE ARANDA Y DEMÁS OBRAS COMPLEMENTARIAS TRONCAL CALLE 13 -CONCRETO 3000 PSI GRAVA COMÚN PARA PLACAS DE CONTRAPISO (PREMEZCLADO. INCLUYE SUMINISTRO, FORMALETEO Y COLOCACIÓN. NO INCLUYE REFUERZO, CURADO).</v>
          </cell>
          <cell r="H3824" t="str">
            <v>M3</v>
          </cell>
          <cell r="I3824">
            <v>828890</v>
          </cell>
        </row>
        <row r="3825">
          <cell r="F3825">
            <v>9723</v>
          </cell>
          <cell r="G3825" t="str">
            <v>CONSTRUCCIÓN INTERSECCIÓN A DESNIVEL PUENTE ARANDA Y DEMÁS OBRAS COMPLEMENTARIAS TRONCAL CALLE 13 - CONCRETO 3000 PSI GRAVA COMÚN PARA RAMPAS Y ESCALERAS (PREMEZCLADO. INCL. SUMINISTRO, FORMALETEO Y COLOCACIÓN. NO INCL. REFUERZO, CURADO).</v>
          </cell>
          <cell r="H3825" t="str">
            <v>M3</v>
          </cell>
          <cell r="I3825">
            <v>657549</v>
          </cell>
        </row>
        <row r="3826">
          <cell r="F3826">
            <v>9724</v>
          </cell>
          <cell r="G3826" t="str">
            <v>CONSTRUCCIÓN INTERSECCIÓN A DESNIVEL PUENTE ARANDA Y DEMÁS OBRAS COMPLEMENTARIAS TRONCAL CALLE 13 -CUBREJUNTAS PISOS EN LÁMINA ACERO INOXIDABLE CAL. 18 ANCHO 30 CM.</v>
          </cell>
          <cell r="H3826" t="str">
            <v>ML</v>
          </cell>
          <cell r="I3826">
            <v>162144</v>
          </cell>
        </row>
        <row r="3827">
          <cell r="F3827">
            <v>9725</v>
          </cell>
          <cell r="G3827" t="str">
            <v>CONSTRUCCIÓN INTERSECCIÓN A DESNIVEL PUENTE ARANDA Y DEMÁS OBRAS COMPLEMENTARIAS TRONCAL CALLE 13 - TABLETA TACTIL EN LAMINA METALICA, ANCHO 0.20M INSTALADA ALINEADA CON LA SUPERFICIE DEL PISO (INCLUYE SUMINISTRO E INSTALACIÓN).</v>
          </cell>
          <cell r="H3827" t="str">
            <v>ML</v>
          </cell>
          <cell r="I3827">
            <v>1201707</v>
          </cell>
        </row>
        <row r="3828">
          <cell r="F3828">
            <v>9726</v>
          </cell>
          <cell r="G3828"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H3828" t="str">
            <v>ML</v>
          </cell>
          <cell r="I3828">
            <v>35991</v>
          </cell>
        </row>
        <row r="3829">
          <cell r="F3829">
            <v>9727</v>
          </cell>
          <cell r="G3829" t="str">
            <v>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v>
          </cell>
          <cell r="H3829" t="str">
            <v>ML</v>
          </cell>
          <cell r="I3829">
            <v>359233</v>
          </cell>
        </row>
        <row r="3830">
          <cell r="F3830">
            <v>9728</v>
          </cell>
          <cell r="G3830" t="str">
            <v>CONSTRUCCIÓN INTERSECCIÓN A DESNIVEL PUENTE ARANDA Y DEMÁS OBRAS COMPLEMENTARIAS TRONCAL CALLE 13 -PUERTA SENCILLA PARA ESTACIÓN TIPO TRANSMILENIO (2.443X2.382) EN VIDRIO LAMINADO DE SEGURIDAD. INCLUYE PERFIL PERIMETRAL EN ALUMINIO, PINTURA ELCTROSTÁTICA (SUMINISTRO E INSTALACIÓN)</v>
          </cell>
          <cell r="H3830" t="str">
            <v>UN</v>
          </cell>
          <cell r="I3830">
            <v>29870184</v>
          </cell>
        </row>
        <row r="3831">
          <cell r="F3831">
            <v>9729</v>
          </cell>
          <cell r="G3831" t="str">
            <v>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v>
          </cell>
          <cell r="H3831" t="str">
            <v>UN</v>
          </cell>
          <cell r="I3831">
            <v>42266807</v>
          </cell>
        </row>
        <row r="3832">
          <cell r="F3832">
            <v>9730</v>
          </cell>
          <cell r="G3832" t="str">
            <v>CONSTRUCCIÓN INTERSECCIÓN A DESNIVEL PUENTE ARANDA Y DEMÁS OBRAS COMPLEMENTARIAS TRONCAL CALLE 13 - PINTURA DE TRÁFICO PARA PUERTAS DE ACCESO. 3 MANOS, E=10CM. (SUMINISTRO E INSTALACIÓN)</v>
          </cell>
          <cell r="H3832" t="str">
            <v>ML</v>
          </cell>
          <cell r="I3832">
            <v>3525</v>
          </cell>
        </row>
        <row r="3833">
          <cell r="F3833">
            <v>9731</v>
          </cell>
          <cell r="G3833" t="str">
            <v>CONSTRUCCIÓN INTERSECCIÓN A DESNIVEL PUENTE ARANDA Y DEMÁS OBRAS COMPLEMENTARIAS TRONCAL CALLE 13 -TUBO DE ACERO GALVANIZADO Ø 2" PARA POSADERO LONGITUDINAL (SUMINISTRO E INSTALACIÓN)</v>
          </cell>
          <cell r="H3833" t="str">
            <v>ML</v>
          </cell>
          <cell r="I3833">
            <v>60357</v>
          </cell>
        </row>
        <row r="3834">
          <cell r="F3834">
            <v>9732</v>
          </cell>
          <cell r="G3834"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H3834" t="str">
            <v>ML</v>
          </cell>
          <cell r="I3834">
            <v>52371</v>
          </cell>
        </row>
        <row r="3835">
          <cell r="F3835">
            <v>9733</v>
          </cell>
          <cell r="G3835" t="str">
            <v>CONSTRUCCIÓN INTERSECCIÓN A DESNIVEL PUENTE ARANDA Y DEMÁS OBRAS COMPLEMENTARIAS TRONCAL CALLE 13 -PISO EN LAMINA ALFAJOR 3/16" FIJADOS A ANGULOS ESTRUCTURA CADA 60CM. TEXTURA RETICULADA (SUMINISTRO E INSTALACIÓN)</v>
          </cell>
          <cell r="H3835" t="str">
            <v>M2</v>
          </cell>
          <cell r="I3835">
            <v>397776</v>
          </cell>
        </row>
        <row r="3836">
          <cell r="F3836">
            <v>9734</v>
          </cell>
          <cell r="G3836" t="str">
            <v>CONSTRUCCIÓN INTERSECCIÓN A DESNIVEL PUENTE ARANDA Y DEMÁS OBRAS COMPLEMENTARIAS TRONCAL CALLE 13 - PANELES EN VIDRIO LAMINADO Y DE SEGURIDAD PARA PASAMANOS EXTERIOR, FIJACIÓN CON BUJES. (SUMINISTRO E INSTALACIÓN)</v>
          </cell>
          <cell r="H3836" t="str">
            <v>M2</v>
          </cell>
          <cell r="I3836">
            <v>290240</v>
          </cell>
        </row>
        <row r="3837">
          <cell r="F3837">
            <v>9735</v>
          </cell>
          <cell r="G3837" t="str">
            <v>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v>
          </cell>
          <cell r="H3837" t="str">
            <v>ML</v>
          </cell>
          <cell r="I3837">
            <v>171649</v>
          </cell>
        </row>
        <row r="3838">
          <cell r="F3838">
            <v>9736</v>
          </cell>
          <cell r="G3838" t="str">
            <v>CONSTRUCCIÓN INTERSECCIÓN A DESNIVEL PUENTE ARANDA Y DEMÁS OBRAS COMPLEMENTARIAS TRONCAL CALLE 13 - PASAMANOS EXTERIOR EN PLATINAS VERTICALES 2" X 5/8" + TOPE, PIE EN LONGITUDINAL, EN TUBULAR DE ACERO D=2" SOLDADO A PLATINAS (SUMINISTRO E INSTALACIÓN)</v>
          </cell>
          <cell r="H3838" t="str">
            <v>ML</v>
          </cell>
          <cell r="I3838">
            <v>406335</v>
          </cell>
        </row>
        <row r="3839">
          <cell r="F3839">
            <v>9737</v>
          </cell>
          <cell r="G3839" t="str">
            <v>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v>
          </cell>
          <cell r="H3839" t="str">
            <v>M2</v>
          </cell>
          <cell r="I3839">
            <v>172750</v>
          </cell>
        </row>
        <row r="3840">
          <cell r="F3840">
            <v>9738</v>
          </cell>
          <cell r="G3840" t="str">
            <v>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v>
          </cell>
          <cell r="H3840" t="str">
            <v>M2</v>
          </cell>
          <cell r="I3840">
            <v>345075</v>
          </cell>
        </row>
        <row r="3841">
          <cell r="F3841">
            <v>9739</v>
          </cell>
          <cell r="G3841" t="str">
            <v>CONSTRUCCIÓN INTERSECCIÓN A DESNIVEL PUENTE ARANDA Y DEMÁS OBRAS COMPLEMENTARIAS TRONCAL CALLE 13 - CABLE MONOPOLAR DE ALUMINIO, THHW PARA 600 V C.A., CALIBRE No 6 AWG. (Suministro e Instalación)</v>
          </cell>
          <cell r="H3841" t="str">
            <v>ML</v>
          </cell>
          <cell r="I3841">
            <v>3211</v>
          </cell>
        </row>
        <row r="3842">
          <cell r="F3842">
            <v>9740</v>
          </cell>
          <cell r="G3842" t="str">
            <v>CONSTRUCCIÓN INTERSECCIÓN A DESNIVEL PUENTE ARANDA Y DEMÁS OBRAS COMPLEMENTARIAS TRONCAL CALLE 13 - BARANDA EN VIDRIO TEMPLADO 6 MM, H=1.0M Y PASAMANOS CILÍNDRICO EN ACERO INOXIDABLE MATE DE D= 2" TORNIQUETES PLATAFORMAS. (SUMINISTRO E INSTALACIÓN)</v>
          </cell>
          <cell r="H3842" t="str">
            <v>ML</v>
          </cell>
          <cell r="I3842">
            <v>174620</v>
          </cell>
        </row>
        <row r="3843">
          <cell r="F3843">
            <v>9741</v>
          </cell>
          <cell r="G3843" t="str">
            <v>CONSTRUCCIÓN INTERSECCIÓN A DESNIVEL PUENTE ARANDA Y DEMÁS OBRAS COMPLEMENTARIAS TRONCAL CALLE 13 - VÁLVULA TIPO MARIPOSA DE Ø 4" CLASE 150 CON EXTREMOS BRIDADOS (Suministro e Instalación)</v>
          </cell>
          <cell r="H3843" t="str">
            <v>UN</v>
          </cell>
          <cell r="I3843">
            <v>329863</v>
          </cell>
        </row>
        <row r="3844">
          <cell r="F3844">
            <v>9742</v>
          </cell>
          <cell r="G3844" t="str">
            <v>CONSTRUCCIÓN INTERSECCIÓN A DESNIVEL PUENTE ARANDA Y DEMÁS OBRAS COMPLEMENTARIAS TRONCAL CALLE 13 -CIELO RASO LIVIANO EN 75C ALUZINC 0.50MM ACABADO BRILLANTE. INCLUYE PORTAPANEL TIPO 75C, CUELGAS Y TODO LO NECESARIO PARA INSTALACIÓN. (SUMINISTRO E INSTALACIÓN)</v>
          </cell>
          <cell r="H3844" t="str">
            <v>M2</v>
          </cell>
          <cell r="I3844">
            <v>345075</v>
          </cell>
        </row>
        <row r="3845">
          <cell r="F3845">
            <v>9743</v>
          </cell>
          <cell r="G3845" t="str">
            <v>CONSTRUCCIÓN INTERSECCIÓN A DESNIVEL PUENTE ARANDA Y DEMÁS OBRAS COMPLEMENTARIAS TRONCAL CALLE 13 - VÁLVULA TIPO MARIPOSA DE Ø 6" CLASE 150 CON EXTREMOS BRIDADOS (Suministro e Instalación)</v>
          </cell>
          <cell r="H3845" t="str">
            <v>UN</v>
          </cell>
          <cell r="I3845">
            <v>522266</v>
          </cell>
        </row>
        <row r="3846">
          <cell r="F3846">
            <v>9744</v>
          </cell>
          <cell r="G3846" t="str">
            <v>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H3846" t="str">
            <v>UN</v>
          </cell>
          <cell r="I3846">
            <v>42375</v>
          </cell>
        </row>
        <row r="3847">
          <cell r="F3847">
            <v>9745</v>
          </cell>
          <cell r="G3847" t="str">
            <v>CONSTRUCCIÓN INTERSECCIÓN A DESNIVEL PUENTE ARANDA Y DEMÁS OBRAS COMPLEMENTARIAS TRONCAL CALLE 13 - UNIÓN DESMONTAJE AUTOPORTANTE Ø 12" RÍGIDA CLASE 150 (Suministro e Instalación)</v>
          </cell>
          <cell r="H3847" t="str">
            <v>UN</v>
          </cell>
          <cell r="I3847">
            <v>3451459</v>
          </cell>
        </row>
        <row r="3848">
          <cell r="F3848">
            <v>9746</v>
          </cell>
          <cell r="G3848"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H3848" t="str">
            <v>M2</v>
          </cell>
          <cell r="I3848">
            <v>378132</v>
          </cell>
        </row>
        <row r="3849">
          <cell r="F3849">
            <v>9747</v>
          </cell>
          <cell r="G3849" t="str">
            <v>CONSTRUCCIÓN INTERSECCIÓN A DESNIVEL PUENTE ARANDA Y DEMÁS OBRAS COMPLEMENTARIAS TRONCAL CALLE 13 - VÁLVULA COMPUERTA ELÁSTICA VASTAGO NO ASCENDENTE EXTREMO BRIDADO D=3" (Suministro e Instalación)</v>
          </cell>
          <cell r="H3849" t="str">
            <v>UN</v>
          </cell>
          <cell r="I3849">
            <v>924204</v>
          </cell>
        </row>
        <row r="3850">
          <cell r="F3850">
            <v>9748</v>
          </cell>
          <cell r="G3850"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H3850" t="str">
            <v>ML</v>
          </cell>
          <cell r="I3850">
            <v>1728300</v>
          </cell>
        </row>
        <row r="3851">
          <cell r="F3851">
            <v>9749</v>
          </cell>
          <cell r="G3851" t="str">
            <v>CONSTRUCCIÓN INTERSECCIÓN A DESNIVEL PUENTE ARANDA Y DEMÁS OBRAS COMPLEMENTARIAS TRONCAL CALLE 13 - MACROMEDIDOR TIPO WOLTMAN DE 3" (Incluye Suministro e instalación)</v>
          </cell>
          <cell r="H3851" t="str">
            <v>UN</v>
          </cell>
          <cell r="I3851">
            <v>2609392</v>
          </cell>
        </row>
        <row r="3852">
          <cell r="F3852">
            <v>9750</v>
          </cell>
          <cell r="G3852"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H3852" t="str">
            <v>UN</v>
          </cell>
          <cell r="I3852">
            <v>561681</v>
          </cell>
        </row>
        <row r="3853">
          <cell r="F3853">
            <v>9751</v>
          </cell>
          <cell r="G3853" t="str">
            <v>CONSTRUCCIÓN INTERSECCIÓN A DESNIVEL PUENTE ARANDA Y DEMÁS OBRAS COMPLEMENTARIAS TRONCAL CALLE 13 - CICLOPARQUEADERO METÁLICO SENCILLO, SEGÚN DETALLE ESPECÍFICO</v>
          </cell>
          <cell r="H3853" t="str">
            <v>UN</v>
          </cell>
          <cell r="I3853">
            <v>350258</v>
          </cell>
        </row>
        <row r="3854">
          <cell r="F3854">
            <v>9752</v>
          </cell>
          <cell r="G3854" t="str">
            <v>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v>
          </cell>
          <cell r="H3854" t="str">
            <v>UN</v>
          </cell>
          <cell r="I3854">
            <v>2733419</v>
          </cell>
        </row>
        <row r="3855">
          <cell r="F3855">
            <v>9753</v>
          </cell>
          <cell r="G3855" t="str">
            <v>CONSTRUCCIÓN INTERSECCIÓN A DESNIVEL PUENTE ARANDA Y DEMÁS OBRAS COMPLEMENTARIAS TRONCAL CALLE 13 - VÁLVULA CONTROL DE NIVEL DE TANQUE DE BOLA 3"(Suministro e instalación)</v>
          </cell>
          <cell r="H3855" t="str">
            <v>UN</v>
          </cell>
          <cell r="I3855">
            <v>1389445</v>
          </cell>
        </row>
        <row r="3856">
          <cell r="F3856">
            <v>9754</v>
          </cell>
          <cell r="G3856" t="str">
            <v>CONSTRUCCIÓN INTERSECCIÓN A DESNIVEL PUENTE ARANDA Y DEMÁS OBRAS COMPLEMENTARIAS TRONCAL CALLE 13 - CONCRETO 4000 PSI GRAVA COMÚN PARA COLUMNAS. (PREMEZCLADO. INCLUYE SUMINISTRO, FORMALETEO Y COLOCACIÓN. NO INCL. REFUERZO, CURADO).</v>
          </cell>
          <cell r="H3856" t="str">
            <v>M3</v>
          </cell>
          <cell r="I3856">
            <v>762656</v>
          </cell>
        </row>
        <row r="3857">
          <cell r="F3857">
            <v>9755</v>
          </cell>
          <cell r="G3857" t="str">
            <v xml:space="preserve">CONSTRUCCIÓN INTERSECCIÓN A DESNIVEL PUENTE ARANDA Y DEMÁS OBRAS COMPLEMENTARIAS TRONCAL CALLE 13 -LOGO DE LA ALCALDÍA O TRANSMILENIO EN ADHESIVO VINILICO ESMERILADO EFECTO SAND BLASTING FROSTED CRYSTAL. ALTO: 50CM </v>
          </cell>
          <cell r="H3857" t="str">
            <v>UN</v>
          </cell>
          <cell r="I3857">
            <v>109690</v>
          </cell>
        </row>
        <row r="3858">
          <cell r="F3858">
            <v>9756</v>
          </cell>
          <cell r="G3858"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H3858" t="str">
            <v>UN</v>
          </cell>
          <cell r="I3858">
            <v>22690766</v>
          </cell>
        </row>
        <row r="3859">
          <cell r="F3859">
            <v>9757</v>
          </cell>
          <cell r="G3859" t="str">
            <v>CONSTRUCCIÓN INTERSECCIÓN A DESNIVEL PUENTE ARANDA Y DEMÁS OBRAS COMPLEMENTARIAS TRONCAL CALLE 13 - VÁLVULA VENTOSA HD CÁMARA DOBLE ACCIÓN (DOBLE EFECTO) D=6" EXTREMO EN BRIDA CLASE 150 (Suministro e Instalación)</v>
          </cell>
          <cell r="H3859" t="str">
            <v>UN</v>
          </cell>
          <cell r="I3859">
            <v>5036505</v>
          </cell>
        </row>
        <row r="3860">
          <cell r="F3860">
            <v>9758</v>
          </cell>
          <cell r="G3860" t="str">
            <v>CONSTRUCCIÓN INTERSECCIÓN A DESNIVEL PUENTE ARANDA Y DEMÁS OBRAS COMPLEMENTARIAS TRONCAL CALLE 13 - CONCRETO 4000 PSI PARA PLACAS Y VIGAS AEREAS (PREMEZCLADO. INCLUYE SUMINISTRO, FORMALETEO Y COLOCACIÓN. NO INCLUYE REFUERZO, CURADO, ANDAMIO, CERCHAS, PARALES)</v>
          </cell>
          <cell r="H3860" t="str">
            <v>M3</v>
          </cell>
          <cell r="I3860">
            <v>1094914</v>
          </cell>
        </row>
        <row r="3861">
          <cell r="F3861">
            <v>9759</v>
          </cell>
          <cell r="G3861" t="str">
            <v>CONSTRUCCIÓN INTERSECCIÓN A DESNIVEL PUENTE ARANDA Y DEMÁS OBRAS COMPLEMENTARIAS TRONCAL CALLE 13 - MODULO INSTITUCIONAL CAFÉ PARA TRONCAL CARRERA SÉPTIMA DE ACUERDO A PLANOS DE DISEÑO. (INCLUYE FABRICACIÓN, SUMINISTRO E INSTALACIÓN)</v>
          </cell>
          <cell r="H3861" t="str">
            <v>UN</v>
          </cell>
          <cell r="I3861">
            <v>116120592</v>
          </cell>
        </row>
        <row r="3862">
          <cell r="F3862">
            <v>9760</v>
          </cell>
          <cell r="G3862" t="str">
            <v>CONSTRUCCIÓN INTERSECCIÓN A DESNIVEL PUENTE ARANDA Y DEMÁS OBRAS COMPLEMENTARIAS TRONCAL CALLE 13 - UNIÓN JUNTA DE MONTAJE Ø 4" RÍGIDA CLASE 150 (Suministro e Instalación)</v>
          </cell>
          <cell r="H3862" t="str">
            <v>UN</v>
          </cell>
          <cell r="I3862">
            <v>700394</v>
          </cell>
        </row>
        <row r="3863">
          <cell r="F3863">
            <v>9761</v>
          </cell>
          <cell r="G3863" t="str">
            <v>CONSTRUCCIÓN INTERSECCIÓN A DESNIVEL PUENTE ARANDA Y DEMÁS OBRAS COMPLEMENTARIAS TRONCAL CALLE 13 -JUNTA DE DILATACION JNA-70 PARA DESPLAZAMIENTO MIN=+/- 35 MM A MAX (INCLUYE SUMINISTRO, ACCESORIOS, MATERIALES E INSTALACIÓN).</v>
          </cell>
          <cell r="H3863" t="str">
            <v>ML</v>
          </cell>
          <cell r="I3863">
            <v>735018</v>
          </cell>
        </row>
        <row r="3864">
          <cell r="F3864">
            <v>9762</v>
          </cell>
          <cell r="G3864" t="str">
            <v>CONSTRUCCIÓN INTERSECCIÓN A DESNIVEL PUENTE ARANDA Y DEMÁS OBRAS COMPLEMENTARIAS TRONCAL CALLE 13 - UNIÓN JUNTA DE MONTAJE Ø 8 RÍGIDA CLASE 300 (Suministro e Instalación)</v>
          </cell>
          <cell r="H3864" t="str">
            <v>UN</v>
          </cell>
          <cell r="I3864">
            <v>3797045</v>
          </cell>
        </row>
        <row r="3865">
          <cell r="F3865">
            <v>9763</v>
          </cell>
          <cell r="G3865" t="str">
            <v>CONSTRUCCIÓN INTERSECCIÓN A DESNIVEL PUENTE ARANDA Y DEMÁS OBRAS COMPLEMENTARIAS TRONCAL CALLE 13 - MESON INTERIOR TAQUILLAS CON ESTRUCTURA METÁLICA DE SOPORTE Y ACABADO EN ACERO INOXIDABLE MATE, CON APOYO PISO, DE A=40CM. (SUMINISTRO E INSTALACIÓN)</v>
          </cell>
          <cell r="H3865" t="str">
            <v>ML</v>
          </cell>
          <cell r="I3865">
            <v>291048</v>
          </cell>
        </row>
        <row r="3866">
          <cell r="F3866">
            <v>9764</v>
          </cell>
          <cell r="G3866" t="str">
            <v>CONSTRUCCIÓN INTERSECCIÓN A DESNIVEL PUENTE ARANDA Y DEMÁS OBRAS COMPLEMENTARIAS TRONCAL CALLE 13 - TEE PVC U.M. Ø 3" SCH 80 (Suministro e instalación)</v>
          </cell>
          <cell r="H3866" t="str">
            <v>UN</v>
          </cell>
          <cell r="I3866">
            <v>153606</v>
          </cell>
        </row>
        <row r="3867">
          <cell r="F3867">
            <v>9765</v>
          </cell>
          <cell r="G3867" t="str">
            <v xml:space="preserve">CONSTRUCCIÓN INTERSECCIÓN A DESNIVEL PUENTE ARANDA Y DEMÁS OBRAS COMPLEMENTARIAS TRONCAL CALLE 13 - VIDRIO TEMPLADO DE 10 MM CON PELÍCULA SAND BLASTING </v>
          </cell>
          <cell r="H3867" t="str">
            <v>M2</v>
          </cell>
          <cell r="I3867">
            <v>277102</v>
          </cell>
        </row>
        <row r="3868">
          <cell r="F3868">
            <v>9766</v>
          </cell>
          <cell r="G3868"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H3868" t="str">
            <v>M2</v>
          </cell>
          <cell r="I3868">
            <v>408634</v>
          </cell>
        </row>
        <row r="3869">
          <cell r="F3869">
            <v>9767</v>
          </cell>
          <cell r="G3869" t="str">
            <v>CONSTRUCCIÓN INTERSECCIÓN A DESNIVEL PUENTE ARANDA Y DEMÁS OBRAS COMPLEMENTARIAS TRONCAL CALLE 13 - VÁLVULA DE COMPUERTA VÁSTAGO ASCENDENTE DE Ø 4" CLASE 300 CON EXTREMOS BRIDADOS (Suministro e instalación)</v>
          </cell>
          <cell r="H3869" t="str">
            <v>UN</v>
          </cell>
          <cell r="I3869">
            <v>1031089</v>
          </cell>
        </row>
        <row r="3870">
          <cell r="F3870">
            <v>9768</v>
          </cell>
          <cell r="G3870" t="str">
            <v>CONSTRUCCIÓN INTERSECCIÓN A DESNIVEL PUENTE ARANDA Y DEMÁS OBRAS COMPLEMENTARIAS TRONCAL CALLE 13 - VÁLVULA COMPUERTA ELÁSTICA VA (VÁSTAGO ASCENDENTE) D=6" DN (DIÁMETRO NOMINAL) 150 MM CON EXTREMOS BRIDADOS (SUMINISTRO E INSTALACIÓN)</v>
          </cell>
          <cell r="H3870" t="str">
            <v>UN</v>
          </cell>
          <cell r="I3870">
            <v>1933543</v>
          </cell>
        </row>
        <row r="3871">
          <cell r="F3871">
            <v>9769</v>
          </cell>
          <cell r="G3871" t="str">
            <v>CONSTRUCCIÓN INTERSECCIÓN A DESNIVEL PUENTE ARANDA Y DEMÁS OBRAS COMPLEMENTARIAS TRONCAL CALLE 13 - QUIEBRA SOL METÁLICO</v>
          </cell>
          <cell r="H3871" t="str">
            <v>M2</v>
          </cell>
          <cell r="I3871">
            <v>354591</v>
          </cell>
        </row>
        <row r="3872">
          <cell r="F3872">
            <v>9770</v>
          </cell>
          <cell r="G3872" t="str">
            <v>CONSTRUCCIÓN INTERSECCIÓN A DESNIVEL PUENTE ARANDA Y DEMÁS OBRAS COMPLEMENTARIAS TRONCAL CALLE 13 -CABLE MONOPOLAR DE ALUMINIO, HF FR PARA 600V C.A. CALIBRE NO. 8 AWG (INCLUYE SUMINISTRO E INSTALACIÓN)</v>
          </cell>
          <cell r="H3872" t="str">
            <v>ML</v>
          </cell>
          <cell r="I3872">
            <v>28110</v>
          </cell>
        </row>
        <row r="3873">
          <cell r="F3873">
            <v>9771</v>
          </cell>
          <cell r="G3873" t="str">
            <v>CONSTRUCCIÓN INTERSECCIÓN A DESNIVEL PUENTE ARANDA Y DEMÁS OBRAS COMPLEMENTARIAS TRONCAL CALLE 13 - UNIÓN JUNTA DE MONTAJE D= 4" RÍGIDA CLASE 300 (Incluye Suministro e Instalación)</v>
          </cell>
          <cell r="H3873" t="str">
            <v>UN</v>
          </cell>
          <cell r="I3873">
            <v>1594356</v>
          </cell>
        </row>
        <row r="3874">
          <cell r="F3874">
            <v>9772</v>
          </cell>
          <cell r="G3874"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H3874" t="str">
            <v>UN</v>
          </cell>
          <cell r="I3874">
            <v>2396896</v>
          </cell>
        </row>
        <row r="3875">
          <cell r="F3875">
            <v>9773</v>
          </cell>
          <cell r="G3875" t="str">
            <v>CONSTRUCCIÓN INTERSECCIÓN A DESNIVEL PUENTE ARANDA Y DEMÁS OBRAS COMPLEMENTARIAS TRONCAL CALLE 13 - LUMINARIA LED 15W, 120 V, 60 HZ (INCLUYE ACCESORIOS DE INSTALACIÓN Y FIJACIÓN, CAJA DE SALIDA, ELEMENTOS DE CONEXIÓN, DE EMPALME Y DE MONTAJE). NO INCLUYE TUBERIA NI CABLEADO.</v>
          </cell>
          <cell r="H3875" t="str">
            <v>UN</v>
          </cell>
          <cell r="I3875">
            <v>2100361</v>
          </cell>
        </row>
        <row r="3876">
          <cell r="F3876">
            <v>9774</v>
          </cell>
          <cell r="G3876" t="str">
            <v>CONSTRUCCIÓN INTERSECCIÓN A DESNIVEL PUENTE ARANDA Y DEMÁS OBRAS COMPLEMENTARIAS TRONCAL CALLE 13 - VÁLVULA  DE CHEQUE 4" (A) (150PSI) (Suministro e instalación)</v>
          </cell>
          <cell r="H3876" t="str">
            <v>UN</v>
          </cell>
          <cell r="I3876">
            <v>876344</v>
          </cell>
        </row>
        <row r="3877">
          <cell r="F3877">
            <v>9775</v>
          </cell>
          <cell r="G3877" t="str">
            <v>CONSTRUCCIÓN INTERSECCIÓN A DESNIVEL PUENTE ARANDA Y DEMÁS OBRAS COMPLEMENTARIAS TRONCAL CALLE 13 - TABLERO DE CONTROL ILUMINACIÓN. INCLUYE INTERRUPTOR HORARIO PROGRAMABLE, REGLETAS, RIELES Y DEMÁS ACCESORIOS DE MONTAJE.</v>
          </cell>
          <cell r="H3877" t="str">
            <v>UN</v>
          </cell>
          <cell r="I3877">
            <v>18041087</v>
          </cell>
        </row>
        <row r="3878">
          <cell r="F3878">
            <v>9776</v>
          </cell>
          <cell r="G3878" t="str">
            <v xml:space="preserve"> CONSTRUCCIÓN INTERSECCIÓN A DESNIVEL PUENTE ARANDA Y DEMÁS OBRAS COMPLEMENTARIAS TRONCAL CALLE 13 - BANDEJA PORTACABLES METÁLICA 200MM X 100MM. INCLUYE SOPORTES E INSTALACIONES</v>
          </cell>
          <cell r="H3878" t="str">
            <v>ML</v>
          </cell>
          <cell r="I3878">
            <v>58658</v>
          </cell>
        </row>
        <row r="3879">
          <cell r="F3879">
            <v>9777</v>
          </cell>
          <cell r="G3879" t="str">
            <v>CONSTRUCCIÓN INTERSECCIÓN A DESNIVEL PUENTE ARANDA Y DEMÁS OBRAS COMPLEMENTARIAS TRONCAL CALLE 13 - PUERTA EN ALUMINIO Y VIDRIO DE 4 MM DE ESPESOR DE 1.00 M X 3.00 M. (INCLUYE SUMINISTRO E INSTALACIÓN)</v>
          </cell>
          <cell r="H3879" t="str">
            <v>UN</v>
          </cell>
          <cell r="I3879">
            <v>1863118</v>
          </cell>
        </row>
        <row r="3880">
          <cell r="F3880">
            <v>9778</v>
          </cell>
          <cell r="G3880" t="str">
            <v>CONSTRUCCIÓN INTERSECCIÓN A DESNIVEL PUENTE ARANDA Y DEMÁS OBRAS COMPLEMENTARIAS TRONCAL CALLE 13 - NIPLE EN ACERO Ø 8" CON BRIDA Y EXTREMO LISO L= 150mm, REVESTIMIENTO INTERIOR Y EXTERIOR EN PINTURA EXPOXICA. SUMINISTRO E INSTALACIÓN</v>
          </cell>
          <cell r="H3880" t="str">
            <v>UN</v>
          </cell>
          <cell r="I3880">
            <v>690105</v>
          </cell>
        </row>
        <row r="3881">
          <cell r="F3881">
            <v>9779</v>
          </cell>
          <cell r="G3881" t="str">
            <v>CONSTRUCCIÓN INTERSECCIÓN A DESNIVEL PUENTE ARANDA Y DEMÁS OBRAS COMPLEMENTARIAS TRONCAL CALLE 13 - MEDIDOR DE ACUEDUCTO D= 3/4" NPT, 20mm DN</v>
          </cell>
          <cell r="H3881" t="str">
            <v>UN</v>
          </cell>
          <cell r="I3881">
            <v>263011</v>
          </cell>
        </row>
        <row r="3882">
          <cell r="F3882">
            <v>9780</v>
          </cell>
          <cell r="G3882" t="str">
            <v xml:space="preserve"> CONSTRUCCIÓN INTERSECCIÓN A DESNIVEL PUENTE ARANDA Y DEMÁS OBRAS COMPLEMENTARIAS TRONCAL CALLE 13 -CABLE CONDUCTOR DE COBRE DESNUDO, CALIBRE NO. 10 AWG. (INCLUYE SUMINISTRO E INSTALACIÓN)</v>
          </cell>
          <cell r="H3882" t="str">
            <v>ML</v>
          </cell>
          <cell r="I3882">
            <v>4594</v>
          </cell>
        </row>
        <row r="3883">
          <cell r="F3883">
            <v>9781</v>
          </cell>
          <cell r="G3883"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H3883" t="str">
            <v>UN</v>
          </cell>
          <cell r="I3883">
            <v>2374274</v>
          </cell>
        </row>
        <row r="3884">
          <cell r="F3884">
            <v>9782</v>
          </cell>
          <cell r="G3884" t="str">
            <v>CONSTRUCCIÓN INTERSECCIÓN A DESNIVEL PUENTE ARANDA Y DEMÁS OBRAS COMPLEMENTARIAS TRONCAL CALLE 13 - PANEL SEPARADOR DE ORINALES 0.50M X 1.50M ANCLADO A MURO EN LÁMINA DE ACERO INOXIDABLE MATE CAL, 18</v>
          </cell>
          <cell r="H3884" t="str">
            <v>UN</v>
          </cell>
          <cell r="I3884">
            <v>679756</v>
          </cell>
        </row>
        <row r="3885">
          <cell r="F3885">
            <v>9783</v>
          </cell>
          <cell r="G3885" t="str">
            <v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v>
          </cell>
          <cell r="H3885" t="str">
            <v>M2</v>
          </cell>
          <cell r="I3885">
            <v>541218</v>
          </cell>
        </row>
        <row r="3886">
          <cell r="F3886">
            <v>9784</v>
          </cell>
          <cell r="G3886" t="str">
            <v xml:space="preserve"> CONSTRUCCIÓN INTERSECCIÓN A DESNIVEL PUENTE ARANDA Y DEMÁS OBRAS COMPLEMENTARIAS TRONCAL CALLE 13 -ESPEJO CRISTAL BAÑOS H=1.00M. (SUMINISTRO E INSTALACIÓN)</v>
          </cell>
          <cell r="H3886" t="str">
            <v>UN</v>
          </cell>
          <cell r="I3886">
            <v>223470</v>
          </cell>
        </row>
        <row r="3887">
          <cell r="F3887">
            <v>9785</v>
          </cell>
          <cell r="G3887" t="str">
            <v>CONSTRUCCIÓN INTERSECCIÓN A DESNIVEL PUENTE ARANDA Y DEMÁS OBRAS COMPLEMENTARIAS TRONCAL CALLE 13 - MESON EN CONCRETO F´C=3000 PSI, DE 60CM X 7CM, PARA LAVAMANOS. INCLUYE SOPORTE METÁLICO ANCLADO A MURO. (SUMINISTRO, FORMALETEO E INSTALACIÓN).</v>
          </cell>
          <cell r="H3887" t="str">
            <v>ML</v>
          </cell>
          <cell r="I3887">
            <v>222788</v>
          </cell>
        </row>
        <row r="3888">
          <cell r="F3888">
            <v>9786</v>
          </cell>
          <cell r="G3888" t="str">
            <v>CONSTRUCCIÓN INTERSECCIÓN A DESNIVEL PUENTE ARANDA Y DEMÁS OBRAS COMPLEMENTARIAS TRONCAL CALLE 13 - PERSIANA METALICA CON CELOSIA EN ALUMINIO CONFORMADA POR PERFILES TUBULARES EN ALUMINIO ANODIZADO MATE NATURAL DE 12X3 CM. (INCLUYE SUMINISTRO E INSTALACIÓN).</v>
          </cell>
          <cell r="H3888" t="str">
            <v>M2</v>
          </cell>
          <cell r="I3888">
            <v>210155</v>
          </cell>
        </row>
        <row r="3889">
          <cell r="F3889">
            <v>9787</v>
          </cell>
          <cell r="G3889" t="str">
            <v>CONSTRUCCIÓN INTERSECCIÓN A DESNIVEL PUENTE ARANDA Y DEMÁS OBRAS COMPLEMENTARIAS TRONCAL CALLE 13  - PUERTA EN VIDRIO TEMPLADO DE 10MM Y CONECTORES EN ACERO INOXIDABLE (SUMINISTRO E INSTALACIÓN).</v>
          </cell>
          <cell r="H3889" t="str">
            <v>M2</v>
          </cell>
          <cell r="I3889">
            <v>337981</v>
          </cell>
        </row>
        <row r="3890">
          <cell r="F3890">
            <v>9788</v>
          </cell>
          <cell r="G3890"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H3890" t="str">
            <v>M2</v>
          </cell>
          <cell r="I3890">
            <v>319002</v>
          </cell>
        </row>
        <row r="3891">
          <cell r="F3891">
            <v>9789</v>
          </cell>
          <cell r="G3891" t="str">
            <v>CONSTRUCCIÓN INTERSECCIÓN A DESNIVEL PUENTE ARANDA Y DEMÁS OBRAS COMPLEMENTARIAS TRONCAL CALLE 13 - CANAL PD200 REJA FUNDICIÓN PASARELA D400. INCLUYE EXCAVACIÓN MANUAL Y TRANSPORTE Y DISPOSICIÓN FINAL. (Suministro e instalación)</v>
          </cell>
          <cell r="H3891" t="str">
            <v>UN</v>
          </cell>
          <cell r="I3891">
            <v>867723</v>
          </cell>
        </row>
        <row r="3892">
          <cell r="F3892">
            <v>9790</v>
          </cell>
          <cell r="G3892" t="str">
            <v>CONSTRUCCIÓN INTERSECCIÓN A DESNIVEL PUENTE ARANDA Y DEMÁS OBRAS COMPLEMENTARIAS TRONCAL CALLE 13 - REDUCCION PVC TIPO U.M. 3"x2" (Suministro e Instalación)</v>
          </cell>
          <cell r="H3892" t="str">
            <v>UN</v>
          </cell>
          <cell r="I3892">
            <v>8746</v>
          </cell>
        </row>
        <row r="3893">
          <cell r="F3893">
            <v>9791</v>
          </cell>
          <cell r="G3893" t="str">
            <v>CONSTRUCCIÓN INTERSECCIÓN A DESNIVEL PUENTE ARANDA Y DEMÁS OBRAS COMPLEMENTARIAS TRONCAL CALLE 13 - CODO 90° CXC PVC SANITARIA D=2" (Incluye suministro e instalación)</v>
          </cell>
          <cell r="H3893" t="str">
            <v>UN</v>
          </cell>
          <cell r="I3893">
            <v>6205</v>
          </cell>
        </row>
        <row r="3894">
          <cell r="F3894">
            <v>9792</v>
          </cell>
          <cell r="G3894" t="str">
            <v>CONSTRUCCIÓN INTERSECCIÓN A DESNIVEL PUENTE ARANDA Y DEMÁS OBRAS COMPLEMENTARIAS TRONCAL CALLE 13 - MEDIDOR DE ACUEDUCTO D= 1/2" (Suministro e instalación)</v>
          </cell>
          <cell r="H3894" t="str">
            <v>UN</v>
          </cell>
          <cell r="I3894">
            <v>130308</v>
          </cell>
        </row>
        <row r="3895">
          <cell r="F3895">
            <v>9793</v>
          </cell>
          <cell r="G3895" t="str">
            <v>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v>
          </cell>
          <cell r="H3895" t="str">
            <v>UN</v>
          </cell>
          <cell r="I3895">
            <v>1492557</v>
          </cell>
        </row>
        <row r="3896">
          <cell r="F3896">
            <v>9794</v>
          </cell>
          <cell r="G3896" t="str">
            <v>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v>
          </cell>
          <cell r="H3896" t="str">
            <v>UN</v>
          </cell>
          <cell r="I3896">
            <v>1432195</v>
          </cell>
        </row>
        <row r="3897">
          <cell r="F3897">
            <v>9795</v>
          </cell>
          <cell r="G3897" t="str">
            <v>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v>
          </cell>
          <cell r="H3897" t="str">
            <v>UN</v>
          </cell>
          <cell r="I3897">
            <v>305979</v>
          </cell>
        </row>
        <row r="3898">
          <cell r="F3898">
            <v>9796</v>
          </cell>
          <cell r="G3898"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H3898" t="str">
            <v>UN</v>
          </cell>
          <cell r="I3898">
            <v>573968</v>
          </cell>
        </row>
        <row r="3899">
          <cell r="F3899">
            <v>9797</v>
          </cell>
          <cell r="G3899" t="str">
            <v>CONSTRUCCIÓN INTERSECCIÓN A DESNIVEL PUENTE ARANDA Y DEMÁS OBRAS COMPLEMENTARIAS TRONCAL CALLE 13 - Breaker industrial 3 X 20 AMP (Suministro e instalación)</v>
          </cell>
          <cell r="H3899" t="str">
            <v>UN</v>
          </cell>
          <cell r="I3899">
            <v>134368</v>
          </cell>
        </row>
        <row r="3900">
          <cell r="F3900">
            <v>9798</v>
          </cell>
          <cell r="G3900" t="str">
            <v>CONSTRUCCIÓN INTERSECCIÓN A DESNIVEL PUENTE ARANDA Y DEMÁS OBRAS COMPLEMENTARIAS TRONCAL CALLE 13 - VÁLVULA TIPO MARIPOSA DE Ø 18", ASTM A536, CL 300 #, CON EXTREMOS BRIDADOS ANSI/ASME B16.5 (Suministro e instalación)</v>
          </cell>
          <cell r="H3900" t="str">
            <v>UN</v>
          </cell>
          <cell r="I3900">
            <v>32388967</v>
          </cell>
        </row>
        <row r="3901">
          <cell r="F3901">
            <v>9799</v>
          </cell>
          <cell r="G3901" t="str">
            <v>CONSTRUCCIÓN INTERSECCIÓN A DESNIVEL PUENTE ARANDA Y DEMÁS OBRAS COMPLEMENTARIAS TRONCAL CALLE 13 - Breaker industrial 3 X 30 AMP (Suministro e instalación)</v>
          </cell>
          <cell r="H3901" t="str">
            <v>UN</v>
          </cell>
          <cell r="I3901">
            <v>136252</v>
          </cell>
        </row>
        <row r="3902">
          <cell r="F3902">
            <v>9800</v>
          </cell>
          <cell r="G3902" t="str">
            <v>CONSTRUCCIÓN INTERSECCIÓN A DESNIVEL PUENTE ARANDA Y DEMÁS OBRAS COMPLEMENTARIAS TRONCAL CALLE 13 - SALIDA PARA BOBINAS DE TABLERO DE CONTROL (Suministro e instalación)</v>
          </cell>
          <cell r="H3902" t="str">
            <v>UN</v>
          </cell>
          <cell r="I3902">
            <v>39361</v>
          </cell>
        </row>
        <row r="3903">
          <cell r="F3903">
            <v>9801</v>
          </cell>
          <cell r="G3903" t="str">
            <v xml:space="preserve"> CONSTRUCCIÓN INTERSECCIÓN A DESNIVEL PUENTE ARANDA Y DEMÁS OBRAS COMPLEMENTARIAS TRONCAL CALLE 13 - REDUCCION PVC SOLDAR D=2X1 (Suministro e Instalación)</v>
          </cell>
          <cell r="H3903" t="str">
            <v>UN</v>
          </cell>
          <cell r="I3903">
            <v>14596</v>
          </cell>
        </row>
        <row r="3904">
          <cell r="F3904">
            <v>9802</v>
          </cell>
          <cell r="G3904" t="str">
            <v>CONSTRUCCIÓN INTERSECCIÓN A DESNIVEL PUENTE ARANDA Y DEMÁS OBRAS COMPLEMENTARIAS TRONCAL CALLE 13 - Breaker industrial 3 X 40 AMP (Suministro e instalación)</v>
          </cell>
          <cell r="H3904" t="str">
            <v>UN</v>
          </cell>
          <cell r="I3904">
            <v>136252</v>
          </cell>
        </row>
        <row r="3905">
          <cell r="F3905">
            <v>9803</v>
          </cell>
          <cell r="G3905" t="str">
            <v>CONSTRUCCIÓN INTERSECCIÓN A DESNIVEL PUENTE ARANDA Y DEMÁS OBRAS COMPLEMENTARIAS TRONCAL CALLE 13 - VÁLVULA TIPO MARIPOSA DE Ø 30", ASTM A536, CL 300 #, CON EXTREMOS BRIDADOS ANSI/ASME B16.47 (SUMINISTRO E INSTALACIÓN)</v>
          </cell>
          <cell r="H3905" t="str">
            <v>UN</v>
          </cell>
          <cell r="I3905">
            <v>74253438</v>
          </cell>
        </row>
        <row r="3906">
          <cell r="F3906">
            <v>9804</v>
          </cell>
          <cell r="G3906" t="str">
            <v>CONSTRUCCIÓN INTERSECCIÓN A DESNIVEL PUENTE ARANDA Y DEMÁS OBRAS COMPLEMENTARIAS TRONCAL CALLE 13 - BREAKER ENCHUFABLE 1x20A (suministro e instalación)</v>
          </cell>
          <cell r="H3906" t="str">
            <v>UN</v>
          </cell>
          <cell r="I3906">
            <v>11524</v>
          </cell>
        </row>
        <row r="3907">
          <cell r="F3907">
            <v>9805</v>
          </cell>
          <cell r="G3907" t="str">
            <v>CONSTRUCCIÓN INTERSECCIÓN A DESNIVEL PUENTE ARANDA Y DEMÁS OBRAS COMPLEMENTARIAS TRONCAL CALLE 13 - VÁLVULA TIPO MARIPOSA DE Ø 36", ASTM A536, CL 300 #, CON EXTREMOS BRIDADOS ANSI/ASME B16.47 (Suministro e instalación)</v>
          </cell>
          <cell r="H3907" t="str">
            <v>UN</v>
          </cell>
          <cell r="I3907">
            <v>50494470</v>
          </cell>
        </row>
        <row r="3908">
          <cell r="F3908">
            <v>9806</v>
          </cell>
          <cell r="G3908" t="str">
            <v xml:space="preserve"> CONSTRUCCIÓN INTERSECCIÓN A DESNIVEL PUENTE ARANDA Y DEMÁS OBRAS COMPLEMENTARIAS TRONCAL CALLE 13- Bomba eléctrica de 1HP,  Caudal 4.86 Gpm, presión 36.75 psi. (Suministro e instalación)</v>
          </cell>
          <cell r="H3908" t="str">
            <v>UN</v>
          </cell>
          <cell r="I3908">
            <v>1578578</v>
          </cell>
        </row>
        <row r="3909">
          <cell r="F3909">
            <v>9807</v>
          </cell>
          <cell r="G3909" t="str">
            <v>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v>
          </cell>
          <cell r="H3909" t="str">
            <v>UN</v>
          </cell>
          <cell r="I3909">
            <v>637780</v>
          </cell>
        </row>
        <row r="3910">
          <cell r="F3910">
            <v>9808</v>
          </cell>
          <cell r="G3910" t="str">
            <v xml:space="preserve"> CONSTRUCCIÓN INTERSECCIÓN A DESNIVEL PUENTE ARANDA Y DEMÁS OBRAS COMPLEMENTARIAS TRONCAL CALLE 13 -UNION HG 3/4". Suministro e instalación</v>
          </cell>
          <cell r="H3910" t="str">
            <v>UN</v>
          </cell>
          <cell r="I3910">
            <v>2770</v>
          </cell>
        </row>
        <row r="3911">
          <cell r="F3911">
            <v>9809</v>
          </cell>
          <cell r="G3911" t="str">
            <v>CONSTRUCCIÓN INTERSECCIÓN A DESNIVEL PUENTE ARANDA Y DEMÁS OBRAS COMPLEMENTARIAS TRONCAL CALLE 13 - Breaker industrial graduable de 40A hasta 100A (Suministro e instalación)</v>
          </cell>
          <cell r="H3911" t="str">
            <v>UN</v>
          </cell>
          <cell r="I3911">
            <v>202446</v>
          </cell>
        </row>
        <row r="3912">
          <cell r="F3912">
            <v>9810</v>
          </cell>
          <cell r="G3912" t="str">
            <v>CONSTRUCCIÓN INTERSECCIÓN A DESNIVEL PUENTE ARANDA Y DEMÁS OBRAS COMPLEMENTARIAS TRONCAL CALLE 13 - Válvula ventosa HD de doble efecto D=4" Clase 300 extremos bridados ANSI B16.5 (Suministro e instalación)</v>
          </cell>
          <cell r="H3912" t="str">
            <v>UN</v>
          </cell>
          <cell r="I3912">
            <v>2321781</v>
          </cell>
        </row>
        <row r="3913">
          <cell r="F3913">
            <v>9811</v>
          </cell>
          <cell r="G3913" t="str">
            <v>CONSTRUCCIÓN INTERSECCIÓN A DESNIVEL PUENTE ARANDA Y DEMÁS OBRAS COMPLEMENTARIAS TRONCAL CALLE 13 - BRIDA SLIP ON D=4"  CLASE 300, ANSI/ASME B16.5 (SUMINISTRO E INSTALACIÓN)</v>
          </cell>
          <cell r="H3913" t="str">
            <v>UN</v>
          </cell>
          <cell r="I3913">
            <v>230644</v>
          </cell>
        </row>
        <row r="3914">
          <cell r="F3914">
            <v>9812</v>
          </cell>
          <cell r="G3914" t="str">
            <v xml:space="preserve"> CONSTRUCCIÓN INTERSECCIÓN A DESNIVEL PUENTE ARANDA Y DEMÁS OBRAS COMPLEMENTARIAS TRONCAL CALLE 13 -VÁLVULA DE CHEQUE Ø 8", 300#, EXTREMOS BRIDADOS ANSI/ASME B16.5 (SUMINISTRO E INSTALACIÓN)</v>
          </cell>
          <cell r="H3914" t="str">
            <v>UN</v>
          </cell>
          <cell r="I3914">
            <v>2310207</v>
          </cell>
        </row>
        <row r="3915">
          <cell r="F3915">
            <v>9813</v>
          </cell>
          <cell r="G3915" t="str">
            <v>CONSTRUCCIÓN INTERSECCIÓN A DESNIVEL PUENTE ARANDA Y DEMÁS OBRAS COMPLEMENTARIAS TRONCAL CALLE 13 - Tablero de 42 circuitos autosoportado en lámina cold rolled IP44 A 208/120 VC.A. barraje trifásico de  225 A, 5 hilos, 3F+N+T, ( suministro e instalación)</v>
          </cell>
          <cell r="H3915" t="str">
            <v>UN</v>
          </cell>
          <cell r="I3915">
            <v>395067</v>
          </cell>
        </row>
        <row r="3916">
          <cell r="F3916">
            <v>9814</v>
          </cell>
          <cell r="G3916"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H3916" t="str">
            <v>UN</v>
          </cell>
          <cell r="I3916">
            <v>4140304</v>
          </cell>
        </row>
        <row r="3917">
          <cell r="F3917">
            <v>9815</v>
          </cell>
          <cell r="G3917" t="str">
            <v>CONSTRUCCIÓN INTERSECCIÓN A DESNIVEL PUENTE ARANDA Y DEMÁS OBRAS COMPLEMENTARIAS TRONCAL CALLE 13 - CODO 90° D=4" LR, ASTM A234, WPB D=4" CLASE 150 (Suministro e instalación)</v>
          </cell>
          <cell r="H3917" t="str">
            <v>UN</v>
          </cell>
          <cell r="I3917">
            <v>468022</v>
          </cell>
        </row>
        <row r="3918">
          <cell r="F3918">
            <v>9816</v>
          </cell>
          <cell r="G3918" t="str">
            <v>CONSTRUCCIÓN INTERSECCIÓN A DESNIVEL PUENTE ARANDA Y DEMÁS OBRAS COMPLEMENTARIAS TRONCAL CALLE 13 - TUBERÍA HD 3", ACUEDUCTO - (Suministro e instalación)</v>
          </cell>
          <cell r="H3918" t="str">
            <v>ML</v>
          </cell>
          <cell r="I3918">
            <v>89561</v>
          </cell>
        </row>
        <row r="3919">
          <cell r="F3919">
            <v>9817</v>
          </cell>
          <cell r="G3919"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H3919" t="str">
            <v>UN</v>
          </cell>
          <cell r="I3919">
            <v>316087</v>
          </cell>
        </row>
        <row r="3920">
          <cell r="F3920">
            <v>9818</v>
          </cell>
          <cell r="G3920" t="str">
            <v>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H3920" t="str">
            <v>UN</v>
          </cell>
          <cell r="I3920">
            <v>5940627</v>
          </cell>
        </row>
        <row r="3921">
          <cell r="F3921">
            <v>9819</v>
          </cell>
          <cell r="G3921"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H3921" t="str">
            <v>UN</v>
          </cell>
          <cell r="I3921">
            <v>5538407</v>
          </cell>
        </row>
        <row r="3922">
          <cell r="F3922">
            <v>9820</v>
          </cell>
          <cell r="G3922"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H3922" t="str">
            <v>UN</v>
          </cell>
          <cell r="I3922">
            <v>6609407</v>
          </cell>
        </row>
        <row r="3923">
          <cell r="F3923">
            <v>9821</v>
          </cell>
          <cell r="G3923"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H3923" t="str">
            <v>UN</v>
          </cell>
          <cell r="I3923">
            <v>200158</v>
          </cell>
        </row>
        <row r="3924">
          <cell r="F3924">
            <v>9822</v>
          </cell>
          <cell r="G3924" t="str">
            <v>CONSTRUCCIÓN INTERSECCIÓN A DESNIVEL PUENTE ARANDA Y DEMÁS OBRAS COMPLEMENTARIAS TRONCAL CALLE 13 - TUBERIA CONDUIT GALVANIZADA IMC D= 2 1/2" (Suministro e Instalación)</v>
          </cell>
          <cell r="H3924" t="str">
            <v>ML</v>
          </cell>
          <cell r="I3924">
            <v>78308</v>
          </cell>
        </row>
        <row r="3925">
          <cell r="F3925">
            <v>9823</v>
          </cell>
          <cell r="G3925"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H3925" t="str">
            <v>UN</v>
          </cell>
          <cell r="I3925">
            <v>5676368</v>
          </cell>
        </row>
        <row r="3926">
          <cell r="F3926">
            <v>9824</v>
          </cell>
          <cell r="G3926" t="str">
            <v>CONSTRUCCIÓN INTERSECCIÓN A DESNIVEL PUENTE ARANDA Y DEMÁS OBRAS COMPLEMENTARIAS TRONCAL CALLE 13 - TEE EN ACERO Ø 16" x 12" CON EXTREMOS ESPIGO/CAMPANA Y BRIDA EN LA DERIVACIÓN (A). SUMINISTRO E INSTALACIÓN</v>
          </cell>
          <cell r="H3926" t="str">
            <v>UN</v>
          </cell>
          <cell r="I3926">
            <v>3102215</v>
          </cell>
        </row>
        <row r="3927">
          <cell r="F3927">
            <v>9825</v>
          </cell>
          <cell r="G3927" t="str">
            <v>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v>
          </cell>
          <cell r="H3927" t="str">
            <v>UN</v>
          </cell>
          <cell r="I3927">
            <v>2100789</v>
          </cell>
        </row>
        <row r="3928">
          <cell r="F3928">
            <v>9826</v>
          </cell>
          <cell r="G3928" t="str">
            <v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v>
          </cell>
          <cell r="H3928" t="str">
            <v>UN</v>
          </cell>
          <cell r="I3928">
            <v>755723</v>
          </cell>
        </row>
        <row r="3929">
          <cell r="F3929">
            <v>9827</v>
          </cell>
          <cell r="G3929"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H3929" t="str">
            <v>UN</v>
          </cell>
          <cell r="I3929">
            <v>3246388</v>
          </cell>
        </row>
        <row r="3930">
          <cell r="F3930">
            <v>9828</v>
          </cell>
          <cell r="G3930"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H3930" t="str">
            <v>UN</v>
          </cell>
          <cell r="I3930">
            <v>414571</v>
          </cell>
        </row>
        <row r="3931">
          <cell r="F3931">
            <v>9829</v>
          </cell>
          <cell r="G3931"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H3931" t="str">
            <v>UN</v>
          </cell>
          <cell r="I3931">
            <v>4267408</v>
          </cell>
        </row>
        <row r="3932">
          <cell r="F3932">
            <v>9830</v>
          </cell>
          <cell r="G3932"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H3932" t="str">
            <v>ML</v>
          </cell>
          <cell r="I3932">
            <v>8275333</v>
          </cell>
        </row>
        <row r="3933">
          <cell r="F3933">
            <v>9831</v>
          </cell>
          <cell r="G3933"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H3933" t="str">
            <v>UN</v>
          </cell>
          <cell r="I3933">
            <v>3960388</v>
          </cell>
        </row>
        <row r="3934">
          <cell r="F3934">
            <v>9832</v>
          </cell>
          <cell r="G3934"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H3934" t="str">
            <v>UN</v>
          </cell>
          <cell r="I3934">
            <v>622186</v>
          </cell>
        </row>
        <row r="3935">
          <cell r="F3935">
            <v>9833</v>
          </cell>
          <cell r="G3935"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H3935" t="str">
            <v>UN</v>
          </cell>
          <cell r="I3935">
            <v>346231</v>
          </cell>
        </row>
        <row r="3936">
          <cell r="F3936">
            <v>9834</v>
          </cell>
          <cell r="G3936" t="str">
            <v>CONSTRUCCIÓN INTERSECCIÓN A DESNIVEL PUENTE ARANDA Y DEMÁS OBRAS COMPLEMENTARIAS TRONCAL CALLE 13 - CODO D=30" ENTRE 5° y 22.5° WSP ACERO AL CARBONO NORMA AWWA C200 350 PSI, CON RECUBRIMIENTO SEGÚN NORMA AWWA C205, EXTREMOS ESPIGO/CAMPANA. (Suminisro e instalación)</v>
          </cell>
          <cell r="H3936" t="str">
            <v>UN</v>
          </cell>
          <cell r="I3936">
            <v>5464301</v>
          </cell>
        </row>
        <row r="3937">
          <cell r="F3937">
            <v>9835</v>
          </cell>
          <cell r="G3937" t="str">
            <v>CONSTRUCCIÓN INTERSECCIÓN A DESNIVEL PUENTE ARANDA Y DEMÁS OBRAS COMPLEMENTARIAS TRONCAL CALLE 13 - TUBERIA HG D= 1/2`` (INCLUYE SUMINISTRO E INSTALACIÓN, SOLDADURA).</v>
          </cell>
          <cell r="H3937" t="str">
            <v>UN</v>
          </cell>
          <cell r="I3937">
            <v>11522</v>
          </cell>
        </row>
        <row r="3938">
          <cell r="F3938">
            <v>9836</v>
          </cell>
          <cell r="G3938"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H3938" t="str">
            <v>UN</v>
          </cell>
          <cell r="I3938">
            <v>9732831</v>
          </cell>
        </row>
        <row r="3939">
          <cell r="F3939">
            <v>9837</v>
          </cell>
          <cell r="G3939"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v>
          </cell>
          <cell r="H3939" t="str">
            <v>UN</v>
          </cell>
          <cell r="I3939">
            <v>11975057</v>
          </cell>
        </row>
        <row r="3940">
          <cell r="F3940">
            <v>9838</v>
          </cell>
          <cell r="G3940"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H3940" t="str">
            <v>ML</v>
          </cell>
          <cell r="I3940">
            <v>5315803</v>
          </cell>
        </row>
        <row r="3941">
          <cell r="F3941">
            <v>9839</v>
          </cell>
          <cell r="G3941"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H3941" t="str">
            <v>UN</v>
          </cell>
          <cell r="I3941">
            <v>15187791</v>
          </cell>
        </row>
        <row r="3942">
          <cell r="F3942">
            <v>9840</v>
          </cell>
          <cell r="G3942"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H3942" t="str">
            <v>UN</v>
          </cell>
          <cell r="I3942">
            <v>6430416</v>
          </cell>
        </row>
        <row r="3943">
          <cell r="F3943">
            <v>9841</v>
          </cell>
          <cell r="G3943" t="str">
            <v>CONSTRUCCIÓN INTERSECCIÓN A DESNIVEL PUENTE ARANDA Y DEMÁS OBRAS COMPLEMENTARIAS TRONCAL CALLE 13 - TAPÓN HEMBRA HA ROSCA NPT Ø2".  (Incluye suministro e instalación)</v>
          </cell>
          <cell r="H3943" t="str">
            <v>UN</v>
          </cell>
          <cell r="I3943">
            <v>9970</v>
          </cell>
        </row>
        <row r="3944">
          <cell r="F3944">
            <v>9842</v>
          </cell>
          <cell r="G3944" t="str">
            <v>CONSTRUCCIÓN INTERSECCIÓN A DESNIVEL PUENTE ARANDA Y DEMÁS OBRAS COMPLEMENTARIAS TRONCAL CALLE 13 - TUBERIA HG D= 3/4`` (INCLUYE SUMINISTRO E INSTALACIÓN, SOLDADURA).</v>
          </cell>
          <cell r="H3944" t="str">
            <v>UN</v>
          </cell>
          <cell r="I3944">
            <v>14464</v>
          </cell>
        </row>
        <row r="3945">
          <cell r="F3945">
            <v>9843</v>
          </cell>
          <cell r="G3945"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H3945" t="str">
            <v>UN</v>
          </cell>
          <cell r="I3945">
            <v>10339566</v>
          </cell>
        </row>
        <row r="3946">
          <cell r="F3946">
            <v>9844</v>
          </cell>
          <cell r="G3946" t="str">
            <v>CONSTRUCCIÓN INTERSECCIÓN A DESNIVEL PUENTE ARANDA Y DEMÁS OBRAS COMPLEMENTARIAS TRONCAL CALLE 13 - DERIVACION PARA CONEXION A TIERRA DE EQUIPOS EN CABLE DESNUDO DE COBRE 1/0 AWG  (Incluye suministro e instalación)</v>
          </cell>
          <cell r="H3946" t="str">
            <v>UN</v>
          </cell>
          <cell r="I3946">
            <v>62129</v>
          </cell>
        </row>
        <row r="3947">
          <cell r="F3947">
            <v>9845</v>
          </cell>
          <cell r="G3947"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H3947" t="str">
            <v>ML</v>
          </cell>
          <cell r="I3947">
            <v>2858453</v>
          </cell>
        </row>
        <row r="3948">
          <cell r="F3948">
            <v>9846</v>
          </cell>
          <cell r="G3948" t="str">
            <v>CONSTRUCCIÓN INTERSECCIÓN A DESNIVEL PUENTE ARANDA Y DEMÁS OBRAS COMPLEMENTARIAS TRONCAL CALLE 13 - UNIÓN DE DESMONTAJE AUTOPORTANTE HD Ø18" BRIDA B16.5.  (Incluye suministro e instalación)</v>
          </cell>
          <cell r="H3948" t="str">
            <v>UN</v>
          </cell>
          <cell r="I3948">
            <v>7110077</v>
          </cell>
        </row>
        <row r="3949">
          <cell r="F3949">
            <v>9847</v>
          </cell>
          <cell r="G3949" t="str">
            <v>CONSTRUCCIÓN INTERSECCIÓN A DESNIVEL PUENTE ARANDA Y DEMÁS OBRAS COMPLEMENTARIAS TRONCAL CALLE 13 - CODO 90° HG DE 1/2". Suministro en instalación.</v>
          </cell>
          <cell r="H3949" t="str">
            <v>UN</v>
          </cell>
          <cell r="I3949">
            <v>10488</v>
          </cell>
        </row>
        <row r="3950">
          <cell r="F3950">
            <v>9848</v>
          </cell>
          <cell r="G3950" t="str">
            <v>CONSTRUCCIÓN INTERSECCIÓN A DESNIVEL PUENTE ARANDA Y DEMÁS OBRAS COMPLEMENTARIAS TRONCAL CALLE 13 - VÁLVULA COMPUERTA VNA Ø2" HD B16.5 CL 300 CON VOLANTE MANIOBRA.  (Incluye suministro e instalación)</v>
          </cell>
          <cell r="H3950" t="str">
            <v>UN</v>
          </cell>
          <cell r="I3950">
            <v>1034731</v>
          </cell>
        </row>
        <row r="3951">
          <cell r="F3951">
            <v>9849</v>
          </cell>
          <cell r="G3951" t="str">
            <v>CONSTRUCCIÓN INTERSECCIÓN A DESNIVEL PUENTE ARANDA Y DEMÁS OBRAS COMPLEMENTARIAS TRONCAL CALLE 13 - CODO 90° HG DE ¾". Suministro en instalación.</v>
          </cell>
          <cell r="H3951" t="str">
            <v>UN</v>
          </cell>
          <cell r="I3951">
            <v>12788</v>
          </cell>
        </row>
        <row r="3952">
          <cell r="F3952">
            <v>9850</v>
          </cell>
          <cell r="G3952" t="str">
            <v>CONSTRUCCIÓN INTERSECCIÓN A DESNIVEL PUENTE ARANDA Y DEMÁS OBRAS COMPLEMENTARIAS TRONCAL CALLE 13 - VÁLVULA DE COMPUERTA VNA HD Ø8" BRIDA B.16.5 CL300 SELLO DE BRONCE DE MANIOBRA.  (Incluye suministro e instalación)</v>
          </cell>
          <cell r="H3952" t="str">
            <v>UN</v>
          </cell>
          <cell r="I3952">
            <v>5290811</v>
          </cell>
        </row>
        <row r="3953">
          <cell r="F3953">
            <v>9851</v>
          </cell>
          <cell r="G3953"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H3953" t="str">
            <v>UN</v>
          </cell>
          <cell r="I3953">
            <v>2848097</v>
          </cell>
        </row>
        <row r="3954">
          <cell r="F3954">
            <v>9852</v>
          </cell>
          <cell r="G3954" t="str">
            <v>CONSTRUCCIÓN INTERSECCIÓN A DESNIVEL PUENTE ARANDA Y DEMÁS OBRAS COMPLEMENTARIAS TRONCAL CALLE 13 - TEE HG DE 3/4". Suministro en instalación</v>
          </cell>
          <cell r="H3954" t="str">
            <v>UN</v>
          </cell>
          <cell r="I3954">
            <v>11488</v>
          </cell>
        </row>
        <row r="3955">
          <cell r="F3955">
            <v>9853</v>
          </cell>
          <cell r="G3955" t="str">
            <v>CONSTRUCCIÓN INTERSECCIÓN A DESNIVEL PUENTE ARANDA Y DEMÁS OBRAS COMPLEMENTARIAS TRONCAL CALLE 13 - VÁLVULA DE COMPUERTA VNA HD Ø4" BRIDA B.16.5 CL300 SELLO DE BRONCE DE MANIOBRA.  (Incluye suministro e instalación)</v>
          </cell>
          <cell r="H3955" t="str">
            <v>UN</v>
          </cell>
          <cell r="I3955">
            <v>827785</v>
          </cell>
        </row>
        <row r="3956">
          <cell r="F3956">
            <v>9854</v>
          </cell>
          <cell r="G3956" t="str">
            <v>CONSTRUCCIÓN INTERSECCIÓN A DESNIVEL PUENTE ARANDA Y DEMÁS OBRAS COMPLEMENTARIAS TRONCAL CALLE 13 - CODO 90° PVC E.L. D= 3/4" (Incluye suministro e instalación, soldadura)</v>
          </cell>
          <cell r="H3956" t="str">
            <v>UN</v>
          </cell>
          <cell r="I3956">
            <v>5797</v>
          </cell>
        </row>
        <row r="3957">
          <cell r="F3957">
            <v>9855</v>
          </cell>
          <cell r="G3957"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H3957" t="str">
            <v>UN</v>
          </cell>
          <cell r="I3957">
            <v>21136436</v>
          </cell>
        </row>
        <row r="3958">
          <cell r="F3958">
            <v>9856</v>
          </cell>
          <cell r="G3958"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H3958" t="str">
            <v>UN</v>
          </cell>
          <cell r="I3958">
            <v>30692136</v>
          </cell>
        </row>
        <row r="3959">
          <cell r="F3959">
            <v>9857</v>
          </cell>
          <cell r="G3959" t="str">
            <v>CONSTRUCCIÓN INTERSECCIÓN A DESNIVEL PUENTE ARANDA Y DEMÁS OBRAS COMPLEMENTARIAS TRONCAL CALLE 13 - REDUCCION HG E.L. D=3/4" A  1/2" (Incluye suministro e instalación).</v>
          </cell>
          <cell r="H3959" t="str">
            <v>UN</v>
          </cell>
          <cell r="I3959">
            <v>13738</v>
          </cell>
        </row>
        <row r="3960">
          <cell r="F3960">
            <v>9858</v>
          </cell>
          <cell r="G3960"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H3960" t="str">
            <v>UN</v>
          </cell>
          <cell r="I3960">
            <v>1916869</v>
          </cell>
        </row>
        <row r="3961">
          <cell r="F3961">
            <v>9859</v>
          </cell>
          <cell r="G3961" t="str">
            <v>CONSTRUCCIÓN INTERSECCIÓN A DESNIVEL PUENTE ARANDA Y DEMÁS OBRAS COMPLEMENTARIAS TRONCAL CALLE 13 - NIPLE EN ACERO Ø=30" EXTREMOS ESPIGO/BRIDA, REVEST.INTERIOR Y RECUBR EXT. EN MORTERO CEMENTO, L=2000mm CON SALIDA PARA VENTOSA Ø4" Y BY-PASS Ø4". SUMINISTRO E INSTALACIÓN</v>
          </cell>
          <cell r="H3961" t="str">
            <v>UN</v>
          </cell>
          <cell r="I3961">
            <v>8227047</v>
          </cell>
        </row>
        <row r="3962">
          <cell r="F3962">
            <v>9860</v>
          </cell>
          <cell r="G3962"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H3962" t="str">
            <v>UN</v>
          </cell>
          <cell r="I3962">
            <v>33794466</v>
          </cell>
        </row>
        <row r="3963">
          <cell r="F3963">
            <v>9861</v>
          </cell>
          <cell r="G3963" t="str">
            <v>CONSTRUCCIÓN INTERSECCIÓN A DESNIVEL PUENTE ARANDA Y DEMÁS OBRAS COMPLEMENTARIAS TRONCAL CALLE 13 - Válvula ventosa HD de doble efecto D=6" Clase 300 extremos bridados ANSI B16.5 (Suministro e instalación)</v>
          </cell>
          <cell r="H3963" t="str">
            <v>UN</v>
          </cell>
          <cell r="I3963">
            <v>14109256</v>
          </cell>
        </row>
        <row r="3964">
          <cell r="F3964">
            <v>9862</v>
          </cell>
          <cell r="G3964"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H3964" t="str">
            <v>UN</v>
          </cell>
          <cell r="I3964">
            <v>5872306</v>
          </cell>
        </row>
        <row r="3965">
          <cell r="F3965">
            <v>9863</v>
          </cell>
          <cell r="G3965" t="str">
            <v>CONSTRUCCIÓN INTERSECCIÓN A DESNIVEL PUENTE ARANDA Y DEMÁS OBRAS COMPLEMENTARIAS TRONCAL CALLE 13 - REDUCCIÓN EN ACERO D=18" D=16" CON CAMPANA D=18" Y ESPIGO D=16", CON REVESTIMIENTO INTERIOR Y RECUBRIMIENTO EXTERIOR EN MORTERO DE CEMENTO L=0.20m. (Incluye suministro e instalación)</v>
          </cell>
          <cell r="H3965" t="str">
            <v>UN</v>
          </cell>
          <cell r="I3965">
            <v>3573462</v>
          </cell>
        </row>
        <row r="3966">
          <cell r="F3966">
            <v>9864</v>
          </cell>
          <cell r="G3966" t="str">
            <v>CONSTRUCCIÓN INTERSECCIÓN A DESNIVEL PUENTE ARANDA Y DEMÁS OBRAS COMPLEMENTARIAS TRONCAL CALLE 13 - TUBERÍA EN ACERO Ø16" CON UNIONES ESPIGO/CAMPANA CON EMPAQUE DE CAUCHO. REVEST.INTERIOR Y RECUBR EXT. EN MORTERO CEMENTO. L= 6.00m PRESIÓN TRABAJO 150 PSI. SUMINISTRO E INSTALACIÓN</v>
          </cell>
          <cell r="H3966" t="str">
            <v>ML</v>
          </cell>
          <cell r="I3966">
            <v>989492</v>
          </cell>
        </row>
        <row r="3967">
          <cell r="F3967">
            <v>9865</v>
          </cell>
          <cell r="G3967" t="str">
            <v>CONSTRUCCIÓN INTERSECCIÓN A DESNIVEL PUENTE ARANDA Y DEMÁS OBRAS COMPLEMENTARIAS TRONCAL CALLE 13 - UNIÓN DE DESMONTAJE RÍGIDA Ø=10" CLASE 150 (Suministro e instalación)</v>
          </cell>
          <cell r="H3967" t="str">
            <v>UN</v>
          </cell>
          <cell r="I3967">
            <v>2493432</v>
          </cell>
        </row>
        <row r="3968">
          <cell r="F3968">
            <v>9866</v>
          </cell>
          <cell r="G3968" t="str">
            <v>CONSTRUCCIÓN INTERSECCIÓN A DESNIVEL PUENTE ARANDA Y DEMÁS OBRAS COMPLEMENTARIAS TRONCAL CALLE 13 -BRIDA SLIP ON RF D=8" CLASE 300, ANSI B16.5 (suministro e instalación, no incluye equipo de soldadura)</v>
          </cell>
          <cell r="H3968" t="str">
            <v>UN</v>
          </cell>
          <cell r="I3968">
            <v>234489</v>
          </cell>
        </row>
        <row r="3969">
          <cell r="F3969">
            <v>9867</v>
          </cell>
          <cell r="G3969" t="str">
            <v>CONSTRUCCIÓN INTERSECCIÓN A DESNIVEL PUENTE ARANDA Y DEMÁS OBRAS COMPLEMENTARIAS TRONCAL CALLE 13 - Válvula ventosa HD de doble efecto D=3" Clase 300 extremos bridados ANSI B16.5 (Suministro e instalación)</v>
          </cell>
          <cell r="H3969" t="str">
            <v>UN</v>
          </cell>
          <cell r="I3969">
            <v>6315921</v>
          </cell>
        </row>
        <row r="3970">
          <cell r="F3970">
            <v>9868</v>
          </cell>
          <cell r="G3970" t="str">
            <v>CONSTRUCCIÓN INTERSECCIÓN A DESNIVEL PUENTE ARANDA Y DEMÁS OBRAS COMPLEMENTARIAS TRONCAL CALLE 13 - UNIÓN DE DESMONTAJE RÍGIDA D=12" CLASE 300 (Suministro e instalación)</v>
          </cell>
          <cell r="H3970" t="str">
            <v>UN</v>
          </cell>
          <cell r="I3970">
            <v>6605690</v>
          </cell>
        </row>
        <row r="3971">
          <cell r="F3971">
            <v>9869</v>
          </cell>
          <cell r="G3971" t="str">
            <v>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v>
          </cell>
          <cell r="H3971" t="str">
            <v>UN</v>
          </cell>
          <cell r="I3971">
            <v>1689220</v>
          </cell>
        </row>
        <row r="3972">
          <cell r="F3972">
            <v>9870</v>
          </cell>
          <cell r="G3972"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H3972" t="str">
            <v>UN</v>
          </cell>
          <cell r="I3972">
            <v>12814760</v>
          </cell>
        </row>
        <row r="3973">
          <cell r="F3973">
            <v>9871</v>
          </cell>
          <cell r="G3973" t="str">
            <v>CONSTRUCCIÓN INTERSECCIÓN A DESNIVEL PUENTE ARANDA Y DEMÁS OBRAS COMPLEMENTARIAS TRONCAL CALLE 13 - UNIÓN DE DESMONTAJE RÍGIDA Ø 30" CLASE 300 (Suministro e instalación)</v>
          </cell>
          <cell r="H3973" t="str">
            <v>UN</v>
          </cell>
          <cell r="I3973">
            <v>40568286</v>
          </cell>
        </row>
        <row r="3974">
          <cell r="F3974">
            <v>9872</v>
          </cell>
          <cell r="G3974" t="str">
            <v>CONSTRUCCIÓN INTERSECCIÓN A DESNIVEL PUENTE ARANDA Y DEMÁS OBRAS COMPLEMENTARIAS TRONCAL CALLE 13 - VÁLVULA CHEQUE 6" CLASE  150 (Incluye suministro e instalación)</v>
          </cell>
          <cell r="H3974" t="str">
            <v>UN</v>
          </cell>
          <cell r="I3974">
            <v>1644160</v>
          </cell>
        </row>
        <row r="3975">
          <cell r="F3975">
            <v>9873</v>
          </cell>
          <cell r="G3975"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H3975" t="str">
            <v>UN</v>
          </cell>
          <cell r="I3975">
            <v>2384678</v>
          </cell>
        </row>
        <row r="3976">
          <cell r="F3976">
            <v>9874</v>
          </cell>
          <cell r="G3976" t="str">
            <v>CONSTRUCCIÓN INTERSECCIÓN A DESNIVEL PUENTE ARANDA Y DEMÁS OBRAS COMPLEMENTARIAS TRONCAL CALLE 13 - UNIÓN DE DESMONTAJE RÍGIDA D=36" CLASE 300 (Suministro e instalación)</v>
          </cell>
          <cell r="H3976" t="str">
            <v>UN</v>
          </cell>
          <cell r="I3976">
            <v>44887345</v>
          </cell>
        </row>
        <row r="3977">
          <cell r="F3977">
            <v>9875</v>
          </cell>
          <cell r="G3977" t="str">
            <v>CONSTRUCCIÓN INTERSECCIÓN A DESNIVEL PUENTE ARANDA Y DEMÁS OBRAS COMPLEMENTARIAS TRONCAL CALLE 13 - TEE PVC SOLDAR DE 3/4". (Suministro en instalación)</v>
          </cell>
          <cell r="H3977" t="str">
            <v>UN</v>
          </cell>
          <cell r="I3977">
            <v>13355</v>
          </cell>
        </row>
        <row r="3978">
          <cell r="F3978">
            <v>9876</v>
          </cell>
          <cell r="G3978" t="str">
            <v>CONSTRUCCIÓN INTERSECCIÓN A DESNIVEL PUENTE ARANDA Y DEMÁS OBRAS COMPLEMENTARIAS TRONCAL CALLE 13 - VÁLVULA MARIPOSA DE Ø 8", ASTM A536, CL 300 #, CON EXTREMOS BRIDADOS ANSI/ASME B16.5 (Suministro e instalación)</v>
          </cell>
          <cell r="H3978" t="str">
            <v>UN</v>
          </cell>
          <cell r="I3978">
            <v>9248257</v>
          </cell>
        </row>
        <row r="3979">
          <cell r="F3979">
            <v>9877</v>
          </cell>
          <cell r="G3979"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H3979" t="str">
            <v>UN</v>
          </cell>
          <cell r="I3979">
            <v>5082326</v>
          </cell>
        </row>
        <row r="3980">
          <cell r="F3980">
            <v>9878</v>
          </cell>
          <cell r="G3980" t="str">
            <v>CONSTRUCCIÓN INTERSECCIÓN A DESNIVEL PUENTE ARANDA Y DEMÁS OBRAS COMPLEMENTARIAS TRONCAL CALLE 13 - CODO 90° PVC SANITARIA D=4" (Incluye suministro e instalación)</v>
          </cell>
          <cell r="H3980" t="str">
            <v>UN</v>
          </cell>
          <cell r="I3980">
            <v>20239</v>
          </cell>
        </row>
        <row r="3981">
          <cell r="F3981">
            <v>9879</v>
          </cell>
          <cell r="G3981" t="str">
            <v>CONSTRUCCIÓN INTERSECCIÓN A DESNIVEL PUENTE ARANDA Y DEMÁS OBRAS COMPLEMENTARIAS TRONCAL CALLE 13 - VÁLVULA TIPO MARIPOSA DE Ø 12", ASTM A536, CL 300 #, CON EXTREMOS BRIDADOS ANSI/ASME B16.5 (Suministro e instalación)</v>
          </cell>
          <cell r="H3981" t="str">
            <v>UN</v>
          </cell>
          <cell r="I3981">
            <v>16707880</v>
          </cell>
        </row>
        <row r="3982">
          <cell r="F3982">
            <v>9880</v>
          </cell>
          <cell r="G3982" t="str">
            <v>CONSTRUCCIÓN INTERSECCIÓN A DESNIVEL PUENTE ARANDA Y DEMÁS OBRAS COMPLEMENTARIAS TRONCAL CALLE 13 - ESCALERA ACCESO POZO 2.00 &lt; H &lt; = 3.00 (Incluye suministro e instalación)</v>
          </cell>
          <cell r="H3982" t="str">
            <v>UN</v>
          </cell>
          <cell r="I3982">
            <v>710394</v>
          </cell>
        </row>
        <row r="3983">
          <cell r="F3983">
            <v>9881</v>
          </cell>
          <cell r="G3983" t="str">
            <v>CONSTRUCCIÓN INTERSECCIÓN A DESNIVEL PUENTE ARANDA Y DEMÁS OBRAS COMPLEMENTARIAS TRONCAL CALLE 13 -VÁLVULA MARIPOSA DE Ø 10", ASTM A536, CL 300 #, CON EXTREMOS BRIDADOS ANSI/ASME B16.5 (Suministro e instalación)</v>
          </cell>
          <cell r="H3983" t="str">
            <v>UN</v>
          </cell>
          <cell r="I3983">
            <v>12059418</v>
          </cell>
        </row>
        <row r="3984">
          <cell r="F3984">
            <v>9882</v>
          </cell>
          <cell r="G3984" t="str">
            <v>CONSTRUCCIÓN INTERSECCIÓN A DESNIVEL PUENTE ARANDA Y DEMÁS OBRAS COMPLEMENTARIAS TRONCAL CALLE 13 - TELERRUPTOR PARA CONTROL DE ILUMINACION DE 1X16 AMP. (Incluye suministro e instalación)</v>
          </cell>
          <cell r="H3984" t="str">
            <v>UN</v>
          </cell>
          <cell r="I3984">
            <v>58615</v>
          </cell>
        </row>
        <row r="3985">
          <cell r="F3985">
            <v>9883</v>
          </cell>
          <cell r="G3985" t="str">
            <v>CONSTRUCCIÓN INTERSECCIÓN A DESNIVEL PUENTE ARANDA Y DEMÁS OBRAS COMPLEMENTARIAS TRONCAL CALLE 13 - VÁLVULA VENTOSA HD DE DOBLE EFECTO  D=4" CLASE 150 EXTREMO EN BRIDA (Suministro e Instalación)</v>
          </cell>
          <cell r="H3985" t="str">
            <v>UN</v>
          </cell>
          <cell r="I3985">
            <v>1668688</v>
          </cell>
        </row>
        <row r="3986">
          <cell r="F3986">
            <v>9884</v>
          </cell>
          <cell r="G3986" t="str">
            <v>CONSTRUCCIÓN INTERSECCIÓN A DESNIVEL PUENTE ARANDA Y DEMÁS OBRAS COMPLEMENTARIAS TRONCAL CALLE 13 - CABLE THHN/THHN  No. 4 AWG EN COBRE. SUMINISTRO E INSTALACIÓN. (Incluye accesorios de instalación).</v>
          </cell>
          <cell r="H3986" t="str">
            <v>ML</v>
          </cell>
          <cell r="I3986">
            <v>16476</v>
          </cell>
        </row>
        <row r="3987">
          <cell r="F3987">
            <v>9885</v>
          </cell>
          <cell r="G3987" t="str">
            <v>CONSTRUCCIÓN INTERSECCIÓN A DESNIVEL PUENTE ARANDA Y DEMÁS OBRAS COMPLEMENTARIAS TRONCAL CALLE 13 - TUBERIA CONDUIT GALVANIZADA IMC D=1" (Incluye suministro e Instalación).</v>
          </cell>
          <cell r="H3987" t="str">
            <v>ML</v>
          </cell>
          <cell r="I3987">
            <v>32089</v>
          </cell>
        </row>
        <row r="3988">
          <cell r="F3988">
            <v>9886</v>
          </cell>
          <cell r="G3988" t="str">
            <v>CONSTRUCCIÓN INTERSECCIÓN A DESNIVEL PUENTE ARANDA Y DEMÁS OBRAS COMPLEMENTARIAS TRONCAL CALLE 13 - UNIÓN JUNTA DE MONTAJE Ø 6 RÍGIDA CLASE 150 (Suministro e Instalación)</v>
          </cell>
          <cell r="H3988" t="str">
            <v>UN</v>
          </cell>
          <cell r="I3988">
            <v>1440523</v>
          </cell>
        </row>
        <row r="3989">
          <cell r="F3989">
            <v>9887</v>
          </cell>
          <cell r="G3989" t="str">
            <v>CONSTRUCCIÓN INTERSECCIÓN A DESNIVEL PUENTE ARANDA Y DEMÁS OBRAS COMPLEMENTARIAS TRONCAL CALLE 13 - REGISTRO BOLA 3/4" TIPO PESADO (Incluye suministro e instalación, soldadura y cinta teflon)</v>
          </cell>
          <cell r="H3989" t="str">
            <v>UN</v>
          </cell>
          <cell r="I3989">
            <v>19156</v>
          </cell>
        </row>
        <row r="3990">
          <cell r="F3990">
            <v>9888</v>
          </cell>
          <cell r="G3990" t="str">
            <v>CONSTRUCCIÓN INTERSECCIÓN A DESNIVEL PUENTE ARANDA Y DEMÁS OBRAS COMPLEMENTARIAS TRONCAL CALLE 13 - VÁLVULA TIPO MARIPOSA DE Ø 16" CLASE 150 CON EXTREMOS BRIDADOS (Suministro e Instalación)</v>
          </cell>
          <cell r="H3990" t="str">
            <v>UN</v>
          </cell>
          <cell r="I3990">
            <v>11773458</v>
          </cell>
        </row>
        <row r="3991">
          <cell r="F3991">
            <v>9889</v>
          </cell>
          <cell r="G3991" t="str">
            <v>CONSTRUCCIÓN INTERSECCIÓN A DESNIVEL PUENTE ARANDA Y DEMÁS OBRAS COMPLEMENTARIAS TRONCAL CALLE 13 - UNIÓN JUNTA DE MONTAJE Ø 8 RÍGIDA CLASE 150 (Suministro e Instalación)</v>
          </cell>
          <cell r="H3991" t="str">
            <v>UN</v>
          </cell>
          <cell r="I3991">
            <v>1609949</v>
          </cell>
        </row>
        <row r="3992">
          <cell r="F3992">
            <v>9890</v>
          </cell>
          <cell r="G3992" t="str">
            <v>CONSTRUCCIÓN INTERSECCIÓN A DESNIVEL PUENTE ARANDA Y DEMÁS OBRAS COMPLEMENTARIAS TRONCAL CALLE 13 - TUBERIA CONDUIT GALVANIZADA IMC D=1 1/2" (Incluye Suministro e Instalación).</v>
          </cell>
          <cell r="H3992" t="str">
            <v>ML</v>
          </cell>
          <cell r="I3992">
            <v>48981</v>
          </cell>
        </row>
        <row r="3993">
          <cell r="F3993">
            <v>9891</v>
          </cell>
          <cell r="G3993" t="str">
            <v>PROYECTO CONSTRUCCION PUENTES SAN AGUSTIN Y LOS ANDES - CAPA DE REY  (Incluye tierra, abono, tutor, transporte y disposición final de escombros a 28 km). SUMINISTRO Y PLANTACION.</v>
          </cell>
          <cell r="H3993" t="str">
            <v>UN</v>
          </cell>
          <cell r="I3993">
            <v>42378</v>
          </cell>
        </row>
        <row r="3994">
          <cell r="F3994">
            <v>9892</v>
          </cell>
          <cell r="G3994" t="str">
            <v>PROYECTO CONSTRUCCION PUENTES SAN AGUSTIN Y LOS ANDES - PERNO ROSCADO EN U REF. PEU58AG600 DIAMETRO PERNO R 5/8-11 UNC. DIAMETRO NOMINAL DE TUBERIA 6" (INCLUYE SUMINISTRO E INSTALACION)</v>
          </cell>
          <cell r="H3994" t="str">
            <v>UN</v>
          </cell>
          <cell r="I3994">
            <v>12826</v>
          </cell>
        </row>
        <row r="3995">
          <cell r="F3995">
            <v>9893</v>
          </cell>
          <cell r="G3995" t="str">
            <v>PROYECTO CONSTRUCCION PUENTES SAN AGUSTIN Y LOS ANDES - PERNOS DE ANCLAJE - ACERO ASTM A193 GR B7 (INCLUYE SUMINISTRO E INSTALACION)</v>
          </cell>
          <cell r="H3995" t="str">
            <v>ML</v>
          </cell>
          <cell r="I3995">
            <v>92776</v>
          </cell>
        </row>
        <row r="3996">
          <cell r="F3996">
            <v>9894</v>
          </cell>
          <cell r="G3996" t="str">
            <v>PROYECTO CONSTRUCCION PUENTES SAN AGUSTIN Y LOS ANDES - ACERO ESTRUCTURAL A588 PARA PLATINAS (INCLUYE SUMINISTRO E INSTALACION)</v>
          </cell>
          <cell r="H3996" t="str">
            <v>KG</v>
          </cell>
          <cell r="I3996">
            <v>21430</v>
          </cell>
        </row>
        <row r="3997">
          <cell r="F3997">
            <v>9895</v>
          </cell>
          <cell r="G3997" t="str">
            <v>PROYECTO CONSTRUCCION PUENTES SAN AGUSTIN Y LOS ANDES - ACERO ESTRUCTURAL A500 GR C PARA ESTRUCTURA (INCLUYE SIMINISTRO E INSTALACION)</v>
          </cell>
          <cell r="H3997" t="str">
            <v>KG</v>
          </cell>
          <cell r="I3997">
            <v>22554</v>
          </cell>
        </row>
        <row r="3998">
          <cell r="F3998">
            <v>9896</v>
          </cell>
          <cell r="G3998" t="str">
            <v>PROYECTO CONSTRUCCION PUENTES SAN AGUSTIN Y LOS ANDES - MICROPILOTE PARA CIMENTACIÓN CON (BARRA AUTOPERFORANTE)</v>
          </cell>
          <cell r="H3998" t="str">
            <v>ML</v>
          </cell>
          <cell r="I3998">
            <v>927684</v>
          </cell>
        </row>
        <row r="3999">
          <cell r="F3999">
            <v>9897</v>
          </cell>
          <cell r="G3999" t="str">
            <v>PROYECTO CONSTRUCCION PUENTES SAN AGUSTIN Y LOS ANDES - TUBERÍA SEMIPESADA RMC, DE 6" DE DIÁMETRO, EXPUESTA, CON SUS ACCESORIOS DE MONTAJE. (INCLUYE SUMINISTRO E INSTALACIÓN)</v>
          </cell>
          <cell r="H3999" t="str">
            <v>ML</v>
          </cell>
          <cell r="I3999">
            <v>921150</v>
          </cell>
        </row>
        <row r="4000">
          <cell r="F4000">
            <v>9898</v>
          </cell>
          <cell r="G4000" t="str">
            <v xml:space="preserve">PROYECTO CONSTRUCCION PUENTES SAN AGUSTIN Y LOS ANDES - REUBICACIÓN DE LUMINARIA LED 44 W (INCL. 28 ML DE CABLE 12 AWG 600V 90° C THHN/THWN) (Incluye suministro e instalacion) </v>
          </cell>
          <cell r="H4000" t="str">
            <v>UN</v>
          </cell>
          <cell r="I4000">
            <v>82450</v>
          </cell>
        </row>
        <row r="4001">
          <cell r="F4001">
            <v>9899</v>
          </cell>
          <cell r="G4001" t="str">
            <v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v>
          </cell>
          <cell r="H4001" t="str">
            <v>UN</v>
          </cell>
          <cell r="I4001">
            <v>1487661</v>
          </cell>
        </row>
        <row r="4002">
          <cell r="F4002">
            <v>9900</v>
          </cell>
          <cell r="G4002" t="str">
            <v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v>
          </cell>
          <cell r="H4002" t="str">
            <v>UN</v>
          </cell>
          <cell r="I4002">
            <v>1699005</v>
          </cell>
        </row>
        <row r="4003">
          <cell r="F4003">
            <v>9901</v>
          </cell>
          <cell r="G4003" t="str">
            <v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v>
          </cell>
          <cell r="H4003" t="str">
            <v>UN</v>
          </cell>
          <cell r="I4003">
            <v>1120665</v>
          </cell>
        </row>
        <row r="4004">
          <cell r="F4004">
            <v>9902</v>
          </cell>
          <cell r="G4004" t="str">
            <v>PROYECTO CONSTRUCCION PUENTES SAN AGUSTIN Y LOS ANDES - ACOMETIDA TRIFASICA (3N1/0+1N1/0) SERIE 8000-THW-600V-AL (INCLUYE SUMINISTRO E INSTALACION)</v>
          </cell>
          <cell r="H4004" t="str">
            <v>ML</v>
          </cell>
          <cell r="I4004">
            <v>39255</v>
          </cell>
        </row>
        <row r="4005">
          <cell r="F4005">
            <v>9903</v>
          </cell>
          <cell r="G4005" t="str">
            <v>PROYECTO CONSTRUCCION PUENTES SAN AGUSTIN Y LOS ANDES - PUESTA A TIERRA PARA 6 DUCTOS D=6" + 2 DUCTOS DE 3" - IMC EN CERCHA METÁLICA. SUMINISTRO E INSTALACIÓN. INCLUYE CONECTOR METÁLICO DE PUESTA A TIERRA DE 3" Y 6" EN CADA EXTREMO</v>
          </cell>
          <cell r="H4005" t="str">
            <v>UN</v>
          </cell>
          <cell r="I4005">
            <v>379277</v>
          </cell>
        </row>
        <row r="4006">
          <cell r="F4006">
            <v>9904</v>
          </cell>
          <cell r="G4006" t="str">
            <v>BARRAJE DE BAJA TENSION 175A DE 6 SALIDAS X 1/4’’, INCLUYE FUSIBLE Y TERMINALES (INCLUYE SUMINISTRO E INSTALACION)</v>
          </cell>
          <cell r="H4006" t="str">
            <v>UN</v>
          </cell>
          <cell r="I4006">
            <v>171113</v>
          </cell>
        </row>
        <row r="4007">
          <cell r="F4007">
            <v>9905</v>
          </cell>
          <cell r="G4007" t="str">
            <v>PROYECTO CONSTRUCCION PUENTES SAN AGUSTIN Y LOS ANDES - ACOMETIDA TRIFASICA (3N2+1N2) SERIE 8000-THWN-600V-AL (INCLUYE SUMINISTRO E INSTALACION)</v>
          </cell>
          <cell r="H4007" t="str">
            <v>ML</v>
          </cell>
          <cell r="I4007">
            <v>27714</v>
          </cell>
        </row>
        <row r="4008">
          <cell r="F4008">
            <v>9906</v>
          </cell>
          <cell r="G4008" t="str">
            <v>PROYECTO CONSTRUCCION PUENTES SAN AGUSTIN Y LOS ANDES - SUMINISTRO E INSTALACION DE MEDIDOR TOTALIZADOR 4" (INCLUYE VALVULAS COMPUERTA Y UNION DRESSER)</v>
          </cell>
          <cell r="H4008" t="str">
            <v>UN</v>
          </cell>
          <cell r="I4008">
            <v>4228225</v>
          </cell>
        </row>
        <row r="4009">
          <cell r="F4009">
            <v>9907</v>
          </cell>
          <cell r="G4009" t="str">
            <v>REVITALIZACIÓN DEL EJE AMBIENTAL EN BOGOTA D.C. FASE II - PISO EN ADOQUÍN DE ARCILLA ENCHAPE CON PATAS DE 1/4x26 TIPO SALMONA SOBRE MORTERO 1:3 Y CAMA DE ARENA (Suministro e Instalación. Incluye Base 4cm de Arena, Mortero 1:3 Hecho en Obra para Base y Juntas)</v>
          </cell>
          <cell r="H4009" t="str">
            <v>M2</v>
          </cell>
          <cell r="I4009">
            <v>110529</v>
          </cell>
        </row>
        <row r="4010">
          <cell r="F4010">
            <v>9908</v>
          </cell>
          <cell r="G4010"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H4010" t="str">
            <v>UN</v>
          </cell>
          <cell r="I4010">
            <v>90685309</v>
          </cell>
        </row>
        <row r="4011">
          <cell r="F4011">
            <v>9909</v>
          </cell>
          <cell r="G4011" t="str">
            <v>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H4011" t="str">
            <v>UN</v>
          </cell>
          <cell r="I4011">
            <v>58342996</v>
          </cell>
        </row>
        <row r="4012">
          <cell r="F4012">
            <v>9910</v>
          </cell>
          <cell r="G4012" t="str">
            <v>CONSTRUCCIÓN INTERSECCIÓN A DESNIVEL PUENTE ARANDA Y DEMÁS OBRAS COMPLEMENTARIAS TRONCAL CALLE 13 - SUMINISTRO E INSTALACIÓN DE RECEPTOR INTELIGENTE 'DSSAdvanced'' PARA UNA PARADA DE BUS EN ESTACIÓN ' - INCLUYE LECTORA UHF - DRIVER RFID - MODULOS TESTIGOS</v>
          </cell>
          <cell r="H4012" t="str">
            <v>UN</v>
          </cell>
          <cell r="I4012">
            <v>4185476</v>
          </cell>
        </row>
        <row r="4013">
          <cell r="F4013">
            <v>9911</v>
          </cell>
          <cell r="G4013" t="str">
            <v>CONSTRUCCIÓN INTERSECCIÓN A DESNIVEL PUENTE ARANDA Y DEMÁS OBRAS COMPLEMENTARIAS TRONCAL CALLE 13 - SUMINISTRO E INSTALACIÓN DE MASTER LOGGER - LAN ''DSSAdvanced'' PARA UN VAGON ESTRUCTURAL</v>
          </cell>
          <cell r="H4013" t="str">
            <v>UN</v>
          </cell>
          <cell r="I4013">
            <v>13380480</v>
          </cell>
        </row>
        <row r="4014">
          <cell r="F4014">
            <v>9912</v>
          </cell>
          <cell r="G4014" t="str">
            <v>CONSTRUCCIÓN INTERSECCIÓN A DESNIVEL PUENTE ARANDA Y DEMÁS OBRAS COMPLEMENTARIAS TRONCAL CALLE 13 - SUMINISTRO E INSTALACIÓN DE POWER SUPPLY 12-16 VCC, 1,5-2.0 A-DSS CON MÓDULO BACK UP ELD 001-DSS DE RECARGA AUTOMÁTICA.</v>
          </cell>
          <cell r="H4014" t="str">
            <v>UN</v>
          </cell>
          <cell r="I4014">
            <v>2029322</v>
          </cell>
        </row>
        <row r="4015">
          <cell r="F4015">
            <v>9913</v>
          </cell>
          <cell r="G4015" t="str">
            <v>AVENIDA CONTADOR (CL. 134) - BLOQUEO Y TRANSPLANTE DE ARBOLES 15 - 20 MT (INCLUYE TRANSPORTE, RECOLECCIÓN,ALISTAMIENTO DE ZONA, PREBLOQUEO, BLOQUEO, PRUEBAS DE INFILTRACIÓN Y PH DEL SUELO, TRASLADO Y UBICACIÓN FINAL, ENDOTERAPIAS, INFORME ACTIVIDADES REALIZADAS).</v>
          </cell>
          <cell r="H4015" t="str">
            <v>UN</v>
          </cell>
          <cell r="I4015">
            <v>3403313</v>
          </cell>
        </row>
        <row r="4016">
          <cell r="F4016">
            <v>9914</v>
          </cell>
          <cell r="G4016" t="str">
            <v>AVENIDA CONTADOR (CL. 134) - BANCA EN CONCRETO M-02-A (SUMINISTRO E INSTALACIÓN)</v>
          </cell>
          <cell r="H4016" t="str">
            <v>UN</v>
          </cell>
          <cell r="I4016">
            <v>2390636</v>
          </cell>
        </row>
        <row r="4017">
          <cell r="F4017">
            <v>9915</v>
          </cell>
          <cell r="G4017" t="str">
            <v>AVENIDA CONTADOR (CL. 134) - Suministro e instalación rejilla de piso metalica cuadrado 10 x 10 cm para desague de 3"</v>
          </cell>
          <cell r="H4017" t="str">
            <v>UN</v>
          </cell>
          <cell r="I4017">
            <v>39338</v>
          </cell>
        </row>
        <row r="4018">
          <cell r="F4018">
            <v>9916</v>
          </cell>
          <cell r="G4018" t="str">
            <v>AVENIDA CONTADOR (CL. 134) - PILOTE PREEXCAVADO EN MORTERO 10 MPa (100 Kg/cm2). INCLUYE ALQUILER DE EQUIPO DE PERFORACIÓN CON OPERARIO, MOTOBOMBA, BENTONITA, MANO DE OBRA, TRANSPORTE Y DISPOSICIÓN FINAL DE ESCOMBROS EN SITIO AUTORIZADO. DISTANCIA DE TRANSPORTE 21 KM.</v>
          </cell>
          <cell r="H4018" t="str">
            <v>M3</v>
          </cell>
          <cell r="I4018">
            <v>1761089</v>
          </cell>
        </row>
        <row r="4019">
          <cell r="F4019">
            <v>9917</v>
          </cell>
          <cell r="G4019" t="str">
            <v>AVENIDA CONTADOR (CL. 134) - Suministro e instalación Cinta tipo Hypalon H-20</v>
          </cell>
          <cell r="H4019" t="str">
            <v>ML</v>
          </cell>
          <cell r="I4019">
            <v>210205</v>
          </cell>
        </row>
        <row r="4020">
          <cell r="F4020">
            <v>9918</v>
          </cell>
          <cell r="G4020" t="str">
            <v>AVENIDA CONTADOR (CL. 134) - Retiro de tirantes y resane de muros existentes en los puntos usados durante el proceso de encofrado y fundida del box culvert</v>
          </cell>
          <cell r="H4020" t="str">
            <v>M2</v>
          </cell>
          <cell r="I4020">
            <v>124185</v>
          </cell>
        </row>
        <row r="4021">
          <cell r="F4021">
            <v>9919</v>
          </cell>
          <cell r="G4021" t="str">
            <v>AVENIDA CONTADOR (CL. 134) - Concreto 28 MPa para tablero y bordillo con inclusión de microfibras (1.2kg/m3) y macrofibras (1.8kg/m3). Suministro e instalacion tablero</v>
          </cell>
          <cell r="H4021" t="str">
            <v>M3</v>
          </cell>
          <cell r="I4021">
            <v>900664</v>
          </cell>
        </row>
        <row r="4022">
          <cell r="F4022">
            <v>9920</v>
          </cell>
          <cell r="G4022" t="str">
            <v>AVENIDA CONTADOR (CL. 134) - Suministro e instalacion de FONDO DE JUNTA EN ESPUMA DE POLIETILENO DE BAJA DENSIDAD D=16 mm</v>
          </cell>
          <cell r="H4022" t="str">
            <v>ML</v>
          </cell>
          <cell r="I4022">
            <v>3305</v>
          </cell>
        </row>
        <row r="4023">
          <cell r="F4023">
            <v>9921</v>
          </cell>
          <cell r="G4023" t="str">
            <v>AVENIDA CONTADOR (CL. 134) - Suministro e instalación POLIESTIRENO DE ALTA DENSIDAD 9 e=2cm</v>
          </cell>
          <cell r="H4023" t="str">
            <v>M3</v>
          </cell>
          <cell r="I4023">
            <v>285001</v>
          </cell>
        </row>
        <row r="4024">
          <cell r="F4024">
            <v>9922</v>
          </cell>
          <cell r="G4024" t="str">
            <v>AVENIDA CONTADOR (CL. 134) - Suministro e instalación MANGUERA DE POLIETILENO DE BAJA DENSIDAD 1"</v>
          </cell>
          <cell r="H4024" t="str">
            <v>ML</v>
          </cell>
          <cell r="I4024">
            <v>3132</v>
          </cell>
        </row>
        <row r="4025">
          <cell r="F4025">
            <v>9923</v>
          </cell>
          <cell r="G4025" t="str">
            <v>ESTUDIOS Y DISEÑOS DE VIAS Y ESPACIO PUBLICO ASOCIADO A LAS ZONAS INDUSTRIALES DE MONTEVIDEO Y PUENTE ARANDA, EN LA CIUDAD DE BOGOTÁ. PINTURA EPOXICA PARA DEMARCACION PODOTACTIL EN CAJAS ESPACIO PUBLICO</v>
          </cell>
          <cell r="H4025" t="str">
            <v>M2</v>
          </cell>
          <cell r="I4025">
            <v>19806</v>
          </cell>
        </row>
        <row r="4026">
          <cell r="F4026">
            <v>9924</v>
          </cell>
          <cell r="G4026" t="str">
            <v>ESTUDIOS Y DISEÑOS DE VIAS Y ESPACIO PUBLICO ASOCIADO A LAS ZONAS INDUSTRIALES DE MONTEVIDEO Y PUENTE ARANDA, EN LA CIUDAD DE BOGOTÁ.  - TUBERIA DE CONCRETO DE ALTA RESISTENCIA D= 6" (INCLUYE MORTERO DE INSTALACION). SUMINISTRO E INSTALACION</v>
          </cell>
          <cell r="H4026" t="str">
            <v>ML</v>
          </cell>
          <cell r="I4026">
            <v>95268</v>
          </cell>
        </row>
        <row r="4027">
          <cell r="F4027">
            <v>9925</v>
          </cell>
          <cell r="G4027" t="str">
            <v>ESTUDIOS Y DISEÑOS DE VIAS Y ESPACIO PUBLICO ASOCIADO A LAS ZONAS INDUSTRIALES DE MONTEVIDEO Y PUENTE ARANDA, EN LA CIUDAD DE BOGOTÁ. - SUMIDERO COMBINADO CAJA EN VÍA DOBLE REJILLA, H=1.25M (FUNDIDO EN SITIO, CONCRETO PREMEZCLADO. INCL. SUMIN, FORM, REF. Y CONSTR. INCL. TAPA)</v>
          </cell>
          <cell r="H4027" t="str">
            <v>UN</v>
          </cell>
          <cell r="I4027">
            <v>7394604</v>
          </cell>
        </row>
        <row r="4028">
          <cell r="F4028">
            <v>9926</v>
          </cell>
          <cell r="G4028" t="str">
            <v>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v>
          </cell>
          <cell r="H4028" t="str">
            <v>UN</v>
          </cell>
          <cell r="I4028">
            <v>8184898</v>
          </cell>
        </row>
        <row r="4029">
          <cell r="F4029">
            <v>9927</v>
          </cell>
          <cell r="G4029" t="str">
            <v>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v>
          </cell>
          <cell r="H4029" t="str">
            <v>UN</v>
          </cell>
          <cell r="I4029">
            <v>7818599</v>
          </cell>
        </row>
        <row r="4030">
          <cell r="F4030">
            <v>9928</v>
          </cell>
          <cell r="G4030" t="str">
            <v>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v>
          </cell>
          <cell r="H4030" t="str">
            <v>UN</v>
          </cell>
          <cell r="I4030">
            <v>5189131</v>
          </cell>
        </row>
        <row r="4031">
          <cell r="F4031">
            <v>9929</v>
          </cell>
          <cell r="G4031" t="str">
            <v>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v>
          </cell>
          <cell r="H4031" t="str">
            <v>UN</v>
          </cell>
          <cell r="I4031">
            <v>5661070</v>
          </cell>
        </row>
        <row r="4032">
          <cell r="F4032">
            <v>9930</v>
          </cell>
          <cell r="G4032" t="str">
            <v>PROYECTO CONSTRUCCION PUENTES SAN AGUSTIN Y LOS ANDES - ANCLAJE EN SECO DE 1/2" (incluye, suministro y colocación)</v>
          </cell>
          <cell r="H4032" t="str">
            <v>ML</v>
          </cell>
          <cell r="I4032">
            <v>113119</v>
          </cell>
        </row>
        <row r="4033">
          <cell r="F4033">
            <v>9931</v>
          </cell>
          <cell r="G4033" t="str">
            <v>PROYECTO CONSTRUCCION PUENTES SAN AGUSTIN Y LOS ANDES - Tubería estructural acero al carbono (M-80 Fy = 552 Mpa) de 5" barras de perforacion completa diámetro 127 mm y espesor 9mm, incluye suministro e instalación</v>
          </cell>
          <cell r="H4033" t="str">
            <v>ML</v>
          </cell>
          <cell r="I4033">
            <v>299814</v>
          </cell>
        </row>
        <row r="4034">
          <cell r="F4034">
            <v>9932</v>
          </cell>
          <cell r="G4034" t="str">
            <v>PROYECTO CONSTRUCCION PUENTES SAN AGUSTIN Y LOS ANDES - ACOMETIDA EN BAJA TENSIÓN EN CONDUCTORES CU 2X6 AWG, 600 V (INCLUYE SUMINISTRO E INSTALACIÓN TUBERIA PVC 2" Y CABLES)</v>
          </cell>
          <cell r="H4034" t="str">
            <v>ML</v>
          </cell>
          <cell r="I4034">
            <v>48956</v>
          </cell>
        </row>
        <row r="4035">
          <cell r="F4035">
            <v>9934</v>
          </cell>
          <cell r="G4035" t="str">
            <v xml:space="preserve">PROYECTO CONSTRUCCION PUENTES SAN AGUSTIN Y LOS ANDES - ACOMETIDA TRIFASICA (3N4+1N4) SERIE 8000 THWN-600V-AL (Incluye suministro e instalacion) </v>
          </cell>
          <cell r="H4035" t="str">
            <v>ML</v>
          </cell>
          <cell r="I4035">
            <v>15630</v>
          </cell>
        </row>
        <row r="4036">
          <cell r="F4036">
            <v>9969</v>
          </cell>
          <cell r="G4036" t="str">
            <v>PROYECTO CONSTRUCCION PUENTES SAN AGUSTIN Y LOS ANDES: TUBERÍA SEMIPESADA IMC Ø=4 GALVANIZADA", EXPUESTA, CON SUS ACCESORIOS DE MONTAJE, INCLUYE RIEL CHANEL PERFORADO 4x4cm x 3m. (Suministro e instalación)</v>
          </cell>
          <cell r="H4036" t="str">
            <v>ML</v>
          </cell>
          <cell r="I4036">
            <v>193331</v>
          </cell>
        </row>
        <row r="4037">
          <cell r="F4037">
            <v>9970</v>
          </cell>
          <cell r="G4037" t="str">
            <v xml:space="preserve">PROYECTO CONSTRUCCION PUENTES SAN AGUSTIN Y LOS ANDES: TUBERÍA SEMIPESADA IMC Ø=3"GALVANIZADA, EXPUESTA, CON SUS ACCESORIOS DE MONTAJE, INCLUYE RIEL CHANEL PERFORADO 4x4cm x 3m. (Suministro e instalación) </v>
          </cell>
          <cell r="H4037" t="str">
            <v>ML</v>
          </cell>
          <cell r="I4037">
            <v>148996</v>
          </cell>
        </row>
        <row r="4038">
          <cell r="F4038">
            <v>9971</v>
          </cell>
          <cell r="G4038" t="str">
            <v>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v>
          </cell>
          <cell r="H4038" t="str">
            <v>UN</v>
          </cell>
          <cell r="I4038">
            <v>3352136</v>
          </cell>
        </row>
        <row r="4039">
          <cell r="F4039">
            <v>9972</v>
          </cell>
          <cell r="G4039" t="str">
            <v>PROYECTO ESPECIFICO PATIO ZONAL ALAMEDA EL JARDIN - PUNTO HIDRÁULICO AGUA FRÍA PVCP Ø 3/4" ORINAL Y/O RIEGO. INCLUYE SUMINISTRO E INSTALACIÓN, INCLUYE ACCESORIOS, TUBERÍA, SOLDADURA Y CINTA TEFLÓN.</v>
          </cell>
          <cell r="H4039" t="str">
            <v>UN</v>
          </cell>
          <cell r="I4039">
            <v>26620</v>
          </cell>
        </row>
        <row r="4040">
          <cell r="F4040">
            <v>9973</v>
          </cell>
          <cell r="G4040" t="str">
            <v>PROYECTO ESPECIFICO PATIO ZONAL ALAMEDA EL JARDIN - BUJE SOLDADO PRESIÓN PVC E.L. DE 3/4" X 1/2"(SUMINISTRO E INSTALACIÓN)</v>
          </cell>
          <cell r="H4040" t="str">
            <v>UN</v>
          </cell>
          <cell r="I4040">
            <v>5330</v>
          </cell>
        </row>
        <row r="4041">
          <cell r="F4041">
            <v>9974</v>
          </cell>
          <cell r="G4041" t="str">
            <v>PROYECTO ESPECIFICO PATIO ZONAL ALAMEDA EL JARDIN - BUJE SOLDADO PRESIÓN PVC E.L. DE 1" X 1/2"(SUMINISTRO E INSTALACIÓN)</v>
          </cell>
          <cell r="H4041" t="str">
            <v>UN</v>
          </cell>
          <cell r="I4041">
            <v>6082</v>
          </cell>
        </row>
        <row r="4042">
          <cell r="F4042">
            <v>9975</v>
          </cell>
          <cell r="G4042" t="str">
            <v>PROYECTO ESPECIFICO PATIO ZONAL ALAMEDA EL JARDIN -  PUNTO HIDRÁULICO AGUA FRÍA PVCP Ø 1/2" LAVAMANOS. INCLUYE SUMINISTRO E INSTALACIÓN, INCLUYE ACCESORIOS, TUBERÍA, SOLDADURA Y CINTA TEFLÓN.</v>
          </cell>
          <cell r="H4042" t="str">
            <v>UN</v>
          </cell>
          <cell r="I4042">
            <v>32007</v>
          </cell>
        </row>
        <row r="4043">
          <cell r="F4043">
            <v>9976</v>
          </cell>
          <cell r="G4043" t="str">
            <v>PROYECTO ESPECIFICO PATIO ZONAL ALAMEDA EL JARDIN -  BUJE SOLDADO PRESIÓN PVC E.L. DE 1 1/4" X 1"(SUMINISTRO E INSTALACIÓN)</v>
          </cell>
          <cell r="H4043" t="str">
            <v>UN</v>
          </cell>
          <cell r="I4043">
            <v>7473</v>
          </cell>
        </row>
        <row r="4044">
          <cell r="F4044">
            <v>9977</v>
          </cell>
          <cell r="G4044" t="str">
            <v>PROYECTO ESPECIFICO PATIO ZONAL ALAMEDA EL JARDIN - TUBERÍA PVC E.L. PARA SOLDAR DE 1/2" RDE 9 PSI 500. SUMINISTRO EN INSTALACIÓN.</v>
          </cell>
          <cell r="H4044" t="str">
            <v>ML</v>
          </cell>
          <cell r="I4044">
            <v>11314</v>
          </cell>
        </row>
        <row r="4045">
          <cell r="F4045">
            <v>9978</v>
          </cell>
          <cell r="G4045" t="str">
            <v>PROYECTO ESPECIFICO PATIO ZONAL ALAMEDA EL JARDIN -  TEE PVC SOLDAR DE 3/4". SUMINISTRO EN INSTALACIÓN</v>
          </cell>
          <cell r="H4045" t="str">
            <v>UN</v>
          </cell>
          <cell r="I4045">
            <v>6291</v>
          </cell>
        </row>
        <row r="4046">
          <cell r="F4046">
            <v>9979</v>
          </cell>
          <cell r="G4046" t="str">
            <v>PROYECTO ESPECIFICO PATIO ZONAL ALAMEDA EL JARDIN - BUJE SOLDADO PRESIÓN PVC E.L. DE 1 1/2" X 1/2"(SUMINISTRO E INSTALACIÓN)</v>
          </cell>
          <cell r="H4046" t="str">
            <v>UN</v>
          </cell>
          <cell r="I4046">
            <v>9051</v>
          </cell>
        </row>
        <row r="4047">
          <cell r="F4047">
            <v>9980</v>
          </cell>
          <cell r="G4047" t="str">
            <v>PROYECTO ESPECIFICO PATIO ZONAL ALAMEDA EL JARDIN - BUJE SOLDADO PRESIÓN PVC E.L. DE 1 1/2" X 1"(SUMINISTRO E INSTALACIÓN)</v>
          </cell>
          <cell r="H4047" t="str">
            <v>UN</v>
          </cell>
          <cell r="I4047">
            <v>9024</v>
          </cell>
        </row>
        <row r="4048">
          <cell r="F4048">
            <v>9981</v>
          </cell>
          <cell r="G4048" t="str">
            <v>PROYECTO ESPECIFICO PATIO ZONAL ALAMEDA EL JARDIN: PERFIL IPE - ASTM A572 GR.50 (INCLUYE SUMINISTRO E INSTALACIÓN)</v>
          </cell>
          <cell r="H4048" t="str">
            <v>KG</v>
          </cell>
          <cell r="I4048">
            <v>11403</v>
          </cell>
        </row>
        <row r="4049">
          <cell r="F4049">
            <v>9982</v>
          </cell>
          <cell r="G4049" t="str">
            <v>PROYECTO PATIO ZONAL ALAMEDA EL JARDIN: REJILLA SUMIDERO LATERAL 83.50 X 45 (INCLUYE SUMINISTRO E INSTALACION)</v>
          </cell>
          <cell r="H4049" t="str">
            <v>ML</v>
          </cell>
          <cell r="I4049">
            <v>378456</v>
          </cell>
        </row>
        <row r="4050">
          <cell r="F4050">
            <v>9983</v>
          </cell>
          <cell r="G4050" t="str">
            <v>PROYECTO PATIO ZONAL ALAMEDA EL JARDIN: SALIDA ELÉCTRICA PARA CAFETERA EN TUBERÍA CONDUIT EMT Y/O PVC DE 3/4" (INCLUYE SUMINISTRO E INSTALACIÓN)</v>
          </cell>
          <cell r="H4050" t="str">
            <v>UN</v>
          </cell>
          <cell r="I4050">
            <v>40691</v>
          </cell>
        </row>
        <row r="4051">
          <cell r="F4051">
            <v>9984</v>
          </cell>
          <cell r="G4051" t="str">
            <v xml:space="preserve">PROYECTO PATIO ZONAL ALAMEDA EL JARDIN: ACOMETIDA TRIFASICA CONFORMADA POR CABLE DE CU No. 10 AWG THHN. INCLUYE SUMINISTRO E INSTALACIÓN </v>
          </cell>
          <cell r="H4051" t="str">
            <v>ML</v>
          </cell>
          <cell r="I4051">
            <v>23227</v>
          </cell>
        </row>
        <row r="4052">
          <cell r="F4052">
            <v>9985</v>
          </cell>
          <cell r="G4052" t="str">
            <v xml:space="preserve">PROYECTO PATIO ZONAL ALAMEDA EL JARDIN: ACOMETIDA TRIFASICA CONFORMADA POR CABLE DE CU 3 No. 8 Y 2 No. 10 AWG THHN. INCLUYE SUMINISTRO E INSTALACIÓN </v>
          </cell>
          <cell r="H4052" t="str">
            <v>ML</v>
          </cell>
          <cell r="I4052">
            <v>28132</v>
          </cell>
        </row>
        <row r="4053">
          <cell r="F4053">
            <v>9986</v>
          </cell>
          <cell r="G4053" t="str">
            <v xml:space="preserve">PROYECTO PATIO ZONAL ALAMEDA EL JARDIN: ACOMETIDA TRIFASICA CONFORMADA POR CABLE DE CU 3 No. 4/0, 1 No. 2 Y 1 No. 6 AWG THHN. INCLUYE SUMINISTRO E INSTALACIÓN </v>
          </cell>
          <cell r="H4053" t="str">
            <v>ML</v>
          </cell>
          <cell r="I4053">
            <v>263177</v>
          </cell>
        </row>
        <row r="4054">
          <cell r="F4054">
            <v>9987</v>
          </cell>
          <cell r="G4054" t="str">
            <v>PROYECTO PATIO ZONAL ALAMEDA EL JARDIN: TABLERO TRIFASICO 42 CIRCUITOS CON PUERTA ESPACIO PARA TOTALIZADOR (INCLUYE SUMINISTRO E INSTALACION)</v>
          </cell>
          <cell r="H4054" t="str">
            <v>UN</v>
          </cell>
          <cell r="I4054">
            <v>440521</v>
          </cell>
        </row>
        <row r="4055">
          <cell r="F4055">
            <v>9988</v>
          </cell>
          <cell r="G4055" t="str">
            <v xml:space="preserve">PROYECTO PATIO ZONAL ALAMEDA EL JARDIN: ACOMETIDA TRIFASICA CONFORMADA POR CABLE DE CU 3 No. 12, 1 No. 8 Y 1 No. 6 AWG THHN. INCLUYE SUMINISTRO E INSTALACIÓN </v>
          </cell>
          <cell r="H4055" t="str">
            <v>ML</v>
          </cell>
          <cell r="I4055">
            <v>25370</v>
          </cell>
        </row>
        <row r="4056">
          <cell r="F4056">
            <v>9989</v>
          </cell>
          <cell r="G4056" t="str">
            <v>PROYECTO ESPECIFICO PATIO ZONAL ALAMEDA EL JARDIN: ACOMETIDA TRIFASICA CONFORMADA POR CABLE DE CU 3 No. 10, 1 No. 8 Y 1 No. 6 AWG THHN. INCLUYE SUMINISTRO E INSTALACIÓN</v>
          </cell>
          <cell r="H4056" t="str">
            <v>ML</v>
          </cell>
          <cell r="I4056">
            <v>29504</v>
          </cell>
        </row>
        <row r="4057">
          <cell r="F4057">
            <v>9990</v>
          </cell>
          <cell r="G4057" t="str">
            <v xml:space="preserve">PROYECTO ESPECIFICO PATIO ZONAL ALAMEDA EL JARDIN: ACOMETIDA TRIFASICA CONFORMADA POR CABLE DE CU 3 No. 8, 1 No. 10 Y 1 No. 10 AWG THHN. INCLUYE SUMINISTRO E INSTALACIÓN </v>
          </cell>
          <cell r="H4057" t="str">
            <v>ML</v>
          </cell>
          <cell r="I4057">
            <v>28132</v>
          </cell>
        </row>
        <row r="4058">
          <cell r="F4058">
            <v>9991</v>
          </cell>
          <cell r="G4058" t="str">
            <v xml:space="preserve">PROYECTO ESPECIFICO PATIO ZONAL ALAMEDA EL JARDIN: ACOMETIDA TRIFASICA CONFORMADA POR CABLE DE CU 3 No. 2/0, 1 No. 1/0 Y 1 No. 2 AWG THHN. INCLUYE SUMINISTRO E INSTALACIÓN </v>
          </cell>
          <cell r="H4058" t="str">
            <v>ML</v>
          </cell>
          <cell r="I4058">
            <v>184409</v>
          </cell>
        </row>
        <row r="4059">
          <cell r="F4059">
            <v>9992</v>
          </cell>
          <cell r="G4059" t="str">
            <v>PROYECTO ESPECIFICO PATIO ZONAL ALAMEDA EL JARDIN: TUBERÍA CONDUIT EMT 1.1/4" DESDE EQUIPOS HASTA TABLERO DE DISTRIBUCIÓN. SE INCLUYE INCIDENCIA DE SOPORTERIA, ACCESORIOS DE DERIVACIÓN Y FIJACIÓN. MATERIALES CERTIFICADOS RETIE E INSTALADOS SEGÚN REGLAMENTACIÓN NTC 2050.</v>
          </cell>
          <cell r="H4059" t="str">
            <v>ML</v>
          </cell>
          <cell r="I4059">
            <v>43221</v>
          </cell>
        </row>
        <row r="4060">
          <cell r="F4060">
            <v>9993</v>
          </cell>
          <cell r="G4060" t="str">
            <v>PROYECTO ESPECIFICO PATIO ZONAL ALAMEDA EL JARDIN: TUBERIA PVC VENTILACIÓN D=2" TIPO U.S. (INCLUYE SUMINISTRO E INSTALACIÓN)</v>
          </cell>
          <cell r="H4060" t="str">
            <v>ML</v>
          </cell>
          <cell r="I4060">
            <v>19756</v>
          </cell>
        </row>
        <row r="4061">
          <cell r="F4061">
            <v>9994</v>
          </cell>
          <cell r="G4061" t="str">
            <v>PROYECTO ESPECIFICO PATIO ZONAL ALAMEDA EL JARDIN: SIFÓN PARA PATIO Y SOTANO D 2"</v>
          </cell>
          <cell r="H4061" t="str">
            <v>UN</v>
          </cell>
          <cell r="I4061">
            <v>12324</v>
          </cell>
        </row>
        <row r="4062">
          <cell r="F4062">
            <v>9995</v>
          </cell>
          <cell r="G4062" t="str">
            <v>PROYECTO ESPECIFICO PATIO ZONAL ALAMEDA EL JARDIN: CABLE   DE   ALUMINIO   3   No   4   AWG (INCLUYE SUMINISTRO E INSTALACION)</v>
          </cell>
          <cell r="H4062" t="str">
            <v>ML</v>
          </cell>
          <cell r="I4062">
            <v>45590</v>
          </cell>
        </row>
        <row r="4063">
          <cell r="F4063">
            <v>9996</v>
          </cell>
          <cell r="G4063" t="str">
            <v>PROYECTO ESPECIFICO PATIO ZONAL ALAMEDA EL JARDIN: SEÑAL EN  POLIESTIRENO (30cm x 20cm) FOTOLUMINISCENTE - NORMA NTC - ISO (INCLUYE SUMINISTRO E INSTALACION)</v>
          </cell>
          <cell r="H4063" t="str">
            <v>UN</v>
          </cell>
          <cell r="I4063">
            <v>71690</v>
          </cell>
        </row>
        <row r="4064">
          <cell r="F4064">
            <v>9997</v>
          </cell>
          <cell r="G4064" t="str">
            <v>NIVELACIÓN Y COMPACTACIÓN DE SUBRASANTE PARA ESPACIO PÚBLICO</v>
          </cell>
          <cell r="H4064" t="str">
            <v>M2</v>
          </cell>
          <cell r="I4064">
            <v>1344</v>
          </cell>
        </row>
        <row r="4065">
          <cell r="F4065">
            <v>9998</v>
          </cell>
          <cell r="G4065" t="str">
            <v>MEZCLA ASFÁLTICA EN CALIENTE MCCh25-A CON CEMENTO ASFÁLTICO MODIFICADO CON CAUCHO (SUMINISTRO, EXTENDIDO, NIVELACIÓN Y COMPACTACIÓN MECÁNICA)</v>
          </cell>
          <cell r="H4065" t="str">
            <v>M3</v>
          </cell>
          <cell r="I4065">
            <v>1458944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
      <sheetName val="FORMULARIO 1 PROPUESTA ECONOMIC"/>
      <sheetName val="AIU FLDT"/>
      <sheetName val="CÁLCULO FACTOR MULTIPLICADOR"/>
      <sheetName val="COMPONENTE AMBIENTAL"/>
      <sheetName val="AIU COMP. AMBIENTAL"/>
      <sheetName val="COMPONENTE SOCIAL"/>
      <sheetName val="AIU COMP. SOCIAL"/>
      <sheetName val="COMPONENTE PMT"/>
      <sheetName val="AIU COMP. PMT"/>
      <sheetName val="PRECIOS IDU 2025"/>
      <sheetName val="PRECIOS INSUMOS IDU 2025"/>
      <sheetName val="PRIORIZACION MALLA VIAL URB"/>
      <sheetName val="PRIORIZACION MALLA VIAL RUR"/>
      <sheetName val="PPTO RIGIDOS RECONS"/>
      <sheetName val="PPTO FLEXIBLE RECONS"/>
      <sheetName val="PPTO FLEXIBLE RECONS RUR"/>
      <sheetName val="PPTO RIGIDOS REHAB"/>
      <sheetName val="PPTO FLEXIBLE REHAB"/>
      <sheetName val="PPTO RIGIDOS MANT"/>
      <sheetName val="PPTO FLEXIBLE MANT"/>
      <sheetName val="LISTADO CIV RIGIDOS"/>
      <sheetName val="Hoja3"/>
      <sheetName val="LISTADO CIV FLEXIBLES"/>
      <sheetName val="CONSOL CIV URB DESC $"/>
      <sheetName val="Hoja13"/>
      <sheetName val="CONSOL CIV RUR $"/>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7">
          <cell r="L37">
            <v>0.13326834404890256</v>
          </cell>
        </row>
      </sheetData>
      <sheetData sheetId="8" refreshError="1"/>
      <sheetData sheetId="9">
        <row r="38">
          <cell r="L38">
            <v>0.1334642308794855</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66D03-9AFB-4515-ABF1-9C9BF6A49AB6}">
  <sheetPr>
    <tabColor rgb="FF00B0F0"/>
  </sheetPr>
  <dimension ref="A1:BB120"/>
  <sheetViews>
    <sheetView showGridLines="0" tabSelected="1" topLeftCell="C1" zoomScale="66" zoomScaleNormal="85" zoomScaleSheetLayoutView="70" zoomScalePageLayoutView="55" workbookViewId="0">
      <pane xSplit="9" ySplit="15" topLeftCell="M104" activePane="bottomRight" state="frozen"/>
      <selection pane="topRight" activeCell="L1" sqref="L1"/>
      <selection pane="bottomLeft" activeCell="C16" sqref="C16"/>
      <selection pane="bottomRight" activeCell="M106" sqref="M106"/>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21875" style="4" customWidth="1"/>
    <col min="13" max="13" width="16.21875" style="4" customWidth="1"/>
    <col min="14" max="14" width="17" style="4" customWidth="1"/>
    <col min="15" max="15" width="22.88671875" style="4" bestFit="1" customWidth="1"/>
    <col min="16" max="16" width="25.88671875" style="4" bestFit="1" customWidth="1"/>
    <col min="17" max="17" width="11.44140625" style="4"/>
    <col min="18" max="18" width="25.88671875" style="4" bestFit="1" customWidth="1"/>
    <col min="19" max="19" width="11.44140625" style="4"/>
    <col min="20" max="20" width="25.88671875" style="4" bestFit="1" customWidth="1"/>
    <col min="21" max="21" width="11.44140625" style="4"/>
    <col min="22" max="22" width="25.88671875" style="4" bestFit="1" customWidth="1"/>
    <col min="23" max="23" width="11.44140625" style="4"/>
    <col min="24" max="24" width="25.88671875" style="4" bestFit="1" customWidth="1"/>
    <col min="25" max="25" width="11.44140625" style="4"/>
    <col min="26" max="26" width="25.88671875" style="4" bestFit="1" customWidth="1"/>
    <col min="27" max="27" width="11.44140625" style="4"/>
    <col min="28" max="28" width="25.88671875" style="4" bestFit="1" customWidth="1"/>
    <col min="29" max="29" width="11.44140625" style="4"/>
    <col min="30" max="30" width="24.44140625" style="4" bestFit="1" customWidth="1"/>
    <col min="31" max="31" width="11.44140625" style="4"/>
    <col min="32" max="32" width="24.44140625" style="4" bestFit="1" customWidth="1"/>
    <col min="33" max="33" width="13.33203125" style="4" customWidth="1"/>
    <col min="34" max="34" width="23.33203125" style="4" customWidth="1"/>
    <col min="35" max="35" width="11.44140625" style="4"/>
    <col min="36" max="36" width="24.44140625" style="4" bestFit="1" customWidth="1"/>
    <col min="37" max="37" width="11.44140625" style="4"/>
    <col min="38" max="38" width="24.44140625" style="4" bestFit="1" customWidth="1"/>
    <col min="39" max="39" width="11.44140625" style="4"/>
    <col min="40" max="40" width="24.44140625" style="4" bestFit="1" customWidth="1"/>
    <col min="41" max="41" width="11.44140625" style="4"/>
    <col min="42" max="42" width="24.44140625" style="4" bestFit="1" customWidth="1"/>
    <col min="43" max="43" width="11.44140625" style="4" hidden="1" customWidth="1"/>
    <col min="44" max="44" width="20.109375" style="4" hidden="1" customWidth="1"/>
    <col min="45" max="45" width="11.44140625" style="4" hidden="1" customWidth="1"/>
    <col min="46" max="46" width="17.109375" style="4" hidden="1" customWidth="1"/>
    <col min="47" max="47" width="11.44140625" style="4" hidden="1" customWidth="1"/>
    <col min="48" max="48" width="17.109375" style="4" hidden="1" customWidth="1"/>
    <col min="49" max="49" width="11.44140625" style="4" hidden="1" customWidth="1"/>
    <col min="50" max="50" width="17.33203125" style="4" hidden="1" customWidth="1"/>
    <col min="51" max="51" width="11.44140625" style="4" hidden="1" customWidth="1"/>
    <col min="52" max="52" width="18.109375" style="4" hidden="1" customWidth="1"/>
    <col min="53" max="53" width="11.44140625" style="4"/>
    <col min="54" max="54" width="24.44140625" style="4" bestFit="1" customWidth="1"/>
    <col min="55" max="16384" width="11.44140625" style="4"/>
  </cols>
  <sheetData>
    <row r="1" spans="1:54" ht="16.2" thickBot="1" x14ac:dyDescent="0.35">
      <c r="A1" s="3"/>
      <c r="B1" s="3"/>
      <c r="C1" s="3"/>
      <c r="D1" s="3"/>
      <c r="E1" s="3"/>
      <c r="F1" s="3"/>
      <c r="G1" s="3"/>
      <c r="H1" s="3"/>
      <c r="I1" s="3"/>
      <c r="J1" s="3"/>
      <c r="K1" s="3"/>
    </row>
    <row r="2" spans="1:54" ht="16.2" thickTop="1" x14ac:dyDescent="0.3">
      <c r="A2" s="3"/>
      <c r="B2" s="5"/>
      <c r="C2" s="6"/>
      <c r="D2" s="6"/>
      <c r="E2" s="6"/>
      <c r="F2" s="6"/>
      <c r="G2" s="6"/>
      <c r="H2" s="6"/>
      <c r="I2" s="6" t="s">
        <v>6664</v>
      </c>
      <c r="J2" s="536">
        <f>+J110</f>
        <v>7.9143047332763672E-4</v>
      </c>
      <c r="K2" s="7"/>
    </row>
    <row r="3" spans="1:54" ht="27" customHeight="1" x14ac:dyDescent="0.3">
      <c r="A3" s="3"/>
      <c r="B3" s="8"/>
      <c r="C3" s="584" t="s">
        <v>0</v>
      </c>
      <c r="D3" s="585"/>
      <c r="E3" s="3"/>
      <c r="F3" s="3"/>
      <c r="G3" s="3"/>
      <c r="H3" s="3"/>
      <c r="I3" s="3" t="s">
        <v>6665</v>
      </c>
      <c r="J3" s="534">
        <f>+J108</f>
        <v>-2.5267601013183594E-3</v>
      </c>
      <c r="K3" s="9"/>
      <c r="V3" s="516"/>
    </row>
    <row r="4" spans="1:54" ht="15.6" x14ac:dyDescent="0.3">
      <c r="A4" s="3"/>
      <c r="B4" s="8"/>
      <c r="C4" s="10" t="s">
        <v>1</v>
      </c>
      <c r="D4" s="11" t="s">
        <v>2</v>
      </c>
      <c r="E4" s="3"/>
      <c r="F4" s="3"/>
      <c r="G4" s="3"/>
      <c r="H4" s="3"/>
      <c r="I4" s="3"/>
      <c r="J4" s="3"/>
      <c r="K4" s="9"/>
      <c r="V4" s="516"/>
    </row>
    <row r="5" spans="1:54" ht="15.6" x14ac:dyDescent="0.3">
      <c r="A5" s="3"/>
      <c r="B5" s="8"/>
      <c r="C5" s="586" t="s">
        <v>3</v>
      </c>
      <c r="D5" s="586"/>
      <c r="E5" s="586"/>
      <c r="F5" s="586"/>
      <c r="G5" s="586"/>
      <c r="H5" s="586"/>
      <c r="I5" s="586"/>
      <c r="J5" s="586"/>
      <c r="K5" s="9"/>
      <c r="V5" s="516"/>
    </row>
    <row r="6" spans="1:54" ht="16.2" thickBot="1" x14ac:dyDescent="0.35">
      <c r="A6" s="3"/>
      <c r="B6" s="8"/>
      <c r="C6" s="587" t="s">
        <v>4</v>
      </c>
      <c r="D6" s="587"/>
      <c r="E6" s="587"/>
      <c r="F6" s="587"/>
      <c r="G6" s="587"/>
      <c r="H6" s="587"/>
      <c r="I6" s="587"/>
      <c r="J6" s="587"/>
      <c r="K6" s="9"/>
      <c r="V6" s="516"/>
    </row>
    <row r="7" spans="1:54" s="15" customFormat="1" ht="16.5" customHeight="1" x14ac:dyDescent="0.3">
      <c r="A7" s="12"/>
      <c r="B7" s="13"/>
      <c r="C7" s="588" t="s">
        <v>5</v>
      </c>
      <c r="D7" s="589"/>
      <c r="E7" s="589"/>
      <c r="F7" s="590"/>
      <c r="G7" s="590"/>
      <c r="H7" s="590"/>
      <c r="I7" s="591"/>
      <c r="J7" s="592"/>
      <c r="K7" s="14"/>
      <c r="O7" s="612" t="s">
        <v>6630</v>
      </c>
      <c r="P7" s="612"/>
      <c r="V7" s="516"/>
    </row>
    <row r="8" spans="1:54" ht="15.6" x14ac:dyDescent="0.3">
      <c r="A8" s="3"/>
      <c r="B8" s="16"/>
      <c r="C8" s="596" t="s">
        <v>6</v>
      </c>
      <c r="D8" s="597"/>
      <c r="E8" s="597"/>
      <c r="F8" s="593"/>
      <c r="G8" s="593"/>
      <c r="H8" s="593"/>
      <c r="I8" s="594"/>
      <c r="J8" s="595"/>
      <c r="K8" s="9"/>
      <c r="O8" s="4" t="s">
        <v>6631</v>
      </c>
      <c r="P8" s="4">
        <v>0.35</v>
      </c>
      <c r="V8" s="516"/>
    </row>
    <row r="9" spans="1:54" ht="15.6" x14ac:dyDescent="0.3">
      <c r="A9" s="3"/>
      <c r="B9" s="16"/>
      <c r="C9" s="596" t="s">
        <v>7</v>
      </c>
      <c r="D9" s="597"/>
      <c r="E9" s="597"/>
      <c r="F9" s="593"/>
      <c r="G9" s="593"/>
      <c r="H9" s="593"/>
      <c r="I9" s="594"/>
      <c r="J9" s="595"/>
      <c r="K9" s="9"/>
      <c r="O9" s="4" t="s">
        <v>6632</v>
      </c>
      <c r="P9" s="4">
        <v>0.1</v>
      </c>
      <c r="V9" s="516"/>
    </row>
    <row r="10" spans="1:54" ht="15.6" x14ac:dyDescent="0.3">
      <c r="A10" s="3"/>
      <c r="B10" s="16"/>
      <c r="C10" s="599" t="s">
        <v>8</v>
      </c>
      <c r="D10" s="593"/>
      <c r="E10" s="593" t="s">
        <v>6662</v>
      </c>
      <c r="F10" s="593"/>
      <c r="G10" s="593"/>
      <c r="H10" s="593"/>
      <c r="I10" s="594"/>
      <c r="J10" s="595"/>
      <c r="K10" s="9"/>
      <c r="O10" s="613" t="s">
        <v>6639</v>
      </c>
      <c r="P10" s="613"/>
      <c r="Q10" s="613"/>
      <c r="R10" s="613"/>
      <c r="U10" s="613" t="s">
        <v>6640</v>
      </c>
      <c r="V10" s="613"/>
      <c r="AC10" s="613" t="s">
        <v>6638</v>
      </c>
      <c r="AD10" s="613"/>
      <c r="AE10" s="613" t="s">
        <v>6660</v>
      </c>
      <c r="AF10" s="613"/>
    </row>
    <row r="11" spans="1:54" ht="15.6" x14ac:dyDescent="0.3">
      <c r="A11" s="3"/>
      <c r="B11" s="16"/>
      <c r="C11" s="599"/>
      <c r="D11" s="593"/>
      <c r="E11" s="593"/>
      <c r="F11" s="593"/>
      <c r="G11" s="593"/>
      <c r="H11" s="593"/>
      <c r="I11" s="594"/>
      <c r="J11" s="595"/>
      <c r="K11" s="9"/>
      <c r="O11" s="4" t="s">
        <v>6629</v>
      </c>
      <c r="P11" s="4">
        <f>+'[113]ESPACIO PUBLICO'!$B$17</f>
        <v>323824</v>
      </c>
      <c r="Q11" s="4" t="s">
        <v>6629</v>
      </c>
      <c r="R11" s="4">
        <f>+'[113]ESPACIO PUBLICO'!$B$18</f>
        <v>323827</v>
      </c>
      <c r="S11" s="4" t="s">
        <v>6629</v>
      </c>
      <c r="T11" s="4">
        <f>+'[113]ESPACIO PUBLICO'!$B$19</f>
        <v>323671</v>
      </c>
      <c r="U11" s="4" t="s">
        <v>6629</v>
      </c>
      <c r="V11" s="4">
        <f>+'[113]ESPACIO PUBLICO'!$B$20</f>
        <v>323674</v>
      </c>
      <c r="W11" s="4" t="s">
        <v>6637</v>
      </c>
      <c r="X11" s="4">
        <f>+'[113]ESPACIO PUBLICO'!$B$21</f>
        <v>320317</v>
      </c>
      <c r="Y11" s="4" t="s">
        <v>6637</v>
      </c>
      <c r="Z11" s="4">
        <f>+'[113]ESPACIO PUBLICO'!$B$22</f>
        <v>320345</v>
      </c>
      <c r="AA11" s="4" t="s">
        <v>6637</v>
      </c>
      <c r="AB11" s="4">
        <f>+'[113]ESPACIO PUBLICO'!$B$23</f>
        <v>320299</v>
      </c>
      <c r="AC11" s="4" t="s">
        <v>6637</v>
      </c>
      <c r="AD11" s="4">
        <f>+'[113]ESPACIO PUBLICO'!$B$27</f>
        <v>324418</v>
      </c>
      <c r="AE11" s="4" t="s">
        <v>6637</v>
      </c>
      <c r="AG11" s="4" t="s">
        <v>6642</v>
      </c>
      <c r="AH11" s="4">
        <v>321365</v>
      </c>
      <c r="AI11" s="4" t="s">
        <v>6646</v>
      </c>
      <c r="AJ11" s="4" t="s">
        <v>6645</v>
      </c>
      <c r="AL11" s="4">
        <v>323511</v>
      </c>
    </row>
    <row r="12" spans="1:54" ht="16.2" thickBot="1" x14ac:dyDescent="0.35">
      <c r="A12" s="3"/>
      <c r="B12" s="16"/>
      <c r="C12" s="600"/>
      <c r="D12" s="601"/>
      <c r="E12" s="601"/>
      <c r="F12" s="601"/>
      <c r="G12" s="601"/>
      <c r="H12" s="601"/>
      <c r="I12" s="602"/>
      <c r="J12" s="603"/>
      <c r="K12" s="9"/>
      <c r="O12" s="546">
        <v>6001302</v>
      </c>
      <c r="P12" s="546"/>
      <c r="Q12" s="546">
        <f>+'[113]ESPACIO PUBLICO'!$A$18</f>
        <v>6001303</v>
      </c>
      <c r="R12" s="546"/>
      <c r="S12" s="546">
        <f>+'[113]ESPACIO PUBLICO'!$A$19</f>
        <v>6001244</v>
      </c>
      <c r="T12" s="546"/>
      <c r="U12" s="546" t="str">
        <f>+'[113]ESPACIO PUBLICO'!$A$20</f>
        <v xml:space="preserve">	6001245</v>
      </c>
      <c r="V12" s="546"/>
      <c r="W12" s="546">
        <f>+'[113]ESPACIO PUBLICO'!$A$21</f>
        <v>6000084</v>
      </c>
      <c r="X12" s="546"/>
      <c r="Y12" s="540">
        <f>+'[113]ESPACIO PUBLICO'!$A$22</f>
        <v>6000094</v>
      </c>
      <c r="Z12" s="541"/>
      <c r="AA12" s="546">
        <f>+'[113]ESPACIO PUBLICO'!$A$23</f>
        <v>6000096</v>
      </c>
      <c r="AB12" s="546"/>
      <c r="AC12" s="546">
        <f>+'[113]ESPACIO PUBLICO'!$A$27</f>
        <v>6001479</v>
      </c>
      <c r="AD12" s="546"/>
      <c r="AE12" s="546" t="s">
        <v>6659</v>
      </c>
      <c r="AF12" s="546"/>
      <c r="AG12" s="546">
        <v>6000458</v>
      </c>
      <c r="AH12" s="546"/>
      <c r="AI12" s="549" t="s">
        <v>6643</v>
      </c>
      <c r="AJ12" s="546"/>
      <c r="AK12" s="546">
        <v>6001191</v>
      </c>
      <c r="AL12" s="546"/>
      <c r="AM12" s="546">
        <v>6000523</v>
      </c>
      <c r="AN12" s="546"/>
      <c r="AO12" s="546">
        <v>6001520</v>
      </c>
      <c r="AP12" s="546"/>
      <c r="AQ12" s="540"/>
      <c r="AR12" s="541"/>
      <c r="AS12" s="540"/>
      <c r="AT12" s="541"/>
      <c r="AU12" s="540"/>
      <c r="AV12" s="541"/>
      <c r="AW12" s="540"/>
      <c r="AX12" s="541"/>
      <c r="AY12" s="540"/>
      <c r="AZ12" s="541"/>
      <c r="BA12" s="546"/>
      <c r="BB12" s="546"/>
    </row>
    <row r="13" spans="1:54" ht="30" customHeight="1" thickBot="1" x14ac:dyDescent="0.35">
      <c r="A13" s="3"/>
      <c r="B13" s="8"/>
      <c r="C13" s="604"/>
      <c r="D13" s="605"/>
      <c r="E13" s="605"/>
      <c r="F13" s="605"/>
      <c r="G13" s="605"/>
      <c r="H13" s="605"/>
      <c r="I13" s="605"/>
      <c r="J13" s="606"/>
      <c r="K13" s="9"/>
      <c r="O13" s="540" t="s">
        <v>6628</v>
      </c>
      <c r="P13" s="541"/>
      <c r="Q13" s="540" t="str">
        <f>+'[113]ESPACIO PUBLICO'!$Q$18</f>
        <v>CL 51 S Entre 	KR 19B hasta KR 19C</v>
      </c>
      <c r="R13" s="541"/>
      <c r="S13" s="540" t="str">
        <f>+'[113]ESPACIO PUBLICO'!$Q$19</f>
        <v>CL 55 S Entre KR 24C hasta KR 25</v>
      </c>
      <c r="T13" s="541"/>
      <c r="U13" s="540" t="str">
        <f>+'[113]ESPACIO PUBLICO'!$Q$20</f>
        <v>CL 55 SUR Entre SE hasta 	KR 24 C</v>
      </c>
      <c r="V13" s="541"/>
      <c r="W13" s="540" t="str">
        <f>+'[113]ESPACIO PUBLICO'!$Q$21</f>
        <v>DG 48 S Entre KR 54B hasta KR 55BIS</v>
      </c>
      <c r="X13" s="541"/>
      <c r="Y13" s="540" t="str">
        <f>+'[113]ESPACIO PUBLICO'!$Q$22</f>
        <v>KR 52C Entre DG 46A S hasta DG 47 S</v>
      </c>
      <c r="Z13" s="541"/>
      <c r="AA13" s="540" t="str">
        <f>+'[113]ESPACIO PUBLICO'!$Q$23</f>
        <v>DG 47A S Entre KR 53C hasta KR 54</v>
      </c>
      <c r="AB13" s="541"/>
      <c r="AC13" s="540" t="str">
        <f>+'[113]ESPACIO PUBLICO'!$Q$27</f>
        <v>CL 57 S Entre KR 16 hasta KR 17</v>
      </c>
      <c r="AD13" s="541"/>
      <c r="AE13" s="540" t="s">
        <v>6659</v>
      </c>
      <c r="AF13" s="541"/>
      <c r="AG13" s="540" t="s">
        <v>6641</v>
      </c>
      <c r="AH13" s="541"/>
      <c r="AI13" s="550" t="s">
        <v>6644</v>
      </c>
      <c r="AJ13" s="541"/>
      <c r="AK13" s="540" t="s">
        <v>6647</v>
      </c>
      <c r="AL13" s="541"/>
      <c r="AM13" s="540" t="s">
        <v>6648</v>
      </c>
      <c r="AN13" s="541"/>
      <c r="AO13" s="540" t="s">
        <v>6649</v>
      </c>
      <c r="AP13" s="541"/>
      <c r="AQ13" s="540"/>
      <c r="AR13" s="541"/>
      <c r="AS13" s="540"/>
      <c r="AT13" s="541"/>
      <c r="AU13" s="540"/>
      <c r="AV13" s="541"/>
      <c r="AW13" s="540"/>
      <c r="AX13" s="541"/>
      <c r="AY13" s="540"/>
      <c r="AZ13" s="541"/>
      <c r="BA13" s="540" t="s">
        <v>6650</v>
      </c>
      <c r="BB13" s="541"/>
    </row>
    <row r="14" spans="1:54" ht="16.5" customHeight="1" x14ac:dyDescent="0.3">
      <c r="A14" s="3"/>
      <c r="B14" s="8"/>
      <c r="C14" s="607" t="s">
        <v>10</v>
      </c>
      <c r="D14" s="609" t="s">
        <v>11</v>
      </c>
      <c r="E14" s="607" t="s">
        <v>12</v>
      </c>
      <c r="F14" s="611" t="s">
        <v>13</v>
      </c>
      <c r="G14" s="611" t="s">
        <v>14</v>
      </c>
      <c r="H14" s="598" t="s">
        <v>15</v>
      </c>
      <c r="I14" s="598"/>
      <c r="J14" s="598" t="s">
        <v>181</v>
      </c>
      <c r="K14" s="9"/>
      <c r="O14" s="547" t="s">
        <v>14</v>
      </c>
      <c r="P14" s="548" t="s">
        <v>16</v>
      </c>
      <c r="Q14" s="547" t="s">
        <v>14</v>
      </c>
      <c r="R14" s="548" t="s">
        <v>16</v>
      </c>
      <c r="S14" s="547" t="s">
        <v>14</v>
      </c>
      <c r="T14" s="548" t="s">
        <v>16</v>
      </c>
      <c r="U14" s="547" t="s">
        <v>14</v>
      </c>
      <c r="V14" s="548" t="s">
        <v>16</v>
      </c>
      <c r="W14" s="547" t="s">
        <v>14</v>
      </c>
      <c r="X14" s="548" t="s">
        <v>16</v>
      </c>
      <c r="Y14" s="547" t="s">
        <v>14</v>
      </c>
      <c r="Z14" s="548" t="s">
        <v>16</v>
      </c>
      <c r="AA14" s="547" t="s">
        <v>14</v>
      </c>
      <c r="AB14" s="548" t="s">
        <v>16</v>
      </c>
      <c r="AC14" s="547" t="s">
        <v>14</v>
      </c>
      <c r="AD14" s="548" t="s">
        <v>16</v>
      </c>
      <c r="AE14" s="547" t="s">
        <v>14</v>
      </c>
      <c r="AF14" s="548" t="s">
        <v>16</v>
      </c>
      <c r="AG14" s="547" t="s">
        <v>14</v>
      </c>
      <c r="AH14" s="548" t="s">
        <v>16</v>
      </c>
      <c r="AI14" s="547" t="s">
        <v>14</v>
      </c>
      <c r="AJ14" s="548" t="s">
        <v>16</v>
      </c>
      <c r="AK14" s="547" t="s">
        <v>14</v>
      </c>
      <c r="AL14" s="548" t="s">
        <v>16</v>
      </c>
      <c r="AM14" s="547" t="s">
        <v>14</v>
      </c>
      <c r="AN14" s="548" t="s">
        <v>16</v>
      </c>
      <c r="AO14" s="547" t="s">
        <v>14</v>
      </c>
      <c r="AP14" s="548" t="s">
        <v>16</v>
      </c>
      <c r="AQ14" s="544" t="s">
        <v>14</v>
      </c>
      <c r="AR14" s="542" t="s">
        <v>16</v>
      </c>
      <c r="AS14" s="544" t="s">
        <v>14</v>
      </c>
      <c r="AT14" s="542" t="s">
        <v>16</v>
      </c>
      <c r="AU14" s="544" t="s">
        <v>14</v>
      </c>
      <c r="AV14" s="542" t="s">
        <v>16</v>
      </c>
      <c r="AW14" s="544" t="s">
        <v>14</v>
      </c>
      <c r="AX14" s="542" t="s">
        <v>16</v>
      </c>
      <c r="AY14" s="544" t="s">
        <v>14</v>
      </c>
      <c r="AZ14" s="542" t="s">
        <v>16</v>
      </c>
      <c r="BA14" s="547" t="s">
        <v>14</v>
      </c>
      <c r="BB14" s="548" t="s">
        <v>16</v>
      </c>
    </row>
    <row r="15" spans="1:54" ht="30" customHeight="1" x14ac:dyDescent="0.3">
      <c r="A15" s="3"/>
      <c r="B15" s="8"/>
      <c r="C15" s="608"/>
      <c r="D15" s="610"/>
      <c r="E15" s="608"/>
      <c r="F15" s="544"/>
      <c r="G15" s="544"/>
      <c r="H15" s="542"/>
      <c r="I15" s="542"/>
      <c r="J15" s="542"/>
      <c r="K15" s="9"/>
      <c r="O15" s="547"/>
      <c r="P15" s="548"/>
      <c r="Q15" s="547"/>
      <c r="R15" s="548"/>
      <c r="S15" s="547"/>
      <c r="T15" s="548"/>
      <c r="U15" s="547"/>
      <c r="V15" s="548"/>
      <c r="W15" s="547"/>
      <c r="X15" s="548"/>
      <c r="Y15" s="547"/>
      <c r="Z15" s="548"/>
      <c r="AA15" s="547"/>
      <c r="AB15" s="548"/>
      <c r="AC15" s="547"/>
      <c r="AD15" s="548"/>
      <c r="AE15" s="547"/>
      <c r="AF15" s="548"/>
      <c r="AG15" s="547"/>
      <c r="AH15" s="548"/>
      <c r="AI15" s="547"/>
      <c r="AJ15" s="548"/>
      <c r="AK15" s="547"/>
      <c r="AL15" s="548"/>
      <c r="AM15" s="547"/>
      <c r="AN15" s="548"/>
      <c r="AO15" s="547"/>
      <c r="AP15" s="548"/>
      <c r="AQ15" s="545"/>
      <c r="AR15" s="543"/>
      <c r="AS15" s="545"/>
      <c r="AT15" s="543"/>
      <c r="AU15" s="545"/>
      <c r="AV15" s="543"/>
      <c r="AW15" s="545"/>
      <c r="AX15" s="543"/>
      <c r="AY15" s="545"/>
      <c r="AZ15" s="543"/>
      <c r="BA15" s="547"/>
      <c r="BB15" s="548"/>
    </row>
    <row r="16" spans="1:54" ht="30" customHeight="1" x14ac:dyDescent="0.3">
      <c r="A16" s="3"/>
      <c r="B16" s="8"/>
      <c r="C16" s="61"/>
      <c r="D16" s="64"/>
      <c r="E16" s="64"/>
      <c r="F16" s="64"/>
      <c r="G16" s="64"/>
      <c r="H16" s="64"/>
      <c r="I16" s="64"/>
      <c r="J16" s="65"/>
      <c r="K16" s="9"/>
      <c r="O16" s="521">
        <f>+'[113]ESPACIO PUBLICO'!$N$17</f>
        <v>61.35</v>
      </c>
      <c r="P16" s="521">
        <f>+'[113]ESPACIO PUBLICO'!$O$17</f>
        <v>2.61</v>
      </c>
      <c r="Q16" s="521">
        <f>+'[113]ESPACIO PUBLICO'!$N$18</f>
        <v>42.83</v>
      </c>
      <c r="R16" s="521">
        <f>+'[113]ESPACIO PUBLICO'!$O$18</f>
        <v>3.02</v>
      </c>
      <c r="S16" s="521">
        <f>+'[113]ESPACIO PUBLICO'!$N$19</f>
        <v>121.31</v>
      </c>
      <c r="T16" s="521">
        <f>+'[113]ESPACIO PUBLICO'!$O$19</f>
        <v>2.67</v>
      </c>
      <c r="U16" s="521">
        <f>+'[113]ESPACIO PUBLICO'!$N$20</f>
        <v>25.62</v>
      </c>
      <c r="V16" s="521">
        <f>+'[113]ESPACIO PUBLICO'!$O$20</f>
        <v>3.97</v>
      </c>
      <c r="W16" s="521">
        <f>+'[113]ESPACIO PUBLICO'!$N$21</f>
        <v>76.31</v>
      </c>
      <c r="X16" s="521">
        <f>+'[113]ESPACIO PUBLICO'!$O$21</f>
        <v>2.87</v>
      </c>
      <c r="Y16" s="521">
        <f>+'[113]ESPACIO PUBLICO'!$N$22</f>
        <v>47.17</v>
      </c>
      <c r="Z16" s="521">
        <f>+'[113]ESPACIO PUBLICO'!$O$22</f>
        <v>5.35</v>
      </c>
      <c r="AA16" s="521">
        <f>+'[113]ESPACIO PUBLICO'!$N$23</f>
        <v>34.950000000000003</v>
      </c>
      <c r="AB16" s="521">
        <f>+'[113]ESPACIO PUBLICO'!$O$23</f>
        <v>2.29</v>
      </c>
      <c r="AC16" s="521">
        <f>+'[113]ESPACIO PUBLICO'!$N$27</f>
        <v>38.21</v>
      </c>
      <c r="AD16" s="521">
        <f>+'[113]ESPACIO PUBLICO'!$O$27</f>
        <v>6.62</v>
      </c>
      <c r="AE16" s="521">
        <v>20</v>
      </c>
      <c r="AF16" s="521">
        <v>2</v>
      </c>
      <c r="AG16" s="73">
        <v>45.08</v>
      </c>
      <c r="AH16" s="73">
        <v>7.11</v>
      </c>
      <c r="AI16" s="73"/>
      <c r="AJ16" s="73"/>
      <c r="AK16" s="73"/>
      <c r="AL16" s="73"/>
      <c r="AM16" s="73"/>
      <c r="AN16" s="73"/>
      <c r="AO16" s="73"/>
      <c r="AP16" s="73"/>
      <c r="AQ16" s="73"/>
      <c r="AR16" s="73"/>
      <c r="AS16" s="73"/>
      <c r="AT16" s="73"/>
      <c r="AU16" s="73"/>
      <c r="AV16" s="73"/>
      <c r="AW16" s="73"/>
      <c r="AX16" s="73"/>
      <c r="AY16" s="73"/>
      <c r="AZ16" s="73"/>
      <c r="BA16" s="73"/>
      <c r="BB16" s="73"/>
    </row>
    <row r="17" spans="1:54" ht="30" customHeight="1" x14ac:dyDescent="0.3">
      <c r="A17" s="3"/>
      <c r="B17" s="8"/>
      <c r="C17" s="61" t="s">
        <v>6661</v>
      </c>
      <c r="D17" s="64"/>
      <c r="E17" s="64"/>
      <c r="F17" s="64"/>
      <c r="G17" s="64"/>
      <c r="H17" s="64"/>
      <c r="I17" s="64"/>
      <c r="J17" s="65"/>
      <c r="K17" s="9"/>
      <c r="O17" s="540">
        <f>+O16*P16</f>
        <v>160.12350000000001</v>
      </c>
      <c r="P17" s="541"/>
      <c r="Q17" s="540">
        <f>+Q16*R16</f>
        <v>129.3466</v>
      </c>
      <c r="R17" s="541"/>
      <c r="S17" s="540">
        <f>+S16*T16</f>
        <v>323.89769999999999</v>
      </c>
      <c r="T17" s="541"/>
      <c r="U17" s="540">
        <f>+U16*V16</f>
        <v>101.71140000000001</v>
      </c>
      <c r="V17" s="541"/>
      <c r="W17" s="540">
        <f>+W16*X16</f>
        <v>219.00970000000001</v>
      </c>
      <c r="X17" s="541"/>
      <c r="Y17" s="540">
        <f>+Y16*Z16</f>
        <v>252.3595</v>
      </c>
      <c r="Z17" s="541"/>
      <c r="AA17" s="540">
        <f>+AA16*AB16</f>
        <v>80.035500000000013</v>
      </c>
      <c r="AB17" s="541"/>
      <c r="AC17" s="540">
        <f>+AC16*AD16</f>
        <v>252.95020000000002</v>
      </c>
      <c r="AD17" s="541"/>
      <c r="AE17" s="540">
        <f>+AE16*AF16</f>
        <v>40</v>
      </c>
      <c r="AF17" s="541"/>
      <c r="AG17" s="540">
        <f>+AG16*AH16</f>
        <v>320.5188</v>
      </c>
      <c r="AH17" s="541"/>
      <c r="AI17" s="540">
        <f>+AI16*AJ16</f>
        <v>0</v>
      </c>
      <c r="AJ17" s="541"/>
      <c r="AK17" s="540">
        <f>+AK16*AL16</f>
        <v>0</v>
      </c>
      <c r="AL17" s="541"/>
      <c r="AM17" s="540">
        <f>+AM16*AN16</f>
        <v>0</v>
      </c>
      <c r="AN17" s="541"/>
      <c r="AO17" s="540">
        <f>+AO16*AP16</f>
        <v>0</v>
      </c>
      <c r="AP17" s="541"/>
      <c r="AQ17" s="540">
        <f>+AQ16*AR16</f>
        <v>0</v>
      </c>
      <c r="AR17" s="541"/>
      <c r="AS17" s="540">
        <f>+AS16*AT16</f>
        <v>0</v>
      </c>
      <c r="AT17" s="541"/>
      <c r="AU17" s="540">
        <f>+AU16*AV16</f>
        <v>0</v>
      </c>
      <c r="AV17" s="541"/>
      <c r="AW17" s="540">
        <f>+AW16*AX16</f>
        <v>0</v>
      </c>
      <c r="AX17" s="541"/>
      <c r="AY17" s="540">
        <f>+AY16*AZ16</f>
        <v>0</v>
      </c>
      <c r="AZ17" s="541"/>
      <c r="BA17" s="540">
        <f>+BA16*BB16</f>
        <v>0</v>
      </c>
      <c r="BB17" s="541"/>
    </row>
    <row r="18" spans="1:54" ht="15.6" x14ac:dyDescent="0.3">
      <c r="A18" s="3"/>
      <c r="B18" s="8"/>
      <c r="C18" s="122"/>
      <c r="D18" s="123"/>
      <c r="E18" s="123"/>
      <c r="F18" s="123"/>
      <c r="G18" s="123"/>
      <c r="H18" s="123"/>
      <c r="I18" s="123"/>
      <c r="J18" s="124"/>
      <c r="K18" s="9"/>
      <c r="O18" s="73"/>
      <c r="P18" s="124"/>
      <c r="Q18" s="73"/>
      <c r="R18" s="124"/>
      <c r="S18" s="73"/>
      <c r="T18" s="124"/>
      <c r="U18" s="73"/>
      <c r="V18" s="124"/>
      <c r="W18" s="73"/>
      <c r="X18" s="124"/>
      <c r="Y18" s="73"/>
      <c r="Z18" s="124"/>
      <c r="AA18" s="73"/>
      <c r="AB18" s="124"/>
      <c r="AC18" s="73"/>
      <c r="AD18" s="124"/>
      <c r="AE18" s="73"/>
      <c r="AF18" s="124"/>
      <c r="AG18" s="73"/>
      <c r="AH18" s="124"/>
      <c r="AI18" s="73"/>
      <c r="AJ18" s="124"/>
      <c r="AK18" s="73"/>
      <c r="AL18" s="124"/>
      <c r="AM18" s="73"/>
      <c r="AN18" s="124"/>
      <c r="AO18" s="73"/>
      <c r="AP18" s="124"/>
      <c r="AQ18" s="73"/>
      <c r="AR18" s="124"/>
      <c r="AS18" s="73"/>
      <c r="AT18" s="124"/>
      <c r="AU18" s="73"/>
      <c r="AV18" s="124"/>
      <c r="AW18" s="73"/>
      <c r="AX18" s="124"/>
      <c r="AY18" s="73"/>
      <c r="AZ18" s="124"/>
      <c r="BA18" s="73"/>
      <c r="BB18" s="124"/>
    </row>
    <row r="19" spans="1:54" ht="24.75" customHeight="1" x14ac:dyDescent="0.3">
      <c r="A19" s="3"/>
      <c r="B19" s="8"/>
      <c r="C19" s="488"/>
      <c r="D19" s="489"/>
      <c r="E19" s="489"/>
      <c r="F19" s="489"/>
      <c r="G19" s="489"/>
      <c r="H19" s="489"/>
      <c r="I19" s="489"/>
      <c r="J19" s="490"/>
      <c r="K19" s="9"/>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row>
    <row r="20" spans="1:54" ht="24.75" customHeight="1" x14ac:dyDescent="0.3">
      <c r="A20" s="3"/>
      <c r="B20" s="8"/>
      <c r="C20" s="554" t="s">
        <v>26</v>
      </c>
      <c r="D20" s="555"/>
      <c r="E20" s="555"/>
      <c r="F20" s="555"/>
      <c r="G20" s="555"/>
      <c r="H20" s="555"/>
      <c r="I20" s="555"/>
      <c r="J20" s="556"/>
      <c r="K20" s="9"/>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row>
    <row r="21" spans="1:54" ht="16.5" customHeight="1" x14ac:dyDescent="0.3">
      <c r="A21" s="3"/>
      <c r="B21" s="8"/>
      <c r="C21" s="547" t="s">
        <v>10</v>
      </c>
      <c r="D21" s="547" t="s">
        <v>11</v>
      </c>
      <c r="E21" s="547" t="s">
        <v>12</v>
      </c>
      <c r="F21" s="547" t="s">
        <v>13</v>
      </c>
      <c r="G21" s="547" t="s">
        <v>14</v>
      </c>
      <c r="H21" s="548" t="s">
        <v>15</v>
      </c>
      <c r="I21" s="548" t="s">
        <v>27</v>
      </c>
      <c r="J21" s="548" t="s">
        <v>16</v>
      </c>
      <c r="K21" s="9"/>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row>
    <row r="22" spans="1:54" ht="30" customHeight="1" x14ac:dyDescent="0.3">
      <c r="A22" s="3"/>
      <c r="B22" s="8"/>
      <c r="C22" s="547"/>
      <c r="D22" s="547"/>
      <c r="E22" s="547"/>
      <c r="F22" s="547"/>
      <c r="G22" s="547"/>
      <c r="H22" s="548"/>
      <c r="I22" s="548"/>
      <c r="J22" s="548"/>
      <c r="K22" s="9"/>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row>
    <row r="23" spans="1:54" ht="15.6" x14ac:dyDescent="0.3">
      <c r="A23" s="3"/>
      <c r="B23" s="8"/>
      <c r="C23" s="60"/>
      <c r="D23" s="60"/>
      <c r="E23" s="60"/>
      <c r="F23" s="60"/>
      <c r="G23" s="108"/>
      <c r="H23" s="69"/>
      <c r="I23" s="69"/>
      <c r="J23" s="69"/>
      <c r="K23" s="9"/>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row>
    <row r="24" spans="1:54" ht="30" customHeight="1" x14ac:dyDescent="0.3">
      <c r="A24" s="3"/>
      <c r="B24" s="8"/>
      <c r="C24" s="61" t="s">
        <v>6651</v>
      </c>
      <c r="D24" s="62"/>
      <c r="E24" s="62"/>
      <c r="F24" s="62"/>
      <c r="G24" s="108">
        <f t="shared" ref="G24:G45" si="0">+ROUND(SUM(O24,Q24,S24,U24,W24,Y24,AA24,AC24,AG24,AI24,AK24,AM24,AO24,AQ24,AS24,AU24,AW24,AY24,BA24),2)</f>
        <v>0</v>
      </c>
      <c r="H24" s="69"/>
      <c r="I24" s="62"/>
      <c r="J24" s="63"/>
      <c r="K24" s="9"/>
      <c r="L24" s="503">
        <v>0</v>
      </c>
      <c r="M24" s="503"/>
      <c r="O24" s="73"/>
      <c r="P24" s="69">
        <f t="shared" ref="P24:R57" si="1">+ROUND($I24*O24,0)</f>
        <v>0</v>
      </c>
      <c r="Q24" s="73"/>
      <c r="R24" s="69">
        <f t="shared" si="1"/>
        <v>0</v>
      </c>
      <c r="S24" s="73"/>
      <c r="T24" s="69">
        <f t="shared" ref="T24" si="2">+ROUND($I24*S24,0)</f>
        <v>0</v>
      </c>
      <c r="U24" s="73"/>
      <c r="V24" s="69">
        <f t="shared" ref="V24" si="3">+ROUND($I24*U24,0)</f>
        <v>0</v>
      </c>
      <c r="W24" s="73"/>
      <c r="X24" s="69">
        <f t="shared" ref="X24" si="4">+ROUND($I24*W24,0)</f>
        <v>0</v>
      </c>
      <c r="Y24" s="73"/>
      <c r="Z24" s="69">
        <f t="shared" ref="Z24" si="5">+ROUND($I24*Y24,0)</f>
        <v>0</v>
      </c>
      <c r="AA24" s="73"/>
      <c r="AB24" s="69">
        <f t="shared" ref="AB24:AD24" si="6">+ROUND($I24*AA24,0)</f>
        <v>0</v>
      </c>
      <c r="AC24" s="73"/>
      <c r="AD24" s="69">
        <f t="shared" si="6"/>
        <v>0</v>
      </c>
      <c r="AE24" s="73"/>
      <c r="AF24" s="69">
        <f t="shared" ref="AF24:AF44" si="7">+ROUND($I24*AE24,0)</f>
        <v>0</v>
      </c>
      <c r="AG24" s="73"/>
      <c r="AH24" s="69">
        <f t="shared" ref="AH24" si="8">+ROUND($I24*AG24,0)</f>
        <v>0</v>
      </c>
      <c r="AI24" s="73"/>
      <c r="AJ24" s="69">
        <f t="shared" ref="AJ24" si="9">+ROUND($I24*AI24,0)</f>
        <v>0</v>
      </c>
      <c r="AK24" s="73"/>
      <c r="AL24" s="69">
        <f t="shared" ref="AL24" si="10">+ROUND($I24*AK24,0)</f>
        <v>0</v>
      </c>
      <c r="AM24" s="73"/>
      <c r="AN24" s="69">
        <f t="shared" ref="AN24" si="11">+ROUND($I24*AM24,0)</f>
        <v>0</v>
      </c>
      <c r="AO24" s="73"/>
      <c r="AP24" s="69">
        <f t="shared" ref="AP24" si="12">+ROUND($I24*AO24,0)</f>
        <v>0</v>
      </c>
      <c r="AQ24" s="73"/>
      <c r="AR24" s="69">
        <f t="shared" ref="AR24" si="13">+ROUND($I24*AQ24,0)</f>
        <v>0</v>
      </c>
      <c r="AS24" s="73"/>
      <c r="AT24" s="69">
        <f t="shared" ref="AT24" si="14">+ROUND($I24*AS24,0)</f>
        <v>0</v>
      </c>
      <c r="AU24" s="73"/>
      <c r="AV24" s="69">
        <f t="shared" ref="AV24:AX24" si="15">+ROUND($I24*AU24,0)</f>
        <v>0</v>
      </c>
      <c r="AW24" s="73"/>
      <c r="AX24" s="69">
        <f t="shared" si="15"/>
        <v>0</v>
      </c>
      <c r="AY24" s="73"/>
      <c r="AZ24" s="69">
        <f t="shared" ref="AZ24" si="16">+ROUND($I24*AY24,0)</f>
        <v>0</v>
      </c>
      <c r="BA24" s="73"/>
      <c r="BB24" s="69">
        <f t="shared" ref="BB24" si="17">+ROUND($I24*BA24,0)</f>
        <v>0</v>
      </c>
    </row>
    <row r="25" spans="1:54" ht="30" customHeight="1" x14ac:dyDescent="0.3">
      <c r="A25" s="3"/>
      <c r="B25" s="8"/>
      <c r="C25" s="60">
        <v>3007</v>
      </c>
      <c r="D25" s="60">
        <v>3001</v>
      </c>
      <c r="E25" s="60" t="str">
        <f>+VLOOKUP(C25,'PRECIOS IDU 2025'!$A$1:$E$3189,2,FALSE)</f>
        <v>REPLANTEO GENERAL</v>
      </c>
      <c r="F25" s="60" t="str">
        <f>+VLOOKUP(C25,'PRECIOS IDU 2025'!$A$1:$E$3189,3,FALSE)</f>
        <v>M2</v>
      </c>
      <c r="G25" s="108">
        <f t="shared" si="0"/>
        <v>30</v>
      </c>
      <c r="H25" s="69">
        <f>+VLOOKUP(C25,'PRECIOS DE REFERENCIA APU'!$A$1:$D$2745,4,FALSE)</f>
        <v>996</v>
      </c>
      <c r="I25" s="69">
        <f t="shared" ref="I25:I44" si="18">+ROUND(H25*(1+$J$117),0)</f>
        <v>1365</v>
      </c>
      <c r="J25" s="69">
        <f t="shared" ref="J25:J44" si="19">+ROUND(I25*G25,0)</f>
        <v>40950</v>
      </c>
      <c r="K25" s="9"/>
      <c r="L25" s="503">
        <v>10</v>
      </c>
      <c r="M25" s="503"/>
      <c r="O25" s="73"/>
      <c r="P25" s="69">
        <f t="shared" si="1"/>
        <v>0</v>
      </c>
      <c r="Q25" s="73"/>
      <c r="R25" s="69">
        <f t="shared" si="1"/>
        <v>0</v>
      </c>
      <c r="S25" s="73"/>
      <c r="T25" s="69">
        <f t="shared" ref="T25" si="20">+ROUND($I25*S25,0)</f>
        <v>0</v>
      </c>
      <c r="U25" s="73"/>
      <c r="V25" s="69">
        <f t="shared" ref="V25" si="21">+ROUND($I25*U25,0)</f>
        <v>0</v>
      </c>
      <c r="W25" s="73"/>
      <c r="X25" s="69">
        <f t="shared" ref="X25" si="22">+ROUND($I25*W25,0)</f>
        <v>0</v>
      </c>
      <c r="Y25" s="73"/>
      <c r="Z25" s="69">
        <f t="shared" ref="Z25" si="23">+ROUND($I25*Y25,0)</f>
        <v>0</v>
      </c>
      <c r="AA25" s="73"/>
      <c r="AB25" s="69">
        <f t="shared" ref="AB25:AD25" si="24">+ROUND($I25*AA25,0)</f>
        <v>0</v>
      </c>
      <c r="AC25" s="73"/>
      <c r="AD25" s="69">
        <f t="shared" si="24"/>
        <v>0</v>
      </c>
      <c r="AE25" s="73"/>
      <c r="AF25" s="69">
        <f t="shared" si="7"/>
        <v>0</v>
      </c>
      <c r="AG25" s="73"/>
      <c r="AH25" s="69">
        <f t="shared" ref="AH25" si="25">+ROUND($I25*AG25,0)</f>
        <v>0</v>
      </c>
      <c r="AI25" s="73"/>
      <c r="AJ25" s="69">
        <f t="shared" ref="AJ25" si="26">+ROUND($I25*AI25,0)</f>
        <v>0</v>
      </c>
      <c r="AK25" s="73"/>
      <c r="AL25" s="69">
        <f t="shared" ref="AL25" si="27">+ROUND($I25*AK25,0)</f>
        <v>0</v>
      </c>
      <c r="AM25" s="73"/>
      <c r="AN25" s="69">
        <f t="shared" ref="AN25" si="28">+ROUND($I25*AM25,0)</f>
        <v>0</v>
      </c>
      <c r="AO25" s="73"/>
      <c r="AP25" s="69">
        <f t="shared" ref="AP25" si="29">+ROUND($I25*AO25,0)</f>
        <v>0</v>
      </c>
      <c r="AQ25" s="73"/>
      <c r="AR25" s="69">
        <f t="shared" ref="AR25" si="30">+ROUND($I25*AQ25,0)</f>
        <v>0</v>
      </c>
      <c r="AS25" s="73"/>
      <c r="AT25" s="69">
        <f t="shared" ref="AT25" si="31">+ROUND($I25*AS25,0)</f>
        <v>0</v>
      </c>
      <c r="AU25" s="73"/>
      <c r="AV25" s="69">
        <f t="shared" ref="AV25:AX25" si="32">+ROUND($I25*AU25,0)</f>
        <v>0</v>
      </c>
      <c r="AW25" s="73"/>
      <c r="AX25" s="69">
        <f t="shared" si="32"/>
        <v>0</v>
      </c>
      <c r="AY25" s="73"/>
      <c r="AZ25" s="69">
        <f t="shared" ref="AZ25" si="33">+ROUND($I25*AY25,0)</f>
        <v>0</v>
      </c>
      <c r="BA25" s="73">
        <v>30</v>
      </c>
      <c r="BB25" s="69">
        <f t="shared" ref="BB25" si="34">+ROUND($I25*BA25,0)</f>
        <v>40950</v>
      </c>
    </row>
    <row r="26" spans="1:54" ht="30" customHeight="1" x14ac:dyDescent="0.3">
      <c r="A26" s="3"/>
      <c r="B26" s="8"/>
      <c r="C26" s="60">
        <v>3811</v>
      </c>
      <c r="D26" s="60">
        <v>3002</v>
      </c>
      <c r="E26" s="60" t="str">
        <f>+VLOOKUP(C26,'PRECIOS IDU 2025'!$A$1:$E$3189,2,FALSE)</f>
        <v>CORTE DE PAVIMENTO - INCLUYE EQUIPO: CORTADORA DE CONCRETO INCLUYE OPERARIO Y COMBUSTIBLE. INCLUYE DISCO DIAMANTADO ASFALTO-CONCRETO 350 MM, AGUA Y MANO DE OBRA</v>
      </c>
      <c r="F26" s="60" t="str">
        <f>+VLOOKUP(C26,'PRECIOS IDU 2025'!$A$1:$E$3189,3,FALSE)</f>
        <v>ML</v>
      </c>
      <c r="G26" s="108">
        <f t="shared" si="0"/>
        <v>60</v>
      </c>
      <c r="H26" s="69">
        <f>+VLOOKUP(C26,'PRECIOS DE REFERENCIA APU'!$A$1:$D$2745,4,FALSE)</f>
        <v>3055</v>
      </c>
      <c r="I26" s="69">
        <f t="shared" si="18"/>
        <v>4185</v>
      </c>
      <c r="J26" s="69">
        <f t="shared" si="19"/>
        <v>251100</v>
      </c>
      <c r="K26" s="9"/>
      <c r="L26" s="503">
        <v>10</v>
      </c>
      <c r="M26" s="503"/>
      <c r="O26" s="73"/>
      <c r="P26" s="69">
        <f t="shared" si="1"/>
        <v>0</v>
      </c>
      <c r="Q26" s="73"/>
      <c r="R26" s="69">
        <f t="shared" si="1"/>
        <v>0</v>
      </c>
      <c r="S26" s="73"/>
      <c r="T26" s="69">
        <f t="shared" ref="T26" si="35">+ROUND($I26*S26,0)</f>
        <v>0</v>
      </c>
      <c r="U26" s="73"/>
      <c r="V26" s="69">
        <f t="shared" ref="V26" si="36">+ROUND($I26*U26,0)</f>
        <v>0</v>
      </c>
      <c r="W26" s="73"/>
      <c r="X26" s="69">
        <f t="shared" ref="X26" si="37">+ROUND($I26*W26,0)</f>
        <v>0</v>
      </c>
      <c r="Y26" s="73"/>
      <c r="Z26" s="69">
        <f t="shared" ref="Z26" si="38">+ROUND($I26*Y26,0)</f>
        <v>0</v>
      </c>
      <c r="AA26" s="73"/>
      <c r="AB26" s="69">
        <f t="shared" ref="AB26:AD26" si="39">+ROUND($I26*AA26,0)</f>
        <v>0</v>
      </c>
      <c r="AC26" s="73"/>
      <c r="AD26" s="69">
        <f t="shared" si="39"/>
        <v>0</v>
      </c>
      <c r="AE26" s="73"/>
      <c r="AF26" s="69">
        <f t="shared" si="7"/>
        <v>0</v>
      </c>
      <c r="AG26" s="73"/>
      <c r="AH26" s="69">
        <f t="shared" ref="AH26" si="40">+ROUND($I26*AG26,0)</f>
        <v>0</v>
      </c>
      <c r="AI26" s="73"/>
      <c r="AJ26" s="69">
        <f t="shared" ref="AJ26" si="41">+ROUND($I26*AI26,0)</f>
        <v>0</v>
      </c>
      <c r="AK26" s="73"/>
      <c r="AL26" s="69">
        <f t="shared" ref="AL26" si="42">+ROUND($I26*AK26,0)</f>
        <v>0</v>
      </c>
      <c r="AM26" s="73"/>
      <c r="AN26" s="69">
        <f t="shared" ref="AN26" si="43">+ROUND($I26*AM26,0)</f>
        <v>0</v>
      </c>
      <c r="AO26" s="73"/>
      <c r="AP26" s="69">
        <f t="shared" ref="AP26" si="44">+ROUND($I26*AO26,0)</f>
        <v>0</v>
      </c>
      <c r="AQ26" s="73"/>
      <c r="AR26" s="69">
        <f t="shared" ref="AR26" si="45">+ROUND($I26*AQ26,0)</f>
        <v>0</v>
      </c>
      <c r="AS26" s="73"/>
      <c r="AT26" s="69">
        <f t="shared" ref="AT26" si="46">+ROUND($I26*AS26,0)</f>
        <v>0</v>
      </c>
      <c r="AU26" s="73"/>
      <c r="AV26" s="69">
        <f t="shared" ref="AV26:AX26" si="47">+ROUND($I26*AU26,0)</f>
        <v>0</v>
      </c>
      <c r="AW26" s="73"/>
      <c r="AX26" s="69">
        <f t="shared" si="47"/>
        <v>0</v>
      </c>
      <c r="AY26" s="73"/>
      <c r="AZ26" s="69">
        <f t="shared" ref="AZ26" si="48">+ROUND($I26*AY26,0)</f>
        <v>0</v>
      </c>
      <c r="BA26" s="73">
        <v>60</v>
      </c>
      <c r="BB26" s="69">
        <f t="shared" ref="BB26" si="49">+ROUND($I26*BA26,0)</f>
        <v>251100</v>
      </c>
    </row>
    <row r="27" spans="1:54" ht="30" customHeight="1" x14ac:dyDescent="0.3">
      <c r="A27" s="3"/>
      <c r="B27" s="8"/>
      <c r="C27" s="60">
        <v>3486</v>
      </c>
      <c r="D27" s="60">
        <v>3004</v>
      </c>
      <c r="E27" s="60" t="str">
        <f>+VLOOKUP(C27,'PRECIOS IDU 2025'!$A$1:$E$3189,2,FALSE)</f>
        <v>DEMOLICIÓN CONCRETO ESTRUCTURAL (INCLUYE CARGUE MANUAL). NO INCLUYE TRANSPORTE Y DISPOSICIÓN FINAL DE SOBRANTES.</v>
      </c>
      <c r="F27" s="60" t="str">
        <f>+VLOOKUP(C27,'PRECIOS IDU 2025'!$A$1:$E$3189,3,FALSE)</f>
        <v>M3</v>
      </c>
      <c r="G27" s="108">
        <f t="shared" si="0"/>
        <v>30</v>
      </c>
      <c r="H27" s="69">
        <f>+VLOOKUP(C27,'PRECIOS DE REFERENCIA APU'!$A$1:$D$2745,4,FALSE)</f>
        <v>214944</v>
      </c>
      <c r="I27" s="69">
        <f t="shared" si="18"/>
        <v>294473</v>
      </c>
      <c r="J27" s="69">
        <f t="shared" si="19"/>
        <v>8834190</v>
      </c>
      <c r="K27" s="9"/>
      <c r="L27" s="503">
        <v>10</v>
      </c>
      <c r="M27" s="503"/>
      <c r="O27" s="73"/>
      <c r="P27" s="69">
        <f t="shared" si="1"/>
        <v>0</v>
      </c>
      <c r="Q27" s="73"/>
      <c r="R27" s="69">
        <f t="shared" si="1"/>
        <v>0</v>
      </c>
      <c r="S27" s="73"/>
      <c r="T27" s="69">
        <f t="shared" ref="T27" si="50">+ROUND($I27*S27,0)</f>
        <v>0</v>
      </c>
      <c r="U27" s="73"/>
      <c r="V27" s="69">
        <f t="shared" ref="V27" si="51">+ROUND($I27*U27,0)</f>
        <v>0</v>
      </c>
      <c r="W27" s="73"/>
      <c r="X27" s="69">
        <f t="shared" ref="X27" si="52">+ROUND($I27*W27,0)</f>
        <v>0</v>
      </c>
      <c r="Y27" s="73"/>
      <c r="Z27" s="69">
        <f t="shared" ref="Z27" si="53">+ROUND($I27*Y27,0)</f>
        <v>0</v>
      </c>
      <c r="AA27" s="73"/>
      <c r="AB27" s="69">
        <f t="shared" ref="AB27:AD27" si="54">+ROUND($I27*AA27,0)</f>
        <v>0</v>
      </c>
      <c r="AC27" s="73"/>
      <c r="AD27" s="69">
        <f t="shared" si="54"/>
        <v>0</v>
      </c>
      <c r="AE27" s="73"/>
      <c r="AF27" s="69">
        <f t="shared" si="7"/>
        <v>0</v>
      </c>
      <c r="AG27" s="73"/>
      <c r="AH27" s="69">
        <f t="shared" ref="AH27" si="55">+ROUND($I27*AG27,0)</f>
        <v>0</v>
      </c>
      <c r="AI27" s="73"/>
      <c r="AJ27" s="69">
        <f t="shared" ref="AJ27" si="56">+ROUND($I27*AI27,0)</f>
        <v>0</v>
      </c>
      <c r="AK27" s="73"/>
      <c r="AL27" s="69">
        <f t="shared" ref="AL27" si="57">+ROUND($I27*AK27,0)</f>
        <v>0</v>
      </c>
      <c r="AM27" s="73"/>
      <c r="AN27" s="69">
        <f t="shared" ref="AN27" si="58">+ROUND($I27*AM27,0)</f>
        <v>0</v>
      </c>
      <c r="AO27" s="73"/>
      <c r="AP27" s="69">
        <f t="shared" ref="AP27" si="59">+ROUND($I27*AO27,0)</f>
        <v>0</v>
      </c>
      <c r="AQ27" s="73"/>
      <c r="AR27" s="69">
        <f t="shared" ref="AR27" si="60">+ROUND($I27*AQ27,0)</f>
        <v>0</v>
      </c>
      <c r="AS27" s="73"/>
      <c r="AT27" s="69">
        <f t="shared" ref="AT27" si="61">+ROUND($I27*AS27,0)</f>
        <v>0</v>
      </c>
      <c r="AU27" s="73"/>
      <c r="AV27" s="69">
        <f t="shared" ref="AV27:AX27" si="62">+ROUND($I27*AU27,0)</f>
        <v>0</v>
      </c>
      <c r="AW27" s="73"/>
      <c r="AX27" s="69">
        <f t="shared" si="62"/>
        <v>0</v>
      </c>
      <c r="AY27" s="73"/>
      <c r="AZ27" s="69">
        <f t="shared" ref="AZ27" si="63">+ROUND($I27*AY27,0)</f>
        <v>0</v>
      </c>
      <c r="BA27" s="73">
        <v>30</v>
      </c>
      <c r="BB27" s="69">
        <f t="shared" ref="BB27" si="64">+ROUND($I27*BA27,0)</f>
        <v>8834190</v>
      </c>
    </row>
    <row r="28" spans="1:54" ht="15.6" x14ac:dyDescent="0.3">
      <c r="A28" s="3"/>
      <c r="B28" s="8"/>
      <c r="C28" s="60">
        <v>3710</v>
      </c>
      <c r="D28" s="60">
        <v>3005</v>
      </c>
      <c r="E28" s="60" t="str">
        <f>+VLOOKUP(C28,'PRECIOS IDU 2025'!$A$1:$E$3189,2,FALSE)</f>
        <v>EXCAVACIÓN MECÁNICA EN MATERIAL COMÚN (INCLUYE CARGUE)</v>
      </c>
      <c r="F28" s="60" t="str">
        <f>+VLOOKUP(C28,'PRECIOS IDU 2025'!$A$1:$E$3189,3,FALSE)</f>
        <v>M3</v>
      </c>
      <c r="G28" s="108">
        <f t="shared" si="0"/>
        <v>30</v>
      </c>
      <c r="H28" s="69">
        <f>+VLOOKUP(C28,'PRECIOS DE REFERENCIA APU'!$A$1:$D$2745,4,FALSE)</f>
        <v>5870</v>
      </c>
      <c r="I28" s="69">
        <f t="shared" si="18"/>
        <v>8042</v>
      </c>
      <c r="J28" s="69">
        <f t="shared" si="19"/>
        <v>241260</v>
      </c>
      <c r="K28" s="9"/>
      <c r="L28" s="503">
        <v>10</v>
      </c>
      <c r="M28" s="503"/>
      <c r="O28" s="73"/>
      <c r="P28" s="69">
        <f t="shared" si="1"/>
        <v>0</v>
      </c>
      <c r="Q28" s="73"/>
      <c r="R28" s="69">
        <f t="shared" si="1"/>
        <v>0</v>
      </c>
      <c r="S28" s="73"/>
      <c r="T28" s="69">
        <f t="shared" ref="T28" si="65">+ROUND($I28*S28,0)</f>
        <v>0</v>
      </c>
      <c r="U28" s="73"/>
      <c r="V28" s="69">
        <f t="shared" ref="V28" si="66">+ROUND($I28*U28,0)</f>
        <v>0</v>
      </c>
      <c r="W28" s="73"/>
      <c r="X28" s="69">
        <f t="shared" ref="X28" si="67">+ROUND($I28*W28,0)</f>
        <v>0</v>
      </c>
      <c r="Y28" s="73"/>
      <c r="Z28" s="69">
        <f t="shared" ref="Z28" si="68">+ROUND($I28*Y28,0)</f>
        <v>0</v>
      </c>
      <c r="AA28" s="73"/>
      <c r="AB28" s="69">
        <f t="shared" ref="AB28:AD28" si="69">+ROUND($I28*AA28,0)</f>
        <v>0</v>
      </c>
      <c r="AC28" s="73"/>
      <c r="AD28" s="69">
        <f t="shared" si="69"/>
        <v>0</v>
      </c>
      <c r="AE28" s="73"/>
      <c r="AF28" s="69">
        <f t="shared" si="7"/>
        <v>0</v>
      </c>
      <c r="AG28" s="73"/>
      <c r="AH28" s="69">
        <f t="shared" ref="AH28" si="70">+ROUND($I28*AG28,0)</f>
        <v>0</v>
      </c>
      <c r="AI28" s="73"/>
      <c r="AJ28" s="69">
        <f t="shared" ref="AJ28" si="71">+ROUND($I28*AI28,0)</f>
        <v>0</v>
      </c>
      <c r="AK28" s="73"/>
      <c r="AL28" s="69">
        <f t="shared" ref="AL28" si="72">+ROUND($I28*AK28,0)</f>
        <v>0</v>
      </c>
      <c r="AM28" s="73"/>
      <c r="AN28" s="69">
        <f t="shared" ref="AN28" si="73">+ROUND($I28*AM28,0)</f>
        <v>0</v>
      </c>
      <c r="AO28" s="73"/>
      <c r="AP28" s="69">
        <f t="shared" ref="AP28" si="74">+ROUND($I28*AO28,0)</f>
        <v>0</v>
      </c>
      <c r="AQ28" s="73"/>
      <c r="AR28" s="69">
        <f t="shared" ref="AR28" si="75">+ROUND($I28*AQ28,0)</f>
        <v>0</v>
      </c>
      <c r="AS28" s="73"/>
      <c r="AT28" s="69">
        <f t="shared" ref="AT28" si="76">+ROUND($I28*AS28,0)</f>
        <v>0</v>
      </c>
      <c r="AU28" s="73"/>
      <c r="AV28" s="69">
        <f t="shared" ref="AV28:AX28" si="77">+ROUND($I28*AU28,0)</f>
        <v>0</v>
      </c>
      <c r="AW28" s="73"/>
      <c r="AX28" s="69">
        <f t="shared" si="77"/>
        <v>0</v>
      </c>
      <c r="AY28" s="73"/>
      <c r="AZ28" s="69">
        <f t="shared" ref="AZ28" si="78">+ROUND($I28*AY28,0)</f>
        <v>0</v>
      </c>
      <c r="BA28" s="73">
        <f>+BA27</f>
        <v>30</v>
      </c>
      <c r="BB28" s="69">
        <f t="shared" ref="BB28" si="79">+ROUND($I28*BA28,0)</f>
        <v>241260</v>
      </c>
    </row>
    <row r="29" spans="1:54" ht="30" customHeight="1" x14ac:dyDescent="0.3">
      <c r="A29" s="3"/>
      <c r="B29" s="8"/>
      <c r="C29" s="60">
        <v>3464</v>
      </c>
      <c r="D29" s="60">
        <v>3006</v>
      </c>
      <c r="E29" s="60" t="str">
        <f>+VLOOKUP(C29,'PRECIOS IDU 2025'!$A$1:$E$3189,2,FALSE)</f>
        <v>EXCAVACION MANUAL EN MATERIAL COMUN. INCLUYE CARGUE.</v>
      </c>
      <c r="F29" s="60" t="str">
        <f>+VLOOKUP(C29,'PRECIOS IDU 2025'!$A$1:$E$3189,3,FALSE)</f>
        <v>M3</v>
      </c>
      <c r="G29" s="108">
        <f t="shared" si="0"/>
        <v>20</v>
      </c>
      <c r="H29" s="69">
        <f>+VLOOKUP(C29,'PRECIOS DE REFERENCIA APU'!$A$1:$D$2745,4,FALSE)</f>
        <v>55856</v>
      </c>
      <c r="I29" s="69">
        <f t="shared" si="18"/>
        <v>76523</v>
      </c>
      <c r="J29" s="69">
        <f t="shared" si="19"/>
        <v>1530460</v>
      </c>
      <c r="K29" s="9"/>
      <c r="L29" s="503">
        <v>10</v>
      </c>
      <c r="M29" s="503"/>
      <c r="O29" s="73"/>
      <c r="P29" s="69">
        <f t="shared" si="1"/>
        <v>0</v>
      </c>
      <c r="Q29" s="73"/>
      <c r="R29" s="69">
        <f t="shared" si="1"/>
        <v>0</v>
      </c>
      <c r="S29" s="73"/>
      <c r="T29" s="69">
        <f t="shared" ref="T29" si="80">+ROUND($I29*S29,0)</f>
        <v>0</v>
      </c>
      <c r="U29" s="73"/>
      <c r="V29" s="69">
        <f t="shared" ref="V29" si="81">+ROUND($I29*U29,0)</f>
        <v>0</v>
      </c>
      <c r="W29" s="73"/>
      <c r="X29" s="69">
        <f t="shared" ref="X29" si="82">+ROUND($I29*W29,0)</f>
        <v>0</v>
      </c>
      <c r="Y29" s="73"/>
      <c r="Z29" s="69">
        <f t="shared" ref="Z29" si="83">+ROUND($I29*Y29,0)</f>
        <v>0</v>
      </c>
      <c r="AA29" s="73"/>
      <c r="AB29" s="69">
        <f t="shared" ref="AB29:AD29" si="84">+ROUND($I29*AA29,0)</f>
        <v>0</v>
      </c>
      <c r="AC29" s="73"/>
      <c r="AD29" s="69">
        <f t="shared" si="84"/>
        <v>0</v>
      </c>
      <c r="AE29" s="73"/>
      <c r="AF29" s="69">
        <f t="shared" si="7"/>
        <v>0</v>
      </c>
      <c r="AG29" s="73"/>
      <c r="AH29" s="69">
        <f t="shared" ref="AH29" si="85">+ROUND($I29*AG29,0)</f>
        <v>0</v>
      </c>
      <c r="AI29" s="73"/>
      <c r="AJ29" s="69">
        <f t="shared" ref="AJ29" si="86">+ROUND($I29*AI29,0)</f>
        <v>0</v>
      </c>
      <c r="AK29" s="73"/>
      <c r="AL29" s="69">
        <f t="shared" ref="AL29" si="87">+ROUND($I29*AK29,0)</f>
        <v>0</v>
      </c>
      <c r="AM29" s="73"/>
      <c r="AN29" s="69">
        <f t="shared" ref="AN29" si="88">+ROUND($I29*AM29,0)</f>
        <v>0</v>
      </c>
      <c r="AO29" s="73"/>
      <c r="AP29" s="69">
        <f t="shared" ref="AP29" si="89">+ROUND($I29*AO29,0)</f>
        <v>0</v>
      </c>
      <c r="AQ29" s="73"/>
      <c r="AR29" s="69">
        <f t="shared" ref="AR29" si="90">+ROUND($I29*AQ29,0)</f>
        <v>0</v>
      </c>
      <c r="AS29" s="73"/>
      <c r="AT29" s="69">
        <f t="shared" ref="AT29" si="91">+ROUND($I29*AS29,0)</f>
        <v>0</v>
      </c>
      <c r="AU29" s="73"/>
      <c r="AV29" s="69">
        <f t="shared" ref="AV29:AX29" si="92">+ROUND($I29*AU29,0)</f>
        <v>0</v>
      </c>
      <c r="AW29" s="73"/>
      <c r="AX29" s="69">
        <f t="shared" si="92"/>
        <v>0</v>
      </c>
      <c r="AY29" s="73"/>
      <c r="AZ29" s="69">
        <f t="shared" ref="AZ29" si="93">+ROUND($I29*AY29,0)</f>
        <v>0</v>
      </c>
      <c r="BA29" s="73">
        <v>20</v>
      </c>
      <c r="BB29" s="69">
        <f t="shared" ref="BB29" si="94">+ROUND($I29*BA29,0)</f>
        <v>1530460</v>
      </c>
    </row>
    <row r="30" spans="1:54" ht="30" customHeight="1" x14ac:dyDescent="0.3">
      <c r="A30" s="3"/>
      <c r="B30" s="8"/>
      <c r="C30" s="60">
        <v>3017</v>
      </c>
      <c r="D30" s="60">
        <v>3007</v>
      </c>
      <c r="E30" s="60" t="str">
        <f>+VLOOKUP(C30,'PRECIOS IDU 2025'!$A$1:$E$3189,2,FALSE)</f>
        <v>TRANSPORTE Y DISPOSICIÓN FINAL DE ESCOMBROS EN SITIO AUTORIZADO (DISTANCIA DE TRANSPORTE 21 KM). A DISTANCIA MAYOR DEL ACARREO LIBRE (90 M) EN SITIO AUTORIZADO POR LA ENTIDAD AMBIENTAL COMPETENTE.</v>
      </c>
      <c r="F30" s="60" t="str">
        <f>+VLOOKUP(C30,'PRECIOS IDU 2025'!$A$1:$E$3189,3,FALSE)</f>
        <v>M3</v>
      </c>
      <c r="G30" s="108">
        <f t="shared" si="0"/>
        <v>30</v>
      </c>
      <c r="H30" s="69">
        <f>+VLOOKUP(C30,'PRECIOS DE REFERENCIA APU'!$A$1:$D$2745,4,FALSE)</f>
        <v>45600</v>
      </c>
      <c r="I30" s="69">
        <f t="shared" si="18"/>
        <v>62472</v>
      </c>
      <c r="J30" s="69">
        <f t="shared" si="19"/>
        <v>1874160</v>
      </c>
      <c r="K30" s="9"/>
      <c r="L30" s="503">
        <v>10</v>
      </c>
      <c r="M30" s="503"/>
      <c r="O30" s="73"/>
      <c r="P30" s="69">
        <f t="shared" si="1"/>
        <v>0</v>
      </c>
      <c r="Q30" s="73"/>
      <c r="R30" s="69">
        <f t="shared" si="1"/>
        <v>0</v>
      </c>
      <c r="S30" s="73"/>
      <c r="T30" s="69">
        <f t="shared" ref="T30" si="95">+ROUND($I30*S30,0)</f>
        <v>0</v>
      </c>
      <c r="U30" s="73"/>
      <c r="V30" s="69">
        <f t="shared" ref="V30" si="96">+ROUND($I30*U30,0)</f>
        <v>0</v>
      </c>
      <c r="W30" s="73"/>
      <c r="X30" s="69">
        <f t="shared" ref="X30" si="97">+ROUND($I30*W30,0)</f>
        <v>0</v>
      </c>
      <c r="Y30" s="73"/>
      <c r="Z30" s="69">
        <f t="shared" ref="Z30" si="98">+ROUND($I30*Y30,0)</f>
        <v>0</v>
      </c>
      <c r="AA30" s="73"/>
      <c r="AB30" s="69">
        <f t="shared" ref="AB30:AD30" si="99">+ROUND($I30*AA30,0)</f>
        <v>0</v>
      </c>
      <c r="AC30" s="73"/>
      <c r="AD30" s="69">
        <f t="shared" si="99"/>
        <v>0</v>
      </c>
      <c r="AE30" s="73"/>
      <c r="AF30" s="69">
        <f t="shared" si="7"/>
        <v>0</v>
      </c>
      <c r="AG30" s="73"/>
      <c r="AH30" s="69">
        <f t="shared" ref="AH30" si="100">+ROUND($I30*AG30,0)</f>
        <v>0</v>
      </c>
      <c r="AI30" s="73"/>
      <c r="AJ30" s="69">
        <f t="shared" ref="AJ30" si="101">+ROUND($I30*AI30,0)</f>
        <v>0</v>
      </c>
      <c r="AK30" s="73"/>
      <c r="AL30" s="69">
        <f t="shared" ref="AL30" si="102">+ROUND($I30*AK30,0)</f>
        <v>0</v>
      </c>
      <c r="AM30" s="73"/>
      <c r="AN30" s="69">
        <f t="shared" ref="AN30" si="103">+ROUND($I30*AM30,0)</f>
        <v>0</v>
      </c>
      <c r="AO30" s="73"/>
      <c r="AP30" s="69">
        <f t="shared" ref="AP30" si="104">+ROUND($I30*AO30,0)</f>
        <v>0</v>
      </c>
      <c r="AQ30" s="73"/>
      <c r="AR30" s="69">
        <f t="shared" ref="AR30" si="105">+ROUND($I30*AQ30,0)</f>
        <v>0</v>
      </c>
      <c r="AS30" s="73"/>
      <c r="AT30" s="69">
        <f t="shared" ref="AT30" si="106">+ROUND($I30*AS30,0)</f>
        <v>0</v>
      </c>
      <c r="AU30" s="73"/>
      <c r="AV30" s="69">
        <f t="shared" ref="AV30:AX30" si="107">+ROUND($I30*AU30,0)</f>
        <v>0</v>
      </c>
      <c r="AW30" s="73"/>
      <c r="AX30" s="69">
        <f t="shared" si="107"/>
        <v>0</v>
      </c>
      <c r="AY30" s="73"/>
      <c r="AZ30" s="69">
        <f t="shared" ref="AZ30" si="108">+ROUND($I30*AY30,0)</f>
        <v>0</v>
      </c>
      <c r="BA30" s="73">
        <f>+BA28</f>
        <v>30</v>
      </c>
      <c r="BB30" s="69">
        <f t="shared" ref="BB30" si="109">+ROUND($I30*BA30,0)</f>
        <v>1874160</v>
      </c>
    </row>
    <row r="31" spans="1:54" ht="30" customHeight="1" x14ac:dyDescent="0.3">
      <c r="A31" s="3"/>
      <c r="B31" s="8"/>
      <c r="C31" s="60">
        <v>3800</v>
      </c>
      <c r="D31" s="60">
        <v>3008</v>
      </c>
      <c r="E31" s="60" t="str">
        <f>+VLOOKUP(C31,'PRECIOS IDU 2025'!$A$1:$E$3189,2,FALSE)</f>
        <v>NIVELACION Y COMPACTACIÓN DE SUBRASANTE</v>
      </c>
      <c r="F31" s="60" t="str">
        <f>+VLOOKUP(C31,'PRECIOS IDU 2025'!$A$1:$E$3189,3,FALSE)</f>
        <v>M2</v>
      </c>
      <c r="G31" s="108">
        <f t="shared" si="0"/>
        <v>50</v>
      </c>
      <c r="H31" s="69">
        <f>+VLOOKUP(C31,'PRECIOS DE REFERENCIA APU'!$A$1:$D$2745,4,FALSE)</f>
        <v>1785</v>
      </c>
      <c r="I31" s="69">
        <f t="shared" si="18"/>
        <v>2445</v>
      </c>
      <c r="J31" s="69">
        <f t="shared" si="19"/>
        <v>122250</v>
      </c>
      <c r="K31" s="9"/>
      <c r="L31" s="503">
        <v>10</v>
      </c>
      <c r="M31" s="503"/>
      <c r="O31" s="73"/>
      <c r="P31" s="69">
        <f t="shared" si="1"/>
        <v>0</v>
      </c>
      <c r="Q31" s="73"/>
      <c r="R31" s="69">
        <f t="shared" si="1"/>
        <v>0</v>
      </c>
      <c r="S31" s="73"/>
      <c r="T31" s="69">
        <f t="shared" ref="T31" si="110">+ROUND($I31*S31,0)</f>
        <v>0</v>
      </c>
      <c r="U31" s="73"/>
      <c r="V31" s="69">
        <f t="shared" ref="V31" si="111">+ROUND($I31*U31,0)</f>
        <v>0</v>
      </c>
      <c r="W31" s="73"/>
      <c r="X31" s="69">
        <f t="shared" ref="X31" si="112">+ROUND($I31*W31,0)</f>
        <v>0</v>
      </c>
      <c r="Y31" s="73"/>
      <c r="Z31" s="69">
        <f t="shared" ref="Z31" si="113">+ROUND($I31*Y31,0)</f>
        <v>0</v>
      </c>
      <c r="AA31" s="73"/>
      <c r="AB31" s="69">
        <f t="shared" ref="AB31:AD31" si="114">+ROUND($I31*AA31,0)</f>
        <v>0</v>
      </c>
      <c r="AC31" s="73"/>
      <c r="AD31" s="69">
        <f t="shared" si="114"/>
        <v>0</v>
      </c>
      <c r="AE31" s="73"/>
      <c r="AF31" s="69">
        <f t="shared" si="7"/>
        <v>0</v>
      </c>
      <c r="AG31" s="73"/>
      <c r="AH31" s="69">
        <f t="shared" ref="AH31" si="115">+ROUND($I31*AG31,0)</f>
        <v>0</v>
      </c>
      <c r="AI31" s="73"/>
      <c r="AJ31" s="69">
        <f t="shared" ref="AJ31" si="116">+ROUND($I31*AI31,0)</f>
        <v>0</v>
      </c>
      <c r="AK31" s="73"/>
      <c r="AL31" s="69">
        <f t="shared" ref="AL31" si="117">+ROUND($I31*AK31,0)</f>
        <v>0</v>
      </c>
      <c r="AM31" s="73"/>
      <c r="AN31" s="69">
        <f t="shared" ref="AN31" si="118">+ROUND($I31*AM31,0)</f>
        <v>0</v>
      </c>
      <c r="AO31" s="73"/>
      <c r="AP31" s="69">
        <f t="shared" ref="AP31" si="119">+ROUND($I31*AO31,0)</f>
        <v>0</v>
      </c>
      <c r="AQ31" s="73"/>
      <c r="AR31" s="69">
        <f t="shared" ref="AR31" si="120">+ROUND($I31*AQ31,0)</f>
        <v>0</v>
      </c>
      <c r="AS31" s="73"/>
      <c r="AT31" s="69">
        <f t="shared" ref="AT31" si="121">+ROUND($I31*AS31,0)</f>
        <v>0</v>
      </c>
      <c r="AU31" s="73"/>
      <c r="AV31" s="69">
        <f t="shared" ref="AV31:AX31" si="122">+ROUND($I31*AU31,0)</f>
        <v>0</v>
      </c>
      <c r="AW31" s="73"/>
      <c r="AX31" s="69">
        <f t="shared" si="122"/>
        <v>0</v>
      </c>
      <c r="AY31" s="73"/>
      <c r="AZ31" s="69">
        <f t="shared" ref="AZ31" si="123">+ROUND($I31*AY31,0)</f>
        <v>0</v>
      </c>
      <c r="BA31" s="73">
        <v>50</v>
      </c>
      <c r="BB31" s="69">
        <f t="shared" ref="BB31" si="124">+ROUND($I31*BA31,0)</f>
        <v>122250</v>
      </c>
    </row>
    <row r="32" spans="1:54" ht="55.2" x14ac:dyDescent="0.3">
      <c r="A32" s="3"/>
      <c r="B32" s="8"/>
      <c r="C32" s="60">
        <v>10016</v>
      </c>
      <c r="D32" s="60">
        <v>3009</v>
      </c>
      <c r="E32" s="60" t="str">
        <f>+VLOOKUP(C32,'PRECIOS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32" s="60" t="str">
        <f>+VLOOKUP(C32,'PRECIOS IDU 2025'!$A$1:$E$3189,3,FALSE)</f>
        <v>M3</v>
      </c>
      <c r="G32" s="108">
        <f t="shared" si="0"/>
        <v>20</v>
      </c>
      <c r="H32" s="69">
        <f>+VLOOKUP(C32,'PRECIOS DE REFERENCIA APU'!$A$1:$D$3745,4,FALSE)</f>
        <v>184603</v>
      </c>
      <c r="I32" s="69">
        <f t="shared" si="18"/>
        <v>252906</v>
      </c>
      <c r="J32" s="69">
        <f t="shared" si="19"/>
        <v>5058120</v>
      </c>
      <c r="K32" s="9"/>
      <c r="L32" s="503">
        <v>10</v>
      </c>
      <c r="M32" s="503"/>
      <c r="O32" s="73"/>
      <c r="P32" s="69">
        <f t="shared" si="1"/>
        <v>0</v>
      </c>
      <c r="Q32" s="73"/>
      <c r="R32" s="69">
        <f t="shared" si="1"/>
        <v>0</v>
      </c>
      <c r="S32" s="73"/>
      <c r="T32" s="69">
        <f t="shared" ref="T32" si="125">+ROUND($I32*S32,0)</f>
        <v>0</v>
      </c>
      <c r="U32" s="73"/>
      <c r="V32" s="69">
        <f t="shared" ref="V32" si="126">+ROUND($I32*U32,0)</f>
        <v>0</v>
      </c>
      <c r="W32" s="73"/>
      <c r="X32" s="69">
        <f t="shared" ref="X32" si="127">+ROUND($I32*W32,0)</f>
        <v>0</v>
      </c>
      <c r="Y32" s="73"/>
      <c r="Z32" s="69">
        <f t="shared" ref="Z32" si="128">+ROUND($I32*Y32,0)</f>
        <v>0</v>
      </c>
      <c r="AA32" s="73"/>
      <c r="AB32" s="69">
        <f t="shared" ref="AB32:AD32" si="129">+ROUND($I32*AA32,0)</f>
        <v>0</v>
      </c>
      <c r="AC32" s="73"/>
      <c r="AD32" s="69">
        <f t="shared" si="129"/>
        <v>0</v>
      </c>
      <c r="AE32" s="73"/>
      <c r="AF32" s="69">
        <f t="shared" si="7"/>
        <v>0</v>
      </c>
      <c r="AG32" s="73"/>
      <c r="AH32" s="69">
        <f t="shared" ref="AH32" si="130">+ROUND($I32*AG32,0)</f>
        <v>0</v>
      </c>
      <c r="AI32" s="73"/>
      <c r="AJ32" s="69">
        <f t="shared" ref="AJ32" si="131">+ROUND($I32*AI32,0)</f>
        <v>0</v>
      </c>
      <c r="AK32" s="73"/>
      <c r="AL32" s="69">
        <f t="shared" ref="AL32" si="132">+ROUND($I32*AK32,0)</f>
        <v>0</v>
      </c>
      <c r="AM32" s="73"/>
      <c r="AN32" s="69">
        <f t="shared" ref="AN32" si="133">+ROUND($I32*AM32,0)</f>
        <v>0</v>
      </c>
      <c r="AO32" s="73"/>
      <c r="AP32" s="69">
        <f t="shared" ref="AP32" si="134">+ROUND($I32*AO32,0)</f>
        <v>0</v>
      </c>
      <c r="AQ32" s="73"/>
      <c r="AR32" s="69">
        <f t="shared" ref="AR32" si="135">+ROUND($I32*AQ32,0)</f>
        <v>0</v>
      </c>
      <c r="AS32" s="73"/>
      <c r="AT32" s="69">
        <f t="shared" ref="AT32" si="136">+ROUND($I32*AS32,0)</f>
        <v>0</v>
      </c>
      <c r="AU32" s="73"/>
      <c r="AV32" s="69">
        <f t="shared" ref="AV32:AX32" si="137">+ROUND($I32*AU32,0)</f>
        <v>0</v>
      </c>
      <c r="AW32" s="73"/>
      <c r="AX32" s="69">
        <f t="shared" si="137"/>
        <v>0</v>
      </c>
      <c r="AY32" s="73"/>
      <c r="AZ32" s="69">
        <f t="shared" ref="AZ32" si="138">+ROUND($I32*AY32,0)</f>
        <v>0</v>
      </c>
      <c r="BA32" s="73">
        <v>20</v>
      </c>
      <c r="BB32" s="69">
        <f t="shared" ref="BB32" si="139">+ROUND($I32*BA32,0)</f>
        <v>5058120</v>
      </c>
    </row>
    <row r="33" spans="1:54" ht="30" customHeight="1" x14ac:dyDescent="0.3">
      <c r="A33" s="3"/>
      <c r="B33" s="8"/>
      <c r="C33" s="60">
        <v>4015</v>
      </c>
      <c r="D33" s="60">
        <v>3011</v>
      </c>
      <c r="E33" s="60" t="str">
        <f>+VLOOKUP(C33,'PRECIOS IDU 2025'!$A$1:$E$3189,2,FALSE)</f>
        <v>GEOTEXTIL NO TEJIDO CON RESISTENCIA A LA TENSION GRAB: ENTRE 850 N Y 980 N. PARA SEPARACION SUBRASANTE/CAPAS GRANULARES. (INCLUYE SUMINISTRO E INSTALACION).</v>
      </c>
      <c r="F33" s="60" t="str">
        <f>+VLOOKUP(C33,'PRECIOS IDU 2025'!$A$1:$E$3189,3,FALSE)</f>
        <v>M2</v>
      </c>
      <c r="G33" s="108">
        <f t="shared" si="0"/>
        <v>30</v>
      </c>
      <c r="H33" s="69">
        <f>+VLOOKUP(C33,'PRECIOS DE REFERENCIA APU'!$A$1:$D$2745,4,FALSE)</f>
        <v>22852</v>
      </c>
      <c r="I33" s="69">
        <f t="shared" si="18"/>
        <v>31307</v>
      </c>
      <c r="J33" s="69">
        <f t="shared" si="19"/>
        <v>939210</v>
      </c>
      <c r="K33" s="9"/>
      <c r="L33" s="503">
        <v>10</v>
      </c>
      <c r="M33" s="503"/>
      <c r="O33" s="73"/>
      <c r="P33" s="69">
        <f t="shared" si="1"/>
        <v>0</v>
      </c>
      <c r="Q33" s="73"/>
      <c r="R33" s="69">
        <f t="shared" si="1"/>
        <v>0</v>
      </c>
      <c r="S33" s="73"/>
      <c r="T33" s="69">
        <f t="shared" ref="T33" si="140">+ROUND($I33*S33,0)</f>
        <v>0</v>
      </c>
      <c r="U33" s="73"/>
      <c r="V33" s="69">
        <f t="shared" ref="V33" si="141">+ROUND($I33*U33,0)</f>
        <v>0</v>
      </c>
      <c r="W33" s="73"/>
      <c r="X33" s="69">
        <f t="shared" ref="X33" si="142">+ROUND($I33*W33,0)</f>
        <v>0</v>
      </c>
      <c r="Y33" s="73"/>
      <c r="Z33" s="69">
        <f t="shared" ref="Z33" si="143">+ROUND($I33*Y33,0)</f>
        <v>0</v>
      </c>
      <c r="AA33" s="73"/>
      <c r="AB33" s="69">
        <f t="shared" ref="AB33:AD33" si="144">+ROUND($I33*AA33,0)</f>
        <v>0</v>
      </c>
      <c r="AC33" s="73"/>
      <c r="AD33" s="69">
        <f t="shared" si="144"/>
        <v>0</v>
      </c>
      <c r="AE33" s="73"/>
      <c r="AF33" s="69">
        <f t="shared" si="7"/>
        <v>0</v>
      </c>
      <c r="AG33" s="73"/>
      <c r="AH33" s="69">
        <f t="shared" ref="AH33" si="145">+ROUND($I33*AG33,0)</f>
        <v>0</v>
      </c>
      <c r="AI33" s="73"/>
      <c r="AJ33" s="69">
        <f t="shared" ref="AJ33" si="146">+ROUND($I33*AI33,0)</f>
        <v>0</v>
      </c>
      <c r="AK33" s="73"/>
      <c r="AL33" s="69">
        <f t="shared" ref="AL33" si="147">+ROUND($I33*AK33,0)</f>
        <v>0</v>
      </c>
      <c r="AM33" s="73"/>
      <c r="AN33" s="69">
        <f t="shared" ref="AN33" si="148">+ROUND($I33*AM33,0)</f>
        <v>0</v>
      </c>
      <c r="AO33" s="73"/>
      <c r="AP33" s="69">
        <f t="shared" ref="AP33" si="149">+ROUND($I33*AO33,0)</f>
        <v>0</v>
      </c>
      <c r="AQ33" s="73"/>
      <c r="AR33" s="69">
        <f t="shared" ref="AR33" si="150">+ROUND($I33*AQ33,0)</f>
        <v>0</v>
      </c>
      <c r="AS33" s="73"/>
      <c r="AT33" s="69">
        <f t="shared" ref="AT33" si="151">+ROUND($I33*AS33,0)</f>
        <v>0</v>
      </c>
      <c r="AU33" s="73"/>
      <c r="AV33" s="69">
        <f t="shared" ref="AV33:AX33" si="152">+ROUND($I33*AU33,0)</f>
        <v>0</v>
      </c>
      <c r="AW33" s="73"/>
      <c r="AX33" s="69">
        <f t="shared" si="152"/>
        <v>0</v>
      </c>
      <c r="AY33" s="73"/>
      <c r="AZ33" s="69">
        <f t="shared" ref="AZ33" si="153">+ROUND($I33*AY33,0)</f>
        <v>0</v>
      </c>
      <c r="BA33" s="73">
        <v>30</v>
      </c>
      <c r="BB33" s="69">
        <f t="shared" ref="BB33" si="154">+ROUND($I33*BA33,0)</f>
        <v>939210</v>
      </c>
    </row>
    <row r="34" spans="1:54" ht="58.5" customHeight="1" x14ac:dyDescent="0.3">
      <c r="A34" s="3"/>
      <c r="B34" s="8"/>
      <c r="C34" s="60">
        <v>4034</v>
      </c>
      <c r="D34" s="60">
        <v>3012</v>
      </c>
      <c r="E34" s="60" t="str">
        <f>+VLOOKUP(C34,'PRECIOS IDU 2025'!$A$1:$E$3189,2,FALSE)</f>
        <v>GEOTEXTIL TEJIDO CON RESISTENCIA A LA TENSION METODO TIRA ANCHA SENTIDO LONGITUDINAL: ENTRE 90 KN/M Y 110 KN/M. PARA SEPARACION SUBRASANTE/CAPAS GRANULARES. (INCLUYE SUMINISTRO E INSTALACION).</v>
      </c>
      <c r="F34" s="60" t="str">
        <f>+VLOOKUP(C34,'PRECIOS IDU 2025'!$A$1:$E$3189,3,FALSE)</f>
        <v>M2</v>
      </c>
      <c r="G34" s="108">
        <f t="shared" si="0"/>
        <v>30</v>
      </c>
      <c r="H34" s="69">
        <f>+VLOOKUP(C34,'PRECIOS DE REFERENCIA APU'!$A$1:$D$2745,4,FALSE)</f>
        <v>33207</v>
      </c>
      <c r="I34" s="69">
        <f t="shared" si="18"/>
        <v>45494</v>
      </c>
      <c r="J34" s="69">
        <f t="shared" si="19"/>
        <v>1364820</v>
      </c>
      <c r="K34" s="9"/>
      <c r="L34" s="503">
        <v>10</v>
      </c>
      <c r="M34" s="503"/>
      <c r="O34" s="73"/>
      <c r="P34" s="69">
        <f t="shared" si="1"/>
        <v>0</v>
      </c>
      <c r="Q34" s="73"/>
      <c r="R34" s="69">
        <f t="shared" si="1"/>
        <v>0</v>
      </c>
      <c r="S34" s="73"/>
      <c r="T34" s="69">
        <f t="shared" ref="T34" si="155">+ROUND($I34*S34,0)</f>
        <v>0</v>
      </c>
      <c r="U34" s="73"/>
      <c r="V34" s="69">
        <f t="shared" ref="V34" si="156">+ROUND($I34*U34,0)</f>
        <v>0</v>
      </c>
      <c r="W34" s="73"/>
      <c r="X34" s="69">
        <f t="shared" ref="X34" si="157">+ROUND($I34*W34,0)</f>
        <v>0</v>
      </c>
      <c r="Y34" s="73"/>
      <c r="Z34" s="69">
        <f t="shared" ref="Z34" si="158">+ROUND($I34*Y34,0)</f>
        <v>0</v>
      </c>
      <c r="AA34" s="73"/>
      <c r="AB34" s="69">
        <f t="shared" ref="AB34:AD34" si="159">+ROUND($I34*AA34,0)</f>
        <v>0</v>
      </c>
      <c r="AC34" s="73"/>
      <c r="AD34" s="69">
        <f t="shared" si="159"/>
        <v>0</v>
      </c>
      <c r="AE34" s="73"/>
      <c r="AF34" s="69">
        <f t="shared" si="7"/>
        <v>0</v>
      </c>
      <c r="AG34" s="73"/>
      <c r="AH34" s="69">
        <f t="shared" ref="AH34" si="160">+ROUND($I34*AG34,0)</f>
        <v>0</v>
      </c>
      <c r="AI34" s="73"/>
      <c r="AJ34" s="69">
        <f t="shared" ref="AJ34" si="161">+ROUND($I34*AI34,0)</f>
        <v>0</v>
      </c>
      <c r="AK34" s="73"/>
      <c r="AL34" s="69">
        <f t="shared" ref="AL34" si="162">+ROUND($I34*AK34,0)</f>
        <v>0</v>
      </c>
      <c r="AM34" s="73"/>
      <c r="AN34" s="69">
        <f t="shared" ref="AN34" si="163">+ROUND($I34*AM34,0)</f>
        <v>0</v>
      </c>
      <c r="AO34" s="73"/>
      <c r="AP34" s="69">
        <f t="shared" ref="AP34" si="164">+ROUND($I34*AO34,0)</f>
        <v>0</v>
      </c>
      <c r="AQ34" s="73"/>
      <c r="AR34" s="69">
        <f t="shared" ref="AR34" si="165">+ROUND($I34*AQ34,0)</f>
        <v>0</v>
      </c>
      <c r="AS34" s="73"/>
      <c r="AT34" s="69">
        <f t="shared" ref="AT34" si="166">+ROUND($I34*AS34,0)</f>
        <v>0</v>
      </c>
      <c r="AU34" s="73"/>
      <c r="AV34" s="69">
        <f t="shared" ref="AV34:AX34" si="167">+ROUND($I34*AU34,0)</f>
        <v>0</v>
      </c>
      <c r="AW34" s="73"/>
      <c r="AX34" s="69">
        <f t="shared" si="167"/>
        <v>0</v>
      </c>
      <c r="AY34" s="73"/>
      <c r="AZ34" s="69">
        <f t="shared" ref="AZ34" si="168">+ROUND($I34*AY34,0)</f>
        <v>0</v>
      </c>
      <c r="BA34" s="73">
        <v>30</v>
      </c>
      <c r="BB34" s="69">
        <f t="shared" ref="BB34" si="169">+ROUND($I34*BA34,0)</f>
        <v>1364820</v>
      </c>
    </row>
    <row r="35" spans="1:54" ht="30" customHeight="1" x14ac:dyDescent="0.3">
      <c r="A35" s="3"/>
      <c r="B35" s="8"/>
      <c r="C35" s="60">
        <v>4160</v>
      </c>
      <c r="D35" s="60">
        <v>3013</v>
      </c>
      <c r="E35" s="60" t="str">
        <f>+VLOOKUP(C35,'PRECIOS IDU 2025'!$A$1:$E$3189,2,FALSE)</f>
        <v>SUBBASE GRANULAR CLASE B (SBG_B) (SUMINISTRO, EXTENDIDO, NIVELACIÓN, HUMEDECIMIENTO Y COMPACTACIÓN CON VIBROCOMPACTADOR)</v>
      </c>
      <c r="F35" s="60" t="str">
        <f>+VLOOKUP(C35,'PRECIOS IDU 2025'!$A$1:$E$3189,3,FALSE)</f>
        <v>M3</v>
      </c>
      <c r="G35" s="108">
        <f t="shared" si="0"/>
        <v>20</v>
      </c>
      <c r="H35" s="69">
        <f>+VLOOKUP(C35,'PRECIOS DE REFERENCIA APU'!$A$1:$D$2745,4,FALSE)</f>
        <v>170474</v>
      </c>
      <c r="I35" s="69">
        <f t="shared" si="18"/>
        <v>233549</v>
      </c>
      <c r="J35" s="69">
        <f t="shared" si="19"/>
        <v>4670980</v>
      </c>
      <c r="K35" s="9"/>
      <c r="L35" s="503">
        <v>1</v>
      </c>
      <c r="M35" s="503"/>
      <c r="O35" s="73"/>
      <c r="P35" s="69">
        <f t="shared" si="1"/>
        <v>0</v>
      </c>
      <c r="Q35" s="73"/>
      <c r="R35" s="69">
        <f t="shared" si="1"/>
        <v>0</v>
      </c>
      <c r="S35" s="73"/>
      <c r="T35" s="69">
        <f t="shared" ref="T35" si="170">+ROUND($I35*S35,0)</f>
        <v>0</v>
      </c>
      <c r="U35" s="73"/>
      <c r="V35" s="69">
        <f t="shared" ref="V35" si="171">+ROUND($I35*U35,0)</f>
        <v>0</v>
      </c>
      <c r="W35" s="73"/>
      <c r="X35" s="69">
        <f t="shared" ref="X35" si="172">+ROUND($I35*W35,0)</f>
        <v>0</v>
      </c>
      <c r="Y35" s="73"/>
      <c r="Z35" s="69">
        <f t="shared" ref="Z35" si="173">+ROUND($I35*Y35,0)</f>
        <v>0</v>
      </c>
      <c r="AA35" s="73"/>
      <c r="AB35" s="69">
        <f t="shared" ref="AB35:AD35" si="174">+ROUND($I35*AA35,0)</f>
        <v>0</v>
      </c>
      <c r="AC35" s="73"/>
      <c r="AD35" s="69">
        <f t="shared" si="174"/>
        <v>0</v>
      </c>
      <c r="AE35" s="73"/>
      <c r="AF35" s="69">
        <f t="shared" si="7"/>
        <v>0</v>
      </c>
      <c r="AG35" s="73"/>
      <c r="AH35" s="69">
        <f t="shared" ref="AH35" si="175">+ROUND($I35*AG35,0)</f>
        <v>0</v>
      </c>
      <c r="AI35" s="73"/>
      <c r="AJ35" s="69">
        <f t="shared" ref="AJ35" si="176">+ROUND($I35*AI35,0)</f>
        <v>0</v>
      </c>
      <c r="AK35" s="73"/>
      <c r="AL35" s="69">
        <f t="shared" ref="AL35" si="177">+ROUND($I35*AK35,0)</f>
        <v>0</v>
      </c>
      <c r="AM35" s="73"/>
      <c r="AN35" s="69">
        <f t="shared" ref="AN35" si="178">+ROUND($I35*AM35,0)</f>
        <v>0</v>
      </c>
      <c r="AO35" s="73"/>
      <c r="AP35" s="69">
        <f t="shared" ref="AP35" si="179">+ROUND($I35*AO35,0)</f>
        <v>0</v>
      </c>
      <c r="AQ35" s="73"/>
      <c r="AR35" s="69">
        <f t="shared" ref="AR35" si="180">+ROUND($I35*AQ35,0)</f>
        <v>0</v>
      </c>
      <c r="AS35" s="73"/>
      <c r="AT35" s="69">
        <f t="shared" ref="AT35" si="181">+ROUND($I35*AS35,0)</f>
        <v>0</v>
      </c>
      <c r="AU35" s="73"/>
      <c r="AV35" s="69">
        <f t="shared" ref="AV35:AX35" si="182">+ROUND($I35*AU35,0)</f>
        <v>0</v>
      </c>
      <c r="AW35" s="73"/>
      <c r="AX35" s="69">
        <f t="shared" si="182"/>
        <v>0</v>
      </c>
      <c r="AY35" s="73"/>
      <c r="AZ35" s="69">
        <f t="shared" ref="AZ35" si="183">+ROUND($I35*AY35,0)</f>
        <v>0</v>
      </c>
      <c r="BA35" s="73">
        <v>20</v>
      </c>
      <c r="BB35" s="69">
        <f t="shared" ref="BB35" si="184">+ROUND($I35*BA35,0)</f>
        <v>4670980</v>
      </c>
    </row>
    <row r="36" spans="1:54" ht="30" customHeight="1" x14ac:dyDescent="0.3">
      <c r="A36" s="3"/>
      <c r="B36" s="8"/>
      <c r="C36" s="60">
        <v>4747</v>
      </c>
      <c r="D36" s="60">
        <v>3014</v>
      </c>
      <c r="E36" s="60" t="str">
        <f>+VLOOKUP(C36,'PRECIOS IDU 2025'!$A$1:$E$3189,2,FALSE)</f>
        <v>SUBBASE GRANULAR CLASE B (SBG_B) CON RECICLADO DE CONCRETO (SUMINISTRO, EXTENDIDO, NIVELACIÓN, HUMEDECIMIENTO Y COMPACTACIÓN CON VIBROCOMPACTADOR)</v>
      </c>
      <c r="F36" s="60" t="str">
        <f>+VLOOKUP(C36,'PRECIOS IDU 2025'!$A$1:$E$3189,3,FALSE)</f>
        <v>M3</v>
      </c>
      <c r="G36" s="108">
        <f t="shared" si="0"/>
        <v>30</v>
      </c>
      <c r="H36" s="69">
        <f>+VLOOKUP(C36,'PRECIOS DE REFERENCIA APU'!$A$1:$D$2745,4,FALSE)</f>
        <v>163821</v>
      </c>
      <c r="I36" s="69">
        <f t="shared" si="18"/>
        <v>224435</v>
      </c>
      <c r="J36" s="69">
        <f t="shared" si="19"/>
        <v>6733050</v>
      </c>
      <c r="K36" s="9"/>
      <c r="L36" s="503">
        <v>1</v>
      </c>
      <c r="M36" s="503"/>
      <c r="O36" s="73"/>
      <c r="P36" s="69">
        <f t="shared" si="1"/>
        <v>0</v>
      </c>
      <c r="Q36" s="73"/>
      <c r="R36" s="69">
        <f t="shared" si="1"/>
        <v>0</v>
      </c>
      <c r="S36" s="73"/>
      <c r="T36" s="69">
        <f t="shared" ref="T36" si="185">+ROUND($I36*S36,0)</f>
        <v>0</v>
      </c>
      <c r="U36" s="73"/>
      <c r="V36" s="69">
        <f t="shared" ref="V36" si="186">+ROUND($I36*U36,0)</f>
        <v>0</v>
      </c>
      <c r="W36" s="73"/>
      <c r="X36" s="69">
        <f t="shared" ref="X36" si="187">+ROUND($I36*W36,0)</f>
        <v>0</v>
      </c>
      <c r="Y36" s="73"/>
      <c r="Z36" s="69">
        <f t="shared" ref="Z36" si="188">+ROUND($I36*Y36,0)</f>
        <v>0</v>
      </c>
      <c r="AA36" s="73"/>
      <c r="AB36" s="69">
        <f t="shared" ref="AB36:AD36" si="189">+ROUND($I36*AA36,0)</f>
        <v>0</v>
      </c>
      <c r="AC36" s="73"/>
      <c r="AD36" s="69">
        <f t="shared" si="189"/>
        <v>0</v>
      </c>
      <c r="AE36" s="73"/>
      <c r="AF36" s="69">
        <f t="shared" si="7"/>
        <v>0</v>
      </c>
      <c r="AG36" s="73"/>
      <c r="AH36" s="69">
        <f t="shared" ref="AH36" si="190">+ROUND($I36*AG36,0)</f>
        <v>0</v>
      </c>
      <c r="AI36" s="73"/>
      <c r="AJ36" s="69">
        <f t="shared" ref="AJ36" si="191">+ROUND($I36*AI36,0)</f>
        <v>0</v>
      </c>
      <c r="AK36" s="73"/>
      <c r="AL36" s="69">
        <f t="shared" ref="AL36" si="192">+ROUND($I36*AK36,0)</f>
        <v>0</v>
      </c>
      <c r="AM36" s="73"/>
      <c r="AN36" s="69">
        <f t="shared" ref="AN36" si="193">+ROUND($I36*AM36,0)</f>
        <v>0</v>
      </c>
      <c r="AO36" s="73"/>
      <c r="AP36" s="69">
        <f t="shared" ref="AP36" si="194">+ROUND($I36*AO36,0)</f>
        <v>0</v>
      </c>
      <c r="AQ36" s="73"/>
      <c r="AR36" s="69">
        <f t="shared" ref="AR36" si="195">+ROUND($I36*AQ36,0)</f>
        <v>0</v>
      </c>
      <c r="AS36" s="73"/>
      <c r="AT36" s="69">
        <f t="shared" ref="AT36" si="196">+ROUND($I36*AS36,0)</f>
        <v>0</v>
      </c>
      <c r="AU36" s="73"/>
      <c r="AV36" s="69">
        <f t="shared" ref="AV36:AX36" si="197">+ROUND($I36*AU36,0)</f>
        <v>0</v>
      </c>
      <c r="AW36" s="73"/>
      <c r="AX36" s="69">
        <f t="shared" si="197"/>
        <v>0</v>
      </c>
      <c r="AY36" s="73"/>
      <c r="AZ36" s="69">
        <f t="shared" ref="AZ36" si="198">+ROUND($I36*AY36,0)</f>
        <v>0</v>
      </c>
      <c r="BA36" s="73">
        <v>30</v>
      </c>
      <c r="BB36" s="69">
        <f t="shared" ref="BB36" si="199">+ROUND($I36*BA36,0)</f>
        <v>6733050</v>
      </c>
    </row>
    <row r="37" spans="1:54" ht="55.2" x14ac:dyDescent="0.3">
      <c r="A37" s="3"/>
      <c r="B37" s="8"/>
      <c r="C37" s="60">
        <v>3708</v>
      </c>
      <c r="D37" s="60">
        <v>3020</v>
      </c>
      <c r="E37" s="60" t="str">
        <f>+VLOOKUP(C37,'PRECIOS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37" s="60" t="str">
        <f>+VLOOKUP(C37,'PRECIOS IDU 2025'!$A$1:$E$3189,3,FALSE)</f>
        <v>KG</v>
      </c>
      <c r="G37" s="108">
        <f t="shared" si="0"/>
        <v>80</v>
      </c>
      <c r="H37" s="69">
        <f>+VLOOKUP(C37,'PRECIOS DE REFERENCIA APU'!$A$1:$D$2745,4,FALSE)</f>
        <v>5749</v>
      </c>
      <c r="I37" s="69">
        <f t="shared" si="18"/>
        <v>7876</v>
      </c>
      <c r="J37" s="69">
        <f t="shared" si="19"/>
        <v>630080</v>
      </c>
      <c r="K37" s="9"/>
      <c r="L37" s="503">
        <v>10</v>
      </c>
      <c r="M37" s="503"/>
      <c r="O37" s="73"/>
      <c r="P37" s="69">
        <f t="shared" si="1"/>
        <v>0</v>
      </c>
      <c r="Q37" s="73"/>
      <c r="R37" s="69">
        <f t="shared" si="1"/>
        <v>0</v>
      </c>
      <c r="S37" s="73"/>
      <c r="T37" s="69">
        <f t="shared" ref="T37" si="200">+ROUND($I37*S37,0)</f>
        <v>0</v>
      </c>
      <c r="U37" s="73"/>
      <c r="V37" s="69">
        <f t="shared" ref="V37" si="201">+ROUND($I37*U37,0)</f>
        <v>0</v>
      </c>
      <c r="W37" s="73"/>
      <c r="X37" s="69">
        <f t="shared" ref="X37" si="202">+ROUND($I37*W37,0)</f>
        <v>0</v>
      </c>
      <c r="Y37" s="73"/>
      <c r="Z37" s="69">
        <f t="shared" ref="Z37" si="203">+ROUND($I37*Y37,0)</f>
        <v>0</v>
      </c>
      <c r="AA37" s="73"/>
      <c r="AB37" s="69">
        <f t="shared" ref="AB37:AD37" si="204">+ROUND($I37*AA37,0)</f>
        <v>0</v>
      </c>
      <c r="AC37" s="73"/>
      <c r="AD37" s="69">
        <f t="shared" si="204"/>
        <v>0</v>
      </c>
      <c r="AE37" s="73"/>
      <c r="AF37" s="69">
        <f t="shared" si="7"/>
        <v>0</v>
      </c>
      <c r="AG37" s="73"/>
      <c r="AH37" s="69">
        <f t="shared" ref="AH37" si="205">+ROUND($I37*AG37,0)</f>
        <v>0</v>
      </c>
      <c r="AI37" s="73"/>
      <c r="AJ37" s="69">
        <f t="shared" ref="AJ37" si="206">+ROUND($I37*AI37,0)</f>
        <v>0</v>
      </c>
      <c r="AK37" s="73"/>
      <c r="AL37" s="69">
        <f t="shared" ref="AL37" si="207">+ROUND($I37*AK37,0)</f>
        <v>0</v>
      </c>
      <c r="AM37" s="73"/>
      <c r="AN37" s="69">
        <f t="shared" ref="AN37" si="208">+ROUND($I37*AM37,0)</f>
        <v>0</v>
      </c>
      <c r="AO37" s="73"/>
      <c r="AP37" s="69">
        <f t="shared" ref="AP37" si="209">+ROUND($I37*AO37,0)</f>
        <v>0</v>
      </c>
      <c r="AQ37" s="73"/>
      <c r="AR37" s="69">
        <f t="shared" ref="AR37" si="210">+ROUND($I37*AQ37,0)</f>
        <v>0</v>
      </c>
      <c r="AS37" s="73"/>
      <c r="AT37" s="69">
        <f t="shared" ref="AT37" si="211">+ROUND($I37*AS37,0)</f>
        <v>0</v>
      </c>
      <c r="AU37" s="73"/>
      <c r="AV37" s="69">
        <f t="shared" ref="AV37:AX37" si="212">+ROUND($I37*AU37,0)</f>
        <v>0</v>
      </c>
      <c r="AW37" s="73"/>
      <c r="AX37" s="69">
        <f t="shared" si="212"/>
        <v>0</v>
      </c>
      <c r="AY37" s="73"/>
      <c r="AZ37" s="69">
        <f t="shared" ref="AZ37" si="213">+ROUND($I37*AY37,0)</f>
        <v>0</v>
      </c>
      <c r="BA37" s="73">
        <v>80</v>
      </c>
      <c r="BB37" s="69">
        <f t="shared" ref="BB37" si="214">+ROUND($I37*BA37,0)</f>
        <v>630080</v>
      </c>
    </row>
    <row r="38" spans="1:54" ht="50.25" customHeight="1" x14ac:dyDescent="0.3">
      <c r="A38" s="3"/>
      <c r="B38" s="8"/>
      <c r="C38" s="60">
        <v>4959</v>
      </c>
      <c r="D38" s="60">
        <v>3021</v>
      </c>
      <c r="E38" s="60" t="str">
        <f>+VLOOKUP(C38,'PRECIOS IDU 2025'!$A$1:$E$3189,2,FALSE)</f>
        <v>ACERO LISO PARA TRANSFERENCIA DE LOSAS D= 1 1/4" (NO INCLUYE CANASTILLA). SUMINISTRO E INSTALACIÓN.</v>
      </c>
      <c r="F38" s="60" t="str">
        <f>+VLOOKUP(C38,'PRECIOS IDU 2025'!$A$1:$E$3189,3,FALSE)</f>
        <v>KG</v>
      </c>
      <c r="G38" s="108">
        <f t="shared" si="0"/>
        <v>20</v>
      </c>
      <c r="H38" s="69">
        <f>+VLOOKUP(C38,'PRECIOS DE REFERENCIA APU'!$A$1:$D$2745,4,FALSE)</f>
        <v>8636</v>
      </c>
      <c r="I38" s="69">
        <f t="shared" si="18"/>
        <v>11831</v>
      </c>
      <c r="J38" s="69">
        <f t="shared" si="19"/>
        <v>236620</v>
      </c>
      <c r="K38" s="9"/>
      <c r="L38" s="503">
        <v>1</v>
      </c>
      <c r="M38" s="503"/>
      <c r="O38" s="73"/>
      <c r="P38" s="69">
        <f t="shared" si="1"/>
        <v>0</v>
      </c>
      <c r="Q38" s="73"/>
      <c r="R38" s="69">
        <f t="shared" si="1"/>
        <v>0</v>
      </c>
      <c r="S38" s="73"/>
      <c r="T38" s="69">
        <f t="shared" ref="T38" si="215">+ROUND($I38*S38,0)</f>
        <v>0</v>
      </c>
      <c r="U38" s="73"/>
      <c r="V38" s="69">
        <f t="shared" ref="V38" si="216">+ROUND($I38*U38,0)</f>
        <v>0</v>
      </c>
      <c r="W38" s="73"/>
      <c r="X38" s="69">
        <f t="shared" ref="X38" si="217">+ROUND($I38*W38,0)</f>
        <v>0</v>
      </c>
      <c r="Y38" s="73"/>
      <c r="Z38" s="69">
        <f t="shared" ref="Z38" si="218">+ROUND($I38*Y38,0)</f>
        <v>0</v>
      </c>
      <c r="AA38" s="73"/>
      <c r="AB38" s="69">
        <f t="shared" ref="AB38:AD38" si="219">+ROUND($I38*AA38,0)</f>
        <v>0</v>
      </c>
      <c r="AC38" s="73"/>
      <c r="AD38" s="69">
        <f t="shared" si="219"/>
        <v>0</v>
      </c>
      <c r="AE38" s="73"/>
      <c r="AF38" s="69">
        <f t="shared" si="7"/>
        <v>0</v>
      </c>
      <c r="AG38" s="73"/>
      <c r="AH38" s="69">
        <f t="shared" ref="AH38" si="220">+ROUND($I38*AG38,0)</f>
        <v>0</v>
      </c>
      <c r="AI38" s="73"/>
      <c r="AJ38" s="69">
        <f t="shared" ref="AJ38" si="221">+ROUND($I38*AI38,0)</f>
        <v>0</v>
      </c>
      <c r="AK38" s="73"/>
      <c r="AL38" s="69">
        <f t="shared" ref="AL38" si="222">+ROUND($I38*AK38,0)</f>
        <v>0</v>
      </c>
      <c r="AM38" s="73"/>
      <c r="AN38" s="69">
        <f t="shared" ref="AN38" si="223">+ROUND($I38*AM38,0)</f>
        <v>0</v>
      </c>
      <c r="AO38" s="73"/>
      <c r="AP38" s="69">
        <f t="shared" ref="AP38" si="224">+ROUND($I38*AO38,0)</f>
        <v>0</v>
      </c>
      <c r="AQ38" s="73"/>
      <c r="AR38" s="69">
        <f t="shared" ref="AR38" si="225">+ROUND($I38*AQ38,0)</f>
        <v>0</v>
      </c>
      <c r="AS38" s="73"/>
      <c r="AT38" s="69">
        <f t="shared" ref="AT38" si="226">+ROUND($I38*AS38,0)</f>
        <v>0</v>
      </c>
      <c r="AU38" s="73"/>
      <c r="AV38" s="69">
        <f t="shared" ref="AV38:AX38" si="227">+ROUND($I38*AU38,0)</f>
        <v>0</v>
      </c>
      <c r="AW38" s="73"/>
      <c r="AX38" s="69">
        <f t="shared" si="227"/>
        <v>0</v>
      </c>
      <c r="AY38" s="73"/>
      <c r="AZ38" s="69">
        <f t="shared" ref="AZ38" si="228">+ROUND($I38*AY38,0)</f>
        <v>0</v>
      </c>
      <c r="BA38" s="73">
        <v>20</v>
      </c>
      <c r="BB38" s="69">
        <f t="shared" ref="BB38" si="229">+ROUND($I38*BA38,0)</f>
        <v>236620</v>
      </c>
    </row>
    <row r="39" spans="1:54" ht="30" customHeight="1" x14ac:dyDescent="0.3">
      <c r="A39" s="3"/>
      <c r="B39" s="8"/>
      <c r="C39" s="60">
        <v>7713</v>
      </c>
      <c r="D39" s="60">
        <v>3022</v>
      </c>
      <c r="E39" s="60" t="str">
        <f>+VLOOKUP(C39,'PRECIOS IDU 2025'!$A$1:$E$3189,2,FALSE)</f>
        <v>(DOVELAS) ACERO LISO PARA TRANSFERENCIA DE LOSAS D= 1 1/2" (NO INCLUYE CANASTILLA). SUMINISTRO E INSTALACIÓN.</v>
      </c>
      <c r="F39" s="60" t="str">
        <f>+VLOOKUP(C39,'PRECIOS IDU 2025'!$A$1:$E$3189,3,FALSE)</f>
        <v>KG</v>
      </c>
      <c r="G39" s="108">
        <f t="shared" si="0"/>
        <v>30</v>
      </c>
      <c r="H39" s="69">
        <f>+VLOOKUP(C39,'PRECIOS DE REFERENCIA APU'!$A$1:$D$2745,4,FALSE)</f>
        <v>8040</v>
      </c>
      <c r="I39" s="69">
        <f t="shared" si="18"/>
        <v>11015</v>
      </c>
      <c r="J39" s="69">
        <f t="shared" si="19"/>
        <v>330450</v>
      </c>
      <c r="K39" s="9"/>
      <c r="L39" s="503">
        <v>10</v>
      </c>
      <c r="M39" s="503"/>
      <c r="O39" s="73"/>
      <c r="P39" s="69">
        <f t="shared" si="1"/>
        <v>0</v>
      </c>
      <c r="Q39" s="73"/>
      <c r="R39" s="69">
        <f t="shared" si="1"/>
        <v>0</v>
      </c>
      <c r="S39" s="73"/>
      <c r="T39" s="69">
        <f t="shared" ref="T39" si="230">+ROUND($I39*S39,0)</f>
        <v>0</v>
      </c>
      <c r="U39" s="73"/>
      <c r="V39" s="69">
        <f t="shared" ref="V39" si="231">+ROUND($I39*U39,0)</f>
        <v>0</v>
      </c>
      <c r="W39" s="73"/>
      <c r="X39" s="69">
        <f t="shared" ref="X39" si="232">+ROUND($I39*W39,0)</f>
        <v>0</v>
      </c>
      <c r="Y39" s="73"/>
      <c r="Z39" s="69">
        <f t="shared" ref="Z39" si="233">+ROUND($I39*Y39,0)</f>
        <v>0</v>
      </c>
      <c r="AA39" s="73"/>
      <c r="AB39" s="69">
        <f t="shared" ref="AB39:AD39" si="234">+ROUND($I39*AA39,0)</f>
        <v>0</v>
      </c>
      <c r="AC39" s="73"/>
      <c r="AD39" s="69">
        <f t="shared" si="234"/>
        <v>0</v>
      </c>
      <c r="AE39" s="73"/>
      <c r="AF39" s="69">
        <f t="shared" si="7"/>
        <v>0</v>
      </c>
      <c r="AG39" s="73"/>
      <c r="AH39" s="69">
        <f t="shared" ref="AH39" si="235">+ROUND($I39*AG39,0)</f>
        <v>0</v>
      </c>
      <c r="AI39" s="73"/>
      <c r="AJ39" s="69">
        <f t="shared" ref="AJ39" si="236">+ROUND($I39*AI39,0)</f>
        <v>0</v>
      </c>
      <c r="AK39" s="73"/>
      <c r="AL39" s="69">
        <f t="shared" ref="AL39" si="237">+ROUND($I39*AK39,0)</f>
        <v>0</v>
      </c>
      <c r="AM39" s="73"/>
      <c r="AN39" s="69">
        <f t="shared" ref="AN39" si="238">+ROUND($I39*AM39,0)</f>
        <v>0</v>
      </c>
      <c r="AO39" s="73"/>
      <c r="AP39" s="69">
        <f t="shared" ref="AP39" si="239">+ROUND($I39*AO39,0)</f>
        <v>0</v>
      </c>
      <c r="AQ39" s="73"/>
      <c r="AR39" s="69">
        <f t="shared" ref="AR39" si="240">+ROUND($I39*AQ39,0)</f>
        <v>0</v>
      </c>
      <c r="AS39" s="73"/>
      <c r="AT39" s="69">
        <f t="shared" ref="AT39" si="241">+ROUND($I39*AS39,0)</f>
        <v>0</v>
      </c>
      <c r="AU39" s="73"/>
      <c r="AV39" s="69">
        <f t="shared" ref="AV39:AX39" si="242">+ROUND($I39*AU39,0)</f>
        <v>0</v>
      </c>
      <c r="AW39" s="73"/>
      <c r="AX39" s="69">
        <f t="shared" si="242"/>
        <v>0</v>
      </c>
      <c r="AY39" s="73"/>
      <c r="AZ39" s="69">
        <f t="shared" ref="AZ39" si="243">+ROUND($I39*AY39,0)</f>
        <v>0</v>
      </c>
      <c r="BA39" s="73">
        <v>30</v>
      </c>
      <c r="BB39" s="69">
        <f t="shared" ref="BB39" si="244">+ROUND($I39*BA39,0)</f>
        <v>330450</v>
      </c>
    </row>
    <row r="40" spans="1:54" ht="30" customHeight="1" x14ac:dyDescent="0.3">
      <c r="A40" s="3"/>
      <c r="B40" s="8"/>
      <c r="C40" s="60">
        <v>7714</v>
      </c>
      <c r="D40" s="60">
        <v>3023</v>
      </c>
      <c r="E40" s="60" t="str">
        <f>+VLOOKUP(C40,'PRECIOS IDU 2025'!$A$1:$E$3189,2,FALSE)</f>
        <v>(DOVELAS) ACERO LISO PARA TRANSFERENCIA DE LOSAS D= 1" (NO INCLUYE CANASTILLA). SUMINISTRO E INSTALACIÓN.</v>
      </c>
      <c r="F40" s="60" t="str">
        <f>+VLOOKUP(C40,'PRECIOS IDU 2025'!$A$1:$E$3189,3,FALSE)</f>
        <v>KG</v>
      </c>
      <c r="G40" s="108">
        <f t="shared" si="0"/>
        <v>30</v>
      </c>
      <c r="H40" s="69">
        <f>+VLOOKUP(C40,'PRECIOS DE REFERENCIA APU'!$A$1:$D$2745,4,FALSE)</f>
        <v>8040</v>
      </c>
      <c r="I40" s="69">
        <f t="shared" si="18"/>
        <v>11015</v>
      </c>
      <c r="J40" s="69">
        <f t="shared" si="19"/>
        <v>330450</v>
      </c>
      <c r="K40" s="9"/>
      <c r="L40" s="503">
        <v>10</v>
      </c>
      <c r="M40" s="503"/>
      <c r="O40" s="73"/>
      <c r="P40" s="69">
        <f t="shared" si="1"/>
        <v>0</v>
      </c>
      <c r="Q40" s="73"/>
      <c r="R40" s="69">
        <f t="shared" si="1"/>
        <v>0</v>
      </c>
      <c r="S40" s="73"/>
      <c r="T40" s="69">
        <f t="shared" ref="T40" si="245">+ROUND($I40*S40,0)</f>
        <v>0</v>
      </c>
      <c r="U40" s="73"/>
      <c r="V40" s="69">
        <f t="shared" ref="V40" si="246">+ROUND($I40*U40,0)</f>
        <v>0</v>
      </c>
      <c r="W40" s="73"/>
      <c r="X40" s="69">
        <f t="shared" ref="X40" si="247">+ROUND($I40*W40,0)</f>
        <v>0</v>
      </c>
      <c r="Y40" s="73"/>
      <c r="Z40" s="69">
        <f t="shared" ref="Z40" si="248">+ROUND($I40*Y40,0)</f>
        <v>0</v>
      </c>
      <c r="AA40" s="73"/>
      <c r="AB40" s="69">
        <f t="shared" ref="AB40:AD40" si="249">+ROUND($I40*AA40,0)</f>
        <v>0</v>
      </c>
      <c r="AC40" s="73"/>
      <c r="AD40" s="69">
        <f t="shared" si="249"/>
        <v>0</v>
      </c>
      <c r="AE40" s="73"/>
      <c r="AF40" s="69">
        <f t="shared" si="7"/>
        <v>0</v>
      </c>
      <c r="AG40" s="73"/>
      <c r="AH40" s="69">
        <f t="shared" ref="AH40" si="250">+ROUND($I40*AG40,0)</f>
        <v>0</v>
      </c>
      <c r="AI40" s="73"/>
      <c r="AJ40" s="69">
        <f t="shared" ref="AJ40" si="251">+ROUND($I40*AI40,0)</f>
        <v>0</v>
      </c>
      <c r="AK40" s="73"/>
      <c r="AL40" s="69">
        <f t="shared" ref="AL40" si="252">+ROUND($I40*AK40,0)</f>
        <v>0</v>
      </c>
      <c r="AM40" s="73"/>
      <c r="AN40" s="69">
        <f t="shared" ref="AN40" si="253">+ROUND($I40*AM40,0)</f>
        <v>0</v>
      </c>
      <c r="AO40" s="73"/>
      <c r="AP40" s="69">
        <f t="shared" ref="AP40" si="254">+ROUND($I40*AO40,0)</f>
        <v>0</v>
      </c>
      <c r="AQ40" s="73"/>
      <c r="AR40" s="69">
        <f t="shared" ref="AR40" si="255">+ROUND($I40*AQ40,0)</f>
        <v>0</v>
      </c>
      <c r="AS40" s="73"/>
      <c r="AT40" s="69">
        <f t="shared" ref="AT40" si="256">+ROUND($I40*AS40,0)</f>
        <v>0</v>
      </c>
      <c r="AU40" s="73"/>
      <c r="AV40" s="69">
        <f t="shared" ref="AV40:AX40" si="257">+ROUND($I40*AU40,0)</f>
        <v>0</v>
      </c>
      <c r="AW40" s="73"/>
      <c r="AX40" s="69">
        <f t="shared" si="257"/>
        <v>0</v>
      </c>
      <c r="AY40" s="73"/>
      <c r="AZ40" s="69">
        <f t="shared" ref="AZ40" si="258">+ROUND($I40*AY40,0)</f>
        <v>0</v>
      </c>
      <c r="BA40" s="73">
        <v>30</v>
      </c>
      <c r="BB40" s="69">
        <f t="shared" ref="BB40" si="259">+ROUND($I40*BA40,0)</f>
        <v>330450</v>
      </c>
    </row>
    <row r="41" spans="1:54" ht="30" customHeight="1" x14ac:dyDescent="0.3">
      <c r="A41" s="3"/>
      <c r="B41" s="8"/>
      <c r="C41" s="60">
        <v>3394</v>
      </c>
      <c r="D41" s="60">
        <v>3024</v>
      </c>
      <c r="E41" s="60" t="str">
        <f>+VLOOKUP(C41,'PRECIOS IDU 2025'!$A$1:$E$3189,2,FALSE)</f>
        <v>LOSA DE CONCRETO MR41 (SUMINISTRO, FORMALETEADO, COLOCACIÓN Y ACABADO. NO INCLUYE ACERO, CURADO, JUNTAS)</v>
      </c>
      <c r="F41" s="60" t="str">
        <f>+VLOOKUP(C41,'PRECIOS IDU 2025'!$A$1:$E$3189,3,FALSE)</f>
        <v>M3</v>
      </c>
      <c r="G41" s="108">
        <f t="shared" si="0"/>
        <v>20</v>
      </c>
      <c r="H41" s="69">
        <f>+VLOOKUP(C41,'PRECIOS DE REFERENCIA APU'!$A$1:$D$2745,4,FALSE)</f>
        <v>894526</v>
      </c>
      <c r="I41" s="69">
        <f t="shared" si="18"/>
        <v>1225501</v>
      </c>
      <c r="J41" s="69">
        <f t="shared" si="19"/>
        <v>24510020</v>
      </c>
      <c r="K41" s="9"/>
      <c r="L41" s="503">
        <v>10</v>
      </c>
      <c r="M41" s="503"/>
      <c r="O41" s="73"/>
      <c r="P41" s="69">
        <f t="shared" si="1"/>
        <v>0</v>
      </c>
      <c r="Q41" s="73"/>
      <c r="R41" s="69">
        <f t="shared" si="1"/>
        <v>0</v>
      </c>
      <c r="S41" s="73"/>
      <c r="T41" s="69">
        <f t="shared" ref="T41" si="260">+ROUND($I41*S41,0)</f>
        <v>0</v>
      </c>
      <c r="U41" s="73"/>
      <c r="V41" s="69">
        <f t="shared" ref="V41" si="261">+ROUND($I41*U41,0)</f>
        <v>0</v>
      </c>
      <c r="W41" s="73"/>
      <c r="X41" s="69">
        <f t="shared" ref="X41" si="262">+ROUND($I41*W41,0)</f>
        <v>0</v>
      </c>
      <c r="Y41" s="73"/>
      <c r="Z41" s="69">
        <f t="shared" ref="Z41" si="263">+ROUND($I41*Y41,0)</f>
        <v>0</v>
      </c>
      <c r="AA41" s="73"/>
      <c r="AB41" s="69">
        <f t="shared" ref="AB41:AD41" si="264">+ROUND($I41*AA41,0)</f>
        <v>0</v>
      </c>
      <c r="AC41" s="73"/>
      <c r="AD41" s="69">
        <f t="shared" si="264"/>
        <v>0</v>
      </c>
      <c r="AE41" s="73"/>
      <c r="AF41" s="69">
        <f t="shared" si="7"/>
        <v>0</v>
      </c>
      <c r="AG41" s="73"/>
      <c r="AH41" s="69">
        <f t="shared" ref="AH41" si="265">+ROUND($I41*AG41,0)</f>
        <v>0</v>
      </c>
      <c r="AI41" s="73"/>
      <c r="AJ41" s="69">
        <f t="shared" ref="AJ41" si="266">+ROUND($I41*AI41,0)</f>
        <v>0</v>
      </c>
      <c r="AK41" s="73"/>
      <c r="AL41" s="69">
        <f t="shared" ref="AL41" si="267">+ROUND($I41*AK41,0)</f>
        <v>0</v>
      </c>
      <c r="AM41" s="73"/>
      <c r="AN41" s="69">
        <f t="shared" ref="AN41" si="268">+ROUND($I41*AM41,0)</f>
        <v>0</v>
      </c>
      <c r="AO41" s="73"/>
      <c r="AP41" s="69">
        <f t="shared" ref="AP41" si="269">+ROUND($I41*AO41,0)</f>
        <v>0</v>
      </c>
      <c r="AQ41" s="73"/>
      <c r="AR41" s="69">
        <f t="shared" ref="AR41" si="270">+ROUND($I41*AQ41,0)</f>
        <v>0</v>
      </c>
      <c r="AS41" s="73"/>
      <c r="AT41" s="69">
        <f t="shared" ref="AT41" si="271">+ROUND($I41*AS41,0)</f>
        <v>0</v>
      </c>
      <c r="AU41" s="73"/>
      <c r="AV41" s="69">
        <f t="shared" ref="AV41:AX41" si="272">+ROUND($I41*AU41,0)</f>
        <v>0</v>
      </c>
      <c r="AW41" s="73"/>
      <c r="AX41" s="69">
        <f t="shared" si="272"/>
        <v>0</v>
      </c>
      <c r="AY41" s="73"/>
      <c r="AZ41" s="69">
        <f t="shared" ref="AZ41" si="273">+ROUND($I41*AY41,0)</f>
        <v>0</v>
      </c>
      <c r="BA41" s="73">
        <v>20</v>
      </c>
      <c r="BB41" s="69">
        <f t="shared" ref="BB41" si="274">+ROUND($I41*BA41,0)</f>
        <v>24510020</v>
      </c>
    </row>
    <row r="42" spans="1:54" ht="30" customHeight="1" x14ac:dyDescent="0.3">
      <c r="A42" s="3"/>
      <c r="B42" s="8"/>
      <c r="C42" s="60">
        <v>3806</v>
      </c>
      <c r="D42" s="60">
        <v>3026</v>
      </c>
      <c r="E42" s="60" t="str">
        <f>+VLOOKUP(C42,'PRECIOS IDU 2025'!$A$1:$E$3189,2,FALSE)</f>
        <v>CURADO DE LOSAS DE CONCRETO (SUMINISTRO Y APLICACIÓN)</v>
      </c>
      <c r="F42" s="60" t="str">
        <f>+VLOOKUP(C42,'PRECIOS IDU 2025'!$A$1:$E$3189,3,FALSE)</f>
        <v>M2</v>
      </c>
      <c r="G42" s="108">
        <f t="shared" si="0"/>
        <v>20</v>
      </c>
      <c r="H42" s="69">
        <f>+VLOOKUP(C42,'PRECIOS DE REFERENCIA APU'!$A$1:$D$2745,4,FALSE)</f>
        <v>2840</v>
      </c>
      <c r="I42" s="69">
        <f t="shared" si="18"/>
        <v>3891</v>
      </c>
      <c r="J42" s="69">
        <f t="shared" si="19"/>
        <v>77820</v>
      </c>
      <c r="K42" s="9"/>
      <c r="L42" s="503">
        <v>10</v>
      </c>
      <c r="M42" s="503"/>
      <c r="O42" s="73"/>
      <c r="P42" s="69">
        <f t="shared" si="1"/>
        <v>0</v>
      </c>
      <c r="Q42" s="73"/>
      <c r="R42" s="69">
        <f t="shared" si="1"/>
        <v>0</v>
      </c>
      <c r="S42" s="73"/>
      <c r="T42" s="69">
        <f t="shared" ref="T42" si="275">+ROUND($I42*S42,0)</f>
        <v>0</v>
      </c>
      <c r="U42" s="73"/>
      <c r="V42" s="69">
        <f t="shared" ref="V42" si="276">+ROUND($I42*U42,0)</f>
        <v>0</v>
      </c>
      <c r="W42" s="73"/>
      <c r="X42" s="69">
        <f t="shared" ref="X42" si="277">+ROUND($I42*W42,0)</f>
        <v>0</v>
      </c>
      <c r="Y42" s="73"/>
      <c r="Z42" s="69">
        <f t="shared" ref="Z42" si="278">+ROUND($I42*Y42,0)</f>
        <v>0</v>
      </c>
      <c r="AA42" s="73"/>
      <c r="AB42" s="69">
        <f t="shared" ref="AB42:AD42" si="279">+ROUND($I42*AA42,0)</f>
        <v>0</v>
      </c>
      <c r="AC42" s="73"/>
      <c r="AD42" s="69">
        <f t="shared" si="279"/>
        <v>0</v>
      </c>
      <c r="AE42" s="73"/>
      <c r="AF42" s="69">
        <f t="shared" si="7"/>
        <v>0</v>
      </c>
      <c r="AG42" s="73"/>
      <c r="AH42" s="69">
        <f t="shared" ref="AH42" si="280">+ROUND($I42*AG42,0)</f>
        <v>0</v>
      </c>
      <c r="AI42" s="73"/>
      <c r="AJ42" s="69">
        <f t="shared" ref="AJ42" si="281">+ROUND($I42*AI42,0)</f>
        <v>0</v>
      </c>
      <c r="AK42" s="73"/>
      <c r="AL42" s="69">
        <f t="shared" ref="AL42" si="282">+ROUND($I42*AK42,0)</f>
        <v>0</v>
      </c>
      <c r="AM42" s="73"/>
      <c r="AN42" s="69">
        <f t="shared" ref="AN42" si="283">+ROUND($I42*AM42,0)</f>
        <v>0</v>
      </c>
      <c r="AO42" s="73"/>
      <c r="AP42" s="69">
        <f t="shared" ref="AP42" si="284">+ROUND($I42*AO42,0)</f>
        <v>0</v>
      </c>
      <c r="AQ42" s="73"/>
      <c r="AR42" s="69">
        <f t="shared" ref="AR42" si="285">+ROUND($I42*AQ42,0)</f>
        <v>0</v>
      </c>
      <c r="AS42" s="73"/>
      <c r="AT42" s="69">
        <f t="shared" ref="AT42" si="286">+ROUND($I42*AS42,0)</f>
        <v>0</v>
      </c>
      <c r="AU42" s="73"/>
      <c r="AV42" s="69">
        <f t="shared" ref="AV42:AX42" si="287">+ROUND($I42*AU42,0)</f>
        <v>0</v>
      </c>
      <c r="AW42" s="73"/>
      <c r="AX42" s="69">
        <f t="shared" si="287"/>
        <v>0</v>
      </c>
      <c r="AY42" s="73"/>
      <c r="AZ42" s="69">
        <f t="shared" ref="AZ42" si="288">+ROUND($I42*AY42,0)</f>
        <v>0</v>
      </c>
      <c r="BA42" s="73">
        <v>20</v>
      </c>
      <c r="BB42" s="69">
        <f t="shared" ref="BB42" si="289">+ROUND($I42*BA42,0)</f>
        <v>77820</v>
      </c>
    </row>
    <row r="43" spans="1:54" ht="30" customHeight="1" x14ac:dyDescent="0.3">
      <c r="A43" s="3"/>
      <c r="B43" s="8"/>
      <c r="C43" s="60">
        <v>3837</v>
      </c>
      <c r="D43" s="60">
        <v>3027</v>
      </c>
      <c r="E43" s="60" t="str">
        <f>+VLOOKUP(C43,'PRECIOS IDU 2025'!$A$1:$E$3189,2,FALSE)</f>
        <v>SELLADO DE JUNTAS EN PAVIMENTO DE CONCRETO HIDRAULICO (INCLUYE LIMPIEZA, SUMINISTRO E INSTALACIÓN DE FONDO Y SELLANTE)</v>
      </c>
      <c r="F43" s="60" t="str">
        <f>+VLOOKUP(C43,'PRECIOS IDU 2025'!$A$1:$E$3189,3,FALSE)</f>
        <v>ML</v>
      </c>
      <c r="G43" s="108">
        <f t="shared" si="0"/>
        <v>40</v>
      </c>
      <c r="H43" s="69">
        <f>+VLOOKUP(C43,'PRECIOS DE REFERENCIA APU'!$A$1:$D$2745,4,FALSE)</f>
        <v>15011</v>
      </c>
      <c r="I43" s="69">
        <f t="shared" si="18"/>
        <v>20565</v>
      </c>
      <c r="J43" s="69">
        <f t="shared" si="19"/>
        <v>822600</v>
      </c>
      <c r="K43" s="9"/>
      <c r="L43" s="503">
        <v>10</v>
      </c>
      <c r="M43" s="503"/>
      <c r="O43" s="73"/>
      <c r="P43" s="69">
        <f t="shared" si="1"/>
        <v>0</v>
      </c>
      <c r="Q43" s="73"/>
      <c r="R43" s="69">
        <f t="shared" si="1"/>
        <v>0</v>
      </c>
      <c r="S43" s="73"/>
      <c r="T43" s="69">
        <f t="shared" ref="T43" si="290">+ROUND($I43*S43,0)</f>
        <v>0</v>
      </c>
      <c r="U43" s="73"/>
      <c r="V43" s="69">
        <f t="shared" ref="V43" si="291">+ROUND($I43*U43,0)</f>
        <v>0</v>
      </c>
      <c r="W43" s="73"/>
      <c r="X43" s="69">
        <f t="shared" ref="X43" si="292">+ROUND($I43*W43,0)</f>
        <v>0</v>
      </c>
      <c r="Y43" s="73"/>
      <c r="Z43" s="69">
        <f t="shared" ref="Z43" si="293">+ROUND($I43*Y43,0)</f>
        <v>0</v>
      </c>
      <c r="AA43" s="73"/>
      <c r="AB43" s="69">
        <f t="shared" ref="AB43:AD43" si="294">+ROUND($I43*AA43,0)</f>
        <v>0</v>
      </c>
      <c r="AC43" s="73"/>
      <c r="AD43" s="69">
        <f t="shared" si="294"/>
        <v>0</v>
      </c>
      <c r="AE43" s="73"/>
      <c r="AF43" s="69">
        <f t="shared" si="7"/>
        <v>0</v>
      </c>
      <c r="AG43" s="73"/>
      <c r="AH43" s="69">
        <f t="shared" ref="AH43" si="295">+ROUND($I43*AG43,0)</f>
        <v>0</v>
      </c>
      <c r="AI43" s="73"/>
      <c r="AJ43" s="69">
        <f t="shared" ref="AJ43" si="296">+ROUND($I43*AI43,0)</f>
        <v>0</v>
      </c>
      <c r="AK43" s="73"/>
      <c r="AL43" s="69">
        <f t="shared" ref="AL43" si="297">+ROUND($I43*AK43,0)</f>
        <v>0</v>
      </c>
      <c r="AM43" s="73"/>
      <c r="AN43" s="69">
        <f t="shared" ref="AN43" si="298">+ROUND($I43*AM43,0)</f>
        <v>0</v>
      </c>
      <c r="AO43" s="73"/>
      <c r="AP43" s="69">
        <f t="shared" ref="AP43" si="299">+ROUND($I43*AO43,0)</f>
        <v>0</v>
      </c>
      <c r="AQ43" s="73"/>
      <c r="AR43" s="69">
        <f t="shared" ref="AR43" si="300">+ROUND($I43*AQ43,0)</f>
        <v>0</v>
      </c>
      <c r="AS43" s="73"/>
      <c r="AT43" s="69">
        <f t="shared" ref="AT43" si="301">+ROUND($I43*AS43,0)</f>
        <v>0</v>
      </c>
      <c r="AU43" s="73"/>
      <c r="AV43" s="69">
        <f t="shared" ref="AV43:AX43" si="302">+ROUND($I43*AU43,0)</f>
        <v>0</v>
      </c>
      <c r="AW43" s="73"/>
      <c r="AX43" s="69">
        <f t="shared" si="302"/>
        <v>0</v>
      </c>
      <c r="AY43" s="73"/>
      <c r="AZ43" s="69">
        <f t="shared" ref="AZ43" si="303">+ROUND($I43*AY43,0)</f>
        <v>0</v>
      </c>
      <c r="BA43" s="73">
        <v>40</v>
      </c>
      <c r="BB43" s="69">
        <f t="shared" ref="BB43" si="304">+ROUND($I43*BA43,0)</f>
        <v>822600</v>
      </c>
    </row>
    <row r="44" spans="1:54" ht="16.2" thickBot="1" x14ac:dyDescent="0.35">
      <c r="A44" s="3"/>
      <c r="B44" s="8"/>
      <c r="C44" s="60">
        <v>5404</v>
      </c>
      <c r="D44" s="60">
        <v>3028</v>
      </c>
      <c r="E44" s="60" t="str">
        <f>+VLOOKUP(C44,'PRECIOS IDU 2025'!$A$1:$E$3189,2,FALSE)</f>
        <v>CANASTILLA PASAJUNTAS (INCLUYE SUMINISTRO Y FIJACIÓN)</v>
      </c>
      <c r="F44" s="60" t="str">
        <f>+VLOOKUP(C44,'PRECIOS IDU 2025'!$A$1:$E$3189,3,FALSE)</f>
        <v>KG</v>
      </c>
      <c r="G44" s="108">
        <f t="shared" si="0"/>
        <v>50</v>
      </c>
      <c r="H44" s="69">
        <f>+VLOOKUP(C44,'PRECIOS DE REFERENCIA APU'!$A$1:$D$2745,4,FALSE)</f>
        <v>10669</v>
      </c>
      <c r="I44" s="69">
        <f t="shared" si="18"/>
        <v>14617</v>
      </c>
      <c r="J44" s="69">
        <f t="shared" si="19"/>
        <v>730850</v>
      </c>
      <c r="K44" s="9"/>
      <c r="L44" s="503">
        <v>10</v>
      </c>
      <c r="M44" s="503"/>
      <c r="O44" s="73"/>
      <c r="P44" s="69">
        <f t="shared" si="1"/>
        <v>0</v>
      </c>
      <c r="Q44" s="73"/>
      <c r="R44" s="69">
        <f t="shared" si="1"/>
        <v>0</v>
      </c>
      <c r="S44" s="73"/>
      <c r="T44" s="69">
        <f t="shared" ref="T44" si="305">+ROUND($I44*S44,0)</f>
        <v>0</v>
      </c>
      <c r="U44" s="73"/>
      <c r="V44" s="69">
        <f t="shared" ref="V44" si="306">+ROUND($I44*U44,0)</f>
        <v>0</v>
      </c>
      <c r="W44" s="73"/>
      <c r="X44" s="69">
        <f t="shared" ref="X44" si="307">+ROUND($I44*W44,0)</f>
        <v>0</v>
      </c>
      <c r="Y44" s="73"/>
      <c r="Z44" s="69">
        <f t="shared" ref="Z44" si="308">+ROUND($I44*Y44,0)</f>
        <v>0</v>
      </c>
      <c r="AA44" s="73"/>
      <c r="AB44" s="69">
        <f t="shared" ref="AB44:AD44" si="309">+ROUND($I44*AA44,0)</f>
        <v>0</v>
      </c>
      <c r="AC44" s="73"/>
      <c r="AD44" s="69">
        <f t="shared" si="309"/>
        <v>0</v>
      </c>
      <c r="AE44" s="73"/>
      <c r="AF44" s="69">
        <f t="shared" si="7"/>
        <v>0</v>
      </c>
      <c r="AG44" s="73"/>
      <c r="AH44" s="69">
        <f t="shared" ref="AH44" si="310">+ROUND($I44*AG44,0)</f>
        <v>0</v>
      </c>
      <c r="AI44" s="73"/>
      <c r="AJ44" s="69">
        <f t="shared" ref="AJ44" si="311">+ROUND($I44*AI44,0)</f>
        <v>0</v>
      </c>
      <c r="AK44" s="73"/>
      <c r="AL44" s="69">
        <f t="shared" ref="AL44" si="312">+ROUND($I44*AK44,0)</f>
        <v>0</v>
      </c>
      <c r="AM44" s="73"/>
      <c r="AN44" s="69">
        <f t="shared" ref="AN44" si="313">+ROUND($I44*AM44,0)</f>
        <v>0</v>
      </c>
      <c r="AO44" s="73"/>
      <c r="AP44" s="69">
        <f t="shared" ref="AP44" si="314">+ROUND($I44*AO44,0)</f>
        <v>0</v>
      </c>
      <c r="AQ44" s="73"/>
      <c r="AR44" s="69">
        <f t="shared" ref="AR44" si="315">+ROUND($I44*AQ44,0)</f>
        <v>0</v>
      </c>
      <c r="AS44" s="73"/>
      <c r="AT44" s="69">
        <f t="shared" ref="AT44" si="316">+ROUND($I44*AS44,0)</f>
        <v>0</v>
      </c>
      <c r="AU44" s="73"/>
      <c r="AV44" s="69">
        <f t="shared" ref="AV44:AX44" si="317">+ROUND($I44*AU44,0)</f>
        <v>0</v>
      </c>
      <c r="AW44" s="73"/>
      <c r="AX44" s="69">
        <f t="shared" si="317"/>
        <v>0</v>
      </c>
      <c r="AY44" s="73"/>
      <c r="AZ44" s="69">
        <f t="shared" ref="AZ44" si="318">+ROUND($I44*AY44,0)</f>
        <v>0</v>
      </c>
      <c r="BA44" s="73">
        <v>50</v>
      </c>
      <c r="BB44" s="69">
        <f t="shared" ref="BB44" si="319">+ROUND($I44*BA44,0)</f>
        <v>730850</v>
      </c>
    </row>
    <row r="45" spans="1:54" ht="30" customHeight="1" thickBot="1" x14ac:dyDescent="0.35">
      <c r="A45" s="3"/>
      <c r="B45" s="8"/>
      <c r="C45" s="61" t="s">
        <v>6652</v>
      </c>
      <c r="D45" s="62"/>
      <c r="E45" s="62"/>
      <c r="F45" s="62"/>
      <c r="G45" s="108">
        <f t="shared" si="0"/>
        <v>0</v>
      </c>
      <c r="H45" s="69"/>
      <c r="I45" s="532" t="s">
        <v>6084</v>
      </c>
      <c r="J45" s="533">
        <f>+SUM(J25:J44)</f>
        <v>59329440</v>
      </c>
      <c r="K45" s="9"/>
      <c r="L45" s="503">
        <v>0</v>
      </c>
      <c r="M45" s="503"/>
      <c r="O45" s="73"/>
      <c r="P45" s="69"/>
      <c r="Q45" s="73"/>
      <c r="R45" s="69"/>
      <c r="S45" s="73"/>
      <c r="T45" s="69"/>
      <c r="U45" s="73"/>
      <c r="V45" s="69"/>
      <c r="W45" s="73"/>
      <c r="X45" s="69"/>
      <c r="Y45" s="73"/>
      <c r="Z45" s="69"/>
      <c r="AA45" s="73"/>
      <c r="AB45" s="69"/>
      <c r="AC45" s="73"/>
      <c r="AD45" s="69"/>
      <c r="AE45" s="73"/>
      <c r="AF45" s="69"/>
      <c r="AG45" s="73"/>
      <c r="AH45" s="69"/>
      <c r="AI45" s="73"/>
      <c r="AJ45" s="69"/>
      <c r="AK45" s="73"/>
      <c r="AL45" s="69"/>
      <c r="AM45" s="73"/>
      <c r="AN45" s="69" t="e">
        <f t="shared" ref="AN45" si="320">+ROUND($I45*AM45,0)</f>
        <v>#VALUE!</v>
      </c>
      <c r="AO45" s="73"/>
      <c r="AP45" s="69"/>
      <c r="AQ45" s="73"/>
      <c r="AR45" s="69" t="e">
        <f t="shared" ref="AR45" si="321">+ROUND($I45*AQ45,0)</f>
        <v>#VALUE!</v>
      </c>
      <c r="AS45" s="73"/>
      <c r="AT45" s="69" t="e">
        <f t="shared" ref="AT45" si="322">+ROUND($I45*AS45,0)</f>
        <v>#VALUE!</v>
      </c>
      <c r="AU45" s="73"/>
      <c r="AV45" s="69" t="e">
        <f t="shared" ref="AV45:AX45" si="323">+ROUND($I45*AU45,0)</f>
        <v>#VALUE!</v>
      </c>
      <c r="AW45" s="73"/>
      <c r="AX45" s="69" t="e">
        <f t="shared" si="323"/>
        <v>#VALUE!</v>
      </c>
      <c r="AY45" s="73"/>
      <c r="AZ45" s="69" t="e">
        <f t="shared" ref="AZ45" si="324">+ROUND($I45*AY45,0)</f>
        <v>#VALUE!</v>
      </c>
      <c r="BA45" s="73"/>
      <c r="BB45" s="69"/>
    </row>
    <row r="46" spans="1:54" ht="30" customHeight="1" x14ac:dyDescent="0.3">
      <c r="A46" s="3"/>
      <c r="B46" s="8"/>
      <c r="C46" s="60">
        <v>3007</v>
      </c>
      <c r="D46" s="60">
        <v>4001</v>
      </c>
      <c r="E46" s="60" t="str">
        <f>+VLOOKUP(C46,'PRECIOS IDU 2025'!$A$1:$E$3189,2,FALSE)</f>
        <v>REPLANTEO GENERAL</v>
      </c>
      <c r="F46" s="60" t="str">
        <f>+VLOOKUP(C46,'PRECIOS IDU 2025'!$A$1:$E$3189,3,FALSE)</f>
        <v>M2</v>
      </c>
      <c r="G46" s="108">
        <f>+ROUND(SUM(O46,Q46,S46,U46,W46,Y46,AA46,AC46,AE46,AG46,AI46,AK46,AM46,AO46,AQ46,AS46,AU46,AW46,AY46,BA46),2)</f>
        <v>503</v>
      </c>
      <c r="H46" s="69">
        <f>+VLOOKUP(C46,'PRECIOS DE REFERENCIA APU'!$A$1:$D$2745,4,FALSE)</f>
        <v>996</v>
      </c>
      <c r="I46" s="69">
        <f t="shared" ref="I46:I62" si="325">+ROUND(H46*(1+$J$117),0)</f>
        <v>1365</v>
      </c>
      <c r="J46" s="69">
        <f t="shared" ref="J46:J62" si="326">+ROUND(I46*G46,0)</f>
        <v>686595</v>
      </c>
      <c r="K46" s="9"/>
      <c r="L46" s="503">
        <v>186.7</v>
      </c>
      <c r="M46" s="503"/>
      <c r="O46" s="73"/>
      <c r="P46" s="69"/>
      <c r="Q46" s="73"/>
      <c r="R46" s="69"/>
      <c r="S46" s="73"/>
      <c r="T46" s="69"/>
      <c r="U46" s="73"/>
      <c r="V46" s="69"/>
      <c r="W46" s="73"/>
      <c r="X46" s="69"/>
      <c r="Y46" s="73"/>
      <c r="Z46" s="69"/>
      <c r="AA46" s="73"/>
      <c r="AB46" s="69"/>
      <c r="AC46" s="526"/>
      <c r="AD46" s="69">
        <f t="shared" ref="AD46" si="327">+ROUND($I46*AC46,0)</f>
        <v>0</v>
      </c>
      <c r="AE46" s="526"/>
      <c r="AF46" s="69">
        <f t="shared" ref="AF46" si="328">+ROUND($I46*AE46,0)</f>
        <v>0</v>
      </c>
      <c r="AG46" s="73">
        <f>2*4</f>
        <v>8</v>
      </c>
      <c r="AH46" s="69">
        <f t="shared" ref="AH46:AH47" si="329">+ROUND($I46*AG46,0)</f>
        <v>10920</v>
      </c>
      <c r="AI46" s="73">
        <f>4*6</f>
        <v>24</v>
      </c>
      <c r="AJ46" s="69">
        <f t="shared" ref="AJ46:AP47" si="330">+ROUND($I46*AI46,0)</f>
        <v>32760</v>
      </c>
      <c r="AK46" s="73">
        <f>7*3</f>
        <v>21</v>
      </c>
      <c r="AL46" s="69">
        <f>+ROUND($I46*AK46,0)</f>
        <v>28665</v>
      </c>
      <c r="AM46" s="73">
        <f>6*5</f>
        <v>30</v>
      </c>
      <c r="AN46" s="69">
        <f t="shared" si="330"/>
        <v>40950</v>
      </c>
      <c r="AO46" s="73">
        <f>4*5</f>
        <v>20</v>
      </c>
      <c r="AP46" s="69">
        <f t="shared" si="330"/>
        <v>27300</v>
      </c>
      <c r="AQ46" s="73"/>
      <c r="AR46" s="69"/>
      <c r="AS46" s="73"/>
      <c r="AT46" s="69"/>
      <c r="AU46" s="73"/>
      <c r="AV46" s="69"/>
      <c r="AW46" s="73"/>
      <c r="AX46" s="69"/>
      <c r="AY46" s="73"/>
      <c r="AZ46" s="69"/>
      <c r="BA46" s="73">
        <v>400</v>
      </c>
      <c r="BB46" s="69">
        <f t="shared" ref="BB46:BB47" si="331">+ROUND($I46*BA46,0)</f>
        <v>546000</v>
      </c>
    </row>
    <row r="47" spans="1:54" ht="30" customHeight="1" x14ac:dyDescent="0.3">
      <c r="A47" s="3"/>
      <c r="B47" s="8"/>
      <c r="C47" s="60">
        <v>3811</v>
      </c>
      <c r="D47" s="60">
        <v>4002</v>
      </c>
      <c r="E47" s="60" t="str">
        <f>+VLOOKUP(C47,'PRECIOS IDU 2025'!$A$1:$E$3189,2,FALSE)</f>
        <v>CORTE DE PAVIMENTO - INCLUYE EQUIPO: CORTADORA DE CONCRETO INCLUYE OPERARIO Y COMBUSTIBLE. INCLUYE DISCO DIAMANTADO ASFALTO-CONCRETO 350 MM, AGUA Y MANO DE OBRA</v>
      </c>
      <c r="F47" s="60" t="str">
        <f>+VLOOKUP(C47,'PRECIOS IDU 2025'!$A$1:$E$3189,3,FALSE)</f>
        <v>ML</v>
      </c>
      <c r="G47" s="108">
        <f t="shared" ref="G47:G63" si="332">+ROUND(SUM(O47,Q47,S47,U47,W47,Y47,AA47,AC47,AG47,AI47,AK47,AM47,AO47,AQ47,AS47,AU47,AW47,AY47,BA47),2)</f>
        <v>577</v>
      </c>
      <c r="H47" s="69">
        <f>+VLOOKUP(C47,'PRECIOS DE REFERENCIA APU'!$A$1:$D$2745,4,FALSE)</f>
        <v>3055</v>
      </c>
      <c r="I47" s="69">
        <f t="shared" si="325"/>
        <v>4185</v>
      </c>
      <c r="J47" s="69">
        <f t="shared" si="326"/>
        <v>2414745</v>
      </c>
      <c r="K47" s="9"/>
      <c r="L47" s="503">
        <v>11.1</v>
      </c>
      <c r="M47" s="503"/>
      <c r="O47" s="73"/>
      <c r="P47" s="69">
        <f t="shared" si="1"/>
        <v>0</v>
      </c>
      <c r="Q47" s="73"/>
      <c r="R47" s="69">
        <f t="shared" si="1"/>
        <v>0</v>
      </c>
      <c r="S47" s="73"/>
      <c r="T47" s="69">
        <f t="shared" ref="T47" si="333">+ROUND($I47*S47,0)</f>
        <v>0</v>
      </c>
      <c r="U47" s="73"/>
      <c r="V47" s="69">
        <f t="shared" ref="V47" si="334">+ROUND($I47*U47,0)</f>
        <v>0</v>
      </c>
      <c r="W47" s="73"/>
      <c r="X47" s="69">
        <f t="shared" ref="X47" si="335">+ROUND($I47*W47,0)</f>
        <v>0</v>
      </c>
      <c r="Y47" s="73"/>
      <c r="Z47" s="69">
        <f t="shared" ref="Z47" si="336">+ROUND($I47*Y47,0)</f>
        <v>0</v>
      </c>
      <c r="AA47" s="73"/>
      <c r="AB47" s="69">
        <f t="shared" ref="AB47" si="337">+ROUND($I47*AA47,0)</f>
        <v>0</v>
      </c>
      <c r="AC47" s="73"/>
      <c r="AD47" s="69">
        <f>+ROUND($I47*AC47,0)</f>
        <v>0</v>
      </c>
      <c r="AE47" s="73"/>
      <c r="AF47" s="69">
        <f>+ROUND($I47*AE47,0)</f>
        <v>0</v>
      </c>
      <c r="AG47" s="73">
        <f>4+2+4+2</f>
        <v>12</v>
      </c>
      <c r="AH47" s="69">
        <f t="shared" si="329"/>
        <v>50220</v>
      </c>
      <c r="AI47" s="73">
        <f>6+4+6+4</f>
        <v>20</v>
      </c>
      <c r="AJ47" s="69">
        <f t="shared" si="330"/>
        <v>83700</v>
      </c>
      <c r="AK47" s="73">
        <f>7+3+7+3</f>
        <v>20</v>
      </c>
      <c r="AL47" s="69">
        <f>+ROUND($I47*AK47,0)</f>
        <v>83700</v>
      </c>
      <c r="AM47" s="73">
        <f>6+6</f>
        <v>12</v>
      </c>
      <c r="AN47" s="69">
        <f t="shared" si="330"/>
        <v>50220</v>
      </c>
      <c r="AO47" s="73">
        <f>4+5+4</f>
        <v>13</v>
      </c>
      <c r="AP47" s="69">
        <f t="shared" si="330"/>
        <v>54405</v>
      </c>
      <c r="AQ47" s="73"/>
      <c r="AR47" s="69">
        <f t="shared" ref="AR47" si="338">+ROUND($I47*AQ47,0)</f>
        <v>0</v>
      </c>
      <c r="AS47" s="73"/>
      <c r="AT47" s="69">
        <f t="shared" ref="AT47" si="339">+ROUND($I47*AS47,0)</f>
        <v>0</v>
      </c>
      <c r="AU47" s="73"/>
      <c r="AV47" s="69">
        <f t="shared" ref="AV47:AX47" si="340">+ROUND($I47*AU47,0)</f>
        <v>0</v>
      </c>
      <c r="AW47" s="73"/>
      <c r="AX47" s="69">
        <f t="shared" si="340"/>
        <v>0</v>
      </c>
      <c r="AY47" s="73"/>
      <c r="AZ47" s="69">
        <f t="shared" ref="AZ47" si="341">+ROUND($I47*AY47,0)</f>
        <v>0</v>
      </c>
      <c r="BA47" s="73">
        <v>500</v>
      </c>
      <c r="BB47" s="69">
        <f t="shared" si="331"/>
        <v>2092500</v>
      </c>
    </row>
    <row r="48" spans="1:54" ht="30" customHeight="1" x14ac:dyDescent="0.3">
      <c r="A48" s="3"/>
      <c r="B48" s="8"/>
      <c r="C48" s="60">
        <v>3010</v>
      </c>
      <c r="D48" s="60">
        <v>4003</v>
      </c>
      <c r="E48" s="60" t="str">
        <f>+VLOOKUP(C48,'PRECIOS IDU 2025'!$A$1:$E$3189,2,FALSE)</f>
        <v>DEMOLICION PAVIMENTO ASFALTICO (INCLUYE CARGUE). NO INCLUYE TRANSPORTE Y DISPOSICIÓN FINAL DE SOBRANTES.</v>
      </c>
      <c r="F48" s="60" t="str">
        <f>+VLOOKUP(C48,'PRECIOS IDU 2025'!$A$1:$E$3189,3,FALSE)</f>
        <v>M3</v>
      </c>
      <c r="G48" s="108">
        <f t="shared" si="332"/>
        <v>251.2</v>
      </c>
      <c r="H48" s="69">
        <f>+VLOOKUP(C48,'PRECIOS DE REFERENCIA APU'!$A$1:$D$2745,4,FALSE)</f>
        <v>45548</v>
      </c>
      <c r="I48" s="69">
        <f t="shared" si="325"/>
        <v>62401</v>
      </c>
      <c r="J48" s="69">
        <f t="shared" si="326"/>
        <v>15675131</v>
      </c>
      <c r="K48" s="9"/>
      <c r="L48" s="503">
        <v>6.73</v>
      </c>
      <c r="M48" s="503"/>
      <c r="O48" s="73"/>
      <c r="P48" s="69">
        <f t="shared" si="1"/>
        <v>0</v>
      </c>
      <c r="Q48" s="73"/>
      <c r="R48" s="69">
        <f t="shared" si="1"/>
        <v>0</v>
      </c>
      <c r="S48" s="73"/>
      <c r="T48" s="69">
        <f t="shared" ref="T48" si="342">+ROUND($I48*S48,0)</f>
        <v>0</v>
      </c>
      <c r="U48" s="73"/>
      <c r="V48" s="69">
        <f t="shared" ref="V48" si="343">+ROUND($I48*U48,0)</f>
        <v>0</v>
      </c>
      <c r="W48" s="73"/>
      <c r="X48" s="69">
        <f t="shared" ref="X48" si="344">+ROUND($I48*W48,0)</f>
        <v>0</v>
      </c>
      <c r="Y48" s="73"/>
      <c r="Z48" s="69">
        <f t="shared" ref="Z48" si="345">+ROUND($I48*Y48,0)</f>
        <v>0</v>
      </c>
      <c r="AA48" s="73"/>
      <c r="AB48" s="69">
        <f t="shared" ref="AB48:AD48" si="346">+ROUND($I48*AA48,0)</f>
        <v>0</v>
      </c>
      <c r="AC48" s="73"/>
      <c r="AD48" s="69">
        <f t="shared" si="346"/>
        <v>0</v>
      </c>
      <c r="AE48" s="73"/>
      <c r="AF48" s="69">
        <f t="shared" ref="AF48:AF62" si="347">+ROUND($I48*AE48,0)</f>
        <v>0</v>
      </c>
      <c r="AG48" s="73">
        <f>+AG46*0.15</f>
        <v>1.2</v>
      </c>
      <c r="AH48" s="69">
        <f t="shared" ref="AH48" si="348">+ROUND($I48*AG48,0)</f>
        <v>74881</v>
      </c>
      <c r="AI48" s="73"/>
      <c r="AJ48" s="69">
        <f t="shared" ref="AJ48" si="349">+ROUND($I48*AI48,0)</f>
        <v>0</v>
      </c>
      <c r="AK48" s="73"/>
      <c r="AL48" s="69">
        <f t="shared" ref="AL48" si="350">+ROUND($I48*AK48,0)</f>
        <v>0</v>
      </c>
      <c r="AM48" s="73"/>
      <c r="AN48" s="69">
        <f t="shared" ref="AN48" si="351">+ROUND($I48*AM48,0)</f>
        <v>0</v>
      </c>
      <c r="AO48" s="73"/>
      <c r="AP48" s="69">
        <f t="shared" ref="AP48" si="352">+ROUND($I48*AO48,0)</f>
        <v>0</v>
      </c>
      <c r="AQ48" s="73"/>
      <c r="AR48" s="69">
        <f t="shared" ref="AR48" si="353">+ROUND($I48*AQ48,0)</f>
        <v>0</v>
      </c>
      <c r="AS48" s="73"/>
      <c r="AT48" s="69">
        <f t="shared" ref="AT48" si="354">+ROUND($I48*AS48,0)</f>
        <v>0</v>
      </c>
      <c r="AU48" s="73"/>
      <c r="AV48" s="69">
        <f t="shared" ref="AV48:AX48" si="355">+ROUND($I48*AU48,0)</f>
        <v>0</v>
      </c>
      <c r="AW48" s="73"/>
      <c r="AX48" s="69">
        <f t="shared" si="355"/>
        <v>0</v>
      </c>
      <c r="AY48" s="73"/>
      <c r="AZ48" s="69">
        <f t="shared" ref="AZ48" si="356">+ROUND($I48*AY48,0)</f>
        <v>0</v>
      </c>
      <c r="BA48" s="73">
        <v>250</v>
      </c>
      <c r="BB48" s="69">
        <f t="shared" ref="BB48" si="357">+ROUND($I48*BA48,0)</f>
        <v>15600250</v>
      </c>
    </row>
    <row r="49" spans="1:54" ht="30" customHeight="1" x14ac:dyDescent="0.3">
      <c r="A49" s="3"/>
      <c r="B49" s="8"/>
      <c r="C49" s="60">
        <v>3710</v>
      </c>
      <c r="D49" s="60">
        <v>4004</v>
      </c>
      <c r="E49" s="60" t="str">
        <f>+VLOOKUP(C49,'PRECIOS IDU 2025'!$A$1:$E$3189,2,FALSE)</f>
        <v>EXCAVACIÓN MECÁNICA EN MATERIAL COMÚN (INCLUYE CARGUE)</v>
      </c>
      <c r="F49" s="60" t="str">
        <f>+VLOOKUP(C49,'PRECIOS IDU 2025'!$A$1:$E$3189,3,FALSE)</f>
        <v>M3</v>
      </c>
      <c r="G49" s="108">
        <f t="shared" si="332"/>
        <v>401.2</v>
      </c>
      <c r="H49" s="69">
        <f>+VLOOKUP(C49,'PRECIOS DE REFERENCIA APU'!$A$1:$D$2745,4,FALSE)</f>
        <v>5870</v>
      </c>
      <c r="I49" s="69">
        <f t="shared" si="325"/>
        <v>8042</v>
      </c>
      <c r="J49" s="69">
        <f t="shared" si="326"/>
        <v>3226450</v>
      </c>
      <c r="K49" s="9"/>
      <c r="L49" s="503">
        <v>143.76</v>
      </c>
      <c r="M49" s="503"/>
      <c r="O49" s="73"/>
      <c r="P49" s="69">
        <f t="shared" si="1"/>
        <v>0</v>
      </c>
      <c r="Q49" s="73"/>
      <c r="R49" s="69">
        <f t="shared" si="1"/>
        <v>0</v>
      </c>
      <c r="S49" s="73"/>
      <c r="T49" s="69">
        <f t="shared" ref="T49" si="358">+ROUND($I49*S49,0)</f>
        <v>0</v>
      </c>
      <c r="U49" s="73"/>
      <c r="V49" s="69">
        <f t="shared" ref="V49" si="359">+ROUND($I49*U49,0)</f>
        <v>0</v>
      </c>
      <c r="W49" s="73"/>
      <c r="X49" s="69">
        <f t="shared" ref="X49" si="360">+ROUND($I49*W49,0)</f>
        <v>0</v>
      </c>
      <c r="Y49" s="73"/>
      <c r="Z49" s="69">
        <f t="shared" ref="Z49" si="361">+ROUND($I49*Y49,0)</f>
        <v>0</v>
      </c>
      <c r="AA49" s="73"/>
      <c r="AB49" s="69">
        <f t="shared" ref="AB49:AD49" si="362">+ROUND($I49*AA49,0)</f>
        <v>0</v>
      </c>
      <c r="AC49" s="73"/>
      <c r="AD49" s="69">
        <f t="shared" si="362"/>
        <v>0</v>
      </c>
      <c r="AE49" s="73"/>
      <c r="AF49" s="69">
        <f t="shared" si="347"/>
        <v>0</v>
      </c>
      <c r="AG49" s="73">
        <f>+AG48</f>
        <v>1.2</v>
      </c>
      <c r="AH49" s="69">
        <f t="shared" ref="AH49" si="363">+ROUND($I49*AG49,0)</f>
        <v>9650</v>
      </c>
      <c r="AI49" s="73"/>
      <c r="AJ49" s="69">
        <f t="shared" ref="AJ49" si="364">+ROUND($I49*AI49,0)</f>
        <v>0</v>
      </c>
      <c r="AK49" s="73"/>
      <c r="AL49" s="69">
        <f t="shared" ref="AL49" si="365">+ROUND($I49*AK49,0)</f>
        <v>0</v>
      </c>
      <c r="AM49" s="73"/>
      <c r="AN49" s="69">
        <f t="shared" ref="AN49" si="366">+ROUND($I49*AM49,0)</f>
        <v>0</v>
      </c>
      <c r="AO49" s="73"/>
      <c r="AP49" s="69">
        <f t="shared" ref="AP49" si="367">+ROUND($I49*AO49,0)</f>
        <v>0</v>
      </c>
      <c r="AQ49" s="73"/>
      <c r="AR49" s="69">
        <f t="shared" ref="AR49" si="368">+ROUND($I49*AQ49,0)</f>
        <v>0</v>
      </c>
      <c r="AS49" s="73"/>
      <c r="AT49" s="69">
        <f t="shared" ref="AT49" si="369">+ROUND($I49*AS49,0)</f>
        <v>0</v>
      </c>
      <c r="AU49" s="73"/>
      <c r="AV49" s="69">
        <f t="shared" ref="AV49:AX49" si="370">+ROUND($I49*AU49,0)</f>
        <v>0</v>
      </c>
      <c r="AW49" s="73"/>
      <c r="AX49" s="69">
        <f t="shared" si="370"/>
        <v>0</v>
      </c>
      <c r="AY49" s="73"/>
      <c r="AZ49" s="69">
        <f t="shared" ref="AZ49" si="371">+ROUND($I49*AY49,0)</f>
        <v>0</v>
      </c>
      <c r="BA49" s="73">
        <v>400</v>
      </c>
      <c r="BB49" s="69">
        <f t="shared" ref="BB49" si="372">+ROUND($I49*BA49,0)</f>
        <v>3216800</v>
      </c>
    </row>
    <row r="50" spans="1:54" ht="30" customHeight="1" x14ac:dyDescent="0.3">
      <c r="A50" s="3"/>
      <c r="B50" s="8"/>
      <c r="C50" s="60">
        <v>3464</v>
      </c>
      <c r="D50" s="60">
        <v>4005</v>
      </c>
      <c r="E50" s="60" t="str">
        <f>+VLOOKUP(C50,'PRECIOS IDU 2025'!$A$1:$E$3189,2,FALSE)</f>
        <v>EXCAVACION MANUAL EN MATERIAL COMUN. INCLUYE CARGUE.</v>
      </c>
      <c r="F50" s="60" t="str">
        <f>+VLOOKUP(C50,'PRECIOS IDU 2025'!$A$1:$E$3189,3,FALSE)</f>
        <v>M3</v>
      </c>
      <c r="G50" s="108">
        <f t="shared" si="332"/>
        <v>300</v>
      </c>
      <c r="H50" s="69">
        <f>+VLOOKUP(C50,'PRECIOS DE REFERENCIA APU'!$A$1:$D$2745,4,FALSE)</f>
        <v>55856</v>
      </c>
      <c r="I50" s="69">
        <f t="shared" si="325"/>
        <v>76523</v>
      </c>
      <c r="J50" s="69">
        <f t="shared" si="326"/>
        <v>22956900</v>
      </c>
      <c r="K50" s="9"/>
      <c r="L50" s="503">
        <v>7.19</v>
      </c>
      <c r="M50" s="503"/>
      <c r="O50" s="73"/>
      <c r="P50" s="69">
        <f t="shared" si="1"/>
        <v>0</v>
      </c>
      <c r="Q50" s="73"/>
      <c r="R50" s="69">
        <f t="shared" si="1"/>
        <v>0</v>
      </c>
      <c r="S50" s="73"/>
      <c r="T50" s="69">
        <f t="shared" ref="T50" si="373">+ROUND($I50*S50,0)</f>
        <v>0</v>
      </c>
      <c r="U50" s="73"/>
      <c r="V50" s="69">
        <f t="shared" ref="V50" si="374">+ROUND($I50*U50,0)</f>
        <v>0</v>
      </c>
      <c r="W50" s="73"/>
      <c r="X50" s="69">
        <f t="shared" ref="X50" si="375">+ROUND($I50*W50,0)</f>
        <v>0</v>
      </c>
      <c r="Y50" s="73"/>
      <c r="Z50" s="69">
        <f t="shared" ref="Z50" si="376">+ROUND($I50*Y50,0)</f>
        <v>0</v>
      </c>
      <c r="AA50" s="73"/>
      <c r="AB50" s="69">
        <f t="shared" ref="AB50:AD50" si="377">+ROUND($I50*AA50,0)</f>
        <v>0</v>
      </c>
      <c r="AC50" s="73"/>
      <c r="AD50" s="69">
        <f t="shared" si="377"/>
        <v>0</v>
      </c>
      <c r="AE50" s="73"/>
      <c r="AF50" s="69">
        <f t="shared" si="347"/>
        <v>0</v>
      </c>
      <c r="AG50" s="73">
        <v>0</v>
      </c>
      <c r="AH50" s="69">
        <f t="shared" ref="AH50" si="378">+ROUND($I50*AG50,0)</f>
        <v>0</v>
      </c>
      <c r="AI50" s="73"/>
      <c r="AJ50" s="69">
        <f t="shared" ref="AJ50" si="379">+ROUND($I50*AI50,0)</f>
        <v>0</v>
      </c>
      <c r="AK50" s="73"/>
      <c r="AL50" s="69">
        <f t="shared" ref="AL50" si="380">+ROUND($I50*AK50,0)</f>
        <v>0</v>
      </c>
      <c r="AM50" s="73"/>
      <c r="AN50" s="69">
        <f t="shared" ref="AN50" si="381">+ROUND($I50*AM50,0)</f>
        <v>0</v>
      </c>
      <c r="AO50" s="73"/>
      <c r="AP50" s="69">
        <f t="shared" ref="AP50" si="382">+ROUND($I50*AO50,0)</f>
        <v>0</v>
      </c>
      <c r="AQ50" s="73"/>
      <c r="AR50" s="69">
        <f t="shared" ref="AR50" si="383">+ROUND($I50*AQ50,0)</f>
        <v>0</v>
      </c>
      <c r="AS50" s="73"/>
      <c r="AT50" s="69">
        <f t="shared" ref="AT50" si="384">+ROUND($I50*AS50,0)</f>
        <v>0</v>
      </c>
      <c r="AU50" s="73"/>
      <c r="AV50" s="69">
        <f t="shared" ref="AV50:AX50" si="385">+ROUND($I50*AU50,0)</f>
        <v>0</v>
      </c>
      <c r="AW50" s="73"/>
      <c r="AX50" s="69">
        <f t="shared" si="385"/>
        <v>0</v>
      </c>
      <c r="AY50" s="73"/>
      <c r="AZ50" s="69">
        <f t="shared" ref="AZ50" si="386">+ROUND($I50*AY50,0)</f>
        <v>0</v>
      </c>
      <c r="BA50" s="73">
        <v>300</v>
      </c>
      <c r="BB50" s="69">
        <f t="shared" ref="BB50" si="387">+ROUND($I50*BA50,0)</f>
        <v>22956900</v>
      </c>
    </row>
    <row r="51" spans="1:54" ht="27.6" x14ac:dyDescent="0.3">
      <c r="A51" s="3"/>
      <c r="B51" s="8"/>
      <c r="C51" s="60">
        <v>3017</v>
      </c>
      <c r="D51" s="60">
        <v>4006</v>
      </c>
      <c r="E51" s="60" t="str">
        <f>+VLOOKUP(C51,'PRECIOS IDU 2025'!$A$1:$E$3189,2,FALSE)</f>
        <v>TRANSPORTE Y DISPOSICIÓN FINAL DE ESCOMBROS EN SITIO AUTORIZADO (DISTANCIA DE TRANSPORTE 21 KM). A DISTANCIA MAYOR DEL ACARREO LIBRE (90 M) EN SITIO AUTORIZADO POR LA ENTIDAD AMBIENTAL COMPETENTE.</v>
      </c>
      <c r="F51" s="60" t="str">
        <f>+VLOOKUP(C51,'PRECIOS IDU 2025'!$A$1:$E$3189,3,FALSE)</f>
        <v>M3</v>
      </c>
      <c r="G51" s="108">
        <f t="shared" si="332"/>
        <v>301.2</v>
      </c>
      <c r="H51" s="69">
        <f>+VLOOKUP(C51,'PRECIOS DE REFERENCIA APU'!$A$1:$D$2745,4,FALSE)</f>
        <v>45600</v>
      </c>
      <c r="I51" s="69">
        <f t="shared" si="325"/>
        <v>62472</v>
      </c>
      <c r="J51" s="69">
        <f t="shared" si="326"/>
        <v>18816566</v>
      </c>
      <c r="K51" s="9"/>
      <c r="L51" s="503">
        <v>204.98</v>
      </c>
      <c r="M51" s="503"/>
      <c r="O51" s="73"/>
      <c r="P51" s="69">
        <f t="shared" si="1"/>
        <v>0</v>
      </c>
      <c r="Q51" s="73"/>
      <c r="R51" s="69">
        <f t="shared" si="1"/>
        <v>0</v>
      </c>
      <c r="S51" s="73"/>
      <c r="T51" s="69">
        <f t="shared" ref="T51" si="388">+ROUND($I51*S51,0)</f>
        <v>0</v>
      </c>
      <c r="U51" s="73"/>
      <c r="V51" s="69">
        <f t="shared" ref="V51" si="389">+ROUND($I51*U51,0)</f>
        <v>0</v>
      </c>
      <c r="W51" s="73"/>
      <c r="X51" s="69">
        <f t="shared" ref="X51" si="390">+ROUND($I51*W51,0)</f>
        <v>0</v>
      </c>
      <c r="Y51" s="73"/>
      <c r="Z51" s="69">
        <f t="shared" ref="Z51" si="391">+ROUND($I51*Y51,0)</f>
        <v>0</v>
      </c>
      <c r="AA51" s="73"/>
      <c r="AB51" s="69">
        <f t="shared" ref="AB51:AD51" si="392">+ROUND($I51*AA51,0)</f>
        <v>0</v>
      </c>
      <c r="AC51" s="73"/>
      <c r="AD51" s="69">
        <f t="shared" si="392"/>
        <v>0</v>
      </c>
      <c r="AE51" s="73"/>
      <c r="AF51" s="69">
        <f t="shared" si="347"/>
        <v>0</v>
      </c>
      <c r="AG51" s="73">
        <f>+AG49</f>
        <v>1.2</v>
      </c>
      <c r="AH51" s="69">
        <f t="shared" ref="AH51" si="393">+ROUND($I51*AG51,0)</f>
        <v>74966</v>
      </c>
      <c r="AI51" s="73"/>
      <c r="AJ51" s="69">
        <f t="shared" ref="AJ51" si="394">+ROUND($I51*AI51,0)</f>
        <v>0</v>
      </c>
      <c r="AK51" s="73"/>
      <c r="AL51" s="69">
        <f t="shared" ref="AL51" si="395">+ROUND($I51*AK51,0)</f>
        <v>0</v>
      </c>
      <c r="AM51" s="73"/>
      <c r="AN51" s="69">
        <f t="shared" ref="AN51" si="396">+ROUND($I51*AM51,0)</f>
        <v>0</v>
      </c>
      <c r="AO51" s="73"/>
      <c r="AP51" s="69">
        <f t="shared" ref="AP51" si="397">+ROUND($I51*AO51,0)</f>
        <v>0</v>
      </c>
      <c r="AQ51" s="73"/>
      <c r="AR51" s="69">
        <f t="shared" ref="AR51" si="398">+ROUND($I51*AQ51,0)</f>
        <v>0</v>
      </c>
      <c r="AS51" s="73"/>
      <c r="AT51" s="69">
        <f t="shared" ref="AT51" si="399">+ROUND($I51*AS51,0)</f>
        <v>0</v>
      </c>
      <c r="AU51" s="73"/>
      <c r="AV51" s="69">
        <f t="shared" ref="AV51:AX51" si="400">+ROUND($I51*AU51,0)</f>
        <v>0</v>
      </c>
      <c r="AW51" s="73"/>
      <c r="AX51" s="69">
        <f t="shared" si="400"/>
        <v>0</v>
      </c>
      <c r="AY51" s="73"/>
      <c r="AZ51" s="69">
        <f t="shared" ref="AZ51" si="401">+ROUND($I51*AY51,0)</f>
        <v>0</v>
      </c>
      <c r="BA51" s="73">
        <v>300</v>
      </c>
      <c r="BB51" s="69">
        <f t="shared" ref="BB51" si="402">+ROUND($I51*BA51,0)</f>
        <v>18741600</v>
      </c>
    </row>
    <row r="52" spans="1:54" ht="15.6" x14ac:dyDescent="0.3">
      <c r="A52" s="3"/>
      <c r="B52" s="8"/>
      <c r="C52" s="60">
        <v>3800</v>
      </c>
      <c r="D52" s="60">
        <v>4007</v>
      </c>
      <c r="E52" s="60" t="str">
        <f>+VLOOKUP(C52,'PRECIOS IDU 2025'!$A$1:$E$3189,2,FALSE)</f>
        <v>NIVELACION Y COMPACTACIÓN DE SUBRASANTE</v>
      </c>
      <c r="F52" s="60" t="str">
        <f>+VLOOKUP(C52,'PRECIOS IDU 2025'!$A$1:$E$3189,3,FALSE)</f>
        <v>M2</v>
      </c>
      <c r="G52" s="108">
        <f t="shared" si="332"/>
        <v>508</v>
      </c>
      <c r="H52" s="69">
        <f>+VLOOKUP(C52,'PRECIOS DE REFERENCIA APU'!$A$1:$D$2745,4,FALSE)</f>
        <v>1785</v>
      </c>
      <c r="I52" s="69">
        <f t="shared" si="325"/>
        <v>2445</v>
      </c>
      <c r="J52" s="69">
        <f t="shared" si="326"/>
        <v>1242060</v>
      </c>
      <c r="K52" s="9"/>
      <c r="L52" s="503">
        <v>186.7</v>
      </c>
      <c r="M52" s="503"/>
      <c r="O52" s="73"/>
      <c r="P52" s="69">
        <f t="shared" si="1"/>
        <v>0</v>
      </c>
      <c r="Q52" s="73"/>
      <c r="R52" s="69">
        <f t="shared" si="1"/>
        <v>0</v>
      </c>
      <c r="S52" s="73"/>
      <c r="T52" s="69">
        <f t="shared" ref="T52" si="403">+ROUND($I52*S52,0)</f>
        <v>0</v>
      </c>
      <c r="U52" s="73"/>
      <c r="V52" s="69">
        <f t="shared" ref="V52" si="404">+ROUND($I52*U52,0)</f>
        <v>0</v>
      </c>
      <c r="W52" s="73"/>
      <c r="X52" s="69">
        <f t="shared" ref="X52" si="405">+ROUND($I52*W52,0)</f>
        <v>0</v>
      </c>
      <c r="Y52" s="73"/>
      <c r="Z52" s="69">
        <f t="shared" ref="Z52" si="406">+ROUND($I52*Y52,0)</f>
        <v>0</v>
      </c>
      <c r="AA52" s="73"/>
      <c r="AB52" s="69">
        <f t="shared" ref="AB52:AD52" si="407">+ROUND($I52*AA52,0)</f>
        <v>0</v>
      </c>
      <c r="AC52" s="73"/>
      <c r="AD52" s="69">
        <f t="shared" si="407"/>
        <v>0</v>
      </c>
      <c r="AE52" s="73"/>
      <c r="AF52" s="69">
        <f t="shared" si="347"/>
        <v>0</v>
      </c>
      <c r="AG52" s="73">
        <f>+AG46</f>
        <v>8</v>
      </c>
      <c r="AH52" s="69">
        <f t="shared" ref="AH52" si="408">+ROUND($I52*AG52,0)</f>
        <v>19560</v>
      </c>
      <c r="AI52" s="73"/>
      <c r="AJ52" s="69">
        <f t="shared" ref="AJ52" si="409">+ROUND($I52*AI52,0)</f>
        <v>0</v>
      </c>
      <c r="AK52" s="73"/>
      <c r="AL52" s="69">
        <f t="shared" ref="AL52" si="410">+ROUND($I52*AK52,0)</f>
        <v>0</v>
      </c>
      <c r="AM52" s="73"/>
      <c r="AN52" s="69">
        <f t="shared" ref="AN52" si="411">+ROUND($I52*AM52,0)</f>
        <v>0</v>
      </c>
      <c r="AO52" s="73"/>
      <c r="AP52" s="69">
        <f t="shared" ref="AP52" si="412">+ROUND($I52*AO52,0)</f>
        <v>0</v>
      </c>
      <c r="AQ52" s="73"/>
      <c r="AR52" s="69">
        <f t="shared" ref="AR52" si="413">+ROUND($I52*AQ52,0)</f>
        <v>0</v>
      </c>
      <c r="AS52" s="73"/>
      <c r="AT52" s="69">
        <f t="shared" ref="AT52" si="414">+ROUND($I52*AS52,0)</f>
        <v>0</v>
      </c>
      <c r="AU52" s="73"/>
      <c r="AV52" s="69">
        <f t="shared" ref="AV52:AX52" si="415">+ROUND($I52*AU52,0)</f>
        <v>0</v>
      </c>
      <c r="AW52" s="73"/>
      <c r="AX52" s="69">
        <f t="shared" si="415"/>
        <v>0</v>
      </c>
      <c r="AY52" s="73"/>
      <c r="AZ52" s="69">
        <f t="shared" ref="AZ52" si="416">+ROUND($I52*AY52,0)</f>
        <v>0</v>
      </c>
      <c r="BA52" s="73">
        <v>500</v>
      </c>
      <c r="BB52" s="69">
        <f t="shared" ref="BB52" si="417">+ROUND($I52*BA52,0)</f>
        <v>1222500</v>
      </c>
    </row>
    <row r="53" spans="1:54" ht="27.6" x14ac:dyDescent="0.3">
      <c r="A53" s="3"/>
      <c r="B53" s="8"/>
      <c r="C53" s="60">
        <v>5843</v>
      </c>
      <c r="D53" s="60">
        <v>4008</v>
      </c>
      <c r="E53" s="60" t="str">
        <f>+VLOOKUP(C53,'PRECIOS IDU 2025'!$A$1:$E$3189,2,FALSE)</f>
        <v>GEOMALLA BIAXIAL PARA EL CONTROL DEL REFLEJO DE AGRIETAMIENTO EN CAPAS DE CONCRETO ASFALTICO, CON MODULO DE TENSION CICLICA MINIMO DE 2340 KN/M. (INCLUYE SUMINISTRO E INSTALACION).</v>
      </c>
      <c r="F53" s="60" t="str">
        <f>+VLOOKUP(C53,'PRECIOS IDU 2025'!$A$1:$E$3189,3,FALSE)</f>
        <v>M2</v>
      </c>
      <c r="G53" s="108">
        <f t="shared" si="332"/>
        <v>100</v>
      </c>
      <c r="H53" s="69">
        <f>+VLOOKUP(C53,'PRECIOS DE REFERENCIA APU'!$A$1:$D$2745,4,FALSE)</f>
        <v>33653</v>
      </c>
      <c r="I53" s="69">
        <f t="shared" si="325"/>
        <v>46105</v>
      </c>
      <c r="J53" s="69">
        <f t="shared" si="326"/>
        <v>4610500</v>
      </c>
      <c r="K53" s="9"/>
      <c r="L53" s="503">
        <v>186.7</v>
      </c>
      <c r="M53" s="503"/>
      <c r="O53" s="73"/>
      <c r="P53" s="69">
        <f t="shared" si="1"/>
        <v>0</v>
      </c>
      <c r="Q53" s="73"/>
      <c r="R53" s="69">
        <f t="shared" si="1"/>
        <v>0</v>
      </c>
      <c r="S53" s="73"/>
      <c r="T53" s="69">
        <f t="shared" ref="T53" si="418">+ROUND($I53*S53,0)</f>
        <v>0</v>
      </c>
      <c r="U53" s="73"/>
      <c r="V53" s="69">
        <f t="shared" ref="V53" si="419">+ROUND($I53*U53,0)</f>
        <v>0</v>
      </c>
      <c r="W53" s="73"/>
      <c r="X53" s="69">
        <f t="shared" ref="X53" si="420">+ROUND($I53*W53,0)</f>
        <v>0</v>
      </c>
      <c r="Y53" s="73"/>
      <c r="Z53" s="69">
        <f t="shared" ref="Z53" si="421">+ROUND($I53*Y53,0)</f>
        <v>0</v>
      </c>
      <c r="AA53" s="73"/>
      <c r="AB53" s="69">
        <f t="shared" ref="AB53:AD53" si="422">+ROUND($I53*AA53,0)</f>
        <v>0</v>
      </c>
      <c r="AC53" s="73"/>
      <c r="AD53" s="69">
        <f t="shared" si="422"/>
        <v>0</v>
      </c>
      <c r="AE53" s="73"/>
      <c r="AF53" s="69">
        <f t="shared" si="347"/>
        <v>0</v>
      </c>
      <c r="AG53" s="73"/>
      <c r="AH53" s="69">
        <f t="shared" ref="AH53" si="423">+ROUND($I53*AG53,0)</f>
        <v>0</v>
      </c>
      <c r="AI53" s="73"/>
      <c r="AJ53" s="69">
        <f t="shared" ref="AJ53" si="424">+ROUND($I53*AI53,0)</f>
        <v>0</v>
      </c>
      <c r="AK53" s="73"/>
      <c r="AL53" s="69">
        <f t="shared" ref="AL53" si="425">+ROUND($I53*AK53,0)</f>
        <v>0</v>
      </c>
      <c r="AM53" s="73"/>
      <c r="AN53" s="69">
        <f t="shared" ref="AN53" si="426">+ROUND($I53*AM53,0)</f>
        <v>0</v>
      </c>
      <c r="AO53" s="73"/>
      <c r="AP53" s="69">
        <f t="shared" ref="AP53" si="427">+ROUND($I53*AO53,0)</f>
        <v>0</v>
      </c>
      <c r="AQ53" s="73"/>
      <c r="AR53" s="69">
        <f t="shared" ref="AR53" si="428">+ROUND($I53*AQ53,0)</f>
        <v>0</v>
      </c>
      <c r="AS53" s="73"/>
      <c r="AT53" s="69">
        <f t="shared" ref="AT53" si="429">+ROUND($I53*AS53,0)</f>
        <v>0</v>
      </c>
      <c r="AU53" s="73"/>
      <c r="AV53" s="69">
        <f t="shared" ref="AV53:AX53" si="430">+ROUND($I53*AU53,0)</f>
        <v>0</v>
      </c>
      <c r="AW53" s="73"/>
      <c r="AX53" s="69">
        <f t="shared" si="430"/>
        <v>0</v>
      </c>
      <c r="AY53" s="73"/>
      <c r="AZ53" s="69">
        <f t="shared" ref="AZ53" si="431">+ROUND($I53*AY53,0)</f>
        <v>0</v>
      </c>
      <c r="BA53" s="73">
        <v>100</v>
      </c>
      <c r="BB53" s="69">
        <f t="shared" ref="BB53" si="432">+ROUND($I53*BA53,0)</f>
        <v>4610500</v>
      </c>
    </row>
    <row r="54" spans="1:54" ht="30" customHeight="1" x14ac:dyDescent="0.3">
      <c r="A54" s="3"/>
      <c r="B54" s="8"/>
      <c r="C54" s="60">
        <v>3864</v>
      </c>
      <c r="D54" s="60">
        <v>4009</v>
      </c>
      <c r="E54" s="60" t="str">
        <f>+VLOOKUP(C54,'PRECIOS IDU 2025'!$A$1:$E$3189,2,FALSE)</f>
        <v>IMPRIMACION CON EMULSION ASFALTICA CRL-0 (SUMINISTRO, BARRIDO SUPERFICIE Y RIEGO MECANICO)</v>
      </c>
      <c r="F54" s="60" t="str">
        <f>+VLOOKUP(C54,'PRECIOS IDU 2025'!$A$1:$E$3189,3,FALSE)</f>
        <v>M2</v>
      </c>
      <c r="G54" s="108">
        <f t="shared" si="332"/>
        <v>258</v>
      </c>
      <c r="H54" s="69">
        <f>+VLOOKUP(C54,'PRECIOS DE REFERENCIA APU'!$A$1:$D$2745,4,FALSE)</f>
        <v>3214</v>
      </c>
      <c r="I54" s="69">
        <f t="shared" si="325"/>
        <v>4403</v>
      </c>
      <c r="J54" s="69">
        <f t="shared" si="326"/>
        <v>1135974</v>
      </c>
      <c r="K54" s="9"/>
      <c r="L54" s="503">
        <v>186.7</v>
      </c>
      <c r="M54" s="503"/>
      <c r="O54" s="73"/>
      <c r="P54" s="69">
        <f t="shared" si="1"/>
        <v>0</v>
      </c>
      <c r="Q54" s="73"/>
      <c r="R54" s="69">
        <f t="shared" si="1"/>
        <v>0</v>
      </c>
      <c r="S54" s="73"/>
      <c r="T54" s="69">
        <f t="shared" ref="T54" si="433">+ROUND($I54*S54,0)</f>
        <v>0</v>
      </c>
      <c r="U54" s="73"/>
      <c r="V54" s="69">
        <f t="shared" ref="V54" si="434">+ROUND($I54*U54,0)</f>
        <v>0</v>
      </c>
      <c r="W54" s="73"/>
      <c r="X54" s="69">
        <f t="shared" ref="X54" si="435">+ROUND($I54*W54,0)</f>
        <v>0</v>
      </c>
      <c r="Y54" s="73"/>
      <c r="Z54" s="69">
        <f t="shared" ref="Z54" si="436">+ROUND($I54*Y54,0)</f>
        <v>0</v>
      </c>
      <c r="AA54" s="73"/>
      <c r="AB54" s="69">
        <f t="shared" ref="AB54:AD54" si="437">+ROUND($I54*AA54,0)</f>
        <v>0</v>
      </c>
      <c r="AC54" s="73"/>
      <c r="AD54" s="69">
        <f t="shared" si="437"/>
        <v>0</v>
      </c>
      <c r="AE54" s="73"/>
      <c r="AF54" s="69">
        <f t="shared" si="347"/>
        <v>0</v>
      </c>
      <c r="AG54" s="73">
        <f>+AG46</f>
        <v>8</v>
      </c>
      <c r="AH54" s="69">
        <f t="shared" ref="AH54" si="438">+ROUND($I54*AG54,0)</f>
        <v>35224</v>
      </c>
      <c r="AI54" s="73"/>
      <c r="AJ54" s="69">
        <f t="shared" ref="AJ54" si="439">+ROUND($I54*AI54,0)</f>
        <v>0</v>
      </c>
      <c r="AK54" s="73"/>
      <c r="AL54" s="69">
        <f t="shared" ref="AL54" si="440">+ROUND($I54*AK54,0)</f>
        <v>0</v>
      </c>
      <c r="AM54" s="73"/>
      <c r="AN54" s="69">
        <f t="shared" ref="AN54" si="441">+ROUND($I54*AM54,0)</f>
        <v>0</v>
      </c>
      <c r="AO54" s="73"/>
      <c r="AP54" s="69">
        <f t="shared" ref="AP54" si="442">+ROUND($I54*AO54,0)</f>
        <v>0</v>
      </c>
      <c r="AQ54" s="73"/>
      <c r="AR54" s="69">
        <f t="shared" ref="AR54" si="443">+ROUND($I54*AQ54,0)</f>
        <v>0</v>
      </c>
      <c r="AS54" s="73"/>
      <c r="AT54" s="69">
        <f t="shared" ref="AT54" si="444">+ROUND($I54*AS54,0)</f>
        <v>0</v>
      </c>
      <c r="AU54" s="73"/>
      <c r="AV54" s="69">
        <f t="shared" ref="AV54:AX54" si="445">+ROUND($I54*AU54,0)</f>
        <v>0</v>
      </c>
      <c r="AW54" s="73"/>
      <c r="AX54" s="69">
        <f t="shared" si="445"/>
        <v>0</v>
      </c>
      <c r="AY54" s="73"/>
      <c r="AZ54" s="69">
        <f t="shared" ref="AZ54" si="446">+ROUND($I54*AY54,0)</f>
        <v>0</v>
      </c>
      <c r="BA54" s="73">
        <v>250</v>
      </c>
      <c r="BB54" s="69">
        <f t="shared" ref="BB54" si="447">+ROUND($I54*BA54,0)</f>
        <v>1100750</v>
      </c>
    </row>
    <row r="55" spans="1:54" ht="30" customHeight="1" x14ac:dyDescent="0.3">
      <c r="A55" s="3"/>
      <c r="B55" s="8"/>
      <c r="C55" s="60">
        <v>3867</v>
      </c>
      <c r="D55" s="60">
        <v>4010</v>
      </c>
      <c r="E55" s="60" t="str">
        <f>+VLOOKUP(C55,'PRECIOS IDU 2025'!$A$1:$E$3189,2,FALSE)</f>
        <v>RIEGO DE LIGA CON EMULSION ASFALTICA CRR-2 (SUMINISTRO, BARRIDO SUPERFICIE Y RIEGO MECANICO)</v>
      </c>
      <c r="F55" s="60" t="str">
        <f>+VLOOKUP(C55,'PRECIOS IDU 2025'!$A$1:$E$3189,3,FALSE)</f>
        <v>M2</v>
      </c>
      <c r="G55" s="108">
        <f t="shared" si="332"/>
        <v>250</v>
      </c>
      <c r="H55" s="69">
        <f>+VLOOKUP(C55,'PRECIOS DE REFERENCIA APU'!$A$1:$D$2745,4,FALSE)</f>
        <v>3910</v>
      </c>
      <c r="I55" s="69">
        <f t="shared" si="325"/>
        <v>5357</v>
      </c>
      <c r="J55" s="69">
        <f t="shared" si="326"/>
        <v>1339250</v>
      </c>
      <c r="K55" s="9"/>
      <c r="L55" s="503">
        <v>9.34</v>
      </c>
      <c r="M55" s="503"/>
      <c r="O55" s="73"/>
      <c r="P55" s="69">
        <f t="shared" si="1"/>
        <v>0</v>
      </c>
      <c r="Q55" s="73"/>
      <c r="R55" s="69">
        <f t="shared" si="1"/>
        <v>0</v>
      </c>
      <c r="S55" s="73"/>
      <c r="T55" s="69">
        <f t="shared" ref="T55" si="448">+ROUND($I55*S55,0)</f>
        <v>0</v>
      </c>
      <c r="U55" s="73"/>
      <c r="V55" s="69">
        <f t="shared" ref="V55" si="449">+ROUND($I55*U55,0)</f>
        <v>0</v>
      </c>
      <c r="W55" s="73"/>
      <c r="X55" s="69">
        <f t="shared" ref="X55" si="450">+ROUND($I55*W55,0)</f>
        <v>0</v>
      </c>
      <c r="Y55" s="73"/>
      <c r="Z55" s="69">
        <f t="shared" ref="Z55" si="451">+ROUND($I55*Y55,0)</f>
        <v>0</v>
      </c>
      <c r="AA55" s="73"/>
      <c r="AB55" s="69">
        <f t="shared" ref="AB55:AD55" si="452">+ROUND($I55*AA55,0)</f>
        <v>0</v>
      </c>
      <c r="AC55" s="73"/>
      <c r="AD55" s="69">
        <f t="shared" si="452"/>
        <v>0</v>
      </c>
      <c r="AE55" s="73"/>
      <c r="AF55" s="69">
        <f t="shared" si="347"/>
        <v>0</v>
      </c>
      <c r="AG55" s="73"/>
      <c r="AH55" s="69">
        <f t="shared" ref="AH55" si="453">+ROUND($I55*AG55,0)</f>
        <v>0</v>
      </c>
      <c r="AI55" s="73"/>
      <c r="AJ55" s="69">
        <f t="shared" ref="AJ55" si="454">+ROUND($I55*AI55,0)</f>
        <v>0</v>
      </c>
      <c r="AK55" s="73"/>
      <c r="AL55" s="69">
        <f t="shared" ref="AL55" si="455">+ROUND($I55*AK55,0)</f>
        <v>0</v>
      </c>
      <c r="AM55" s="73"/>
      <c r="AN55" s="69">
        <f t="shared" ref="AN55" si="456">+ROUND($I55*AM55,0)</f>
        <v>0</v>
      </c>
      <c r="AO55" s="73"/>
      <c r="AP55" s="69">
        <f t="shared" ref="AP55" si="457">+ROUND($I55*AO55,0)</f>
        <v>0</v>
      </c>
      <c r="AQ55" s="73"/>
      <c r="AR55" s="69">
        <f t="shared" ref="AR55" si="458">+ROUND($I55*AQ55,0)</f>
        <v>0</v>
      </c>
      <c r="AS55" s="73"/>
      <c r="AT55" s="69">
        <f t="shared" ref="AT55" si="459">+ROUND($I55*AS55,0)</f>
        <v>0</v>
      </c>
      <c r="AU55" s="73"/>
      <c r="AV55" s="69">
        <f t="shared" ref="AV55:AX55" si="460">+ROUND($I55*AU55,0)</f>
        <v>0</v>
      </c>
      <c r="AW55" s="73"/>
      <c r="AX55" s="69">
        <f t="shared" si="460"/>
        <v>0</v>
      </c>
      <c r="AY55" s="73"/>
      <c r="AZ55" s="69">
        <f t="shared" ref="AZ55" si="461">+ROUND($I55*AY55,0)</f>
        <v>0</v>
      </c>
      <c r="BA55" s="73">
        <v>250</v>
      </c>
      <c r="BB55" s="69">
        <f t="shared" ref="BB55" si="462">+ROUND($I55*BA55,0)</f>
        <v>1339250</v>
      </c>
    </row>
    <row r="56" spans="1:54" ht="30" customHeight="1" x14ac:dyDescent="0.3">
      <c r="A56" s="3"/>
      <c r="B56" s="8"/>
      <c r="C56" s="60">
        <v>6313</v>
      </c>
      <c r="D56" s="60">
        <v>4012</v>
      </c>
      <c r="E56" s="60" t="str">
        <f>+VLOOKUP(C56,'PRECIOS IDU 2025'!$A$1:$E$3189,2,FALSE)</f>
        <v>MEZCLA ASFÁLTICA DENSA EN CALIENTE MD12 CON CEMENTO ASFÁLTICO 60-70 (SUMINISTRO, EXTENDIDO, NIVELACIÓN Y COMPACTACIÓN MECANICA CON VIBROCOMPACTADOR Y COMPACTADOR DE LLANTAS)</v>
      </c>
      <c r="F56" s="60" t="str">
        <f>+VLOOKUP(C56,'PRECIOS IDU 2025'!$A$1:$E$3189,3,FALSE)</f>
        <v>M3</v>
      </c>
      <c r="G56" s="108">
        <f t="shared" si="332"/>
        <v>91.2</v>
      </c>
      <c r="H56" s="69">
        <f>+VLOOKUP(C56,'PRECIOS DE REFERENCIA APU'!$A$1:$D$2745,4,FALSE)</f>
        <v>1243369</v>
      </c>
      <c r="I56" s="69">
        <f t="shared" si="325"/>
        <v>1703416</v>
      </c>
      <c r="J56" s="69">
        <f t="shared" si="326"/>
        <v>155351539</v>
      </c>
      <c r="K56" s="9"/>
      <c r="L56" s="503">
        <v>15.68</v>
      </c>
      <c r="M56" s="503"/>
      <c r="O56" s="73"/>
      <c r="P56" s="69">
        <f t="shared" si="1"/>
        <v>0</v>
      </c>
      <c r="Q56" s="73"/>
      <c r="R56" s="69">
        <f t="shared" si="1"/>
        <v>0</v>
      </c>
      <c r="S56" s="73"/>
      <c r="T56" s="69">
        <f t="shared" ref="T56" si="463">+ROUND($I56*S56,0)</f>
        <v>0</v>
      </c>
      <c r="U56" s="73"/>
      <c r="V56" s="69">
        <f t="shared" ref="V56" si="464">+ROUND($I56*U56,0)</f>
        <v>0</v>
      </c>
      <c r="W56" s="73"/>
      <c r="X56" s="69">
        <f t="shared" ref="X56" si="465">+ROUND($I56*W56,0)</f>
        <v>0</v>
      </c>
      <c r="Y56" s="73"/>
      <c r="Z56" s="69">
        <f t="shared" ref="Z56" si="466">+ROUND($I56*Y56,0)</f>
        <v>0</v>
      </c>
      <c r="AA56" s="73"/>
      <c r="AB56" s="69">
        <f t="shared" ref="AB56:AD56" si="467">+ROUND($I56*AA56,0)</f>
        <v>0</v>
      </c>
      <c r="AC56" s="73"/>
      <c r="AD56" s="69">
        <f t="shared" si="467"/>
        <v>0</v>
      </c>
      <c r="AE56" s="73"/>
      <c r="AF56" s="69">
        <f t="shared" si="347"/>
        <v>0</v>
      </c>
      <c r="AG56" s="73">
        <f>+AG49</f>
        <v>1.2</v>
      </c>
      <c r="AH56" s="69">
        <f t="shared" ref="AH56" si="468">+ROUND($I56*AG56,0)</f>
        <v>2044099</v>
      </c>
      <c r="AI56" s="73"/>
      <c r="AJ56" s="69">
        <f t="shared" ref="AJ56" si="469">+ROUND($I56*AI56,0)</f>
        <v>0</v>
      </c>
      <c r="AK56" s="73"/>
      <c r="AL56" s="69">
        <f t="shared" ref="AL56" si="470">+ROUND($I56*AK56,0)</f>
        <v>0</v>
      </c>
      <c r="AM56" s="73"/>
      <c r="AN56" s="69">
        <f t="shared" ref="AN56" si="471">+ROUND($I56*AM56,0)</f>
        <v>0</v>
      </c>
      <c r="AO56" s="73"/>
      <c r="AP56" s="69">
        <f t="shared" ref="AP56" si="472">+ROUND($I56*AO56,0)</f>
        <v>0</v>
      </c>
      <c r="AQ56" s="73"/>
      <c r="AR56" s="69">
        <f t="shared" ref="AR56" si="473">+ROUND($I56*AQ56,0)</f>
        <v>0</v>
      </c>
      <c r="AS56" s="73"/>
      <c r="AT56" s="69">
        <f t="shared" ref="AT56" si="474">+ROUND($I56*AS56,0)</f>
        <v>0</v>
      </c>
      <c r="AU56" s="73"/>
      <c r="AV56" s="69">
        <f t="shared" ref="AV56:AX56" si="475">+ROUND($I56*AU56,0)</f>
        <v>0</v>
      </c>
      <c r="AW56" s="73"/>
      <c r="AX56" s="69">
        <f t="shared" si="475"/>
        <v>0</v>
      </c>
      <c r="AY56" s="73"/>
      <c r="AZ56" s="69">
        <f t="shared" ref="AZ56" si="476">+ROUND($I56*AY56,0)</f>
        <v>0</v>
      </c>
      <c r="BA56" s="73">
        <v>90</v>
      </c>
      <c r="BB56" s="69">
        <f t="shared" ref="BB56" si="477">+ROUND($I56*BA56,0)</f>
        <v>153307440</v>
      </c>
    </row>
    <row r="57" spans="1:54" ht="30" customHeight="1" x14ac:dyDescent="0.3">
      <c r="A57" s="3"/>
      <c r="B57" s="8"/>
      <c r="C57" s="60">
        <v>4712</v>
      </c>
      <c r="D57" s="60">
        <v>4013</v>
      </c>
      <c r="E57" s="60" t="str">
        <f>+VLOOKUP(C57,'PRECIOS IDU 2025'!$A$1:$E$3189,2,FALSE)</f>
        <v>MEZCLA ASFALTICA CON ASFALTO CAUCHO (SUMINISTRO, EXTENDIDO, NIVELACIÓN Y COMPACTACIÓN MECANICA)</v>
      </c>
      <c r="F57" s="60" t="str">
        <f>+VLOOKUP(C57,'PRECIOS IDU 2025'!$A$1:$E$3189,3,FALSE)</f>
        <v>M3</v>
      </c>
      <c r="G57" s="108">
        <f t="shared" si="332"/>
        <v>90</v>
      </c>
      <c r="H57" s="69">
        <f>+VLOOKUP(C57,'PRECIOS DE REFERENCIA APU'!$A$1:$D$2745,4,FALSE)</f>
        <v>1557607</v>
      </c>
      <c r="I57" s="69">
        <f t="shared" si="325"/>
        <v>2133922</v>
      </c>
      <c r="J57" s="69">
        <f t="shared" si="326"/>
        <v>192052980</v>
      </c>
      <c r="K57" s="9"/>
      <c r="L57" s="503">
        <v>6.72</v>
      </c>
      <c r="M57" s="503"/>
      <c r="O57" s="73"/>
      <c r="P57" s="69">
        <f t="shared" si="1"/>
        <v>0</v>
      </c>
      <c r="Q57" s="73"/>
      <c r="R57" s="69">
        <f t="shared" si="1"/>
        <v>0</v>
      </c>
      <c r="S57" s="73"/>
      <c r="T57" s="69">
        <f t="shared" ref="T57" si="478">+ROUND($I57*S57,0)</f>
        <v>0</v>
      </c>
      <c r="U57" s="73"/>
      <c r="V57" s="69">
        <f t="shared" ref="V57" si="479">+ROUND($I57*U57,0)</f>
        <v>0</v>
      </c>
      <c r="W57" s="73"/>
      <c r="X57" s="69">
        <f t="shared" ref="X57" si="480">+ROUND($I57*W57,0)</f>
        <v>0</v>
      </c>
      <c r="Y57" s="73"/>
      <c r="Z57" s="69">
        <f t="shared" ref="Z57" si="481">+ROUND($I57*Y57,0)</f>
        <v>0</v>
      </c>
      <c r="AA57" s="73"/>
      <c r="AB57" s="69">
        <f t="shared" ref="AB57:AD57" si="482">+ROUND($I57*AA57,0)</f>
        <v>0</v>
      </c>
      <c r="AC57" s="73"/>
      <c r="AD57" s="69">
        <f t="shared" si="482"/>
        <v>0</v>
      </c>
      <c r="AE57" s="73"/>
      <c r="AF57" s="69">
        <f t="shared" si="347"/>
        <v>0</v>
      </c>
      <c r="AG57" s="73"/>
      <c r="AH57" s="69">
        <f t="shared" ref="AH57" si="483">+ROUND($I57*AG57,0)</f>
        <v>0</v>
      </c>
      <c r="AI57" s="73"/>
      <c r="AJ57" s="69">
        <f t="shared" ref="AJ57" si="484">+ROUND($I57*AI57,0)</f>
        <v>0</v>
      </c>
      <c r="AK57" s="73"/>
      <c r="AL57" s="69">
        <f t="shared" ref="AL57" si="485">+ROUND($I57*AK57,0)</f>
        <v>0</v>
      </c>
      <c r="AM57" s="73"/>
      <c r="AN57" s="69">
        <f t="shared" ref="AN57" si="486">+ROUND($I57*AM57,0)</f>
        <v>0</v>
      </c>
      <c r="AO57" s="73"/>
      <c r="AP57" s="69">
        <f t="shared" ref="AP57" si="487">+ROUND($I57*AO57,0)</f>
        <v>0</v>
      </c>
      <c r="AQ57" s="73"/>
      <c r="AR57" s="69">
        <f t="shared" ref="AR57" si="488">+ROUND($I57*AQ57,0)</f>
        <v>0</v>
      </c>
      <c r="AS57" s="73"/>
      <c r="AT57" s="69">
        <f t="shared" ref="AT57" si="489">+ROUND($I57*AS57,0)</f>
        <v>0</v>
      </c>
      <c r="AU57" s="73"/>
      <c r="AV57" s="69">
        <f t="shared" ref="AV57:AX57" si="490">+ROUND($I57*AU57,0)</f>
        <v>0</v>
      </c>
      <c r="AW57" s="73"/>
      <c r="AX57" s="69">
        <f t="shared" si="490"/>
        <v>0</v>
      </c>
      <c r="AY57" s="73"/>
      <c r="AZ57" s="69">
        <f t="shared" ref="AZ57" si="491">+ROUND($I57*AY57,0)</f>
        <v>0</v>
      </c>
      <c r="BA57" s="73">
        <v>90</v>
      </c>
      <c r="BB57" s="69">
        <f t="shared" ref="BB57" si="492">+ROUND($I57*BA57,0)</f>
        <v>192052980</v>
      </c>
    </row>
    <row r="58" spans="1:54" ht="30" customHeight="1" x14ac:dyDescent="0.3">
      <c r="A58" s="3"/>
      <c r="B58" s="8"/>
      <c r="C58" s="60">
        <v>4598</v>
      </c>
      <c r="D58" s="60">
        <v>4014</v>
      </c>
      <c r="E58" s="60" t="str">
        <f>+VLOOKUP(C58,'PRECIOS IDU 2025'!$A$1:$E$3189,2,FALSE)</f>
        <v>SELLO DE GRIETAS</v>
      </c>
      <c r="F58" s="60" t="str">
        <f>+VLOOKUP(C58,'PRECIOS IDU 2025'!$A$1:$E$3189,3,FALSE)</f>
        <v>ML</v>
      </c>
      <c r="G58" s="108">
        <f t="shared" si="332"/>
        <v>500</v>
      </c>
      <c r="H58" s="69">
        <f>+VLOOKUP(C58,'PRECIOS DE REFERENCIA APU'!$A$1:$D$2745,4,FALSE)</f>
        <v>12107</v>
      </c>
      <c r="I58" s="69">
        <f t="shared" si="325"/>
        <v>16587</v>
      </c>
      <c r="J58" s="69">
        <f t="shared" si="326"/>
        <v>8293500</v>
      </c>
      <c r="K58" s="9"/>
      <c r="L58" s="503">
        <v>10</v>
      </c>
      <c r="M58" s="503"/>
      <c r="O58" s="73"/>
      <c r="P58" s="69">
        <f t="shared" ref="P58:R89" si="493">+ROUND($I58*O58,0)</f>
        <v>0</v>
      </c>
      <c r="Q58" s="73"/>
      <c r="R58" s="69">
        <f t="shared" si="493"/>
        <v>0</v>
      </c>
      <c r="S58" s="73"/>
      <c r="T58" s="69">
        <f t="shared" ref="T58" si="494">+ROUND($I58*S58,0)</f>
        <v>0</v>
      </c>
      <c r="U58" s="73"/>
      <c r="V58" s="69">
        <f t="shared" ref="V58" si="495">+ROUND($I58*U58,0)</f>
        <v>0</v>
      </c>
      <c r="W58" s="73"/>
      <c r="X58" s="69">
        <f t="shared" ref="X58" si="496">+ROUND($I58*W58,0)</f>
        <v>0</v>
      </c>
      <c r="Y58" s="73"/>
      <c r="Z58" s="69">
        <f t="shared" ref="Z58" si="497">+ROUND($I58*Y58,0)</f>
        <v>0</v>
      </c>
      <c r="AA58" s="73"/>
      <c r="AB58" s="69">
        <f t="shared" ref="AB58:AD58" si="498">+ROUND($I58*AA58,0)</f>
        <v>0</v>
      </c>
      <c r="AC58" s="73"/>
      <c r="AD58" s="69">
        <f t="shared" si="498"/>
        <v>0</v>
      </c>
      <c r="AE58" s="73"/>
      <c r="AF58" s="69">
        <f t="shared" si="347"/>
        <v>0</v>
      </c>
      <c r="AG58" s="73"/>
      <c r="AH58" s="69">
        <f t="shared" ref="AH58" si="499">+ROUND($I58*AG58,0)</f>
        <v>0</v>
      </c>
      <c r="AI58" s="73"/>
      <c r="AJ58" s="69">
        <f t="shared" ref="AJ58" si="500">+ROUND($I58*AI58,0)</f>
        <v>0</v>
      </c>
      <c r="AK58" s="73"/>
      <c r="AL58" s="69">
        <f t="shared" ref="AL58" si="501">+ROUND($I58*AK58,0)</f>
        <v>0</v>
      </c>
      <c r="AM58" s="73"/>
      <c r="AN58" s="69">
        <f t="shared" ref="AN58" si="502">+ROUND($I58*AM58,0)</f>
        <v>0</v>
      </c>
      <c r="AO58" s="73"/>
      <c r="AP58" s="69">
        <f t="shared" ref="AP58" si="503">+ROUND($I58*AO58,0)</f>
        <v>0</v>
      </c>
      <c r="AQ58" s="73"/>
      <c r="AR58" s="69">
        <f t="shared" ref="AR58" si="504">+ROUND($I58*AQ58,0)</f>
        <v>0</v>
      </c>
      <c r="AS58" s="73"/>
      <c r="AT58" s="69">
        <f t="shared" ref="AT58" si="505">+ROUND($I58*AS58,0)</f>
        <v>0</v>
      </c>
      <c r="AU58" s="73"/>
      <c r="AV58" s="69">
        <f t="shared" ref="AV58:AX58" si="506">+ROUND($I58*AU58,0)</f>
        <v>0</v>
      </c>
      <c r="AW58" s="73"/>
      <c r="AX58" s="69">
        <f t="shared" si="506"/>
        <v>0</v>
      </c>
      <c r="AY58" s="73"/>
      <c r="AZ58" s="69">
        <f t="shared" ref="AZ58" si="507">+ROUND($I58*AY58,0)</f>
        <v>0</v>
      </c>
      <c r="BA58" s="73">
        <v>500</v>
      </c>
      <c r="BB58" s="69">
        <f t="shared" ref="BB58" si="508">+ROUND($I58*BA58,0)</f>
        <v>8293500</v>
      </c>
    </row>
    <row r="59" spans="1:54" ht="30" customHeight="1" x14ac:dyDescent="0.3">
      <c r="A59" s="3"/>
      <c r="B59" s="8"/>
      <c r="C59" s="60">
        <v>4758</v>
      </c>
      <c r="D59" s="60">
        <v>4015</v>
      </c>
      <c r="E59" s="60" t="str">
        <f>+VLOOKUP(C59,'PRECIOS IDU 2025'!$A$1:$E$3189,2,FALSE)</f>
        <v>SELLO DE FISURAS</v>
      </c>
      <c r="F59" s="60" t="str">
        <f>+VLOOKUP(C59,'PRECIOS IDU 2025'!$A$1:$E$3189,3,FALSE)</f>
        <v>ML</v>
      </c>
      <c r="G59" s="108">
        <f t="shared" si="332"/>
        <v>577</v>
      </c>
      <c r="H59" s="69">
        <f>+VLOOKUP(C59,'PRECIOS DE REFERENCIA APU'!$A$1:$D$2745,4,FALSE)</f>
        <v>10548</v>
      </c>
      <c r="I59" s="69">
        <f t="shared" si="325"/>
        <v>14451</v>
      </c>
      <c r="J59" s="69">
        <f t="shared" si="326"/>
        <v>8338227</v>
      </c>
      <c r="K59" s="9"/>
      <c r="L59" s="503">
        <v>10</v>
      </c>
      <c r="M59" s="503"/>
      <c r="O59" s="73"/>
      <c r="P59" s="69">
        <f t="shared" si="493"/>
        <v>0</v>
      </c>
      <c r="Q59" s="73"/>
      <c r="R59" s="69">
        <f t="shared" si="493"/>
        <v>0</v>
      </c>
      <c r="S59" s="73"/>
      <c r="T59" s="69">
        <f t="shared" ref="T59" si="509">+ROUND($I59*S59,0)</f>
        <v>0</v>
      </c>
      <c r="U59" s="73"/>
      <c r="V59" s="69">
        <f t="shared" ref="V59" si="510">+ROUND($I59*U59,0)</f>
        <v>0</v>
      </c>
      <c r="W59" s="73"/>
      <c r="X59" s="69">
        <f t="shared" ref="X59" si="511">+ROUND($I59*W59,0)</f>
        <v>0</v>
      </c>
      <c r="Y59" s="73"/>
      <c r="Z59" s="69">
        <f t="shared" ref="Z59" si="512">+ROUND($I59*Y59,0)</f>
        <v>0</v>
      </c>
      <c r="AA59" s="73"/>
      <c r="AB59" s="69">
        <f t="shared" ref="AB59:AD59" si="513">+ROUND($I59*AA59,0)</f>
        <v>0</v>
      </c>
      <c r="AC59" s="73"/>
      <c r="AD59" s="69">
        <f t="shared" si="513"/>
        <v>0</v>
      </c>
      <c r="AE59" s="73"/>
      <c r="AF59" s="69">
        <f t="shared" si="347"/>
        <v>0</v>
      </c>
      <c r="AG59" s="73">
        <f>+AG47</f>
        <v>12</v>
      </c>
      <c r="AH59" s="69">
        <f t="shared" ref="AH59" si="514">+ROUND($I59*AG59,0)</f>
        <v>173412</v>
      </c>
      <c r="AI59" s="73">
        <f>+AI47</f>
        <v>20</v>
      </c>
      <c r="AJ59" s="69">
        <f t="shared" ref="AJ59" si="515">+ROUND($I59*AI59,0)</f>
        <v>289020</v>
      </c>
      <c r="AK59" s="73">
        <f>+AK47</f>
        <v>20</v>
      </c>
      <c r="AL59" s="69">
        <f t="shared" ref="AL59" si="516">+ROUND($I59*AK59,0)</f>
        <v>289020</v>
      </c>
      <c r="AM59" s="73">
        <f>+AM47</f>
        <v>12</v>
      </c>
      <c r="AN59" s="69">
        <f t="shared" ref="AN59" si="517">+ROUND($I59*AM59,0)</f>
        <v>173412</v>
      </c>
      <c r="AO59" s="73">
        <f>+AO47</f>
        <v>13</v>
      </c>
      <c r="AP59" s="69">
        <f t="shared" ref="AP59" si="518">+ROUND($I59*AO59,0)</f>
        <v>187863</v>
      </c>
      <c r="AQ59" s="73"/>
      <c r="AR59" s="69">
        <f t="shared" ref="AR59" si="519">+ROUND($I59*AQ59,0)</f>
        <v>0</v>
      </c>
      <c r="AS59" s="73"/>
      <c r="AT59" s="69">
        <f t="shared" ref="AT59" si="520">+ROUND($I59*AS59,0)</f>
        <v>0</v>
      </c>
      <c r="AU59" s="73"/>
      <c r="AV59" s="69">
        <f t="shared" ref="AV59:AX59" si="521">+ROUND($I59*AU59,0)</f>
        <v>0</v>
      </c>
      <c r="AW59" s="73"/>
      <c r="AX59" s="69">
        <f t="shared" si="521"/>
        <v>0</v>
      </c>
      <c r="AY59" s="73"/>
      <c r="AZ59" s="69">
        <f t="shared" ref="AZ59" si="522">+ROUND($I59*AY59,0)</f>
        <v>0</v>
      </c>
      <c r="BA59" s="73">
        <v>500</v>
      </c>
      <c r="BB59" s="69">
        <f t="shared" ref="BB59" si="523">+ROUND($I59*BA59,0)</f>
        <v>7225500</v>
      </c>
    </row>
    <row r="60" spans="1:54" ht="55.2" customHeight="1" x14ac:dyDescent="0.3">
      <c r="A60" s="3"/>
      <c r="B60" s="8"/>
      <c r="C60" s="60">
        <v>4515</v>
      </c>
      <c r="D60" s="60">
        <v>4016</v>
      </c>
      <c r="E60" s="60" t="s">
        <v>1126</v>
      </c>
      <c r="F60" s="60" t="s">
        <v>21</v>
      </c>
      <c r="G60" s="108">
        <f t="shared" si="332"/>
        <v>625</v>
      </c>
      <c r="H60" s="69">
        <f>+VLOOKUP(C60,'PRECIOS DE REFERENCIA APU'!$A$1:$D$2745,4,FALSE)</f>
        <v>303787</v>
      </c>
      <c r="I60" s="69">
        <f t="shared" si="325"/>
        <v>416188</v>
      </c>
      <c r="J60" s="69">
        <f t="shared" ref="J60" si="524">+ROUND(I60*G60,0)</f>
        <v>260117500</v>
      </c>
      <c r="K60" s="9"/>
      <c r="L60" s="503"/>
      <c r="M60" s="503"/>
      <c r="O60" s="73"/>
      <c r="P60" s="69">
        <f t="shared" si="493"/>
        <v>0</v>
      </c>
      <c r="Q60" s="73"/>
      <c r="R60" s="69">
        <f t="shared" si="493"/>
        <v>0</v>
      </c>
      <c r="S60" s="73"/>
      <c r="T60" s="69">
        <f t="shared" ref="T60" si="525">+ROUND($I60*S60,0)</f>
        <v>0</v>
      </c>
      <c r="U60" s="73"/>
      <c r="V60" s="69">
        <f t="shared" ref="V60" si="526">+ROUND($I60*U60,0)</f>
        <v>0</v>
      </c>
      <c r="W60" s="73"/>
      <c r="X60" s="69">
        <f t="shared" ref="X60" si="527">+ROUND($I60*W60,0)</f>
        <v>0</v>
      </c>
      <c r="Y60" s="73"/>
      <c r="Z60" s="69">
        <f t="shared" ref="Z60" si="528">+ROUND($I60*Y60,0)</f>
        <v>0</v>
      </c>
      <c r="AA60" s="73"/>
      <c r="AB60" s="69">
        <f t="shared" ref="AB60:AD60" si="529">+ROUND($I60*AA60,0)</f>
        <v>0</v>
      </c>
      <c r="AC60" s="73"/>
      <c r="AD60" s="69">
        <f t="shared" si="529"/>
        <v>0</v>
      </c>
      <c r="AE60" s="73"/>
      <c r="AF60" s="69">
        <f t="shared" si="347"/>
        <v>0</v>
      </c>
      <c r="AG60" s="73"/>
      <c r="AH60" s="69">
        <f t="shared" ref="AH60" si="530">+ROUND($I60*AG60,0)</f>
        <v>0</v>
      </c>
      <c r="AI60" s="73">
        <f>+AI46</f>
        <v>24</v>
      </c>
      <c r="AJ60" s="69">
        <f t="shared" ref="AJ60" si="531">+ROUND($I60*AI60,0)</f>
        <v>9988512</v>
      </c>
      <c r="AK60" s="73">
        <f>+AK46</f>
        <v>21</v>
      </c>
      <c r="AL60" s="69">
        <f t="shared" ref="AL60" si="532">+ROUND($I60*AK60,0)</f>
        <v>8739948</v>
      </c>
      <c r="AM60" s="73">
        <f>+AM46</f>
        <v>30</v>
      </c>
      <c r="AN60" s="69">
        <f t="shared" ref="AN60" si="533">+ROUND($I60*AM60,0)</f>
        <v>12485640</v>
      </c>
      <c r="AO60" s="73">
        <f>+AO46</f>
        <v>20</v>
      </c>
      <c r="AP60" s="69">
        <f t="shared" ref="AP60" si="534">+ROUND($I60*AO60,0)</f>
        <v>8323760</v>
      </c>
      <c r="AQ60" s="73"/>
      <c r="AR60" s="69">
        <f t="shared" ref="AR60" si="535">+ROUND($I60*AQ60,0)</f>
        <v>0</v>
      </c>
      <c r="AS60" s="73"/>
      <c r="AT60" s="69">
        <f t="shared" ref="AT60" si="536">+ROUND($I60*AS60,0)</f>
        <v>0</v>
      </c>
      <c r="AU60" s="73"/>
      <c r="AV60" s="69">
        <f t="shared" ref="AV60:AX60" si="537">+ROUND($I60*AU60,0)</f>
        <v>0</v>
      </c>
      <c r="AW60" s="73"/>
      <c r="AX60" s="69">
        <f t="shared" si="537"/>
        <v>0</v>
      </c>
      <c r="AY60" s="73"/>
      <c r="AZ60" s="69">
        <f t="shared" ref="AZ60" si="538">+ROUND($I60*AY60,0)</f>
        <v>0</v>
      </c>
      <c r="BA60" s="73">
        <v>530</v>
      </c>
      <c r="BB60" s="69">
        <f t="shared" ref="BB60" si="539">+ROUND($I60*BA60,0)</f>
        <v>220579640</v>
      </c>
    </row>
    <row r="61" spans="1:54" ht="30" customHeight="1" x14ac:dyDescent="0.3">
      <c r="A61" s="3"/>
      <c r="B61" s="8"/>
      <c r="C61" s="60">
        <v>3723</v>
      </c>
      <c r="D61" s="60">
        <v>4017</v>
      </c>
      <c r="E61" s="60" t="str">
        <f>+VLOOKUP(C61,'PRECIOS IDU 2025'!$A$1:$E$3189,2,FALSE)</f>
        <v>LIMPIEZA DE POZOS (INCLUYE CARGUE, RETIRO Y DISPOSICIÓN FINAL DE SOBRANTES)</v>
      </c>
      <c r="F61" s="60" t="str">
        <f>+VLOOKUP(C61,'PRECIOS IDU 2025'!$A$1:$E$3189,3,FALSE)</f>
        <v>UN</v>
      </c>
      <c r="G61" s="108">
        <f t="shared" si="332"/>
        <v>31</v>
      </c>
      <c r="H61" s="69">
        <f>+VLOOKUP(C61,'PRECIOS DE REFERENCIA APU'!$A$1:$D$2745,4,FALSE)</f>
        <v>117573</v>
      </c>
      <c r="I61" s="69">
        <f t="shared" si="325"/>
        <v>161075</v>
      </c>
      <c r="J61" s="69">
        <f t="shared" si="326"/>
        <v>4993325</v>
      </c>
      <c r="K61" s="9"/>
      <c r="L61" s="503">
        <v>1</v>
      </c>
      <c r="M61" s="503"/>
      <c r="O61" s="73"/>
      <c r="P61" s="69">
        <f t="shared" si="493"/>
        <v>0</v>
      </c>
      <c r="Q61" s="73"/>
      <c r="R61" s="69">
        <f t="shared" si="493"/>
        <v>0</v>
      </c>
      <c r="S61" s="73"/>
      <c r="T61" s="69">
        <f t="shared" ref="T61" si="540">+ROUND($I61*S61,0)</f>
        <v>0</v>
      </c>
      <c r="U61" s="73"/>
      <c r="V61" s="69">
        <f t="shared" ref="V61" si="541">+ROUND($I61*U61,0)</f>
        <v>0</v>
      </c>
      <c r="W61" s="73"/>
      <c r="X61" s="69">
        <f t="shared" ref="X61" si="542">+ROUND($I61*W61,0)</f>
        <v>0</v>
      </c>
      <c r="Y61" s="73"/>
      <c r="Z61" s="69">
        <f t="shared" ref="Z61" si="543">+ROUND($I61*Y61,0)</f>
        <v>0</v>
      </c>
      <c r="AA61" s="73"/>
      <c r="AB61" s="69">
        <f t="shared" ref="AB61:AD61" si="544">+ROUND($I61*AA61,0)</f>
        <v>0</v>
      </c>
      <c r="AC61" s="73"/>
      <c r="AD61" s="69">
        <f t="shared" si="544"/>
        <v>0</v>
      </c>
      <c r="AE61" s="73"/>
      <c r="AF61" s="69">
        <f t="shared" si="347"/>
        <v>0</v>
      </c>
      <c r="AG61" s="73"/>
      <c r="AH61" s="69">
        <f t="shared" ref="AH61" si="545">+ROUND($I61*AG61,0)</f>
        <v>0</v>
      </c>
      <c r="AI61" s="73">
        <v>1</v>
      </c>
      <c r="AJ61" s="69">
        <f t="shared" ref="AJ61" si="546">+ROUND($I61*AI61,0)</f>
        <v>161075</v>
      </c>
      <c r="AK61" s="73"/>
      <c r="AL61" s="69">
        <f t="shared" ref="AL61" si="547">+ROUND($I61*AK61,0)</f>
        <v>0</v>
      </c>
      <c r="AM61" s="73"/>
      <c r="AN61" s="69">
        <f t="shared" ref="AN61" si="548">+ROUND($I61*AM61,0)</f>
        <v>0</v>
      </c>
      <c r="AO61" s="73"/>
      <c r="AP61" s="69">
        <f t="shared" ref="AP61" si="549">+ROUND($I61*AO61,0)</f>
        <v>0</v>
      </c>
      <c r="AQ61" s="73"/>
      <c r="AR61" s="69">
        <f t="shared" ref="AR61" si="550">+ROUND($I61*AQ61,0)</f>
        <v>0</v>
      </c>
      <c r="AS61" s="73"/>
      <c r="AT61" s="69">
        <f t="shared" ref="AT61" si="551">+ROUND($I61*AS61,0)</f>
        <v>0</v>
      </c>
      <c r="AU61" s="73"/>
      <c r="AV61" s="69">
        <f t="shared" ref="AV61:AX61" si="552">+ROUND($I61*AU61,0)</f>
        <v>0</v>
      </c>
      <c r="AW61" s="73"/>
      <c r="AX61" s="69">
        <f t="shared" si="552"/>
        <v>0</v>
      </c>
      <c r="AY61" s="73"/>
      <c r="AZ61" s="69">
        <f t="shared" ref="AZ61" si="553">+ROUND($I61*AY61,0)</f>
        <v>0</v>
      </c>
      <c r="BA61" s="73">
        <v>30</v>
      </c>
      <c r="BB61" s="69">
        <f t="shared" ref="BB61" si="554">+ROUND($I61*BA61,0)</f>
        <v>4832250</v>
      </c>
    </row>
    <row r="62" spans="1:54" ht="30" customHeight="1" thickBot="1" x14ac:dyDescent="0.35">
      <c r="A62" s="3"/>
      <c r="B62" s="8"/>
      <c r="C62" s="60">
        <v>3724</v>
      </c>
      <c r="D62" s="60">
        <v>4018</v>
      </c>
      <c r="E62" s="60" t="str">
        <f>+VLOOKUP(C62,'PRECIOS IDU 2025'!$A$1:$E$3189,2,FALSE)</f>
        <v>LIMPIEZA DE SUMIDEROS (INCLUYE CARGUE, RETIRO Y DISPOSICIÓN FINAL DE SOBRANTES)</v>
      </c>
      <c r="F62" s="60" t="str">
        <f>+VLOOKUP(C62,'PRECIOS IDU 2025'!$A$1:$E$3189,3,FALSE)</f>
        <v>UN</v>
      </c>
      <c r="G62" s="108">
        <f t="shared" si="332"/>
        <v>30</v>
      </c>
      <c r="H62" s="69">
        <f>+VLOOKUP(C62,'PRECIOS DE REFERENCIA APU'!$A$1:$D$2745,4,FALSE)</f>
        <v>117573</v>
      </c>
      <c r="I62" s="69">
        <f t="shared" si="325"/>
        <v>161075</v>
      </c>
      <c r="J62" s="69">
        <f t="shared" si="326"/>
        <v>4832250</v>
      </c>
      <c r="K62" s="9"/>
      <c r="L62" s="503">
        <v>1</v>
      </c>
      <c r="M62" s="503"/>
      <c r="O62" s="73"/>
      <c r="P62" s="69">
        <f t="shared" si="493"/>
        <v>0</v>
      </c>
      <c r="Q62" s="73"/>
      <c r="R62" s="69">
        <f t="shared" si="493"/>
        <v>0</v>
      </c>
      <c r="S62" s="73"/>
      <c r="T62" s="69">
        <f t="shared" ref="T62" si="555">+ROUND($I62*S62,0)</f>
        <v>0</v>
      </c>
      <c r="U62" s="73"/>
      <c r="V62" s="69">
        <f t="shared" ref="V62" si="556">+ROUND($I62*U62,0)</f>
        <v>0</v>
      </c>
      <c r="W62" s="73"/>
      <c r="X62" s="69">
        <f t="shared" ref="X62" si="557">+ROUND($I62*W62,0)</f>
        <v>0</v>
      </c>
      <c r="Y62" s="73"/>
      <c r="Z62" s="69">
        <f t="shared" ref="Z62" si="558">+ROUND($I62*Y62,0)</f>
        <v>0</v>
      </c>
      <c r="AA62" s="73"/>
      <c r="AB62" s="69">
        <f t="shared" ref="AB62:AD62" si="559">+ROUND($I62*AA62,0)</f>
        <v>0</v>
      </c>
      <c r="AC62" s="73"/>
      <c r="AD62" s="69">
        <f t="shared" si="559"/>
        <v>0</v>
      </c>
      <c r="AE62" s="73"/>
      <c r="AF62" s="69">
        <f t="shared" si="347"/>
        <v>0</v>
      </c>
      <c r="AG62" s="73"/>
      <c r="AH62" s="69">
        <f t="shared" ref="AH62" si="560">+ROUND($I62*AG62,0)</f>
        <v>0</v>
      </c>
      <c r="AI62" s="73"/>
      <c r="AJ62" s="69">
        <f t="shared" ref="AJ62" si="561">+ROUND($I62*AI62,0)</f>
        <v>0</v>
      </c>
      <c r="AK62" s="73"/>
      <c r="AL62" s="69">
        <f t="shared" ref="AL62" si="562">+ROUND($I62*AK62,0)</f>
        <v>0</v>
      </c>
      <c r="AM62" s="73"/>
      <c r="AN62" s="69">
        <f t="shared" ref="AN62" si="563">+ROUND($I62*AM62,0)</f>
        <v>0</v>
      </c>
      <c r="AO62" s="73"/>
      <c r="AP62" s="69">
        <f t="shared" ref="AP62" si="564">+ROUND($I62*AO62,0)</f>
        <v>0</v>
      </c>
      <c r="AQ62" s="73"/>
      <c r="AR62" s="69">
        <f t="shared" ref="AR62" si="565">+ROUND($I62*AQ62,0)</f>
        <v>0</v>
      </c>
      <c r="AS62" s="73"/>
      <c r="AT62" s="69">
        <f t="shared" ref="AT62" si="566">+ROUND($I62*AS62,0)</f>
        <v>0</v>
      </c>
      <c r="AU62" s="73"/>
      <c r="AV62" s="69">
        <f t="shared" ref="AV62:AX62" si="567">+ROUND($I62*AU62,0)</f>
        <v>0</v>
      </c>
      <c r="AW62" s="73"/>
      <c r="AX62" s="69">
        <f t="shared" si="567"/>
        <v>0</v>
      </c>
      <c r="AY62" s="73"/>
      <c r="AZ62" s="69">
        <f t="shared" ref="AZ62" si="568">+ROUND($I62*AY62,0)</f>
        <v>0</v>
      </c>
      <c r="BA62" s="73">
        <v>30</v>
      </c>
      <c r="BB62" s="69">
        <f t="shared" ref="BB62" si="569">+ROUND($I62*BA62,0)</f>
        <v>4832250</v>
      </c>
    </row>
    <row r="63" spans="1:54" ht="30" customHeight="1" thickBot="1" x14ac:dyDescent="0.35">
      <c r="A63" s="3"/>
      <c r="B63" s="8"/>
      <c r="C63" s="66" t="s">
        <v>6653</v>
      </c>
      <c r="D63" s="67"/>
      <c r="E63" s="67"/>
      <c r="F63" s="67"/>
      <c r="G63" s="108">
        <f t="shared" si="332"/>
        <v>0</v>
      </c>
      <c r="H63" s="69"/>
      <c r="I63" s="532" t="s">
        <v>6084</v>
      </c>
      <c r="J63" s="533">
        <f>+SUM(J46:J62)</f>
        <v>706083492</v>
      </c>
      <c r="K63" s="9"/>
      <c r="L63" s="503">
        <v>0</v>
      </c>
      <c r="M63" s="503"/>
      <c r="O63" s="73"/>
      <c r="P63" s="69"/>
      <c r="Q63" s="73"/>
      <c r="R63" s="69"/>
      <c r="S63" s="73"/>
      <c r="T63" s="69"/>
      <c r="U63" s="73"/>
      <c r="V63" s="69"/>
      <c r="W63" s="73"/>
      <c r="X63" s="69"/>
      <c r="Y63" s="73"/>
      <c r="Z63" s="69"/>
      <c r="AA63" s="73"/>
      <c r="AB63" s="69"/>
      <c r="AC63" s="73"/>
      <c r="AD63" s="69"/>
      <c r="AE63" s="73"/>
      <c r="AF63" s="69"/>
      <c r="AG63" s="73"/>
      <c r="AH63" s="69"/>
      <c r="AI63" s="73"/>
      <c r="AJ63" s="69"/>
      <c r="AK63" s="73"/>
      <c r="AL63" s="69"/>
      <c r="AM63" s="73"/>
      <c r="AN63" s="69"/>
      <c r="AO63" s="73"/>
      <c r="AP63" s="69"/>
      <c r="AQ63" s="73"/>
      <c r="AR63" s="69"/>
      <c r="AS63" s="73"/>
      <c r="AT63" s="69"/>
      <c r="AU63" s="73"/>
      <c r="AV63" s="69"/>
      <c r="AW63" s="73"/>
      <c r="AX63" s="69"/>
      <c r="AY63" s="73"/>
      <c r="AZ63" s="69"/>
      <c r="BA63" s="73"/>
      <c r="BB63" s="69"/>
    </row>
    <row r="64" spans="1:54" ht="30" customHeight="1" x14ac:dyDescent="0.3">
      <c r="A64" s="3"/>
      <c r="B64" s="8"/>
      <c r="C64" s="60">
        <v>3012</v>
      </c>
      <c r="D64" s="60">
        <v>5001</v>
      </c>
      <c r="E64" s="60" t="str">
        <f>+VLOOKUP(C64,'PRECIOS IDU 2025'!$A$1:$E$3189,2,FALSE)</f>
        <v>DEMOLICIÓN PISOS DE CONCRETO (ESPESOR VARIABLE HASTA 0.10 M. INCLUYE CARGUE). NO INCLUYE TRANSPORTE Y DISPOSICIÓN FINAL DE SOBRANTES.</v>
      </c>
      <c r="F64" s="60" t="str">
        <f>+VLOOKUP(C64,'PRECIOS IDU 2025'!$A$1:$E$3189,3,FALSE)</f>
        <v>M2</v>
      </c>
      <c r="G64" s="108">
        <f>+ROUND(SUM(O64,Q64,S64,U64,W64,Y64,AA64,AC64,AE63,AG64,AI64,AK64,AM64,AO64,AQ64,AS64,AU64,AW64,AY64,BA64),2)</f>
        <v>1337.69</v>
      </c>
      <c r="H64" s="69">
        <f>+VLOOKUP(C64,'PRECIOS DE REFERENCIA APU'!$A$1:$D$2745,4,FALSE)</f>
        <v>9810</v>
      </c>
      <c r="I64" s="69">
        <f t="shared" ref="I64:I81" si="570">+ROUND(H64*(1+$J$117),0)</f>
        <v>13440</v>
      </c>
      <c r="J64" s="69">
        <f t="shared" ref="J64:J81" si="571">+ROUND(I64*G64,0)</f>
        <v>17978554</v>
      </c>
      <c r="K64" s="9"/>
      <c r="L64" s="503">
        <v>3630</v>
      </c>
      <c r="M64" s="503"/>
      <c r="O64" s="521">
        <f>+O17</f>
        <v>160.12350000000001</v>
      </c>
      <c r="P64" s="69">
        <f t="shared" si="493"/>
        <v>2152060</v>
      </c>
      <c r="Q64" s="521">
        <f>+Q17</f>
        <v>129.3466</v>
      </c>
      <c r="R64" s="69">
        <f t="shared" si="493"/>
        <v>1738418</v>
      </c>
      <c r="S64" s="521">
        <f>+S17</f>
        <v>323.89769999999999</v>
      </c>
      <c r="T64" s="69">
        <f t="shared" ref="T64" si="572">+ROUND($I64*S64,0)</f>
        <v>4353185</v>
      </c>
      <c r="U64" s="521"/>
      <c r="V64" s="69">
        <f t="shared" ref="V64" si="573">+ROUND($I64*U64,0)</f>
        <v>0</v>
      </c>
      <c r="W64" s="521">
        <f>+W17</f>
        <v>219.00970000000001</v>
      </c>
      <c r="X64" s="69">
        <f t="shared" ref="X64" si="574">+ROUND($I64*W64,0)</f>
        <v>2943490</v>
      </c>
      <c r="Y64" s="521">
        <f>+Y17</f>
        <v>252.3595</v>
      </c>
      <c r="Z64" s="69">
        <f t="shared" ref="Z64" si="575">+ROUND($I64*Y64,0)</f>
        <v>3391712</v>
      </c>
      <c r="AA64" s="521"/>
      <c r="AB64" s="69">
        <f t="shared" ref="AB64:AD64" si="576">+ROUND($I64*AA64,0)</f>
        <v>0</v>
      </c>
      <c r="AC64" s="521">
        <f>+AC17</f>
        <v>252.95020000000002</v>
      </c>
      <c r="AD64" s="69">
        <f t="shared" si="576"/>
        <v>3399651</v>
      </c>
      <c r="AE64" s="521">
        <f>+AE17</f>
        <v>40</v>
      </c>
      <c r="AF64" s="69">
        <f t="shared" ref="AF64:AF81" si="577">+ROUND($I64*AE64,0)</f>
        <v>537600</v>
      </c>
      <c r="AG64" s="73"/>
      <c r="AH64" s="69">
        <f t="shared" ref="AH64" si="578">+ROUND($I64*AG64,0)</f>
        <v>0</v>
      </c>
      <c r="AI64" s="73"/>
      <c r="AJ64" s="69">
        <f t="shared" ref="AJ64" si="579">+ROUND($I64*AI64,0)</f>
        <v>0</v>
      </c>
      <c r="AK64" s="73"/>
      <c r="AL64" s="69">
        <f t="shared" ref="AL64" si="580">+ROUND($I64*AK64,0)</f>
        <v>0</v>
      </c>
      <c r="AM64" s="73"/>
      <c r="AN64" s="69">
        <f t="shared" ref="AN64" si="581">+ROUND($I64*AM64,0)</f>
        <v>0</v>
      </c>
      <c r="AO64" s="73"/>
      <c r="AP64" s="69">
        <f t="shared" ref="AP64" si="582">+ROUND($I64*AO64,0)</f>
        <v>0</v>
      </c>
      <c r="AQ64" s="73"/>
      <c r="AR64" s="69">
        <f t="shared" ref="AR64" si="583">+ROUND($I64*AQ64,0)</f>
        <v>0</v>
      </c>
      <c r="AS64" s="73"/>
      <c r="AT64" s="69">
        <f t="shared" ref="AT64" si="584">+ROUND($I64*AS64,0)</f>
        <v>0</v>
      </c>
      <c r="AU64" s="73"/>
      <c r="AV64" s="69">
        <f t="shared" ref="AV64:AX64" si="585">+ROUND($I64*AU64,0)</f>
        <v>0</v>
      </c>
      <c r="AW64" s="73"/>
      <c r="AX64" s="69">
        <f t="shared" si="585"/>
        <v>0</v>
      </c>
      <c r="AY64" s="73"/>
      <c r="AZ64" s="69">
        <f t="shared" ref="AZ64" si="586">+ROUND($I64*AY64,0)</f>
        <v>0</v>
      </c>
      <c r="BA64" s="73"/>
      <c r="BB64" s="69">
        <f t="shared" ref="BB64" si="587">+ROUND($I64*BA64,0)</f>
        <v>0</v>
      </c>
    </row>
    <row r="65" spans="1:54" ht="30" customHeight="1" x14ac:dyDescent="0.3">
      <c r="A65" s="3"/>
      <c r="B65" s="8"/>
      <c r="C65" s="60">
        <v>3011</v>
      </c>
      <c r="D65" s="60">
        <v>5002</v>
      </c>
      <c r="E65" s="60" t="str">
        <f>+VLOOKUP(C65,'PRECIOS IDU 2025'!$A$1:$E$3189,2,FALSE)</f>
        <v>DEMOLICION MANUAL SARDINEL EXISTENTE (INCLUYE CARGUE). NO INCLUYE TRANSPORTE Y DISPOSICIÓN FINAL DE SOBRANTES.</v>
      </c>
      <c r="F65" s="60" t="str">
        <f>+VLOOKUP(C65,'PRECIOS IDU 2025'!$A$1:$E$3189,3,FALSE)</f>
        <v>ML</v>
      </c>
      <c r="G65" s="108">
        <f t="shared" ref="G65:G80" si="588">+ROUND(SUM(O65,Q65,S65,U65,W65,Y65,AA65,AC65,AE64,AG65,AI65,AK65,AM65,AO65,AQ65,AS65,AU65,AW65,AY65,BA65),2)</f>
        <v>427.18</v>
      </c>
      <c r="H65" s="69">
        <f>+VLOOKUP(C65,'PRECIOS DE REFERENCIA APU'!$A$1:$D$2745,4,FALSE)</f>
        <v>7827</v>
      </c>
      <c r="I65" s="69">
        <f t="shared" si="570"/>
        <v>10723</v>
      </c>
      <c r="J65" s="69">
        <f t="shared" si="571"/>
        <v>4580651</v>
      </c>
      <c r="K65" s="9"/>
      <c r="L65" s="503">
        <v>2420</v>
      </c>
      <c r="M65" s="503"/>
      <c r="O65" s="521">
        <f>+O16</f>
        <v>61.35</v>
      </c>
      <c r="P65" s="69">
        <f t="shared" si="493"/>
        <v>657856</v>
      </c>
      <c r="Q65" s="521">
        <f>+Q16</f>
        <v>42.83</v>
      </c>
      <c r="R65" s="69">
        <f t="shared" si="493"/>
        <v>459266</v>
      </c>
      <c r="S65" s="521">
        <f>+S16</f>
        <v>121.31</v>
      </c>
      <c r="T65" s="69">
        <f t="shared" ref="T65" si="589">+ROUND($I65*S65,0)</f>
        <v>1300807</v>
      </c>
      <c r="U65" s="521"/>
      <c r="V65" s="69">
        <f t="shared" ref="V65" si="590">+ROUND($I65*U65,0)</f>
        <v>0</v>
      </c>
      <c r="W65" s="521">
        <f>+W16</f>
        <v>76.31</v>
      </c>
      <c r="X65" s="69">
        <f t="shared" ref="X65" si="591">+ROUND($I65*W65,0)</f>
        <v>818272</v>
      </c>
      <c r="Y65" s="521">
        <f>+Y16</f>
        <v>47.17</v>
      </c>
      <c r="Z65" s="69">
        <f t="shared" ref="Z65" si="592">+ROUND($I65*Y65,0)</f>
        <v>505804</v>
      </c>
      <c r="AA65" s="521"/>
      <c r="AB65" s="69">
        <f t="shared" ref="AB65:AD65" si="593">+ROUND($I65*AA65,0)</f>
        <v>0</v>
      </c>
      <c r="AC65" s="521">
        <f>+AC16</f>
        <v>38.21</v>
      </c>
      <c r="AD65" s="69">
        <f t="shared" si="593"/>
        <v>409726</v>
      </c>
      <c r="AE65" s="521">
        <f>+AE16</f>
        <v>20</v>
      </c>
      <c r="AF65" s="69">
        <f t="shared" si="577"/>
        <v>214460</v>
      </c>
      <c r="AG65" s="73"/>
      <c r="AH65" s="69">
        <f t="shared" ref="AH65" si="594">+ROUND($I65*AG65,0)</f>
        <v>0</v>
      </c>
      <c r="AI65" s="73"/>
      <c r="AJ65" s="69">
        <f t="shared" ref="AJ65" si="595">+ROUND($I65*AI65,0)</f>
        <v>0</v>
      </c>
      <c r="AK65" s="73"/>
      <c r="AL65" s="69">
        <f t="shared" ref="AL65" si="596">+ROUND($I65*AK65,0)</f>
        <v>0</v>
      </c>
      <c r="AM65" s="73"/>
      <c r="AN65" s="69">
        <f t="shared" ref="AN65" si="597">+ROUND($I65*AM65,0)</f>
        <v>0</v>
      </c>
      <c r="AO65" s="73"/>
      <c r="AP65" s="69">
        <f t="shared" ref="AP65" si="598">+ROUND($I65*AO65,0)</f>
        <v>0</v>
      </c>
      <c r="AQ65" s="73"/>
      <c r="AR65" s="69">
        <f t="shared" ref="AR65" si="599">+ROUND($I65*AQ65,0)</f>
        <v>0</v>
      </c>
      <c r="AS65" s="73"/>
      <c r="AT65" s="69">
        <f t="shared" ref="AT65" si="600">+ROUND($I65*AS65,0)</f>
        <v>0</v>
      </c>
      <c r="AU65" s="73"/>
      <c r="AV65" s="69">
        <f t="shared" ref="AV65:AX65" si="601">+ROUND($I65*AU65,0)</f>
        <v>0</v>
      </c>
      <c r="AW65" s="73"/>
      <c r="AX65" s="69">
        <f t="shared" si="601"/>
        <v>0</v>
      </c>
      <c r="AY65" s="73"/>
      <c r="AZ65" s="69">
        <f t="shared" ref="AZ65" si="602">+ROUND($I65*AY65,0)</f>
        <v>0</v>
      </c>
      <c r="BA65" s="73"/>
      <c r="BB65" s="69">
        <f t="shared" ref="BB65" si="603">+ROUND($I65*BA65,0)</f>
        <v>0</v>
      </c>
    </row>
    <row r="66" spans="1:54" ht="30" customHeight="1" x14ac:dyDescent="0.3">
      <c r="A66" s="3"/>
      <c r="B66" s="8"/>
      <c r="C66" s="60">
        <v>3464</v>
      </c>
      <c r="D66" s="60">
        <v>5003</v>
      </c>
      <c r="E66" s="60" t="str">
        <f>+VLOOKUP(C66,'PRECIOS IDU 2025'!$A$1:$E$3189,2,FALSE)</f>
        <v>EXCAVACION MANUAL EN MATERIAL COMUN. INCLUYE CARGUE.</v>
      </c>
      <c r="F66" s="60" t="str">
        <f>+VLOOKUP(C66,'PRECIOS IDU 2025'!$A$1:$E$3189,3,FALSE)</f>
        <v>M3</v>
      </c>
      <c r="G66" s="108">
        <f t="shared" si="588"/>
        <v>621.96</v>
      </c>
      <c r="H66" s="69">
        <f>+VLOOKUP(C66,'PRECIOS DE REFERENCIA APU'!$A$1:$D$2745,4,FALSE)</f>
        <v>55856</v>
      </c>
      <c r="I66" s="69">
        <f t="shared" si="570"/>
        <v>76523</v>
      </c>
      <c r="J66" s="69">
        <f t="shared" si="571"/>
        <v>47594245</v>
      </c>
      <c r="K66" s="9"/>
      <c r="L66" s="503">
        <v>1815</v>
      </c>
      <c r="M66" s="503"/>
      <c r="O66" s="521">
        <f>+O64*0.45</f>
        <v>72.055575000000005</v>
      </c>
      <c r="P66" s="69">
        <f t="shared" si="493"/>
        <v>5513909</v>
      </c>
      <c r="Q66" s="521">
        <f>+Q64*0.45</f>
        <v>58.205970000000001</v>
      </c>
      <c r="R66" s="69">
        <f t="shared" si="493"/>
        <v>4454095</v>
      </c>
      <c r="S66" s="521">
        <f>+S64*0.45</f>
        <v>145.75396499999999</v>
      </c>
      <c r="T66" s="69">
        <f t="shared" ref="T66" si="604">+ROUND($I66*S66,0)</f>
        <v>11153531</v>
      </c>
      <c r="U66" s="521"/>
      <c r="V66" s="69">
        <f t="shared" ref="V66" si="605">+ROUND($I66*U66,0)</f>
        <v>0</v>
      </c>
      <c r="W66" s="521">
        <f>+W64*0.45</f>
        <v>98.554365000000004</v>
      </c>
      <c r="X66" s="69">
        <f t="shared" ref="X66" si="606">+ROUND($I66*W66,0)</f>
        <v>7541676</v>
      </c>
      <c r="Y66" s="521">
        <f>+Y64*0.45</f>
        <v>113.561775</v>
      </c>
      <c r="Z66" s="69">
        <f t="shared" ref="Z66" si="607">+ROUND($I66*Y66,0)</f>
        <v>8690088</v>
      </c>
      <c r="AA66" s="521"/>
      <c r="AB66" s="69">
        <f t="shared" ref="AB66:AD66" si="608">+ROUND($I66*AA66,0)</f>
        <v>0</v>
      </c>
      <c r="AC66" s="521">
        <f>+AC64*0.45</f>
        <v>113.82759000000001</v>
      </c>
      <c r="AD66" s="69">
        <f t="shared" si="608"/>
        <v>8710429</v>
      </c>
      <c r="AE66" s="521">
        <f>+AE64*0.45</f>
        <v>18</v>
      </c>
      <c r="AF66" s="69">
        <f t="shared" si="577"/>
        <v>1377414</v>
      </c>
      <c r="AG66" s="73"/>
      <c r="AH66" s="69">
        <f t="shared" ref="AH66" si="609">+ROUND($I66*AG66,0)</f>
        <v>0</v>
      </c>
      <c r="AI66" s="73"/>
      <c r="AJ66" s="69">
        <f t="shared" ref="AJ66" si="610">+ROUND($I66*AI66,0)</f>
        <v>0</v>
      </c>
      <c r="AK66" s="73"/>
      <c r="AL66" s="69">
        <f t="shared" ref="AL66" si="611">+ROUND($I66*AK66,0)</f>
        <v>0</v>
      </c>
      <c r="AM66" s="73"/>
      <c r="AN66" s="69">
        <f t="shared" ref="AN66" si="612">+ROUND($I66*AM66,0)</f>
        <v>0</v>
      </c>
      <c r="AO66" s="73"/>
      <c r="AP66" s="69">
        <f t="shared" ref="AP66" si="613">+ROUND($I66*AO66,0)</f>
        <v>0</v>
      </c>
      <c r="AQ66" s="73"/>
      <c r="AR66" s="69">
        <f t="shared" ref="AR66" si="614">+ROUND($I66*AQ66,0)</f>
        <v>0</v>
      </c>
      <c r="AS66" s="73"/>
      <c r="AT66" s="69">
        <f t="shared" ref="AT66" si="615">+ROUND($I66*AS66,0)</f>
        <v>0</v>
      </c>
      <c r="AU66" s="73"/>
      <c r="AV66" s="69">
        <f t="shared" ref="AV66:AX66" si="616">+ROUND($I66*AU66,0)</f>
        <v>0</v>
      </c>
      <c r="AW66" s="73"/>
      <c r="AX66" s="69">
        <f t="shared" si="616"/>
        <v>0</v>
      </c>
      <c r="AY66" s="73"/>
      <c r="AZ66" s="69">
        <f t="shared" ref="AZ66" si="617">+ROUND($I66*AY66,0)</f>
        <v>0</v>
      </c>
      <c r="BA66" s="73"/>
      <c r="BB66" s="69">
        <f t="shared" ref="BB66" si="618">+ROUND($I66*BA66,0)</f>
        <v>0</v>
      </c>
    </row>
    <row r="67" spans="1:54" ht="30" customHeight="1" x14ac:dyDescent="0.3">
      <c r="A67" s="3"/>
      <c r="B67" s="8"/>
      <c r="C67" s="60">
        <v>3017</v>
      </c>
      <c r="D67" s="60">
        <v>5004</v>
      </c>
      <c r="E67" s="60" t="str">
        <f>+VLOOKUP(C67,'PRECIOS IDU 2025'!$A$1:$E$3189,2,FALSE)</f>
        <v>TRANSPORTE Y DISPOSICIÓN FINAL DE ESCOMBROS EN SITIO AUTORIZADO (DISTANCIA DE TRANSPORTE 21 KM). A DISTANCIA MAYOR DEL ACARREO LIBRE (90 M) EN SITIO AUTORIZADO POR LA ENTIDAD AMBIENTAL COMPETENTE.</v>
      </c>
      <c r="F67" s="60" t="str">
        <f>+VLOOKUP(C67,'PRECIOS IDU 2025'!$A$1:$E$3189,3,FALSE)</f>
        <v>M3</v>
      </c>
      <c r="G67" s="108">
        <f t="shared" si="588"/>
        <v>619.96</v>
      </c>
      <c r="H67" s="69">
        <f>+VLOOKUP(C67,'PRECIOS DE REFERENCIA APU'!$A$1:$D$2745,4,FALSE)</f>
        <v>45600</v>
      </c>
      <c r="I67" s="69">
        <f t="shared" si="570"/>
        <v>62472</v>
      </c>
      <c r="J67" s="69">
        <f t="shared" si="571"/>
        <v>38730141</v>
      </c>
      <c r="K67" s="9"/>
      <c r="L67" s="503">
        <v>2359.5</v>
      </c>
      <c r="M67" s="503"/>
      <c r="O67" s="521">
        <f>+O66</f>
        <v>72.055575000000005</v>
      </c>
      <c r="P67" s="69">
        <f t="shared" si="493"/>
        <v>4501456</v>
      </c>
      <c r="Q67" s="521">
        <f>+Q66</f>
        <v>58.205970000000001</v>
      </c>
      <c r="R67" s="69">
        <f t="shared" si="493"/>
        <v>3636243</v>
      </c>
      <c r="S67" s="521">
        <f>+S66</f>
        <v>145.75396499999999</v>
      </c>
      <c r="T67" s="69">
        <f t="shared" ref="T67" si="619">+ROUND($I67*S67,0)</f>
        <v>9105542</v>
      </c>
      <c r="U67" s="521"/>
      <c r="V67" s="69">
        <f t="shared" ref="V67" si="620">+ROUND($I67*U67,0)</f>
        <v>0</v>
      </c>
      <c r="W67" s="521">
        <f>+W66</f>
        <v>98.554365000000004</v>
      </c>
      <c r="X67" s="69">
        <f t="shared" ref="X67" si="621">+ROUND($I67*W67,0)</f>
        <v>6156888</v>
      </c>
      <c r="Y67" s="521">
        <f>+Y66</f>
        <v>113.561775</v>
      </c>
      <c r="Z67" s="69">
        <f t="shared" ref="Z67" si="622">+ROUND($I67*Y67,0)</f>
        <v>7094431</v>
      </c>
      <c r="AA67" s="521"/>
      <c r="AB67" s="69">
        <f t="shared" ref="AB67:AD67" si="623">+ROUND($I67*AA67,0)</f>
        <v>0</v>
      </c>
      <c r="AC67" s="521">
        <f>+AC66</f>
        <v>113.82759000000001</v>
      </c>
      <c r="AD67" s="69">
        <f t="shared" si="623"/>
        <v>7111037</v>
      </c>
      <c r="AE67" s="521">
        <f>+AE66</f>
        <v>18</v>
      </c>
      <c r="AF67" s="69">
        <f t="shared" si="577"/>
        <v>1124496</v>
      </c>
      <c r="AG67" s="73"/>
      <c r="AH67" s="69">
        <f t="shared" ref="AH67" si="624">+ROUND($I67*AG67,0)</f>
        <v>0</v>
      </c>
      <c r="AI67" s="73"/>
      <c r="AJ67" s="69">
        <f t="shared" ref="AJ67" si="625">+ROUND($I67*AI67,0)</f>
        <v>0</v>
      </c>
      <c r="AK67" s="73"/>
      <c r="AL67" s="69">
        <f t="shared" ref="AL67" si="626">+ROUND($I67*AK67,0)</f>
        <v>0</v>
      </c>
      <c r="AM67" s="73"/>
      <c r="AN67" s="69">
        <f t="shared" ref="AN67" si="627">+ROUND($I67*AM67,0)</f>
        <v>0</v>
      </c>
      <c r="AO67" s="73"/>
      <c r="AP67" s="69">
        <f t="shared" ref="AP67" si="628">+ROUND($I67*AO67,0)</f>
        <v>0</v>
      </c>
      <c r="AQ67" s="73"/>
      <c r="AR67" s="69">
        <f t="shared" ref="AR67" si="629">+ROUND($I67*AQ67,0)</f>
        <v>0</v>
      </c>
      <c r="AS67" s="73"/>
      <c r="AT67" s="69">
        <f t="shared" ref="AT67" si="630">+ROUND($I67*AS67,0)</f>
        <v>0</v>
      </c>
      <c r="AU67" s="73"/>
      <c r="AV67" s="69">
        <f t="shared" ref="AV67:AX67" si="631">+ROUND($I67*AU67,0)</f>
        <v>0</v>
      </c>
      <c r="AW67" s="73"/>
      <c r="AX67" s="69">
        <f t="shared" si="631"/>
        <v>0</v>
      </c>
      <c r="AY67" s="73"/>
      <c r="AZ67" s="69">
        <f t="shared" ref="AZ67" si="632">+ROUND($I67*AY67,0)</f>
        <v>0</v>
      </c>
      <c r="BA67" s="73"/>
      <c r="BB67" s="69">
        <f t="shared" ref="BB67" si="633">+ROUND($I67*BA67,0)</f>
        <v>0</v>
      </c>
    </row>
    <row r="68" spans="1:54" ht="30" customHeight="1" x14ac:dyDescent="0.3">
      <c r="A68" s="3"/>
      <c r="B68" s="8"/>
      <c r="C68" s="60">
        <v>4159</v>
      </c>
      <c r="D68" s="60">
        <v>5005</v>
      </c>
      <c r="E68" s="60" t="str">
        <f>+VLOOKUP(C68,'PRECIOS IDU 2025'!$A$1:$E$3189,2,FALSE)</f>
        <v>SUBBASE GRANULAR CLASE C (SBG_C) (SUMINISTRO, EXTENDIDO, NIVELACIÓN, HUMEDECIMIENTO Y COMPACTACIÓN CON VIBROCOMPACTADOR)</v>
      </c>
      <c r="F68" s="60" t="str">
        <f>+VLOOKUP(C68,'PRECIOS IDU 2025'!$A$1:$E$3189,3,FALSE)</f>
        <v>M3</v>
      </c>
      <c r="G68" s="108">
        <f t="shared" si="588"/>
        <v>18</v>
      </c>
      <c r="H68" s="69">
        <f>+VLOOKUP(C68,'PRECIOS DE REFERENCIA APU'!$A$1:$D$2745,4,FALSE)</f>
        <v>167380</v>
      </c>
      <c r="I68" s="69">
        <f t="shared" si="570"/>
        <v>229311</v>
      </c>
      <c r="J68" s="69">
        <f t="shared" si="571"/>
        <v>4127598</v>
      </c>
      <c r="K68" s="9"/>
      <c r="L68" s="503">
        <v>120.02</v>
      </c>
      <c r="M68" s="503"/>
      <c r="O68" s="521"/>
      <c r="P68" s="69">
        <f t="shared" si="493"/>
        <v>0</v>
      </c>
      <c r="Q68" s="521"/>
      <c r="R68" s="69">
        <f t="shared" si="493"/>
        <v>0</v>
      </c>
      <c r="S68" s="521"/>
      <c r="T68" s="69">
        <f t="shared" ref="T68" si="634">+ROUND($I68*S68,0)</f>
        <v>0</v>
      </c>
      <c r="U68" s="521"/>
      <c r="V68" s="69">
        <f t="shared" ref="V68" si="635">+ROUND($I68*U68,0)</f>
        <v>0</v>
      </c>
      <c r="W68" s="521"/>
      <c r="X68" s="69">
        <f t="shared" ref="X68" si="636">+ROUND($I68*W68,0)</f>
        <v>0</v>
      </c>
      <c r="Y68" s="521"/>
      <c r="Z68" s="69">
        <f t="shared" ref="Z68" si="637">+ROUND($I68*Y68,0)</f>
        <v>0</v>
      </c>
      <c r="AA68" s="521"/>
      <c r="AB68" s="69">
        <f t="shared" ref="AB68:AD68" si="638">+ROUND($I68*AA68,0)</f>
        <v>0</v>
      </c>
      <c r="AC68" s="521"/>
      <c r="AD68" s="69">
        <f t="shared" si="638"/>
        <v>0</v>
      </c>
      <c r="AE68" s="521"/>
      <c r="AF68" s="69">
        <f t="shared" si="577"/>
        <v>0</v>
      </c>
      <c r="AG68" s="73"/>
      <c r="AH68" s="69">
        <f t="shared" ref="AH68" si="639">+ROUND($I68*AG68,0)</f>
        <v>0</v>
      </c>
      <c r="AI68" s="73"/>
      <c r="AJ68" s="69">
        <f t="shared" ref="AJ68" si="640">+ROUND($I68*AI68,0)</f>
        <v>0</v>
      </c>
      <c r="AK68" s="73"/>
      <c r="AL68" s="69">
        <f t="shared" ref="AL68" si="641">+ROUND($I68*AK68,0)</f>
        <v>0</v>
      </c>
      <c r="AM68" s="73"/>
      <c r="AN68" s="69">
        <f t="shared" ref="AN68" si="642">+ROUND($I68*AM68,0)</f>
        <v>0</v>
      </c>
      <c r="AO68" s="73"/>
      <c r="AP68" s="69">
        <f t="shared" ref="AP68" si="643">+ROUND($I68*AO68,0)</f>
        <v>0</v>
      </c>
      <c r="AQ68" s="73"/>
      <c r="AR68" s="69">
        <f t="shared" ref="AR68" si="644">+ROUND($I68*AQ68,0)</f>
        <v>0</v>
      </c>
      <c r="AS68" s="73"/>
      <c r="AT68" s="69">
        <f t="shared" ref="AT68" si="645">+ROUND($I68*AS68,0)</f>
        <v>0</v>
      </c>
      <c r="AU68" s="73"/>
      <c r="AV68" s="69">
        <f t="shared" ref="AV68:AX68" si="646">+ROUND($I68*AU68,0)</f>
        <v>0</v>
      </c>
      <c r="AW68" s="73"/>
      <c r="AX68" s="69">
        <f t="shared" si="646"/>
        <v>0</v>
      </c>
      <c r="AY68" s="73"/>
      <c r="AZ68" s="69">
        <f t="shared" ref="AZ68" si="647">+ROUND($I68*AY68,0)</f>
        <v>0</v>
      </c>
      <c r="BA68" s="73"/>
      <c r="BB68" s="69">
        <f t="shared" ref="BB68" si="648">+ROUND($I68*BA68,0)</f>
        <v>0</v>
      </c>
    </row>
    <row r="69" spans="1:54" ht="30" customHeight="1" x14ac:dyDescent="0.3">
      <c r="A69" s="3"/>
      <c r="B69" s="8"/>
      <c r="C69" s="60">
        <v>4747</v>
      </c>
      <c r="D69" s="60">
        <v>5006</v>
      </c>
      <c r="E69" s="60" t="str">
        <f>+VLOOKUP(C69,'PRECIOS IDU 2025'!$A$1:$E$3189,2,FALSE)</f>
        <v>SUBBASE GRANULAR CLASE B (SBG_B) CON RECICLADO DE CONCRETO (SUMINISTRO, EXTENDIDO, NIVELACIÓN, HUMEDECIMIENTO Y COMPACTACIÓN CON VIBROCOMPACTADOR)</v>
      </c>
      <c r="F69" s="60" t="str">
        <f>+VLOOKUP(C69,'PRECIOS IDU 2025'!$A$1:$E$3189,3,FALSE)</f>
        <v>M3</v>
      </c>
      <c r="G69" s="108">
        <f t="shared" si="588"/>
        <v>468.19</v>
      </c>
      <c r="H69" s="69">
        <f>+VLOOKUP(C69,'PRECIOS DE REFERENCIA APU'!$A$1:$D$2745,4,FALSE)</f>
        <v>163821</v>
      </c>
      <c r="I69" s="69">
        <f t="shared" si="570"/>
        <v>224435</v>
      </c>
      <c r="J69" s="69">
        <f t="shared" si="571"/>
        <v>105078223</v>
      </c>
      <c r="K69" s="9"/>
      <c r="L69" s="503">
        <v>1089</v>
      </c>
      <c r="M69" s="503"/>
      <c r="O69" s="521">
        <f>0.35*O64</f>
        <v>56.043225</v>
      </c>
      <c r="P69" s="69">
        <f t="shared" si="493"/>
        <v>12578061</v>
      </c>
      <c r="Q69" s="521">
        <f>0.35*Q64</f>
        <v>45.271309999999993</v>
      </c>
      <c r="R69" s="69">
        <f t="shared" si="493"/>
        <v>10160466</v>
      </c>
      <c r="S69" s="521">
        <f>0.35*S64</f>
        <v>113.36419499999998</v>
      </c>
      <c r="T69" s="69">
        <f t="shared" ref="T69:T70" si="649">+ROUND($I69*S69,0)</f>
        <v>25442893</v>
      </c>
      <c r="U69" s="521"/>
      <c r="V69" s="69">
        <f t="shared" ref="V69:V70" si="650">+ROUND($I69*U69,0)</f>
        <v>0</v>
      </c>
      <c r="W69" s="521">
        <f>0.35*W64</f>
        <v>76.653395000000003</v>
      </c>
      <c r="X69" s="69">
        <f t="shared" ref="X69:X70" si="651">+ROUND($I69*W69,0)</f>
        <v>17203705</v>
      </c>
      <c r="Y69" s="521">
        <f>0.35*Y64</f>
        <v>88.325824999999995</v>
      </c>
      <c r="Z69" s="69">
        <f t="shared" ref="Z69:Z70" si="652">+ROUND($I69*Y69,0)</f>
        <v>19823407</v>
      </c>
      <c r="AA69" s="521"/>
      <c r="AB69" s="69">
        <f t="shared" ref="AB69:AD70" si="653">+ROUND($I69*AA69,0)</f>
        <v>0</v>
      </c>
      <c r="AC69" s="521">
        <f>0.35*AC64</f>
        <v>88.532570000000007</v>
      </c>
      <c r="AD69" s="69">
        <f t="shared" si="653"/>
        <v>19869807</v>
      </c>
      <c r="AE69" s="521">
        <f>0.35*AE64</f>
        <v>14</v>
      </c>
      <c r="AF69" s="69">
        <f t="shared" si="577"/>
        <v>3142090</v>
      </c>
      <c r="AG69" s="73"/>
      <c r="AH69" s="69">
        <f t="shared" ref="AH69:AH70" si="654">+ROUND($I69*AG69,0)</f>
        <v>0</v>
      </c>
      <c r="AI69" s="73"/>
      <c r="AJ69" s="69">
        <f t="shared" ref="AJ69:AJ70" si="655">+ROUND($I69*AI69,0)</f>
        <v>0</v>
      </c>
      <c r="AK69" s="73"/>
      <c r="AL69" s="69">
        <f t="shared" ref="AL69:AL70" si="656">+ROUND($I69*AK69,0)</f>
        <v>0</v>
      </c>
      <c r="AM69" s="73"/>
      <c r="AN69" s="69">
        <f t="shared" ref="AN69:AN70" si="657">+ROUND($I69*AM69,0)</f>
        <v>0</v>
      </c>
      <c r="AO69" s="73"/>
      <c r="AP69" s="69">
        <f t="shared" ref="AP69:AP70" si="658">+ROUND($I69*AO69,0)</f>
        <v>0</v>
      </c>
      <c r="AQ69" s="73"/>
      <c r="AR69" s="69">
        <f t="shared" ref="AR69:AR70" si="659">+ROUND($I69*AQ69,0)</f>
        <v>0</v>
      </c>
      <c r="AS69" s="73"/>
      <c r="AT69" s="69">
        <f t="shared" ref="AT69:AT70" si="660">+ROUND($I69*AS69,0)</f>
        <v>0</v>
      </c>
      <c r="AU69" s="73"/>
      <c r="AV69" s="69">
        <f t="shared" ref="AV69:AX70" si="661">+ROUND($I69*AU69,0)</f>
        <v>0</v>
      </c>
      <c r="AW69" s="73"/>
      <c r="AX69" s="69">
        <f t="shared" si="661"/>
        <v>0</v>
      </c>
      <c r="AY69" s="73"/>
      <c r="AZ69" s="69">
        <f t="shared" ref="AZ69:AZ70" si="662">+ROUND($I69*AY69,0)</f>
        <v>0</v>
      </c>
      <c r="BA69" s="73"/>
      <c r="BB69" s="69">
        <f t="shared" ref="BB69:BB70" si="663">+ROUND($I69*BA69,0)</f>
        <v>0</v>
      </c>
    </row>
    <row r="70" spans="1:54" ht="30" customHeight="1" x14ac:dyDescent="0.3">
      <c r="A70" s="3"/>
      <c r="B70" s="8"/>
      <c r="C70" s="60">
        <v>4836</v>
      </c>
      <c r="D70" s="60">
        <v>5007</v>
      </c>
      <c r="E70" s="60" t="s">
        <v>6625</v>
      </c>
      <c r="F70" s="60" t="s">
        <v>30</v>
      </c>
      <c r="G70" s="108">
        <f t="shared" si="588"/>
        <v>615.96</v>
      </c>
      <c r="H70" s="69">
        <v>311726</v>
      </c>
      <c r="I70" s="69">
        <f t="shared" si="570"/>
        <v>427065</v>
      </c>
      <c r="J70" s="69">
        <f t="shared" si="571"/>
        <v>263054957</v>
      </c>
      <c r="K70" s="9"/>
      <c r="L70" s="503">
        <v>1533.69</v>
      </c>
      <c r="M70" s="503"/>
      <c r="O70" s="521">
        <f>+O66</f>
        <v>72.055575000000005</v>
      </c>
      <c r="P70" s="69">
        <f t="shared" si="493"/>
        <v>30772414</v>
      </c>
      <c r="Q70" s="521">
        <f>+Q66</f>
        <v>58.205970000000001</v>
      </c>
      <c r="R70" s="69">
        <f t="shared" si="493"/>
        <v>24857733</v>
      </c>
      <c r="S70" s="521">
        <f>+S66</f>
        <v>145.75396499999999</v>
      </c>
      <c r="T70" s="69">
        <f t="shared" si="649"/>
        <v>62246417</v>
      </c>
      <c r="U70" s="521"/>
      <c r="V70" s="69">
        <f t="shared" si="650"/>
        <v>0</v>
      </c>
      <c r="W70" s="521">
        <f>+W66</f>
        <v>98.554365000000004</v>
      </c>
      <c r="X70" s="69">
        <f t="shared" si="651"/>
        <v>42089120</v>
      </c>
      <c r="Y70" s="521">
        <f>+Y66</f>
        <v>113.561775</v>
      </c>
      <c r="Z70" s="69">
        <f t="shared" si="652"/>
        <v>48498259</v>
      </c>
      <c r="AA70" s="521"/>
      <c r="AB70" s="69">
        <f t="shared" si="653"/>
        <v>0</v>
      </c>
      <c r="AC70" s="521">
        <f>+AC66</f>
        <v>113.82759000000001</v>
      </c>
      <c r="AD70" s="69">
        <f t="shared" si="653"/>
        <v>48611780</v>
      </c>
      <c r="AE70" s="521">
        <f>+AE66</f>
        <v>18</v>
      </c>
      <c r="AF70" s="69">
        <f t="shared" si="577"/>
        <v>7687170</v>
      </c>
      <c r="AG70" s="73"/>
      <c r="AH70" s="69">
        <f t="shared" si="654"/>
        <v>0</v>
      </c>
      <c r="AI70" s="73"/>
      <c r="AJ70" s="69">
        <f t="shared" si="655"/>
        <v>0</v>
      </c>
      <c r="AK70" s="73"/>
      <c r="AL70" s="69">
        <f t="shared" si="656"/>
        <v>0</v>
      </c>
      <c r="AM70" s="73"/>
      <c r="AN70" s="69">
        <f t="shared" si="657"/>
        <v>0</v>
      </c>
      <c r="AO70" s="73"/>
      <c r="AP70" s="69">
        <f t="shared" si="658"/>
        <v>0</v>
      </c>
      <c r="AQ70" s="73"/>
      <c r="AR70" s="69">
        <f t="shared" si="659"/>
        <v>0</v>
      </c>
      <c r="AS70" s="73"/>
      <c r="AT70" s="69">
        <f t="shared" si="660"/>
        <v>0</v>
      </c>
      <c r="AU70" s="73"/>
      <c r="AV70" s="69">
        <f t="shared" si="661"/>
        <v>0</v>
      </c>
      <c r="AW70" s="73"/>
      <c r="AX70" s="69">
        <f t="shared" si="661"/>
        <v>0</v>
      </c>
      <c r="AY70" s="73"/>
      <c r="AZ70" s="69">
        <f t="shared" si="662"/>
        <v>0</v>
      </c>
      <c r="BA70" s="73"/>
      <c r="BB70" s="69">
        <f t="shared" si="663"/>
        <v>0</v>
      </c>
    </row>
    <row r="71" spans="1:54" ht="30" customHeight="1" x14ac:dyDescent="0.3">
      <c r="A71" s="3"/>
      <c r="B71" s="8"/>
      <c r="C71" s="60">
        <v>3425</v>
      </c>
      <c r="D71" s="60">
        <v>5008</v>
      </c>
      <c r="E71" s="60" t="str">
        <f>+VLOOKUP(C71,'PRECIOS IDU 2025'!$A$1:$E$3189,2,FALSE)</f>
        <v>ANDEN CONCRETO GRAVA COMÚN DE 3000 PSI (210 KG/CM2) PREMEZCLADO E=0.10M (INCLUYE SUMINISTRO, FORMALETEO, FUNDIDA Y CURADO)</v>
      </c>
      <c r="F71" s="60" t="str">
        <f>+VLOOKUP(C71,'PRECIOS IDU 2025'!$A$1:$E$3189,3,FALSE)</f>
        <v>M2</v>
      </c>
      <c r="G71" s="108">
        <f t="shared" si="588"/>
        <v>1355.69</v>
      </c>
      <c r="H71" s="69">
        <f>+VLOOKUP(C71,'PRECIOS DE REFERENCIA APU'!$A$1:$D$2745,4,FALSE)</f>
        <v>88226</v>
      </c>
      <c r="I71" s="69">
        <f t="shared" si="570"/>
        <v>120870</v>
      </c>
      <c r="J71" s="69">
        <f t="shared" si="571"/>
        <v>163862250</v>
      </c>
      <c r="K71" s="9"/>
      <c r="L71" s="503">
        <v>2904</v>
      </c>
      <c r="M71" s="503"/>
      <c r="O71" s="521">
        <f>+O64</f>
        <v>160.12350000000001</v>
      </c>
      <c r="P71" s="69">
        <f t="shared" si="493"/>
        <v>19354127</v>
      </c>
      <c r="Q71" s="521">
        <f>+Q64</f>
        <v>129.3466</v>
      </c>
      <c r="R71" s="69">
        <f t="shared" si="493"/>
        <v>15634124</v>
      </c>
      <c r="S71" s="521">
        <f>+S64</f>
        <v>323.89769999999999</v>
      </c>
      <c r="T71" s="69">
        <f t="shared" ref="T71" si="664">+ROUND($I71*S71,0)</f>
        <v>39149515</v>
      </c>
      <c r="U71" s="521"/>
      <c r="V71" s="69">
        <f t="shared" ref="V71" si="665">+ROUND($I71*U71,0)</f>
        <v>0</v>
      </c>
      <c r="W71" s="521">
        <f>+W64</f>
        <v>219.00970000000001</v>
      </c>
      <c r="X71" s="69">
        <f t="shared" ref="X71" si="666">+ROUND($I71*W71,0)</f>
        <v>26471702</v>
      </c>
      <c r="Y71" s="521">
        <f>+Y64</f>
        <v>252.3595</v>
      </c>
      <c r="Z71" s="69">
        <f t="shared" ref="Z71" si="667">+ROUND($I71*Y71,0)</f>
        <v>30502693</v>
      </c>
      <c r="AA71" s="521"/>
      <c r="AB71" s="69">
        <f t="shared" ref="AB71:AD71" si="668">+ROUND($I71*AA71,0)</f>
        <v>0</v>
      </c>
      <c r="AC71" s="521">
        <f>+AC64</f>
        <v>252.95020000000002</v>
      </c>
      <c r="AD71" s="69">
        <f t="shared" si="668"/>
        <v>30574091</v>
      </c>
      <c r="AE71" s="521">
        <f>+AE64</f>
        <v>40</v>
      </c>
      <c r="AF71" s="69">
        <f t="shared" si="577"/>
        <v>4834800</v>
      </c>
      <c r="AG71" s="73"/>
      <c r="AH71" s="69">
        <f t="shared" ref="AH71" si="669">+ROUND($I71*AG71,0)</f>
        <v>0</v>
      </c>
      <c r="AI71" s="73"/>
      <c r="AJ71" s="69">
        <f t="shared" ref="AJ71" si="670">+ROUND($I71*AI71,0)</f>
        <v>0</v>
      </c>
      <c r="AK71" s="73"/>
      <c r="AL71" s="69">
        <f t="shared" ref="AL71" si="671">+ROUND($I71*AK71,0)</f>
        <v>0</v>
      </c>
      <c r="AM71" s="73"/>
      <c r="AN71" s="69">
        <f t="shared" ref="AN71" si="672">+ROUND($I71*AM71,0)</f>
        <v>0</v>
      </c>
      <c r="AO71" s="73"/>
      <c r="AP71" s="69">
        <f t="shared" ref="AP71" si="673">+ROUND($I71*AO71,0)</f>
        <v>0</v>
      </c>
      <c r="AQ71" s="73"/>
      <c r="AR71" s="69">
        <f t="shared" ref="AR71" si="674">+ROUND($I71*AQ71,0)</f>
        <v>0</v>
      </c>
      <c r="AS71" s="73"/>
      <c r="AT71" s="69">
        <f t="shared" ref="AT71" si="675">+ROUND($I71*AS71,0)</f>
        <v>0</v>
      </c>
      <c r="AU71" s="73"/>
      <c r="AV71" s="69">
        <f t="shared" ref="AV71:AX71" si="676">+ROUND($I71*AU71,0)</f>
        <v>0</v>
      </c>
      <c r="AW71" s="73"/>
      <c r="AX71" s="69">
        <f t="shared" si="676"/>
        <v>0</v>
      </c>
      <c r="AY71" s="73"/>
      <c r="AZ71" s="69">
        <f t="shared" ref="AZ71" si="677">+ROUND($I71*AY71,0)</f>
        <v>0</v>
      </c>
      <c r="BA71" s="73"/>
      <c r="BB71" s="69">
        <f t="shared" ref="BB71" si="678">+ROUND($I71*BA71,0)</f>
        <v>0</v>
      </c>
    </row>
    <row r="72" spans="1:54" ht="30" customHeight="1" x14ac:dyDescent="0.3">
      <c r="A72" s="3"/>
      <c r="B72" s="8"/>
      <c r="C72" s="60">
        <v>4238</v>
      </c>
      <c r="D72" s="60">
        <v>5009</v>
      </c>
      <c r="E72" s="60" t="str">
        <f>+VLOOKUP(C72,'PRECIOS IDU 2025'!$A$1:$E$3189,2,FALSE)</f>
        <v>MALLA ELECTROSOLDADA 0.25X0.25M, D=4MM, 4MM (INCLUYE SUMINISTRO, FIJACIÓN E INSTALACIÓN)</v>
      </c>
      <c r="F72" s="60" t="str">
        <f>+VLOOKUP(C72,'PRECIOS IDU 2025'!$A$1:$E$3189,3,FALSE)</f>
        <v>KG</v>
      </c>
      <c r="G72" s="108">
        <f t="shared" si="588"/>
        <v>2046.53</v>
      </c>
      <c r="H72" s="69">
        <f>+VLOOKUP(C72,'PRECIOS DE REFERENCIA APU'!$A$1:$D$2745,4,FALSE)</f>
        <v>7517</v>
      </c>
      <c r="I72" s="69">
        <f t="shared" si="570"/>
        <v>10298</v>
      </c>
      <c r="J72" s="69">
        <f t="shared" si="571"/>
        <v>21075166</v>
      </c>
      <c r="K72" s="9"/>
      <c r="L72" s="503">
        <v>1524.8</v>
      </c>
      <c r="M72" s="503"/>
      <c r="O72" s="521">
        <f>+O71*1.5</f>
        <v>240.18525</v>
      </c>
      <c r="P72" s="69">
        <f t="shared" si="493"/>
        <v>2473428</v>
      </c>
      <c r="Q72" s="521">
        <f>+Q71*1.5</f>
        <v>194.01990000000001</v>
      </c>
      <c r="R72" s="69">
        <f t="shared" si="493"/>
        <v>1998017</v>
      </c>
      <c r="S72" s="521">
        <f>+S71*1.5</f>
        <v>485.84654999999998</v>
      </c>
      <c r="T72" s="69">
        <f t="shared" ref="T72" si="679">+ROUND($I72*S72,0)</f>
        <v>5003248</v>
      </c>
      <c r="U72" s="521"/>
      <c r="V72" s="69">
        <f t="shared" ref="V72" si="680">+ROUND($I72*U72,0)</f>
        <v>0</v>
      </c>
      <c r="W72" s="521">
        <f>+W71*1.5</f>
        <v>328.51454999999999</v>
      </c>
      <c r="X72" s="69">
        <f t="shared" ref="X72" si="681">+ROUND($I72*W72,0)</f>
        <v>3383043</v>
      </c>
      <c r="Y72" s="521">
        <f>+Y71*1.5</f>
        <v>378.53924999999998</v>
      </c>
      <c r="Z72" s="69">
        <f t="shared" ref="Z72" si="682">+ROUND($I72*Y72,0)</f>
        <v>3898197</v>
      </c>
      <c r="AA72" s="521"/>
      <c r="AB72" s="69">
        <f t="shared" ref="AB72:AD72" si="683">+ROUND($I72*AA72,0)</f>
        <v>0</v>
      </c>
      <c r="AC72" s="521">
        <f>+AC71*1.5</f>
        <v>379.42530000000005</v>
      </c>
      <c r="AD72" s="69">
        <f t="shared" si="683"/>
        <v>3907322</v>
      </c>
      <c r="AE72" s="521">
        <f>+AE71*1.5</f>
        <v>60</v>
      </c>
      <c r="AF72" s="69">
        <f t="shared" si="577"/>
        <v>617880</v>
      </c>
      <c r="AG72" s="73"/>
      <c r="AH72" s="69">
        <f t="shared" ref="AH72" si="684">+ROUND($I72*AG72,0)</f>
        <v>0</v>
      </c>
      <c r="AI72" s="73"/>
      <c r="AJ72" s="69">
        <f t="shared" ref="AJ72" si="685">+ROUND($I72*AI72,0)</f>
        <v>0</v>
      </c>
      <c r="AK72" s="73"/>
      <c r="AL72" s="69">
        <f t="shared" ref="AL72" si="686">+ROUND($I72*AK72,0)</f>
        <v>0</v>
      </c>
      <c r="AM72" s="73"/>
      <c r="AN72" s="69">
        <f t="shared" ref="AN72" si="687">+ROUND($I72*AM72,0)</f>
        <v>0</v>
      </c>
      <c r="AO72" s="73"/>
      <c r="AP72" s="69">
        <f t="shared" ref="AP72" si="688">+ROUND($I72*AO72,0)</f>
        <v>0</v>
      </c>
      <c r="AQ72" s="73"/>
      <c r="AR72" s="69">
        <f t="shared" ref="AR72" si="689">+ROUND($I72*AQ72,0)</f>
        <v>0</v>
      </c>
      <c r="AS72" s="73"/>
      <c r="AT72" s="69">
        <f t="shared" ref="AT72" si="690">+ROUND($I72*AS72,0)</f>
        <v>0</v>
      </c>
      <c r="AU72" s="73"/>
      <c r="AV72" s="69">
        <f t="shared" ref="AV72:AX72" si="691">+ROUND($I72*AU72,0)</f>
        <v>0</v>
      </c>
      <c r="AW72" s="73"/>
      <c r="AX72" s="69">
        <f t="shared" si="691"/>
        <v>0</v>
      </c>
      <c r="AY72" s="73"/>
      <c r="AZ72" s="69">
        <f t="shared" ref="AZ72" si="692">+ROUND($I72*AY72,0)</f>
        <v>0</v>
      </c>
      <c r="BA72" s="73"/>
      <c r="BB72" s="69">
        <f t="shared" ref="BB72" si="693">+ROUND($I72*BA72,0)</f>
        <v>0</v>
      </c>
    </row>
    <row r="73" spans="1:54" ht="59.25" customHeight="1" x14ac:dyDescent="0.3">
      <c r="A73" s="3"/>
      <c r="B73" s="8"/>
      <c r="C73" s="60">
        <v>10016</v>
      </c>
      <c r="D73" s="60">
        <v>5010</v>
      </c>
      <c r="E73" s="60" t="str">
        <f>+VLOOKUP(C73,'PRECIOS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73" s="60" t="str">
        <f>+VLOOKUP(C73,'PRECIOS IDU 2025'!$A$1:$E$3189,3,FALSE)</f>
        <v>M3</v>
      </c>
      <c r="G73" s="108">
        <f t="shared" si="588"/>
        <v>200.46</v>
      </c>
      <c r="H73" s="69">
        <f>+VLOOKUP(C73,'PRECIOS DE REFERENCIA APU'!$A$1:$D$3745,4,FALSE)</f>
        <v>184603</v>
      </c>
      <c r="I73" s="69">
        <f t="shared" si="570"/>
        <v>252906</v>
      </c>
      <c r="J73" s="69">
        <f t="shared" si="571"/>
        <v>50697537</v>
      </c>
      <c r="K73" s="9"/>
      <c r="L73" s="503">
        <v>10</v>
      </c>
      <c r="M73" s="503"/>
      <c r="N73" s="4" t="s">
        <v>6633</v>
      </c>
      <c r="O73" s="521">
        <f>+O69*0.3</f>
        <v>16.812967499999999</v>
      </c>
      <c r="P73" s="69">
        <f t="shared" si="493"/>
        <v>4252100</v>
      </c>
      <c r="Q73" s="521">
        <f>+Q69*0.3</f>
        <v>13.581392999999997</v>
      </c>
      <c r="R73" s="69">
        <f t="shared" si="493"/>
        <v>3434816</v>
      </c>
      <c r="S73" s="521">
        <f>+S69*0.3</f>
        <v>34.009258499999994</v>
      </c>
      <c r="T73" s="69">
        <f t="shared" ref="T73" si="694">+ROUND($I73*S73,0)</f>
        <v>8601146</v>
      </c>
      <c r="U73" s="521"/>
      <c r="V73" s="69">
        <f t="shared" ref="V73" si="695">+ROUND($I73*U73,0)</f>
        <v>0</v>
      </c>
      <c r="W73" s="521">
        <f>+W69*0.3</f>
        <v>22.996018500000002</v>
      </c>
      <c r="X73" s="69">
        <f t="shared" ref="X73" si="696">+ROUND($I73*W73,0)</f>
        <v>5815831</v>
      </c>
      <c r="Y73" s="521">
        <f>+Y69*0.3</f>
        <v>26.497747499999999</v>
      </c>
      <c r="Z73" s="69">
        <f t="shared" ref="Z73" si="697">+ROUND($I73*Y73,0)</f>
        <v>6701439</v>
      </c>
      <c r="AA73" s="521"/>
      <c r="AB73" s="69">
        <f t="shared" ref="AB73:AD73" si="698">+ROUND($I73*AA73,0)</f>
        <v>0</v>
      </c>
      <c r="AC73" s="521">
        <f>+AC69*0.3</f>
        <v>26.559771000000001</v>
      </c>
      <c r="AD73" s="69">
        <f t="shared" si="698"/>
        <v>6717125</v>
      </c>
      <c r="AE73" s="521">
        <f>+AE69*0.3</f>
        <v>4.2</v>
      </c>
      <c r="AF73" s="69">
        <f t="shared" si="577"/>
        <v>1062205</v>
      </c>
      <c r="AG73" s="73"/>
      <c r="AH73" s="69">
        <f t="shared" ref="AH73" si="699">+ROUND($I73*AG73,0)</f>
        <v>0</v>
      </c>
      <c r="AI73" s="73"/>
      <c r="AJ73" s="69">
        <f t="shared" ref="AJ73" si="700">+ROUND($I73*AI73,0)</f>
        <v>0</v>
      </c>
      <c r="AK73" s="73"/>
      <c r="AL73" s="69">
        <f t="shared" ref="AL73" si="701">+ROUND($I73*AK73,0)</f>
        <v>0</v>
      </c>
      <c r="AM73" s="73"/>
      <c r="AN73" s="69">
        <f t="shared" ref="AN73" si="702">+ROUND($I73*AM73,0)</f>
        <v>0</v>
      </c>
      <c r="AO73" s="73"/>
      <c r="AP73" s="69">
        <f t="shared" ref="AP73" si="703">+ROUND($I73*AO73,0)</f>
        <v>0</v>
      </c>
      <c r="AQ73" s="73"/>
      <c r="AR73" s="69">
        <f t="shared" ref="AR73" si="704">+ROUND($I73*AQ73,0)</f>
        <v>0</v>
      </c>
      <c r="AS73" s="73"/>
      <c r="AT73" s="69">
        <f t="shared" ref="AT73" si="705">+ROUND($I73*AS73,0)</f>
        <v>0</v>
      </c>
      <c r="AU73" s="73"/>
      <c r="AV73" s="69">
        <f t="shared" ref="AV73:AX73" si="706">+ROUND($I73*AU73,0)</f>
        <v>0</v>
      </c>
      <c r="AW73" s="73"/>
      <c r="AX73" s="69">
        <f t="shared" si="706"/>
        <v>0</v>
      </c>
      <c r="AY73" s="73"/>
      <c r="AZ73" s="69">
        <f t="shared" ref="AZ73" si="707">+ROUND($I73*AY73,0)</f>
        <v>0</v>
      </c>
      <c r="BA73" s="73"/>
      <c r="BB73" s="69">
        <f t="shared" ref="BB73" si="708">+ROUND($I73*BA73,0)</f>
        <v>0</v>
      </c>
    </row>
    <row r="74" spans="1:54" ht="30" customHeight="1" x14ac:dyDescent="0.3">
      <c r="A74" s="3"/>
      <c r="B74" s="8"/>
      <c r="C74" s="60">
        <v>3621</v>
      </c>
      <c r="D74" s="60">
        <v>5011</v>
      </c>
      <c r="E74" s="60" t="str">
        <f>+VLOOKUP(C74,'PRECIOS IDU 2025'!$A$1:$E$3189,2,FALSE)</f>
        <v>RAMPA TIPO A B10 INCLUYE BASE EN MORTERO 1:5, DESARROLLO: 1M.</v>
      </c>
      <c r="F74" s="60" t="str">
        <f>+VLOOKUP(C74,'PRECIOS IDU 2025'!$A$1:$E$3189,3,FALSE)</f>
        <v>UN</v>
      </c>
      <c r="G74" s="108">
        <f t="shared" si="588"/>
        <v>10.199999999999999</v>
      </c>
      <c r="H74" s="69">
        <f>+VLOOKUP(C74,'PRECIOS DE REFERENCIA APU'!$A$1:$D$2745,4,FALSE)</f>
        <v>1008467</v>
      </c>
      <c r="I74" s="69">
        <f t="shared" si="570"/>
        <v>1381600</v>
      </c>
      <c r="J74" s="69">
        <f t="shared" si="571"/>
        <v>14092320</v>
      </c>
      <c r="K74" s="9"/>
      <c r="L74" s="503">
        <v>10</v>
      </c>
      <c r="M74" s="503"/>
      <c r="O74" s="521">
        <v>1</v>
      </c>
      <c r="P74" s="69">
        <f t="shared" si="493"/>
        <v>1381600</v>
      </c>
      <c r="Q74" s="521">
        <v>1</v>
      </c>
      <c r="R74" s="69">
        <f t="shared" si="493"/>
        <v>1381600</v>
      </c>
      <c r="S74" s="521">
        <v>1</v>
      </c>
      <c r="T74" s="69">
        <f t="shared" ref="T74" si="709">+ROUND($I74*S74,0)</f>
        <v>1381600</v>
      </c>
      <c r="U74" s="521"/>
      <c r="V74" s="69">
        <f t="shared" ref="V74" si="710">+ROUND($I74*U74,0)</f>
        <v>0</v>
      </c>
      <c r="W74" s="521">
        <v>1</v>
      </c>
      <c r="X74" s="69">
        <f t="shared" ref="X74" si="711">+ROUND($I74*W74,0)</f>
        <v>1381600</v>
      </c>
      <c r="Y74" s="521">
        <v>1</v>
      </c>
      <c r="Z74" s="69">
        <f t="shared" ref="Z74" si="712">+ROUND($I74*Y74,0)</f>
        <v>1381600</v>
      </c>
      <c r="AA74" s="521"/>
      <c r="AB74" s="69">
        <f t="shared" ref="AB74:AD74" si="713">+ROUND($I74*AA74,0)</f>
        <v>0</v>
      </c>
      <c r="AC74" s="521">
        <v>1</v>
      </c>
      <c r="AD74" s="69">
        <f t="shared" si="713"/>
        <v>1381600</v>
      </c>
      <c r="AE74" s="521">
        <v>1</v>
      </c>
      <c r="AF74" s="69">
        <f t="shared" si="577"/>
        <v>1381600</v>
      </c>
      <c r="AG74" s="73"/>
      <c r="AH74" s="69">
        <f t="shared" ref="AH74" si="714">+ROUND($I74*AG74,0)</f>
        <v>0</v>
      </c>
      <c r="AI74" s="73"/>
      <c r="AJ74" s="69">
        <f t="shared" ref="AJ74" si="715">+ROUND($I74*AI74,0)</f>
        <v>0</v>
      </c>
      <c r="AK74" s="73"/>
      <c r="AL74" s="69">
        <f t="shared" ref="AL74" si="716">+ROUND($I74*AK74,0)</f>
        <v>0</v>
      </c>
      <c r="AM74" s="73"/>
      <c r="AN74" s="69">
        <f t="shared" ref="AN74" si="717">+ROUND($I74*AM74,0)</f>
        <v>0</v>
      </c>
      <c r="AO74" s="73"/>
      <c r="AP74" s="69">
        <f t="shared" ref="AP74" si="718">+ROUND($I74*AO74,0)</f>
        <v>0</v>
      </c>
      <c r="AQ74" s="73"/>
      <c r="AR74" s="69">
        <f t="shared" ref="AR74" si="719">+ROUND($I74*AQ74,0)</f>
        <v>0</v>
      </c>
      <c r="AS74" s="73"/>
      <c r="AT74" s="69">
        <f t="shared" ref="AT74" si="720">+ROUND($I74*AS74,0)</f>
        <v>0</v>
      </c>
      <c r="AU74" s="73"/>
      <c r="AV74" s="69">
        <f t="shared" ref="AV74:AX74" si="721">+ROUND($I74*AU74,0)</f>
        <v>0</v>
      </c>
      <c r="AW74" s="73"/>
      <c r="AX74" s="69">
        <f t="shared" si="721"/>
        <v>0</v>
      </c>
      <c r="AY74" s="73"/>
      <c r="AZ74" s="69">
        <f t="shared" ref="AZ74" si="722">+ROUND($I74*AY74,0)</f>
        <v>0</v>
      </c>
      <c r="BA74" s="73"/>
      <c r="BB74" s="69">
        <f t="shared" ref="BB74" si="723">+ROUND($I74*BA74,0)</f>
        <v>0</v>
      </c>
    </row>
    <row r="75" spans="1:54" ht="30" customHeight="1" x14ac:dyDescent="0.3">
      <c r="A75" s="3"/>
      <c r="B75" s="8"/>
      <c r="C75" s="60">
        <v>5181</v>
      </c>
      <c r="D75" s="60">
        <v>5012</v>
      </c>
      <c r="E75" s="60" t="str">
        <f>+VLOOKUP(C75,'PRECIOS IDU 2025'!$A$1:$E$3189,2,FALSE)</f>
        <v>SARDINEL FUNDIDO EN SITIO EN CONCRETO PREMEZCLADO DE 3000PSI. SUMINISTRO Y CONSTRUCCION. (GRAVA COMÚN) E=0.20M H=0.35M (INCLUYE FORMALETA METÁLICA, ACERO DE REFUERZO Y ALAMBRE NEGRO).</v>
      </c>
      <c r="F75" s="60" t="str">
        <f>+VLOOKUP(C75,'PRECIOS IDU 2025'!$A$1:$E$3189,3,FALSE)</f>
        <v>ML</v>
      </c>
      <c r="G75" s="108">
        <f t="shared" si="588"/>
        <v>25</v>
      </c>
      <c r="H75" s="69">
        <f>+VLOOKUP(C75,'PRECIOS DE REFERENCIA APU'!$A$1:$D$2745,4,FALSE)</f>
        <v>63257</v>
      </c>
      <c r="I75" s="69">
        <f t="shared" si="570"/>
        <v>86662</v>
      </c>
      <c r="J75" s="69">
        <f t="shared" si="571"/>
        <v>2166550</v>
      </c>
      <c r="K75" s="9"/>
      <c r="L75" s="503">
        <v>800.11</v>
      </c>
      <c r="M75" s="503"/>
      <c r="O75" s="521">
        <v>4</v>
      </c>
      <c r="P75" s="69">
        <f t="shared" si="493"/>
        <v>346648</v>
      </c>
      <c r="Q75" s="521">
        <v>4</v>
      </c>
      <c r="R75" s="69">
        <f t="shared" si="493"/>
        <v>346648</v>
      </c>
      <c r="S75" s="521">
        <v>4</v>
      </c>
      <c r="T75" s="69">
        <f t="shared" ref="T75" si="724">+ROUND($I75*S75,0)</f>
        <v>346648</v>
      </c>
      <c r="U75" s="521"/>
      <c r="V75" s="69">
        <f t="shared" ref="V75" si="725">+ROUND($I75*U75,0)</f>
        <v>0</v>
      </c>
      <c r="W75" s="521">
        <v>4</v>
      </c>
      <c r="X75" s="69">
        <f t="shared" ref="X75" si="726">+ROUND($I75*W75,0)</f>
        <v>346648</v>
      </c>
      <c r="Y75" s="521">
        <v>4</v>
      </c>
      <c r="Z75" s="69">
        <f t="shared" ref="Z75" si="727">+ROUND($I75*Y75,0)</f>
        <v>346648</v>
      </c>
      <c r="AA75" s="521"/>
      <c r="AB75" s="69">
        <f t="shared" ref="AB75:AD75" si="728">+ROUND($I75*AA75,0)</f>
        <v>0</v>
      </c>
      <c r="AC75" s="521">
        <v>4</v>
      </c>
      <c r="AD75" s="69">
        <f t="shared" si="728"/>
        <v>346648</v>
      </c>
      <c r="AE75" s="521">
        <v>4</v>
      </c>
      <c r="AF75" s="69">
        <f t="shared" si="577"/>
        <v>346648</v>
      </c>
      <c r="AG75" s="73"/>
      <c r="AH75" s="69">
        <f t="shared" ref="AH75" si="729">+ROUND($I75*AG75,0)</f>
        <v>0</v>
      </c>
      <c r="AI75" s="73"/>
      <c r="AJ75" s="69">
        <f t="shared" ref="AJ75" si="730">+ROUND($I75*AI75,0)</f>
        <v>0</v>
      </c>
      <c r="AK75" s="73"/>
      <c r="AL75" s="69">
        <f t="shared" ref="AL75" si="731">+ROUND($I75*AK75,0)</f>
        <v>0</v>
      </c>
      <c r="AM75" s="73"/>
      <c r="AN75" s="69">
        <f t="shared" ref="AN75" si="732">+ROUND($I75*AM75,0)</f>
        <v>0</v>
      </c>
      <c r="AO75" s="73"/>
      <c r="AP75" s="69">
        <f t="shared" ref="AP75" si="733">+ROUND($I75*AO75,0)</f>
        <v>0</v>
      </c>
      <c r="AQ75" s="73"/>
      <c r="AR75" s="69">
        <f t="shared" ref="AR75" si="734">+ROUND($I75*AQ75,0)</f>
        <v>0</v>
      </c>
      <c r="AS75" s="73"/>
      <c r="AT75" s="69">
        <f t="shared" ref="AT75" si="735">+ROUND($I75*AS75,0)</f>
        <v>0</v>
      </c>
      <c r="AU75" s="73"/>
      <c r="AV75" s="69">
        <f t="shared" ref="AV75:AX75" si="736">+ROUND($I75*AU75,0)</f>
        <v>0</v>
      </c>
      <c r="AW75" s="73"/>
      <c r="AX75" s="69">
        <f t="shared" si="736"/>
        <v>0</v>
      </c>
      <c r="AY75" s="73"/>
      <c r="AZ75" s="69">
        <f t="shared" ref="AZ75" si="737">+ROUND($I75*AY75,0)</f>
        <v>0</v>
      </c>
      <c r="BA75" s="73"/>
      <c r="BB75" s="69">
        <f t="shared" ref="BB75" si="738">+ROUND($I75*BA75,0)</f>
        <v>0</v>
      </c>
    </row>
    <row r="76" spans="1:54" ht="30" customHeight="1" x14ac:dyDescent="0.3">
      <c r="A76" s="3"/>
      <c r="B76" s="8"/>
      <c r="C76" s="60">
        <v>4054</v>
      </c>
      <c r="D76" s="60">
        <v>5013</v>
      </c>
      <c r="E76" s="60" t="str">
        <f>+VLOOKUP(C76,'PRECIOS IDU 2025'!$A$1:$E$3189,2,FALSE)</f>
        <v>SARDINEL TIPO A10 (SUMINISTRO E INSTALACIÓN. INCLUYE 3CM MORTERO 2000 PSI)</v>
      </c>
      <c r="F76" s="60" t="str">
        <f>+VLOOKUP(C76,'PRECIOS IDU 2025'!$A$1:$E$3189,3,FALSE)</f>
        <v>ML</v>
      </c>
      <c r="G76" s="108">
        <f t="shared" si="588"/>
        <v>391.18</v>
      </c>
      <c r="H76" s="69">
        <f>+VLOOKUP(C76,'PRECIOS DE REFERENCIA APU'!$A$1:$D$2745,4,FALSE)</f>
        <v>85748</v>
      </c>
      <c r="I76" s="69">
        <f t="shared" si="570"/>
        <v>117475</v>
      </c>
      <c r="J76" s="69">
        <f t="shared" si="571"/>
        <v>45953871</v>
      </c>
      <c r="K76" s="9"/>
      <c r="L76" s="503">
        <v>500</v>
      </c>
      <c r="M76" s="503"/>
      <c r="O76" s="521">
        <f>+O65</f>
        <v>61.35</v>
      </c>
      <c r="P76" s="69">
        <f t="shared" si="493"/>
        <v>7207091</v>
      </c>
      <c r="Q76" s="521">
        <f>+Q65</f>
        <v>42.83</v>
      </c>
      <c r="R76" s="69">
        <f t="shared" si="493"/>
        <v>5031454</v>
      </c>
      <c r="S76" s="521">
        <f>+S65</f>
        <v>121.31</v>
      </c>
      <c r="T76" s="69">
        <f t="shared" ref="T76" si="739">+ROUND($I76*S76,0)</f>
        <v>14250892</v>
      </c>
      <c r="U76" s="521"/>
      <c r="V76" s="69">
        <f t="shared" ref="V76" si="740">+ROUND($I76*U76,0)</f>
        <v>0</v>
      </c>
      <c r="W76" s="521">
        <f>+W65</f>
        <v>76.31</v>
      </c>
      <c r="X76" s="69">
        <f t="shared" ref="X76" si="741">+ROUND($I76*W76,0)</f>
        <v>8964517</v>
      </c>
      <c r="Y76" s="521">
        <f>+Y65</f>
        <v>47.17</v>
      </c>
      <c r="Z76" s="69">
        <f t="shared" ref="Z76" si="742">+ROUND($I76*Y76,0)</f>
        <v>5541296</v>
      </c>
      <c r="AA76" s="521"/>
      <c r="AB76" s="69">
        <f t="shared" ref="AB76:AD76" si="743">+ROUND($I76*AA76,0)</f>
        <v>0</v>
      </c>
      <c r="AC76" s="521">
        <f>+AC65</f>
        <v>38.21</v>
      </c>
      <c r="AD76" s="69">
        <f t="shared" si="743"/>
        <v>4488720</v>
      </c>
      <c r="AE76" s="521">
        <f>+AE65</f>
        <v>20</v>
      </c>
      <c r="AF76" s="69">
        <f t="shared" si="577"/>
        <v>2349500</v>
      </c>
      <c r="AG76" s="73"/>
      <c r="AH76" s="69">
        <f t="shared" ref="AH76" si="744">+ROUND($I76*AG76,0)</f>
        <v>0</v>
      </c>
      <c r="AI76" s="73"/>
      <c r="AJ76" s="69">
        <f t="shared" ref="AJ76" si="745">+ROUND($I76*AI76,0)</f>
        <v>0</v>
      </c>
      <c r="AK76" s="73"/>
      <c r="AL76" s="69">
        <f t="shared" ref="AL76" si="746">+ROUND($I76*AK76,0)</f>
        <v>0</v>
      </c>
      <c r="AM76" s="73"/>
      <c r="AN76" s="69">
        <f t="shared" ref="AN76" si="747">+ROUND($I76*AM76,0)</f>
        <v>0</v>
      </c>
      <c r="AO76" s="73"/>
      <c r="AP76" s="69">
        <f t="shared" ref="AP76" si="748">+ROUND($I76*AO76,0)</f>
        <v>0</v>
      </c>
      <c r="AQ76" s="73"/>
      <c r="AR76" s="69">
        <f t="shared" ref="AR76" si="749">+ROUND($I76*AQ76,0)</f>
        <v>0</v>
      </c>
      <c r="AS76" s="73"/>
      <c r="AT76" s="69">
        <f t="shared" ref="AT76" si="750">+ROUND($I76*AS76,0)</f>
        <v>0</v>
      </c>
      <c r="AU76" s="73"/>
      <c r="AV76" s="69">
        <f t="shared" ref="AV76:AX76" si="751">+ROUND($I76*AU76,0)</f>
        <v>0</v>
      </c>
      <c r="AW76" s="73"/>
      <c r="AX76" s="69">
        <f t="shared" si="751"/>
        <v>0</v>
      </c>
      <c r="AY76" s="73"/>
      <c r="AZ76" s="69">
        <f t="shared" ref="AZ76" si="752">+ROUND($I76*AY76,0)</f>
        <v>0</v>
      </c>
      <c r="BA76" s="73"/>
      <c r="BB76" s="69">
        <f t="shared" ref="BB76" si="753">+ROUND($I76*BA76,0)</f>
        <v>0</v>
      </c>
    </row>
    <row r="77" spans="1:54" ht="30" customHeight="1" x14ac:dyDescent="0.3">
      <c r="A77" s="3"/>
      <c r="B77" s="8"/>
      <c r="C77" s="60">
        <v>3210</v>
      </c>
      <c r="D77" s="60">
        <v>5014</v>
      </c>
      <c r="E77" s="60" t="str">
        <f>+VLOOKUP(C77,'PRECIOS IDU 2025'!$A$1:$E$3189,2,FALSE)</f>
        <v>BORDILLO PREFABRICADO A80 (SUMINISTRO E INSTALACIÓN. INCLUYE 3CM MORTERO DE NIVELACIÓN 2000 PSI)</v>
      </c>
      <c r="F77" s="60" t="str">
        <f>+VLOOKUP(C77,'PRECIOS IDU 2025'!$A$1:$E$3189,3,FALSE)</f>
        <v>ML</v>
      </c>
      <c r="G77" s="108">
        <f t="shared" si="588"/>
        <v>20</v>
      </c>
      <c r="H77" s="69">
        <f>+VLOOKUP(C77,'PRECIOS DE REFERENCIA APU'!$A$1:$D$2745,4,FALSE)</f>
        <v>72359</v>
      </c>
      <c r="I77" s="69">
        <f t="shared" si="570"/>
        <v>99132</v>
      </c>
      <c r="J77" s="69">
        <f t="shared" si="571"/>
        <v>1982640</v>
      </c>
      <c r="K77" s="9"/>
      <c r="L77" s="503">
        <v>114.3</v>
      </c>
      <c r="M77" s="503"/>
      <c r="O77" s="521"/>
      <c r="P77" s="69">
        <f t="shared" si="493"/>
        <v>0</v>
      </c>
      <c r="Q77" s="521"/>
      <c r="R77" s="69">
        <f t="shared" si="493"/>
        <v>0</v>
      </c>
      <c r="S77" s="521"/>
      <c r="T77" s="69">
        <f t="shared" ref="T77" si="754">+ROUND($I77*S77,0)</f>
        <v>0</v>
      </c>
      <c r="U77" s="521"/>
      <c r="V77" s="69">
        <f t="shared" ref="V77" si="755">+ROUND($I77*U77,0)</f>
        <v>0</v>
      </c>
      <c r="W77" s="521"/>
      <c r="X77" s="69">
        <f t="shared" ref="X77" si="756">+ROUND($I77*W77,0)</f>
        <v>0</v>
      </c>
      <c r="Y77" s="521"/>
      <c r="Z77" s="69">
        <f t="shared" ref="Z77" si="757">+ROUND($I77*Y77,0)</f>
        <v>0</v>
      </c>
      <c r="AA77" s="521"/>
      <c r="AB77" s="69">
        <f t="shared" ref="AB77:AD77" si="758">+ROUND($I77*AA77,0)</f>
        <v>0</v>
      </c>
      <c r="AC77" s="521"/>
      <c r="AD77" s="69">
        <f t="shared" si="758"/>
        <v>0</v>
      </c>
      <c r="AE77" s="521"/>
      <c r="AF77" s="69">
        <f t="shared" si="577"/>
        <v>0</v>
      </c>
      <c r="AG77" s="73"/>
      <c r="AH77" s="69">
        <f t="shared" ref="AH77" si="759">+ROUND($I77*AG77,0)</f>
        <v>0</v>
      </c>
      <c r="AI77" s="73"/>
      <c r="AJ77" s="69">
        <f t="shared" ref="AJ77" si="760">+ROUND($I77*AI77,0)</f>
        <v>0</v>
      </c>
      <c r="AK77" s="73"/>
      <c r="AL77" s="69">
        <f t="shared" ref="AL77" si="761">+ROUND($I77*AK77,0)</f>
        <v>0</v>
      </c>
      <c r="AM77" s="73"/>
      <c r="AN77" s="69">
        <f t="shared" ref="AN77" si="762">+ROUND($I77*AM77,0)</f>
        <v>0</v>
      </c>
      <c r="AO77" s="73"/>
      <c r="AP77" s="69">
        <f t="shared" ref="AP77" si="763">+ROUND($I77*AO77,0)</f>
        <v>0</v>
      </c>
      <c r="AQ77" s="73"/>
      <c r="AR77" s="69">
        <f t="shared" ref="AR77" si="764">+ROUND($I77*AQ77,0)</f>
        <v>0</v>
      </c>
      <c r="AS77" s="73"/>
      <c r="AT77" s="69">
        <f t="shared" ref="AT77" si="765">+ROUND($I77*AS77,0)</f>
        <v>0</v>
      </c>
      <c r="AU77" s="73"/>
      <c r="AV77" s="69">
        <f t="shared" ref="AV77:AX77" si="766">+ROUND($I77*AU77,0)</f>
        <v>0</v>
      </c>
      <c r="AW77" s="73"/>
      <c r="AX77" s="69">
        <f t="shared" si="766"/>
        <v>0</v>
      </c>
      <c r="AY77" s="73"/>
      <c r="AZ77" s="69">
        <f t="shared" ref="AZ77" si="767">+ROUND($I77*AY77,0)</f>
        <v>0</v>
      </c>
      <c r="BA77" s="73"/>
      <c r="BB77" s="69">
        <f t="shared" ref="BB77" si="768">+ROUND($I77*BA77,0)</f>
        <v>0</v>
      </c>
    </row>
    <row r="78" spans="1:54" ht="30" customHeight="1" x14ac:dyDescent="0.3">
      <c r="A78" s="3"/>
      <c r="B78" s="8"/>
      <c r="C78" s="60">
        <v>9997</v>
      </c>
      <c r="D78" s="60">
        <v>5015</v>
      </c>
      <c r="E78" s="60" t="str">
        <f>+VLOOKUP(C78,'PRECIOS IDU 2025'!$A$1:$E$3189,2,FALSE)</f>
        <v>NIVELACIÓN Y COMPACTACIÓN DE SUBRASANTE PARA ESPACIO PÚBLICO</v>
      </c>
      <c r="F78" s="60" t="str">
        <f>+VLOOKUP(C78,'PRECIOS IDU 2025'!$A$1:$E$3189,3,FALSE)</f>
        <v>M2</v>
      </c>
      <c r="G78" s="108">
        <f t="shared" si="588"/>
        <v>1337.69</v>
      </c>
      <c r="H78" s="69">
        <f>+VLOOKUP(C78,'PRECIOS DE REFERENCIA APU'!$A$1:$D$3745,4,FALSE)</f>
        <v>2781</v>
      </c>
      <c r="I78" s="69">
        <f t="shared" si="570"/>
        <v>3810</v>
      </c>
      <c r="J78" s="69">
        <f t="shared" si="571"/>
        <v>5096599</v>
      </c>
      <c r="K78" s="9"/>
      <c r="L78" s="503">
        <v>1143.02</v>
      </c>
      <c r="M78" s="503"/>
      <c r="O78" s="521">
        <f>+O64</f>
        <v>160.12350000000001</v>
      </c>
      <c r="P78" s="69">
        <f t="shared" si="493"/>
        <v>610071</v>
      </c>
      <c r="Q78" s="521">
        <f>+Q64</f>
        <v>129.3466</v>
      </c>
      <c r="R78" s="69">
        <f t="shared" si="493"/>
        <v>492811</v>
      </c>
      <c r="S78" s="521">
        <f>+S64</f>
        <v>323.89769999999999</v>
      </c>
      <c r="T78" s="69">
        <f t="shared" ref="T78" si="769">+ROUND($I78*S78,0)</f>
        <v>1234050</v>
      </c>
      <c r="U78" s="521"/>
      <c r="V78" s="69">
        <f t="shared" ref="V78" si="770">+ROUND($I78*U78,0)</f>
        <v>0</v>
      </c>
      <c r="W78" s="521">
        <f>+W64</f>
        <v>219.00970000000001</v>
      </c>
      <c r="X78" s="69">
        <f t="shared" ref="X78" si="771">+ROUND($I78*W78,0)</f>
        <v>834427</v>
      </c>
      <c r="Y78" s="521">
        <f>+Y64</f>
        <v>252.3595</v>
      </c>
      <c r="Z78" s="69">
        <f t="shared" ref="Z78" si="772">+ROUND($I78*Y78,0)</f>
        <v>961490</v>
      </c>
      <c r="AA78" s="521"/>
      <c r="AB78" s="69">
        <f t="shared" ref="AB78:AD78" si="773">+ROUND($I78*AA78,0)</f>
        <v>0</v>
      </c>
      <c r="AC78" s="521">
        <f>+AC64</f>
        <v>252.95020000000002</v>
      </c>
      <c r="AD78" s="69">
        <f t="shared" si="773"/>
        <v>963740</v>
      </c>
      <c r="AE78" s="521">
        <f>+AE64</f>
        <v>40</v>
      </c>
      <c r="AF78" s="69">
        <f t="shared" si="577"/>
        <v>152400</v>
      </c>
      <c r="AG78" s="73"/>
      <c r="AH78" s="69">
        <f t="shared" ref="AH78" si="774">+ROUND($I78*AG78,0)</f>
        <v>0</v>
      </c>
      <c r="AI78" s="73"/>
      <c r="AJ78" s="69">
        <f t="shared" ref="AJ78" si="775">+ROUND($I78*AI78,0)</f>
        <v>0</v>
      </c>
      <c r="AK78" s="73"/>
      <c r="AL78" s="69">
        <f t="shared" ref="AL78" si="776">+ROUND($I78*AK78,0)</f>
        <v>0</v>
      </c>
      <c r="AM78" s="73"/>
      <c r="AN78" s="69">
        <f t="shared" ref="AN78" si="777">+ROUND($I78*AM78,0)</f>
        <v>0</v>
      </c>
      <c r="AO78" s="73"/>
      <c r="AP78" s="69">
        <f t="shared" ref="AP78" si="778">+ROUND($I78*AO78,0)</f>
        <v>0</v>
      </c>
      <c r="AQ78" s="73"/>
      <c r="AR78" s="69">
        <f t="shared" ref="AR78" si="779">+ROUND($I78*AQ78,0)</f>
        <v>0</v>
      </c>
      <c r="AS78" s="73"/>
      <c r="AT78" s="69">
        <f t="shared" ref="AT78" si="780">+ROUND($I78*AS78,0)</f>
        <v>0</v>
      </c>
      <c r="AU78" s="73"/>
      <c r="AV78" s="69">
        <f t="shared" ref="AV78:AX78" si="781">+ROUND($I78*AU78,0)</f>
        <v>0</v>
      </c>
      <c r="AW78" s="73"/>
      <c r="AX78" s="69">
        <f t="shared" si="781"/>
        <v>0</v>
      </c>
      <c r="AY78" s="73"/>
      <c r="AZ78" s="69">
        <f t="shared" ref="AZ78" si="782">+ROUND($I78*AY78,0)</f>
        <v>0</v>
      </c>
      <c r="BA78" s="73"/>
      <c r="BB78" s="69">
        <f t="shared" ref="BB78" si="783">+ROUND($I78*BA78,0)</f>
        <v>0</v>
      </c>
    </row>
    <row r="79" spans="1:54" ht="30" customHeight="1" x14ac:dyDescent="0.3">
      <c r="A79" s="3"/>
      <c r="B79" s="8"/>
      <c r="C79" s="60">
        <v>8158</v>
      </c>
      <c r="D79" s="60">
        <v>5016</v>
      </c>
      <c r="E79" s="60" t="str">
        <f>+VLOOKUP(C79,'PRECIOS IDU 2025'!$A$1:$E$3189,2,FALSE)</f>
        <v>CONCRETO 3000 PSI GRAVA COMÚN PARA PIEZA REMATE TIPO HOMBROS PARA RAMPA (PREMEZCLADO. INCLUYE SUMIN., BOMBEO CON AUTOBOMBA, FORMALETEO Y COLOCACIÓN. NO INCL. REFUERZO, CURADO).</v>
      </c>
      <c r="F79" s="60" t="str">
        <f>+VLOOKUP(C79,'PRECIOS IDU 2025'!$A$1:$E$3189,3,FALSE)</f>
        <v>M3</v>
      </c>
      <c r="G79" s="108">
        <f t="shared" si="588"/>
        <v>70</v>
      </c>
      <c r="H79" s="69">
        <f>+VLOOKUP(C79,'PRECIOS DE REFERENCIA APU'!$A$1:$D$2745,4,FALSE)</f>
        <v>750363</v>
      </c>
      <c r="I79" s="69">
        <f t="shared" si="570"/>
        <v>1027997</v>
      </c>
      <c r="J79" s="69">
        <f t="shared" si="571"/>
        <v>71959790</v>
      </c>
      <c r="K79" s="9"/>
      <c r="L79" s="503">
        <v>30</v>
      </c>
      <c r="M79" s="503"/>
      <c r="O79" s="521">
        <v>5</v>
      </c>
      <c r="P79" s="69">
        <f t="shared" si="493"/>
        <v>5139985</v>
      </c>
      <c r="Q79" s="521">
        <v>5</v>
      </c>
      <c r="R79" s="69">
        <f t="shared" si="493"/>
        <v>5139985</v>
      </c>
      <c r="S79" s="521">
        <v>5</v>
      </c>
      <c r="T79" s="69">
        <f t="shared" ref="T79" si="784">+ROUND($I79*S79,0)</f>
        <v>5139985</v>
      </c>
      <c r="U79" s="521"/>
      <c r="V79" s="69">
        <f t="shared" ref="V79" si="785">+ROUND($I79*U79,0)</f>
        <v>0</v>
      </c>
      <c r="W79" s="521">
        <v>5</v>
      </c>
      <c r="X79" s="69">
        <f t="shared" ref="X79" si="786">+ROUND($I79*W79,0)</f>
        <v>5139985</v>
      </c>
      <c r="Y79" s="521">
        <v>5</v>
      </c>
      <c r="Z79" s="69">
        <f t="shared" ref="Z79" si="787">+ROUND($I79*Y79,0)</f>
        <v>5139985</v>
      </c>
      <c r="AA79" s="521"/>
      <c r="AB79" s="69">
        <f t="shared" ref="AB79:AD79" si="788">+ROUND($I79*AA79,0)</f>
        <v>0</v>
      </c>
      <c r="AC79" s="521">
        <v>5</v>
      </c>
      <c r="AD79" s="69">
        <f t="shared" si="788"/>
        <v>5139985</v>
      </c>
      <c r="AE79" s="521">
        <v>5</v>
      </c>
      <c r="AF79" s="69">
        <f t="shared" si="577"/>
        <v>5139985</v>
      </c>
      <c r="AG79" s="73"/>
      <c r="AH79" s="69">
        <f t="shared" ref="AH79" si="789">+ROUND($I79*AG79,0)</f>
        <v>0</v>
      </c>
      <c r="AI79" s="73"/>
      <c r="AJ79" s="69">
        <f t="shared" ref="AJ79" si="790">+ROUND($I79*AI79,0)</f>
        <v>0</v>
      </c>
      <c r="AK79" s="73"/>
      <c r="AL79" s="69">
        <f t="shared" ref="AL79" si="791">+ROUND($I79*AK79,0)</f>
        <v>0</v>
      </c>
      <c r="AM79" s="73"/>
      <c r="AN79" s="69">
        <f t="shared" ref="AN79" si="792">+ROUND($I79*AM79,0)</f>
        <v>0</v>
      </c>
      <c r="AO79" s="73"/>
      <c r="AP79" s="69">
        <f t="shared" ref="AP79" si="793">+ROUND($I79*AO79,0)</f>
        <v>0</v>
      </c>
      <c r="AQ79" s="73"/>
      <c r="AR79" s="69">
        <f t="shared" ref="AR79" si="794">+ROUND($I79*AQ79,0)</f>
        <v>0</v>
      </c>
      <c r="AS79" s="73"/>
      <c r="AT79" s="69">
        <f t="shared" ref="AT79" si="795">+ROUND($I79*AS79,0)</f>
        <v>0</v>
      </c>
      <c r="AU79" s="73"/>
      <c r="AV79" s="69">
        <f t="shared" ref="AV79:AX79" si="796">+ROUND($I79*AU79,0)</f>
        <v>0</v>
      </c>
      <c r="AW79" s="73"/>
      <c r="AX79" s="69">
        <f t="shared" si="796"/>
        <v>0</v>
      </c>
      <c r="AY79" s="73"/>
      <c r="AZ79" s="69">
        <f t="shared" ref="AZ79" si="797">+ROUND($I79*AY79,0)</f>
        <v>0</v>
      </c>
      <c r="BA79" s="73"/>
      <c r="BB79" s="69">
        <f t="shared" ref="BB79" si="798">+ROUND($I79*BA79,0)</f>
        <v>0</v>
      </c>
    </row>
    <row r="80" spans="1:54" ht="30" customHeight="1" x14ac:dyDescent="0.3">
      <c r="A80" s="3"/>
      <c r="B80" s="8"/>
      <c r="C80" s="60">
        <v>4089</v>
      </c>
      <c r="D80" s="60">
        <v>5017</v>
      </c>
      <c r="E80" s="60" t="str">
        <f>+VLOOKUP(C80,'PRECIOS IDU 2025'!$A$1:$E$3189,2,FALSE)</f>
        <v>SARDINEL BAJO A85 PARA RAMPAS (SUMINISTRO E INSTALACIÓN. INCLUYE 3CM MORTERO 1:5)</v>
      </c>
      <c r="F80" s="60" t="str">
        <f>+VLOOKUP(C80,'PRECIOS IDU 2025'!$A$1:$E$3189,3,FALSE)</f>
        <v>ML</v>
      </c>
      <c r="G80" s="108">
        <f t="shared" si="588"/>
        <v>53</v>
      </c>
      <c r="H80" s="69">
        <f>+VLOOKUP(C80,'PRECIOS DE REFERENCIA APU'!$A$1:$D$2745,4,FALSE)</f>
        <v>67175</v>
      </c>
      <c r="I80" s="69">
        <f t="shared" si="570"/>
        <v>92030</v>
      </c>
      <c r="J80" s="69">
        <f t="shared" si="571"/>
        <v>4877590</v>
      </c>
      <c r="K80" s="9"/>
      <c r="L80" s="503">
        <v>400</v>
      </c>
      <c r="M80" s="503"/>
      <c r="O80" s="521">
        <v>8</v>
      </c>
      <c r="P80" s="69">
        <f t="shared" si="493"/>
        <v>736240</v>
      </c>
      <c r="Q80" s="521">
        <v>8</v>
      </c>
      <c r="R80" s="69">
        <f t="shared" si="493"/>
        <v>736240</v>
      </c>
      <c r="S80" s="521">
        <v>8</v>
      </c>
      <c r="T80" s="69">
        <f t="shared" ref="T80" si="799">+ROUND($I80*S80,0)</f>
        <v>736240</v>
      </c>
      <c r="U80" s="521"/>
      <c r="V80" s="69">
        <f t="shared" ref="V80" si="800">+ROUND($I80*U80,0)</f>
        <v>0</v>
      </c>
      <c r="W80" s="521">
        <v>8</v>
      </c>
      <c r="X80" s="69">
        <f>+ROUND($I80*W80,0)</f>
        <v>736240</v>
      </c>
      <c r="Y80" s="521">
        <v>8</v>
      </c>
      <c r="Z80" s="69">
        <f t="shared" ref="Z80" si="801">+ROUND($I80*Y80,0)</f>
        <v>736240</v>
      </c>
      <c r="AA80" s="521"/>
      <c r="AB80" s="69">
        <f t="shared" ref="AB80:AD80" si="802">+ROUND($I80*AA80,0)</f>
        <v>0</v>
      </c>
      <c r="AC80" s="521">
        <v>8</v>
      </c>
      <c r="AD80" s="69">
        <f t="shared" si="802"/>
        <v>736240</v>
      </c>
      <c r="AE80" s="521">
        <v>8</v>
      </c>
      <c r="AF80" s="69">
        <f t="shared" si="577"/>
        <v>736240</v>
      </c>
      <c r="AG80" s="73"/>
      <c r="AH80" s="69">
        <f t="shared" ref="AH80" si="803">+ROUND($I80*AG80,0)</f>
        <v>0</v>
      </c>
      <c r="AI80" s="73"/>
      <c r="AJ80" s="69">
        <f t="shared" ref="AJ80" si="804">+ROUND($I80*AI80,0)</f>
        <v>0</v>
      </c>
      <c r="AK80" s="73"/>
      <c r="AL80" s="69">
        <f t="shared" ref="AL80" si="805">+ROUND($I80*AK80,0)</f>
        <v>0</v>
      </c>
      <c r="AM80" s="73"/>
      <c r="AN80" s="69">
        <f t="shared" ref="AN80" si="806">+ROUND($I80*AM80,0)</f>
        <v>0</v>
      </c>
      <c r="AO80" s="73"/>
      <c r="AP80" s="69">
        <f t="shared" ref="AP80" si="807">+ROUND($I80*AO80,0)</f>
        <v>0</v>
      </c>
      <c r="AQ80" s="73"/>
      <c r="AR80" s="69">
        <f t="shared" ref="AR80" si="808">+ROUND($I80*AQ80,0)</f>
        <v>0</v>
      </c>
      <c r="AS80" s="73"/>
      <c r="AT80" s="69">
        <f t="shared" ref="AT80" si="809">+ROUND($I80*AS80,0)</f>
        <v>0</v>
      </c>
      <c r="AU80" s="73"/>
      <c r="AV80" s="69">
        <f t="shared" ref="AV80:AX80" si="810">+ROUND($I80*AU80,0)</f>
        <v>0</v>
      </c>
      <c r="AW80" s="73"/>
      <c r="AX80" s="69">
        <f t="shared" si="810"/>
        <v>0</v>
      </c>
      <c r="AY80" s="73"/>
      <c r="AZ80" s="69">
        <f t="shared" ref="AZ80" si="811">+ROUND($I80*AY80,0)</f>
        <v>0</v>
      </c>
      <c r="BA80" s="73"/>
      <c r="BB80" s="69">
        <f t="shared" ref="BB80" si="812">+ROUND($I80*BA80,0)</f>
        <v>0</v>
      </c>
    </row>
    <row r="81" spans="1:54" ht="30" customHeight="1" thickBot="1" x14ac:dyDescent="0.35">
      <c r="A81" s="3"/>
      <c r="B81" s="8"/>
      <c r="C81" s="60">
        <v>8166</v>
      </c>
      <c r="D81" s="60">
        <v>5018</v>
      </c>
      <c r="E81" s="60" t="str">
        <f>+VLOOKUP(C81,'PRECIOS IDU 2025'!$A$1:$E$3189,2,FALSE)</f>
        <v>CENEFA EN LOSETA PREFABRICADA A58 GUIA (20X20X6) CM. SUMINISTRO E INSTALACIÓN. (INCLUYE 4CM DE MORTERO 1:5 HECHO EN OBRA PARA BASE Y ARENA DE PEÑA PARA SELLO)</v>
      </c>
      <c r="F81" s="60" t="str">
        <f>+VLOOKUP(C81,'PRECIOS IDU 2025'!$A$1:$E$3189,3,FALSE)</f>
        <v>M2</v>
      </c>
      <c r="G81" s="108">
        <f>+ROUND(SUM(O81,Q81,S81,U81,W81,Y81,AA81,AC81,AE80,AG81,AI81,AK81,AM81,AO81,AQ81,AS81,AU81,AW81,AY81,BA81),2)</f>
        <v>395.18</v>
      </c>
      <c r="H81" s="69">
        <f>+VLOOKUP(C81,'PRECIOS DE REFERENCIA APU'!$A$1:$D$2745,4,FALSE)</f>
        <v>114332</v>
      </c>
      <c r="I81" s="528">
        <f t="shared" si="570"/>
        <v>156635</v>
      </c>
      <c r="J81" s="528">
        <f t="shared" si="571"/>
        <v>61899019</v>
      </c>
      <c r="K81" s="9"/>
      <c r="L81" s="503">
        <v>174.54</v>
      </c>
      <c r="M81" s="503"/>
      <c r="O81" s="521">
        <f>+O76</f>
        <v>61.35</v>
      </c>
      <c r="P81" s="69">
        <f t="shared" si="493"/>
        <v>9609557</v>
      </c>
      <c r="Q81" s="521">
        <f>+Q76</f>
        <v>42.83</v>
      </c>
      <c r="R81" s="69">
        <f t="shared" si="493"/>
        <v>6708677</v>
      </c>
      <c r="S81" s="521">
        <f>+S76</f>
        <v>121.31</v>
      </c>
      <c r="T81" s="69">
        <f t="shared" ref="T81" si="813">+ROUND($I81*S81,0)</f>
        <v>19001392</v>
      </c>
      <c r="U81" s="521"/>
      <c r="V81" s="69">
        <f t="shared" ref="V81" si="814">+ROUND($I81*U81,0)</f>
        <v>0</v>
      </c>
      <c r="W81" s="521">
        <f>+W76</f>
        <v>76.31</v>
      </c>
      <c r="X81" s="69">
        <f t="shared" ref="X81" si="815">+ROUND($I81*W81,0)</f>
        <v>11952817</v>
      </c>
      <c r="Y81" s="521">
        <f>+Y76</f>
        <v>47.17</v>
      </c>
      <c r="Z81" s="69">
        <f t="shared" ref="Z81" si="816">+ROUND($I81*Y81,0)</f>
        <v>7388473</v>
      </c>
      <c r="AA81" s="521"/>
      <c r="AB81" s="69">
        <f t="shared" ref="AB81:AD81" si="817">+ROUND($I81*AA81,0)</f>
        <v>0</v>
      </c>
      <c r="AC81" s="521">
        <f>+AC76</f>
        <v>38.21</v>
      </c>
      <c r="AD81" s="69">
        <f t="shared" si="817"/>
        <v>5985023</v>
      </c>
      <c r="AE81" s="521">
        <f>+AE76</f>
        <v>20</v>
      </c>
      <c r="AF81" s="69">
        <f t="shared" si="577"/>
        <v>3132700</v>
      </c>
      <c r="AG81" s="73"/>
      <c r="AH81" s="69">
        <f t="shared" ref="AH81" si="818">+ROUND($I81*AG81,0)</f>
        <v>0</v>
      </c>
      <c r="AI81" s="73"/>
      <c r="AJ81" s="69">
        <f t="shared" ref="AJ81" si="819">+ROUND($I81*AI81,0)</f>
        <v>0</v>
      </c>
      <c r="AK81" s="73"/>
      <c r="AL81" s="69">
        <f t="shared" ref="AL81" si="820">+ROUND($I81*AK81,0)</f>
        <v>0</v>
      </c>
      <c r="AM81" s="73"/>
      <c r="AN81" s="69">
        <f t="shared" ref="AN81" si="821">+ROUND($I81*AM81,0)</f>
        <v>0</v>
      </c>
      <c r="AO81" s="73"/>
      <c r="AP81" s="69">
        <f t="shared" ref="AP81" si="822">+ROUND($I81*AO81,0)</f>
        <v>0</v>
      </c>
      <c r="AQ81" s="73"/>
      <c r="AR81" s="69">
        <f t="shared" ref="AR81" si="823">+ROUND($I81*AQ81,0)</f>
        <v>0</v>
      </c>
      <c r="AS81" s="73"/>
      <c r="AT81" s="69">
        <f t="shared" ref="AT81" si="824">+ROUND($I81*AS81,0)</f>
        <v>0</v>
      </c>
      <c r="AU81" s="73"/>
      <c r="AV81" s="69">
        <f t="shared" ref="AV81:AX81" si="825">+ROUND($I81*AU81,0)</f>
        <v>0</v>
      </c>
      <c r="AW81" s="73"/>
      <c r="AX81" s="69">
        <f t="shared" si="825"/>
        <v>0</v>
      </c>
      <c r="AY81" s="73"/>
      <c r="AZ81" s="69">
        <f t="shared" ref="AZ81" si="826">+ROUND($I81*AY81,0)</f>
        <v>0</v>
      </c>
      <c r="BA81" s="73"/>
      <c r="BB81" s="69">
        <f t="shared" ref="BB81" si="827">+ROUND($I81*BA81,0)</f>
        <v>0</v>
      </c>
    </row>
    <row r="82" spans="1:54" ht="30" customHeight="1" thickBot="1" x14ac:dyDescent="0.35">
      <c r="A82" s="3"/>
      <c r="B82" s="8"/>
      <c r="C82" s="66" t="s">
        <v>6654</v>
      </c>
      <c r="D82" s="67"/>
      <c r="E82" s="67"/>
      <c r="F82" s="67"/>
      <c r="G82" s="108">
        <f t="shared" ref="G82:G88" si="828">+ROUND(SUM(O82,Q82,S82,U82,W82,Y82,AA82,AC82,AG82,AI82,AK82,AM82,AO82,AQ82,AS82,AU82,AW82,AY82,BA82),2)</f>
        <v>0</v>
      </c>
      <c r="H82" s="67"/>
      <c r="I82" s="532" t="s">
        <v>6084</v>
      </c>
      <c r="J82" s="533">
        <f>+SUM(J64:J81)</f>
        <v>924807701</v>
      </c>
      <c r="K82" s="9"/>
      <c r="L82" s="503">
        <v>0</v>
      </c>
      <c r="M82" s="503"/>
      <c r="O82" s="73"/>
      <c r="P82" s="69"/>
      <c r="Q82" s="73"/>
      <c r="R82" s="69"/>
      <c r="S82" s="73"/>
      <c r="T82" s="69"/>
      <c r="U82" s="73"/>
      <c r="V82" s="69"/>
      <c r="W82" s="73"/>
      <c r="X82" s="69"/>
      <c r="Y82" s="73"/>
      <c r="Z82" s="69"/>
      <c r="AA82" s="73"/>
      <c r="AB82" s="69"/>
      <c r="AC82" s="73"/>
      <c r="AD82" s="69"/>
      <c r="AE82" s="73"/>
      <c r="AF82" s="69"/>
      <c r="AG82" s="73"/>
      <c r="AH82" s="69"/>
      <c r="AI82" s="73"/>
      <c r="AJ82" s="69"/>
      <c r="AK82" s="73"/>
      <c r="AL82" s="69"/>
      <c r="AM82" s="73"/>
      <c r="AN82" s="69"/>
      <c r="AO82" s="73"/>
      <c r="AP82" s="69"/>
      <c r="AQ82" s="73"/>
      <c r="AR82" s="69"/>
      <c r="AS82" s="73"/>
      <c r="AT82" s="69"/>
      <c r="AU82" s="73"/>
      <c r="AV82" s="69"/>
      <c r="AW82" s="73"/>
      <c r="AX82" s="69"/>
      <c r="AY82" s="73"/>
      <c r="AZ82" s="69"/>
      <c r="BA82" s="73"/>
      <c r="BB82" s="69"/>
    </row>
    <row r="83" spans="1:54" ht="30" customHeight="1" x14ac:dyDescent="0.3">
      <c r="A83" s="3"/>
      <c r="B83" s="8"/>
      <c r="C83" s="60">
        <v>4240</v>
      </c>
      <c r="D83" s="60">
        <v>8001</v>
      </c>
      <c r="E83" s="60" t="str">
        <f>+VLOOKUP(C83,'PRECIOS IDU 2025'!$A$1:$E$3189,2,FALSE)</f>
        <v>DEMARCACION LINEA CONTINUA A=0.12M (E=2.3MM,TERMOPLÁSTICA. INC. SUMINISTRO Y APLICACIÓN CON EQUIPO. INCL. MICROESFERAS)</v>
      </c>
      <c r="F83" s="60" t="str">
        <f>+VLOOKUP(C83,'PRECIOS IDU 2025'!$A$1:$E$3189,3,FALSE)</f>
        <v>ML</v>
      </c>
      <c r="G83" s="108">
        <f t="shared" si="828"/>
        <v>20</v>
      </c>
      <c r="H83" s="69">
        <f>+VLOOKUP(C83,'PRECIOS DE REFERENCIA APU'!$A$1:$D$3745,4,FALSE)</f>
        <v>18379</v>
      </c>
      <c r="I83" s="531">
        <f t="shared" ref="I83:I97" si="829">+ROUND(H83*(1+$J$117),0)</f>
        <v>25179</v>
      </c>
      <c r="J83" s="531">
        <f t="shared" ref="J83:J97" si="830">+ROUND(I83*G83,0)</f>
        <v>503580</v>
      </c>
      <c r="K83" s="9"/>
      <c r="L83" s="503">
        <v>3589.34</v>
      </c>
      <c r="M83" s="503"/>
      <c r="O83" s="73"/>
      <c r="P83" s="69">
        <f t="shared" si="493"/>
        <v>0</v>
      </c>
      <c r="Q83" s="73"/>
      <c r="R83" s="69">
        <f t="shared" si="493"/>
        <v>0</v>
      </c>
      <c r="S83" s="73"/>
      <c r="T83" s="69">
        <f t="shared" ref="T83" si="831">+ROUND($I83*S83,0)</f>
        <v>0</v>
      </c>
      <c r="U83" s="73"/>
      <c r="V83" s="69">
        <f t="shared" ref="V83" si="832">+ROUND($I83*U83,0)</f>
        <v>0</v>
      </c>
      <c r="W83" s="73"/>
      <c r="X83" s="69">
        <f t="shared" ref="X83" si="833">+ROUND($I83*W83,0)</f>
        <v>0</v>
      </c>
      <c r="Y83" s="73"/>
      <c r="Z83" s="69">
        <f t="shared" ref="Z83" si="834">+ROUND($I83*Y83,0)</f>
        <v>0</v>
      </c>
      <c r="AA83" s="73"/>
      <c r="AB83" s="69">
        <f t="shared" ref="AB83:AD83" si="835">+ROUND($I83*AA83,0)</f>
        <v>0</v>
      </c>
      <c r="AC83" s="73"/>
      <c r="AD83" s="69">
        <f t="shared" si="835"/>
        <v>0</v>
      </c>
      <c r="AE83" s="73"/>
      <c r="AF83" s="69">
        <f t="shared" ref="AF83:AF97" si="836">+ROUND($I83*AE83,0)</f>
        <v>0</v>
      </c>
      <c r="AG83" s="73"/>
      <c r="AH83" s="69">
        <f t="shared" ref="AH83" si="837">+ROUND($I83*AG83,0)</f>
        <v>0</v>
      </c>
      <c r="AI83" s="73"/>
      <c r="AJ83" s="69">
        <f t="shared" ref="AJ83" si="838">+ROUND($I83*AI83,0)</f>
        <v>0</v>
      </c>
      <c r="AK83" s="73">
        <v>10</v>
      </c>
      <c r="AL83" s="69">
        <f t="shared" ref="AL83" si="839">+ROUND($I83*AK83,0)</f>
        <v>251790</v>
      </c>
      <c r="AM83" s="73"/>
      <c r="AN83" s="69">
        <f t="shared" ref="AN83" si="840">+ROUND($I83*AM83,0)</f>
        <v>0</v>
      </c>
      <c r="AO83" s="73"/>
      <c r="AP83" s="69">
        <f t="shared" ref="AP83" si="841">+ROUND($I83*AO83,0)</f>
        <v>0</v>
      </c>
      <c r="AQ83" s="73"/>
      <c r="AR83" s="69">
        <f t="shared" ref="AR83" si="842">+ROUND($I83*AQ83,0)</f>
        <v>0</v>
      </c>
      <c r="AS83" s="73"/>
      <c r="AT83" s="69">
        <f t="shared" ref="AT83" si="843">+ROUND($I83*AS83,0)</f>
        <v>0</v>
      </c>
      <c r="AU83" s="73"/>
      <c r="AV83" s="69">
        <f t="shared" ref="AV83:AX83" si="844">+ROUND($I83*AU83,0)</f>
        <v>0</v>
      </c>
      <c r="AW83" s="73"/>
      <c r="AX83" s="69">
        <f t="shared" si="844"/>
        <v>0</v>
      </c>
      <c r="AY83" s="73"/>
      <c r="AZ83" s="69">
        <f t="shared" ref="AZ83" si="845">+ROUND($I83*AY83,0)</f>
        <v>0</v>
      </c>
      <c r="BA83" s="73">
        <v>10</v>
      </c>
      <c r="BB83" s="69">
        <f t="shared" ref="BB83" si="846">+ROUND($I83*BA83,0)</f>
        <v>251790</v>
      </c>
    </row>
    <row r="84" spans="1:54" ht="30" customHeight="1" x14ac:dyDescent="0.3">
      <c r="A84" s="3"/>
      <c r="B84" s="8"/>
      <c r="C84" s="60">
        <v>4246</v>
      </c>
      <c r="D84" s="60">
        <v>8002</v>
      </c>
      <c r="E84" s="60" t="str">
        <f>+VLOOKUP(C84,'PRECIOS IDU 2025'!$A$1:$E$3189,2,FALSE)</f>
        <v>FLECHA DIRECCIONAL "DE FRENTE" (E=2.3MM,TERMOPLÁSTICA. INC. SUMINISTRO Y APLICACIÓN CON EQUIPO. INC MICROESFERAS). MARCA VIAL PARA VELOCIDADES MENORES O IGUALES A 60 KM/H AREA DE LA MARCA: 1.20 M2.</v>
      </c>
      <c r="F84" s="60" t="str">
        <f>+VLOOKUP(C84,'PRECIOS IDU 2025'!$A$1:$E$3189,3,FALSE)</f>
        <v>UN</v>
      </c>
      <c r="G84" s="108">
        <f t="shared" si="828"/>
        <v>10</v>
      </c>
      <c r="H84" s="69">
        <f>+VLOOKUP(C84,'PRECIOS DE REFERENCIA APU'!$A$1:$D$3745,4,FALSE)</f>
        <v>183783</v>
      </c>
      <c r="I84" s="69">
        <f t="shared" si="829"/>
        <v>251783</v>
      </c>
      <c r="J84" s="69">
        <f t="shared" si="830"/>
        <v>2517830</v>
      </c>
      <c r="K84" s="9"/>
      <c r="L84" s="503">
        <v>17</v>
      </c>
      <c r="M84" s="503"/>
      <c r="O84" s="73"/>
      <c r="P84" s="69">
        <f t="shared" si="493"/>
        <v>0</v>
      </c>
      <c r="Q84" s="73"/>
      <c r="R84" s="69">
        <f t="shared" si="493"/>
        <v>0</v>
      </c>
      <c r="S84" s="73"/>
      <c r="T84" s="69">
        <f t="shared" ref="T84" si="847">+ROUND($I84*S84,0)</f>
        <v>0</v>
      </c>
      <c r="U84" s="73"/>
      <c r="V84" s="69">
        <f t="shared" ref="V84" si="848">+ROUND($I84*U84,0)</f>
        <v>0</v>
      </c>
      <c r="W84" s="73"/>
      <c r="X84" s="69">
        <f t="shared" ref="X84" si="849">+ROUND($I84*W84,0)</f>
        <v>0</v>
      </c>
      <c r="Y84" s="73"/>
      <c r="Z84" s="69">
        <f t="shared" ref="Z84" si="850">+ROUND($I84*Y84,0)</f>
        <v>0</v>
      </c>
      <c r="AA84" s="73"/>
      <c r="AB84" s="69">
        <f t="shared" ref="AB84:AD84" si="851">+ROUND($I84*AA84,0)</f>
        <v>0</v>
      </c>
      <c r="AC84" s="73"/>
      <c r="AD84" s="69">
        <f t="shared" si="851"/>
        <v>0</v>
      </c>
      <c r="AE84" s="73"/>
      <c r="AF84" s="69">
        <f t="shared" si="836"/>
        <v>0</v>
      </c>
      <c r="AG84" s="73"/>
      <c r="AH84" s="69">
        <f t="shared" ref="AH84" si="852">+ROUND($I84*AG84,0)</f>
        <v>0</v>
      </c>
      <c r="AI84" s="73"/>
      <c r="AJ84" s="69">
        <f t="shared" ref="AJ84" si="853">+ROUND($I84*AI84,0)</f>
        <v>0</v>
      </c>
      <c r="AK84" s="73"/>
      <c r="AL84" s="69">
        <f t="shared" ref="AL84" si="854">+ROUND($I84*AK84,0)</f>
        <v>0</v>
      </c>
      <c r="AM84" s="73"/>
      <c r="AN84" s="69">
        <f t="shared" ref="AN84" si="855">+ROUND($I84*AM84,0)</f>
        <v>0</v>
      </c>
      <c r="AO84" s="73"/>
      <c r="AP84" s="69">
        <f t="shared" ref="AP84" si="856">+ROUND($I84*AO84,0)</f>
        <v>0</v>
      </c>
      <c r="AQ84" s="73"/>
      <c r="AR84" s="69">
        <f t="shared" ref="AR84" si="857">+ROUND($I84*AQ84,0)</f>
        <v>0</v>
      </c>
      <c r="AS84" s="73"/>
      <c r="AT84" s="69">
        <f t="shared" ref="AT84" si="858">+ROUND($I84*AS84,0)</f>
        <v>0</v>
      </c>
      <c r="AU84" s="73"/>
      <c r="AV84" s="69">
        <f t="shared" ref="AV84:AX84" si="859">+ROUND($I84*AU84,0)</f>
        <v>0</v>
      </c>
      <c r="AW84" s="73"/>
      <c r="AX84" s="69">
        <f t="shared" si="859"/>
        <v>0</v>
      </c>
      <c r="AY84" s="73"/>
      <c r="AZ84" s="69">
        <f t="shared" ref="AZ84" si="860">+ROUND($I84*AY84,0)</f>
        <v>0</v>
      </c>
      <c r="BA84" s="73">
        <v>10</v>
      </c>
      <c r="BB84" s="69">
        <f t="shared" ref="BB84" si="861">+ROUND($I84*BA84,0)</f>
        <v>2517830</v>
      </c>
    </row>
    <row r="85" spans="1:54" ht="30" customHeight="1" x14ac:dyDescent="0.3">
      <c r="A85" s="3"/>
      <c r="B85" s="8"/>
      <c r="C85" s="60">
        <v>4248</v>
      </c>
      <c r="D85" s="60">
        <v>8003</v>
      </c>
      <c r="E85" s="60" t="str">
        <f>+VLOOKUP(C85,'PRECIOS IDU 2025'!$A$1:$E$3189,2,FALSE)</f>
        <v>DEMARCACION PASO PEATONAL-CEBRA (E=2.3MM,TERMOPLÁSTICA. INC. SUMINISTRO Y APLICACIÓN CON EQUIPO. INC MICROESFERAS)</v>
      </c>
      <c r="F85" s="60" t="str">
        <f>+VLOOKUP(C85,'PRECIOS IDU 2025'!$A$1:$E$3189,3,FALSE)</f>
        <v>M2</v>
      </c>
      <c r="G85" s="108">
        <f t="shared" si="828"/>
        <v>10</v>
      </c>
      <c r="H85" s="69">
        <f>+VLOOKUP(C85,'PRECIOS DE REFERENCIA APU'!$A$1:$D$3745,4,FALSE)</f>
        <v>153152</v>
      </c>
      <c r="I85" s="69">
        <f t="shared" si="829"/>
        <v>209818</v>
      </c>
      <c r="J85" s="69">
        <f t="shared" si="830"/>
        <v>2098180</v>
      </c>
      <c r="K85" s="9"/>
      <c r="L85" s="503">
        <v>350.85</v>
      </c>
      <c r="M85" s="503"/>
      <c r="O85" s="73"/>
      <c r="P85" s="69">
        <f t="shared" si="493"/>
        <v>0</v>
      </c>
      <c r="Q85" s="73"/>
      <c r="R85" s="69">
        <f t="shared" si="493"/>
        <v>0</v>
      </c>
      <c r="S85" s="73"/>
      <c r="T85" s="69">
        <f t="shared" ref="T85" si="862">+ROUND($I85*S85,0)</f>
        <v>0</v>
      </c>
      <c r="U85" s="73"/>
      <c r="V85" s="69">
        <f t="shared" ref="V85" si="863">+ROUND($I85*U85,0)</f>
        <v>0</v>
      </c>
      <c r="W85" s="73"/>
      <c r="X85" s="69">
        <f t="shared" ref="X85" si="864">+ROUND($I85*W85,0)</f>
        <v>0</v>
      </c>
      <c r="Y85" s="73"/>
      <c r="Z85" s="69">
        <f t="shared" ref="Z85" si="865">+ROUND($I85*Y85,0)</f>
        <v>0</v>
      </c>
      <c r="AA85" s="73"/>
      <c r="AB85" s="69">
        <f t="shared" ref="AB85:AD85" si="866">+ROUND($I85*AA85,0)</f>
        <v>0</v>
      </c>
      <c r="AC85" s="73"/>
      <c r="AD85" s="69">
        <f t="shared" si="866"/>
        <v>0</v>
      </c>
      <c r="AE85" s="73"/>
      <c r="AF85" s="69">
        <f t="shared" si="836"/>
        <v>0</v>
      </c>
      <c r="AG85" s="73"/>
      <c r="AH85" s="69">
        <f t="shared" ref="AH85" si="867">+ROUND($I85*AG85,0)</f>
        <v>0</v>
      </c>
      <c r="AI85" s="73"/>
      <c r="AJ85" s="69">
        <f t="shared" ref="AJ85" si="868">+ROUND($I85*AI85,0)</f>
        <v>0</v>
      </c>
      <c r="AK85" s="73"/>
      <c r="AL85" s="69">
        <f t="shared" ref="AL85" si="869">+ROUND($I85*AK85,0)</f>
        <v>0</v>
      </c>
      <c r="AM85" s="73"/>
      <c r="AN85" s="69">
        <f t="shared" ref="AN85" si="870">+ROUND($I85*AM85,0)</f>
        <v>0</v>
      </c>
      <c r="AO85" s="73"/>
      <c r="AP85" s="69">
        <f t="shared" ref="AP85" si="871">+ROUND($I85*AO85,0)</f>
        <v>0</v>
      </c>
      <c r="AQ85" s="73"/>
      <c r="AR85" s="69">
        <f t="shared" ref="AR85" si="872">+ROUND($I85*AQ85,0)</f>
        <v>0</v>
      </c>
      <c r="AS85" s="73"/>
      <c r="AT85" s="69">
        <f t="shared" ref="AT85" si="873">+ROUND($I85*AS85,0)</f>
        <v>0</v>
      </c>
      <c r="AU85" s="73"/>
      <c r="AV85" s="69">
        <f t="shared" ref="AV85:AX85" si="874">+ROUND($I85*AU85,0)</f>
        <v>0</v>
      </c>
      <c r="AW85" s="73"/>
      <c r="AX85" s="69">
        <f t="shared" si="874"/>
        <v>0</v>
      </c>
      <c r="AY85" s="73"/>
      <c r="AZ85" s="69">
        <f t="shared" ref="AZ85" si="875">+ROUND($I85*AY85,0)</f>
        <v>0</v>
      </c>
      <c r="BA85" s="73">
        <v>10</v>
      </c>
      <c r="BB85" s="69">
        <f t="shared" ref="BB85" si="876">+ROUND($I85*BA85,0)</f>
        <v>2098180</v>
      </c>
    </row>
    <row r="86" spans="1:54" ht="30" customHeight="1" x14ac:dyDescent="0.3">
      <c r="A86" s="3"/>
      <c r="B86" s="8"/>
      <c r="C86" s="60">
        <v>3872</v>
      </c>
      <c r="D86" s="60">
        <v>8004</v>
      </c>
      <c r="E86" s="60" t="str">
        <f>+VLOOKUP(C86,'PRECIOS IDU 2025'!$A$1:$E$3189,2,FALSE)</f>
        <v>DEMARCACION LINEA DISCONTINUA A=0.12M (E=15 MILS, ACRÍLICA BASE AGUA. INC. SUMIN. Y APLIC. CON EQUIPO. INC MICROESFERAS)</v>
      </c>
      <c r="F86" s="60" t="str">
        <f>+VLOOKUP(C86,'PRECIOS IDU 2025'!$A$1:$E$3189,3,FALSE)</f>
        <v>ML</v>
      </c>
      <c r="G86" s="108">
        <f t="shared" si="828"/>
        <v>10</v>
      </c>
      <c r="H86" s="69">
        <f>+VLOOKUP(C86,'PRECIOS DE REFERENCIA APU'!$A$1:$D$3745,4,FALSE)</f>
        <v>2591</v>
      </c>
      <c r="I86" s="69">
        <f t="shared" si="829"/>
        <v>3550</v>
      </c>
      <c r="J86" s="69">
        <f t="shared" si="830"/>
        <v>35500</v>
      </c>
      <c r="K86" s="9"/>
      <c r="L86" s="503">
        <v>1794.5</v>
      </c>
      <c r="M86" s="503"/>
      <c r="O86" s="73"/>
      <c r="P86" s="69">
        <f t="shared" si="493"/>
        <v>0</v>
      </c>
      <c r="Q86" s="73"/>
      <c r="R86" s="69">
        <f t="shared" si="493"/>
        <v>0</v>
      </c>
      <c r="S86" s="73"/>
      <c r="T86" s="69">
        <f t="shared" ref="T86" si="877">+ROUND($I86*S86,0)</f>
        <v>0</v>
      </c>
      <c r="U86" s="73"/>
      <c r="V86" s="69">
        <f t="shared" ref="V86" si="878">+ROUND($I86*U86,0)</f>
        <v>0</v>
      </c>
      <c r="W86" s="73"/>
      <c r="X86" s="69">
        <f t="shared" ref="X86" si="879">+ROUND($I86*W86,0)</f>
        <v>0</v>
      </c>
      <c r="Y86" s="73"/>
      <c r="Z86" s="69">
        <f t="shared" ref="Z86" si="880">+ROUND($I86*Y86,0)</f>
        <v>0</v>
      </c>
      <c r="AA86" s="73"/>
      <c r="AB86" s="69">
        <f t="shared" ref="AB86:AD86" si="881">+ROUND($I86*AA86,0)</f>
        <v>0</v>
      </c>
      <c r="AC86" s="73"/>
      <c r="AD86" s="69">
        <f t="shared" si="881"/>
        <v>0</v>
      </c>
      <c r="AE86" s="73"/>
      <c r="AF86" s="69">
        <f t="shared" si="836"/>
        <v>0</v>
      </c>
      <c r="AG86" s="73"/>
      <c r="AH86" s="69">
        <f t="shared" ref="AH86" si="882">+ROUND($I86*AG86,0)</f>
        <v>0</v>
      </c>
      <c r="AI86" s="73"/>
      <c r="AJ86" s="69">
        <f t="shared" ref="AJ86" si="883">+ROUND($I86*AI86,0)</f>
        <v>0</v>
      </c>
      <c r="AK86" s="73"/>
      <c r="AL86" s="69">
        <f t="shared" ref="AL86" si="884">+ROUND($I86*AK86,0)</f>
        <v>0</v>
      </c>
      <c r="AM86" s="73"/>
      <c r="AN86" s="69">
        <f t="shared" ref="AN86" si="885">+ROUND($I86*AM86,0)</f>
        <v>0</v>
      </c>
      <c r="AO86" s="73"/>
      <c r="AP86" s="69">
        <f t="shared" ref="AP86" si="886">+ROUND($I86*AO86,0)</f>
        <v>0</v>
      </c>
      <c r="AQ86" s="73"/>
      <c r="AR86" s="69">
        <f t="shared" ref="AR86" si="887">+ROUND($I86*AQ86,0)</f>
        <v>0</v>
      </c>
      <c r="AS86" s="73"/>
      <c r="AT86" s="69">
        <f t="shared" ref="AT86" si="888">+ROUND($I86*AS86,0)</f>
        <v>0</v>
      </c>
      <c r="AU86" s="73"/>
      <c r="AV86" s="69">
        <f t="shared" ref="AV86:AX86" si="889">+ROUND($I86*AU86,0)</f>
        <v>0</v>
      </c>
      <c r="AW86" s="73"/>
      <c r="AX86" s="69">
        <f t="shared" si="889"/>
        <v>0</v>
      </c>
      <c r="AY86" s="73"/>
      <c r="AZ86" s="69">
        <f t="shared" ref="AZ86" si="890">+ROUND($I86*AY86,0)</f>
        <v>0</v>
      </c>
      <c r="BA86" s="73">
        <v>10</v>
      </c>
      <c r="BB86" s="69">
        <f t="shared" ref="BB86" si="891">+ROUND($I86*BA86,0)</f>
        <v>35500</v>
      </c>
    </row>
    <row r="87" spans="1:54" ht="30" customHeight="1" x14ac:dyDescent="0.3">
      <c r="A87" s="3"/>
      <c r="B87" s="8"/>
      <c r="C87" s="60">
        <v>4244</v>
      </c>
      <c r="D87" s="60">
        <v>8005</v>
      </c>
      <c r="E87" s="60" t="str">
        <f>+VLOOKUP(C87,'PRECIOS IDU 2025'!$A$1:$E$3189,2,FALSE)</f>
        <v>FLECHA DIRECCIONAL "A LA DERECHA" (E=2.3MM,TERMOPLÁSTICA. INC. SUMINISTRO Y APLICACIÓN CON EQUIPO. INC MICROESFERAS). MARCA VIAL PARA VELOCIDADES MENORES O IGUALES A 60 KM/H AREA DE LA MARCA: 1.51M2</v>
      </c>
      <c r="F87" s="60" t="str">
        <f>+VLOOKUP(C87,'PRECIOS IDU 2025'!$A$1:$E$3189,3,FALSE)</f>
        <v>UN</v>
      </c>
      <c r="G87" s="108">
        <f t="shared" si="828"/>
        <v>10</v>
      </c>
      <c r="H87" s="69">
        <f>+VLOOKUP(C87,'PRECIOS DE REFERENCIA APU'!$A$1:$D$3745,4,FALSE)</f>
        <v>231260</v>
      </c>
      <c r="I87" s="69">
        <f t="shared" si="829"/>
        <v>316826</v>
      </c>
      <c r="J87" s="69">
        <f t="shared" si="830"/>
        <v>3168260</v>
      </c>
      <c r="K87" s="9"/>
      <c r="L87" s="503">
        <v>17</v>
      </c>
      <c r="M87" s="503"/>
      <c r="O87" s="73"/>
      <c r="P87" s="69">
        <f t="shared" si="493"/>
        <v>0</v>
      </c>
      <c r="Q87" s="73"/>
      <c r="R87" s="69">
        <f t="shared" si="493"/>
        <v>0</v>
      </c>
      <c r="S87" s="73"/>
      <c r="T87" s="69">
        <f t="shared" ref="T87" si="892">+ROUND($I87*S87,0)</f>
        <v>0</v>
      </c>
      <c r="U87" s="73"/>
      <c r="V87" s="69">
        <f t="shared" ref="V87" si="893">+ROUND($I87*U87,0)</f>
        <v>0</v>
      </c>
      <c r="W87" s="73"/>
      <c r="X87" s="69">
        <f t="shared" ref="X87" si="894">+ROUND($I87*W87,0)</f>
        <v>0</v>
      </c>
      <c r="Y87" s="73"/>
      <c r="Z87" s="69">
        <f t="shared" ref="Z87" si="895">+ROUND($I87*Y87,0)</f>
        <v>0</v>
      </c>
      <c r="AA87" s="73"/>
      <c r="AB87" s="69">
        <f t="shared" ref="AB87:AD87" si="896">+ROUND($I87*AA87,0)</f>
        <v>0</v>
      </c>
      <c r="AC87" s="73"/>
      <c r="AD87" s="69">
        <f t="shared" si="896"/>
        <v>0</v>
      </c>
      <c r="AE87" s="73"/>
      <c r="AF87" s="69">
        <f t="shared" si="836"/>
        <v>0</v>
      </c>
      <c r="AG87" s="73"/>
      <c r="AH87" s="69">
        <f t="shared" ref="AH87" si="897">+ROUND($I87*AG87,0)</f>
        <v>0</v>
      </c>
      <c r="AI87" s="73"/>
      <c r="AJ87" s="69">
        <f t="shared" ref="AJ87" si="898">+ROUND($I87*AI87,0)</f>
        <v>0</v>
      </c>
      <c r="AK87" s="73"/>
      <c r="AL87" s="69">
        <f t="shared" ref="AL87" si="899">+ROUND($I87*AK87,0)</f>
        <v>0</v>
      </c>
      <c r="AM87" s="73"/>
      <c r="AN87" s="69">
        <f t="shared" ref="AN87" si="900">+ROUND($I87*AM87,0)</f>
        <v>0</v>
      </c>
      <c r="AO87" s="73"/>
      <c r="AP87" s="69">
        <f t="shared" ref="AP87" si="901">+ROUND($I87*AO87,0)</f>
        <v>0</v>
      </c>
      <c r="AQ87" s="73"/>
      <c r="AR87" s="69">
        <f t="shared" ref="AR87" si="902">+ROUND($I87*AQ87,0)</f>
        <v>0</v>
      </c>
      <c r="AS87" s="73"/>
      <c r="AT87" s="69">
        <f t="shared" ref="AT87" si="903">+ROUND($I87*AS87,0)</f>
        <v>0</v>
      </c>
      <c r="AU87" s="73"/>
      <c r="AV87" s="69">
        <f t="shared" ref="AV87:AX87" si="904">+ROUND($I87*AU87,0)</f>
        <v>0</v>
      </c>
      <c r="AW87" s="73"/>
      <c r="AX87" s="69">
        <f t="shared" si="904"/>
        <v>0</v>
      </c>
      <c r="AY87" s="73"/>
      <c r="AZ87" s="69">
        <f t="shared" ref="AZ87" si="905">+ROUND($I87*AY87,0)</f>
        <v>0</v>
      </c>
      <c r="BA87" s="73">
        <v>10</v>
      </c>
      <c r="BB87" s="69">
        <f t="shared" ref="BB87" si="906">+ROUND($I87*BA87,0)</f>
        <v>3168260</v>
      </c>
    </row>
    <row r="88" spans="1:54" ht="30" customHeight="1" x14ac:dyDescent="0.3">
      <c r="A88" s="3"/>
      <c r="B88" s="8"/>
      <c r="C88" s="60">
        <v>4245</v>
      </c>
      <c r="D88" s="60">
        <v>8006</v>
      </c>
      <c r="E88" s="60" t="str">
        <f>+VLOOKUP(C88,'PRECIOS IDU 2025'!$A$1:$E$3189,2,FALSE)</f>
        <v>FLECHA DIRECCIONAL "DE FRENTE A LA DERECHA" (E=2.3MM,TERMOPLÁSTICA. INC. SUMIN. Y APLIC. CON EQUIPO. INC. MICROESFERAS). MARCA VIAL PARA VELOCIDADES MENORES O IGUALES A 60 KM/H AREA DE LA MARCA: 2.18M2</v>
      </c>
      <c r="F88" s="60" t="str">
        <f>+VLOOKUP(C88,'PRECIOS IDU 2025'!$A$1:$E$3189,3,FALSE)</f>
        <v>UN</v>
      </c>
      <c r="G88" s="108">
        <f t="shared" si="828"/>
        <v>10</v>
      </c>
      <c r="H88" s="69">
        <f>+VLOOKUP(C88,'PRECIOS DE REFERENCIA APU'!$A$1:$D$3745,4,FALSE)</f>
        <v>333872</v>
      </c>
      <c r="I88" s="69">
        <f t="shared" si="829"/>
        <v>457405</v>
      </c>
      <c r="J88" s="69">
        <f t="shared" si="830"/>
        <v>4574050</v>
      </c>
      <c r="K88" s="9"/>
      <c r="L88" s="503">
        <v>17</v>
      </c>
      <c r="M88" s="503"/>
      <c r="O88" s="73"/>
      <c r="P88" s="69">
        <f t="shared" si="493"/>
        <v>0</v>
      </c>
      <c r="Q88" s="73"/>
      <c r="R88" s="69">
        <f t="shared" si="493"/>
        <v>0</v>
      </c>
      <c r="S88" s="73"/>
      <c r="T88" s="69">
        <f t="shared" ref="T88" si="907">+ROUND($I88*S88,0)</f>
        <v>0</v>
      </c>
      <c r="U88" s="73"/>
      <c r="V88" s="69">
        <f t="shared" ref="V88" si="908">+ROUND($I88*U88,0)</f>
        <v>0</v>
      </c>
      <c r="W88" s="73"/>
      <c r="X88" s="69">
        <f t="shared" ref="X88" si="909">+ROUND($I88*W88,0)</f>
        <v>0</v>
      </c>
      <c r="Y88" s="73"/>
      <c r="Z88" s="69">
        <f t="shared" ref="Z88" si="910">+ROUND($I88*Y88,0)</f>
        <v>0</v>
      </c>
      <c r="AA88" s="73"/>
      <c r="AB88" s="69">
        <f t="shared" ref="AB88:AD88" si="911">+ROUND($I88*AA88,0)</f>
        <v>0</v>
      </c>
      <c r="AC88" s="73"/>
      <c r="AD88" s="69">
        <f t="shared" si="911"/>
        <v>0</v>
      </c>
      <c r="AE88" s="73"/>
      <c r="AF88" s="69">
        <f t="shared" si="836"/>
        <v>0</v>
      </c>
      <c r="AG88" s="73"/>
      <c r="AH88" s="69">
        <f t="shared" ref="AH88" si="912">+ROUND($I88*AG88,0)</f>
        <v>0</v>
      </c>
      <c r="AI88" s="73"/>
      <c r="AJ88" s="69">
        <f t="shared" ref="AJ88" si="913">+ROUND($I88*AI88,0)</f>
        <v>0</v>
      </c>
      <c r="AK88" s="73"/>
      <c r="AL88" s="69">
        <f t="shared" ref="AL88" si="914">+ROUND($I88*AK88,0)</f>
        <v>0</v>
      </c>
      <c r="AM88" s="73"/>
      <c r="AN88" s="69">
        <f t="shared" ref="AN88" si="915">+ROUND($I88*AM88,0)</f>
        <v>0</v>
      </c>
      <c r="AO88" s="73"/>
      <c r="AP88" s="69">
        <f t="shared" ref="AP88" si="916">+ROUND($I88*AO88,0)</f>
        <v>0</v>
      </c>
      <c r="AQ88" s="73"/>
      <c r="AR88" s="69">
        <f t="shared" ref="AR88" si="917">+ROUND($I88*AQ88,0)</f>
        <v>0</v>
      </c>
      <c r="AS88" s="73"/>
      <c r="AT88" s="69">
        <f t="shared" ref="AT88" si="918">+ROUND($I88*AS88,0)</f>
        <v>0</v>
      </c>
      <c r="AU88" s="73"/>
      <c r="AV88" s="69">
        <f t="shared" ref="AV88:AX88" si="919">+ROUND($I88*AU88,0)</f>
        <v>0</v>
      </c>
      <c r="AW88" s="73"/>
      <c r="AX88" s="69">
        <f t="shared" si="919"/>
        <v>0</v>
      </c>
      <c r="AY88" s="73"/>
      <c r="AZ88" s="69">
        <f t="shared" ref="AZ88" si="920">+ROUND($I88*AY88,0)</f>
        <v>0</v>
      </c>
      <c r="BA88" s="73">
        <v>10</v>
      </c>
      <c r="BB88" s="69">
        <f t="shared" ref="BB88" si="921">+ROUND($I88*BA88,0)</f>
        <v>4574050</v>
      </c>
    </row>
    <row r="89" spans="1:54" ht="30" customHeight="1" x14ac:dyDescent="0.3">
      <c r="A89" s="3"/>
      <c r="B89" s="8"/>
      <c r="C89" s="60">
        <v>4247</v>
      </c>
      <c r="D89" s="60">
        <v>8007</v>
      </c>
      <c r="E89" s="60" t="str">
        <f>+VLOOKUP(C89,'PRECIOS IDU 2025'!$A$1:$E$3189,2,FALSE)</f>
        <v>PINTURA TERMOPLASTICA (E=2.3MM. INCLUYE SUMINISTRO Y APLICACIÓN CON EQUIPO. INCLUYE MICROESFERAS)</v>
      </c>
      <c r="F89" s="60" t="str">
        <f>+VLOOKUP(C89,'PRECIOS IDU 2025'!$A$1:$E$3189,3,FALSE)</f>
        <v>M2</v>
      </c>
      <c r="G89" s="108">
        <f t="shared" ref="G89:G97" si="922">+ROUND(SUM(O89,Q89,S89,U89,W89,Y89,AA89,AC89,AG89,AI89,AK89,AM89,AO89,AQ89,AS89,AU89,AW89,AY89,BA89),2)</f>
        <v>10</v>
      </c>
      <c r="H89" s="69">
        <f>+VLOOKUP(C89,'PRECIOS DE REFERENCIA APU'!$A$1:$D$3745,4,FALSE)</f>
        <v>153152</v>
      </c>
      <c r="I89" s="69">
        <f t="shared" si="829"/>
        <v>209818</v>
      </c>
      <c r="J89" s="69">
        <f t="shared" si="830"/>
        <v>2098180</v>
      </c>
      <c r="K89" s="9"/>
      <c r="L89" s="503">
        <v>269.2</v>
      </c>
      <c r="M89" s="503"/>
      <c r="O89" s="73"/>
      <c r="P89" s="69">
        <f t="shared" si="493"/>
        <v>0</v>
      </c>
      <c r="Q89" s="73"/>
      <c r="R89" s="69">
        <f t="shared" si="493"/>
        <v>0</v>
      </c>
      <c r="S89" s="73"/>
      <c r="T89" s="69">
        <f t="shared" ref="T89" si="923">+ROUND($I89*S89,0)</f>
        <v>0</v>
      </c>
      <c r="U89" s="73"/>
      <c r="V89" s="69">
        <f t="shared" ref="V89" si="924">+ROUND($I89*U89,0)</f>
        <v>0</v>
      </c>
      <c r="W89" s="73"/>
      <c r="X89" s="69">
        <f t="shared" ref="X89" si="925">+ROUND($I89*W89,0)</f>
        <v>0</v>
      </c>
      <c r="Y89" s="73"/>
      <c r="Z89" s="69">
        <f t="shared" ref="Z89" si="926">+ROUND($I89*Y89,0)</f>
        <v>0</v>
      </c>
      <c r="AA89" s="73"/>
      <c r="AB89" s="69">
        <f t="shared" ref="AB89:AD89" si="927">+ROUND($I89*AA89,0)</f>
        <v>0</v>
      </c>
      <c r="AC89" s="73"/>
      <c r="AD89" s="69">
        <f t="shared" si="927"/>
        <v>0</v>
      </c>
      <c r="AE89" s="73"/>
      <c r="AF89" s="69">
        <f t="shared" si="836"/>
        <v>0</v>
      </c>
      <c r="AG89" s="73"/>
      <c r="AH89" s="69">
        <f t="shared" ref="AH89" si="928">+ROUND($I89*AG89,0)</f>
        <v>0</v>
      </c>
      <c r="AI89" s="73"/>
      <c r="AJ89" s="69">
        <f t="shared" ref="AJ89" si="929">+ROUND($I89*AI89,0)</f>
        <v>0</v>
      </c>
      <c r="AK89" s="73"/>
      <c r="AL89" s="69">
        <f t="shared" ref="AL89" si="930">+ROUND($I89*AK89,0)</f>
        <v>0</v>
      </c>
      <c r="AM89" s="73"/>
      <c r="AN89" s="69">
        <f t="shared" ref="AN89" si="931">+ROUND($I89*AM89,0)</f>
        <v>0</v>
      </c>
      <c r="AO89" s="73"/>
      <c r="AP89" s="69">
        <f t="shared" ref="AP89" si="932">+ROUND($I89*AO89,0)</f>
        <v>0</v>
      </c>
      <c r="AQ89" s="73"/>
      <c r="AR89" s="69">
        <f t="shared" ref="AR89" si="933">+ROUND($I89*AQ89,0)</f>
        <v>0</v>
      </c>
      <c r="AS89" s="73"/>
      <c r="AT89" s="69">
        <f t="shared" ref="AT89" si="934">+ROUND($I89*AS89,0)</f>
        <v>0</v>
      </c>
      <c r="AU89" s="73"/>
      <c r="AV89" s="69">
        <f t="shared" ref="AV89:AX89" si="935">+ROUND($I89*AU89,0)</f>
        <v>0</v>
      </c>
      <c r="AW89" s="73"/>
      <c r="AX89" s="69">
        <f t="shared" si="935"/>
        <v>0</v>
      </c>
      <c r="AY89" s="73"/>
      <c r="AZ89" s="69">
        <f t="shared" ref="AZ89" si="936">+ROUND($I89*AY89,0)</f>
        <v>0</v>
      </c>
      <c r="BA89" s="73">
        <v>10</v>
      </c>
      <c r="BB89" s="69">
        <f t="shared" ref="BB89" si="937">+ROUND($I89*BA89,0)</f>
        <v>2098180</v>
      </c>
    </row>
    <row r="90" spans="1:54" ht="30" customHeight="1" x14ac:dyDescent="0.3">
      <c r="A90" s="3"/>
      <c r="B90" s="8"/>
      <c r="C90" s="60">
        <v>4569</v>
      </c>
      <c r="D90" s="60">
        <v>8008</v>
      </c>
      <c r="E90" s="60" t="str">
        <f>+VLOOKUP(C90,'PRECIOS IDU 2025'!$A$1:$E$3189,2,FALSE)</f>
        <v>ESTOPEROLES DE 10 CM X 2.5 CM. SUMINISTRO E INSTALACION.</v>
      </c>
      <c r="F90" s="60" t="str">
        <f>+VLOOKUP(C90,'PRECIOS IDU 2025'!$A$1:$E$3189,3,FALSE)</f>
        <v>UN</v>
      </c>
      <c r="G90" s="108">
        <f t="shared" si="922"/>
        <v>70</v>
      </c>
      <c r="H90" s="69">
        <f>+VLOOKUP(C90,'PRECIOS DE REFERENCIA APU'!$A$1:$D$3745,4,FALSE)</f>
        <v>11419</v>
      </c>
      <c r="I90" s="69">
        <f t="shared" si="829"/>
        <v>15644</v>
      </c>
      <c r="J90" s="69">
        <f t="shared" si="830"/>
        <v>1095080</v>
      </c>
      <c r="K90" s="9"/>
      <c r="L90" s="503">
        <v>850</v>
      </c>
      <c r="M90" s="503"/>
      <c r="O90" s="73"/>
      <c r="P90" s="69">
        <f t="shared" ref="P90:R97" si="938">+ROUND($I90*O90,0)</f>
        <v>0</v>
      </c>
      <c r="Q90" s="73"/>
      <c r="R90" s="69">
        <f t="shared" si="938"/>
        <v>0</v>
      </c>
      <c r="S90" s="73"/>
      <c r="T90" s="69">
        <f t="shared" ref="T90" si="939">+ROUND($I90*S90,0)</f>
        <v>0</v>
      </c>
      <c r="U90" s="73"/>
      <c r="V90" s="69">
        <f t="shared" ref="V90" si="940">+ROUND($I90*U90,0)</f>
        <v>0</v>
      </c>
      <c r="W90" s="73"/>
      <c r="X90" s="69">
        <f t="shared" ref="X90" si="941">+ROUND($I90*W90,0)</f>
        <v>0</v>
      </c>
      <c r="Y90" s="73"/>
      <c r="Z90" s="69">
        <f t="shared" ref="Z90" si="942">+ROUND($I90*Y90,0)</f>
        <v>0</v>
      </c>
      <c r="AA90" s="73"/>
      <c r="AB90" s="69">
        <f t="shared" ref="AB90:AD90" si="943">+ROUND($I90*AA90,0)</f>
        <v>0</v>
      </c>
      <c r="AC90" s="73"/>
      <c r="AD90" s="69">
        <f t="shared" si="943"/>
        <v>0</v>
      </c>
      <c r="AE90" s="73"/>
      <c r="AF90" s="69">
        <f t="shared" si="836"/>
        <v>0</v>
      </c>
      <c r="AG90" s="73"/>
      <c r="AH90" s="69">
        <f t="shared" ref="AH90" si="944">+ROUND($I90*AG90,0)</f>
        <v>0</v>
      </c>
      <c r="AI90" s="73"/>
      <c r="AJ90" s="69">
        <f t="shared" ref="AJ90" si="945">+ROUND($I90*AI90,0)</f>
        <v>0</v>
      </c>
      <c r="AK90" s="73">
        <v>50</v>
      </c>
      <c r="AL90" s="69">
        <f t="shared" ref="AL90" si="946">+ROUND($I90*AK90,0)</f>
        <v>782200</v>
      </c>
      <c r="AM90" s="73"/>
      <c r="AN90" s="69">
        <f t="shared" ref="AN90" si="947">+ROUND($I90*AM90,0)</f>
        <v>0</v>
      </c>
      <c r="AO90" s="73"/>
      <c r="AP90" s="69">
        <f t="shared" ref="AP90" si="948">+ROUND($I90*AO90,0)</f>
        <v>0</v>
      </c>
      <c r="AQ90" s="73"/>
      <c r="AR90" s="69">
        <f t="shared" ref="AR90" si="949">+ROUND($I90*AQ90,0)</f>
        <v>0</v>
      </c>
      <c r="AS90" s="73"/>
      <c r="AT90" s="69">
        <f t="shared" ref="AT90" si="950">+ROUND($I90*AS90,0)</f>
        <v>0</v>
      </c>
      <c r="AU90" s="73"/>
      <c r="AV90" s="69">
        <f t="shared" ref="AV90:AX90" si="951">+ROUND($I90*AU90,0)</f>
        <v>0</v>
      </c>
      <c r="AW90" s="73"/>
      <c r="AX90" s="69">
        <f t="shared" si="951"/>
        <v>0</v>
      </c>
      <c r="AY90" s="73"/>
      <c r="AZ90" s="69">
        <f t="shared" ref="AZ90" si="952">+ROUND($I90*AY90,0)</f>
        <v>0</v>
      </c>
      <c r="BA90" s="73">
        <v>20</v>
      </c>
      <c r="BB90" s="69">
        <f t="shared" ref="BB90" si="953">+ROUND($I90*BA90,0)</f>
        <v>312880</v>
      </c>
    </row>
    <row r="91" spans="1:54" ht="30" customHeight="1" x14ac:dyDescent="0.3">
      <c r="A91" s="3"/>
      <c r="B91" s="8"/>
      <c r="C91" s="60">
        <v>5220</v>
      </c>
      <c r="D91" s="60">
        <v>8009</v>
      </c>
      <c r="E91" s="60" t="str">
        <f>+VLOOKUP(C91,'PRECIOS IDU 2025'!$A$1:$E$3189,2,FALSE)</f>
        <v>PINTURA EN PLASTICO EN FRIO METILMETACRILATO DE A=12CM PARA LINEAS DE DEMARCACIÓN, CON MICROESFERAS Y ESPESOR SECO SEGÚN NORMA NTC 4744. SUMINISTRO Y APLICACIÓN.</v>
      </c>
      <c r="F91" s="60" t="str">
        <f>+VLOOKUP(C91,'PRECIOS IDU 2025'!$A$1:$E$3189,3,FALSE)</f>
        <v>ML</v>
      </c>
      <c r="G91" s="108">
        <f t="shared" si="922"/>
        <v>10</v>
      </c>
      <c r="H91" s="69">
        <f>+VLOOKUP(C91,'PRECIOS DE REFERENCIA APU'!$A$1:$D$3745,4,FALSE)</f>
        <v>19113</v>
      </c>
      <c r="I91" s="69">
        <f t="shared" si="829"/>
        <v>26185</v>
      </c>
      <c r="J91" s="69">
        <f t="shared" si="830"/>
        <v>261850</v>
      </c>
      <c r="K91" s="9"/>
      <c r="L91" s="503">
        <v>1024.67</v>
      </c>
      <c r="M91" s="503"/>
      <c r="O91" s="73"/>
      <c r="P91" s="69">
        <f t="shared" si="938"/>
        <v>0</v>
      </c>
      <c r="Q91" s="73"/>
      <c r="R91" s="69">
        <f t="shared" si="938"/>
        <v>0</v>
      </c>
      <c r="S91" s="73"/>
      <c r="T91" s="69">
        <f t="shared" ref="T91" si="954">+ROUND($I91*S91,0)</f>
        <v>0</v>
      </c>
      <c r="U91" s="73"/>
      <c r="V91" s="69">
        <f t="shared" ref="V91" si="955">+ROUND($I91*U91,0)</f>
        <v>0</v>
      </c>
      <c r="W91" s="73"/>
      <c r="X91" s="69">
        <f t="shared" ref="X91" si="956">+ROUND($I91*W91,0)</f>
        <v>0</v>
      </c>
      <c r="Y91" s="73"/>
      <c r="Z91" s="69">
        <f t="shared" ref="Z91" si="957">+ROUND($I91*Y91,0)</f>
        <v>0</v>
      </c>
      <c r="AA91" s="73"/>
      <c r="AB91" s="69">
        <f t="shared" ref="AB91:AD91" si="958">+ROUND($I91*AA91,0)</f>
        <v>0</v>
      </c>
      <c r="AC91" s="73"/>
      <c r="AD91" s="69">
        <f t="shared" si="958"/>
        <v>0</v>
      </c>
      <c r="AE91" s="73"/>
      <c r="AF91" s="69">
        <f t="shared" si="836"/>
        <v>0</v>
      </c>
      <c r="AG91" s="73"/>
      <c r="AH91" s="69">
        <f t="shared" ref="AH91" si="959">+ROUND($I91*AG91,0)</f>
        <v>0</v>
      </c>
      <c r="AI91" s="73"/>
      <c r="AJ91" s="69">
        <f t="shared" ref="AJ91" si="960">+ROUND($I91*AI91,0)</f>
        <v>0</v>
      </c>
      <c r="AK91" s="73"/>
      <c r="AL91" s="69">
        <f t="shared" ref="AL91" si="961">+ROUND($I91*AK91,0)</f>
        <v>0</v>
      </c>
      <c r="AM91" s="73"/>
      <c r="AN91" s="69">
        <f t="shared" ref="AN91" si="962">+ROUND($I91*AM91,0)</f>
        <v>0</v>
      </c>
      <c r="AO91" s="73"/>
      <c r="AP91" s="69">
        <f t="shared" ref="AP91" si="963">+ROUND($I91*AO91,0)</f>
        <v>0</v>
      </c>
      <c r="AQ91" s="73"/>
      <c r="AR91" s="69">
        <f t="shared" ref="AR91" si="964">+ROUND($I91*AQ91,0)</f>
        <v>0</v>
      </c>
      <c r="AS91" s="73"/>
      <c r="AT91" s="69">
        <f t="shared" ref="AT91" si="965">+ROUND($I91*AS91,0)</f>
        <v>0</v>
      </c>
      <c r="AU91" s="73"/>
      <c r="AV91" s="69">
        <f t="shared" ref="AV91:AX91" si="966">+ROUND($I91*AU91,0)</f>
        <v>0</v>
      </c>
      <c r="AW91" s="73"/>
      <c r="AX91" s="69">
        <f t="shared" si="966"/>
        <v>0</v>
      </c>
      <c r="AY91" s="73"/>
      <c r="AZ91" s="69">
        <f t="shared" ref="AZ91" si="967">+ROUND($I91*AY91,0)</f>
        <v>0</v>
      </c>
      <c r="BA91" s="73">
        <v>10</v>
      </c>
      <c r="BB91" s="69">
        <f t="shared" ref="BB91" si="968">+ROUND($I91*BA91,0)</f>
        <v>261850</v>
      </c>
    </row>
    <row r="92" spans="1:54" ht="30" customHeight="1" x14ac:dyDescent="0.3">
      <c r="A92" s="3"/>
      <c r="B92" s="8"/>
      <c r="C92" s="60">
        <v>5225</v>
      </c>
      <c r="D92" s="60">
        <v>8010</v>
      </c>
      <c r="E92" s="60" t="str">
        <f>+VLOOKUP(C92,'PRECIOS IDU 2025'!$A$1:$E$3189,2,FALSE)</f>
        <v>PINTURA DE TRÁFICO - IMPRIMANTE NEGRO A=15CM. SUMINISTRO Y APLICACIÓN.</v>
      </c>
      <c r="F92" s="60" t="str">
        <f>+VLOOKUP(C92,'PRECIOS IDU 2025'!$A$1:$E$3189,3,FALSE)</f>
        <v>ML</v>
      </c>
      <c r="G92" s="108">
        <f t="shared" si="922"/>
        <v>10</v>
      </c>
      <c r="H92" s="69">
        <f>+VLOOKUP(C92,'PRECIOS DE REFERENCIA APU'!$A$1:$D$3745,4,FALSE)</f>
        <v>4608</v>
      </c>
      <c r="I92" s="69">
        <f t="shared" si="829"/>
        <v>6313</v>
      </c>
      <c r="J92" s="69">
        <f t="shared" si="830"/>
        <v>63130</v>
      </c>
      <c r="K92" s="9"/>
      <c r="L92" s="503">
        <v>1794.67</v>
      </c>
      <c r="M92" s="503"/>
      <c r="O92" s="73"/>
      <c r="P92" s="69">
        <f t="shared" si="938"/>
        <v>0</v>
      </c>
      <c r="Q92" s="73"/>
      <c r="R92" s="69">
        <f t="shared" si="938"/>
        <v>0</v>
      </c>
      <c r="S92" s="73"/>
      <c r="T92" s="69">
        <f t="shared" ref="T92" si="969">+ROUND($I92*S92,0)</f>
        <v>0</v>
      </c>
      <c r="U92" s="73"/>
      <c r="V92" s="69">
        <f t="shared" ref="V92" si="970">+ROUND($I92*U92,0)</f>
        <v>0</v>
      </c>
      <c r="W92" s="73"/>
      <c r="X92" s="69">
        <f t="shared" ref="X92" si="971">+ROUND($I92*W92,0)</f>
        <v>0</v>
      </c>
      <c r="Y92" s="73"/>
      <c r="Z92" s="69">
        <f t="shared" ref="Z92" si="972">+ROUND($I92*Y92,0)</f>
        <v>0</v>
      </c>
      <c r="AA92" s="73"/>
      <c r="AB92" s="69">
        <f t="shared" ref="AB92:AD92" si="973">+ROUND($I92*AA92,0)</f>
        <v>0</v>
      </c>
      <c r="AC92" s="73"/>
      <c r="AD92" s="69">
        <f t="shared" si="973"/>
        <v>0</v>
      </c>
      <c r="AE92" s="73"/>
      <c r="AF92" s="69">
        <f t="shared" si="836"/>
        <v>0</v>
      </c>
      <c r="AG92" s="73"/>
      <c r="AH92" s="69">
        <f t="shared" ref="AH92" si="974">+ROUND($I92*AG92,0)</f>
        <v>0</v>
      </c>
      <c r="AI92" s="73"/>
      <c r="AJ92" s="69">
        <f t="shared" ref="AJ92" si="975">+ROUND($I92*AI92,0)</f>
        <v>0</v>
      </c>
      <c r="AK92" s="73"/>
      <c r="AL92" s="69">
        <f t="shared" ref="AL92" si="976">+ROUND($I92*AK92,0)</f>
        <v>0</v>
      </c>
      <c r="AM92" s="73"/>
      <c r="AN92" s="69">
        <f t="shared" ref="AN92" si="977">+ROUND($I92*AM92,0)</f>
        <v>0</v>
      </c>
      <c r="AO92" s="73"/>
      <c r="AP92" s="69">
        <f t="shared" ref="AP92" si="978">+ROUND($I92*AO92,0)</f>
        <v>0</v>
      </c>
      <c r="AQ92" s="73"/>
      <c r="AR92" s="69">
        <f t="shared" ref="AR92" si="979">+ROUND($I92*AQ92,0)</f>
        <v>0</v>
      </c>
      <c r="AS92" s="73"/>
      <c r="AT92" s="69">
        <f t="shared" ref="AT92" si="980">+ROUND($I92*AS92,0)</f>
        <v>0</v>
      </c>
      <c r="AU92" s="73"/>
      <c r="AV92" s="69">
        <f t="shared" ref="AV92:AX92" si="981">+ROUND($I92*AU92,0)</f>
        <v>0</v>
      </c>
      <c r="AW92" s="73"/>
      <c r="AX92" s="69">
        <f t="shared" si="981"/>
        <v>0</v>
      </c>
      <c r="AY92" s="73"/>
      <c r="AZ92" s="69">
        <f t="shared" ref="AZ92" si="982">+ROUND($I92*AY92,0)</f>
        <v>0</v>
      </c>
      <c r="BA92" s="73">
        <v>10</v>
      </c>
      <c r="BB92" s="69">
        <f t="shared" ref="BB92" si="983">+ROUND($I92*BA92,0)</f>
        <v>63130</v>
      </c>
    </row>
    <row r="93" spans="1:54" ht="30" customHeight="1" x14ac:dyDescent="0.3">
      <c r="A93" s="3"/>
      <c r="B93" s="8"/>
      <c r="C93" s="60">
        <v>5226</v>
      </c>
      <c r="D93" s="60">
        <v>8011</v>
      </c>
      <c r="E93" s="60" t="str">
        <f>+VLOOKUP(C93,'PRECIOS IDU 2025'!$A$1:$E$3189,2,FALSE)</f>
        <v>PINTURA DE TRÁFICO - IMPRIMANTE NEGRO A=20CM. SUMINISTRO Y APLICACIÓN.</v>
      </c>
      <c r="F93" s="60" t="str">
        <f>+VLOOKUP(C93,'PRECIOS IDU 2025'!$A$1:$E$3189,3,FALSE)</f>
        <v>ML</v>
      </c>
      <c r="G93" s="108">
        <f t="shared" si="922"/>
        <v>10</v>
      </c>
      <c r="H93" s="69">
        <f>+VLOOKUP(C93,'PRECIOS DE REFERENCIA APU'!$A$1:$D$3745,4,FALSE)</f>
        <v>6300</v>
      </c>
      <c r="I93" s="69">
        <f t="shared" si="829"/>
        <v>8631</v>
      </c>
      <c r="J93" s="69">
        <f t="shared" si="830"/>
        <v>86310</v>
      </c>
      <c r="K93" s="9"/>
      <c r="L93" s="503">
        <v>1794.67</v>
      </c>
      <c r="M93" s="503"/>
      <c r="O93" s="73"/>
      <c r="P93" s="69">
        <f t="shared" si="938"/>
        <v>0</v>
      </c>
      <c r="Q93" s="73"/>
      <c r="R93" s="69">
        <f t="shared" si="938"/>
        <v>0</v>
      </c>
      <c r="S93" s="73"/>
      <c r="T93" s="69">
        <f t="shared" ref="T93" si="984">+ROUND($I93*S93,0)</f>
        <v>0</v>
      </c>
      <c r="U93" s="73"/>
      <c r="V93" s="69">
        <f t="shared" ref="V93" si="985">+ROUND($I93*U93,0)</f>
        <v>0</v>
      </c>
      <c r="W93" s="73"/>
      <c r="X93" s="69">
        <f t="shared" ref="X93" si="986">+ROUND($I93*W93,0)</f>
        <v>0</v>
      </c>
      <c r="Y93" s="73"/>
      <c r="Z93" s="69">
        <f t="shared" ref="Z93" si="987">+ROUND($I93*Y93,0)</f>
        <v>0</v>
      </c>
      <c r="AA93" s="73"/>
      <c r="AB93" s="69">
        <f t="shared" ref="AB93:AD93" si="988">+ROUND($I93*AA93,0)</f>
        <v>0</v>
      </c>
      <c r="AC93" s="73"/>
      <c r="AD93" s="69">
        <f t="shared" si="988"/>
        <v>0</v>
      </c>
      <c r="AE93" s="73"/>
      <c r="AF93" s="69">
        <f t="shared" si="836"/>
        <v>0</v>
      </c>
      <c r="AG93" s="73"/>
      <c r="AH93" s="69">
        <f t="shared" ref="AH93" si="989">+ROUND($I93*AG93,0)</f>
        <v>0</v>
      </c>
      <c r="AI93" s="73"/>
      <c r="AJ93" s="69">
        <f t="shared" ref="AJ93" si="990">+ROUND($I93*AI93,0)</f>
        <v>0</v>
      </c>
      <c r="AK93" s="73"/>
      <c r="AL93" s="69">
        <f t="shared" ref="AL93" si="991">+ROUND($I93*AK93,0)</f>
        <v>0</v>
      </c>
      <c r="AM93" s="73"/>
      <c r="AN93" s="69">
        <f t="shared" ref="AN93" si="992">+ROUND($I93*AM93,0)</f>
        <v>0</v>
      </c>
      <c r="AO93" s="73"/>
      <c r="AP93" s="69">
        <f t="shared" ref="AP93" si="993">+ROUND($I93*AO93,0)</f>
        <v>0</v>
      </c>
      <c r="AQ93" s="73"/>
      <c r="AR93" s="69">
        <f t="shared" ref="AR93" si="994">+ROUND($I93*AQ93,0)</f>
        <v>0</v>
      </c>
      <c r="AS93" s="73"/>
      <c r="AT93" s="69">
        <f t="shared" ref="AT93" si="995">+ROUND($I93*AS93,0)</f>
        <v>0</v>
      </c>
      <c r="AU93" s="73"/>
      <c r="AV93" s="69">
        <f t="shared" ref="AV93:AX93" si="996">+ROUND($I93*AU93,0)</f>
        <v>0</v>
      </c>
      <c r="AW93" s="73"/>
      <c r="AX93" s="69">
        <f t="shared" si="996"/>
        <v>0</v>
      </c>
      <c r="AY93" s="73"/>
      <c r="AZ93" s="69">
        <f t="shared" ref="AZ93" si="997">+ROUND($I93*AY93,0)</f>
        <v>0</v>
      </c>
      <c r="BA93" s="73">
        <v>10</v>
      </c>
      <c r="BB93" s="69">
        <f t="shared" ref="BB93" si="998">+ROUND($I93*BA93,0)</f>
        <v>86310</v>
      </c>
    </row>
    <row r="94" spans="1:54" ht="30" customHeight="1" x14ac:dyDescent="0.3">
      <c r="A94" s="3"/>
      <c r="B94" s="8"/>
      <c r="C94" s="60">
        <v>5227</v>
      </c>
      <c r="D94" s="60">
        <v>8012</v>
      </c>
      <c r="E94" s="60" t="str">
        <f>+VLOOKUP(C94,'PRECIOS IDU 2025'!$A$1:$E$3189,2,FALSE)</f>
        <v>PINTURA DE TRÁFICO - IMPRIMANTE NEGRO. SUMINISTRO Y APLICACIÓN.</v>
      </c>
      <c r="F94" s="60" t="str">
        <f>+VLOOKUP(C94,'PRECIOS IDU 2025'!$A$1:$E$3189,3,FALSE)</f>
        <v>M2</v>
      </c>
      <c r="G94" s="108">
        <f t="shared" si="922"/>
        <v>10</v>
      </c>
      <c r="H94" s="69">
        <f>+VLOOKUP(C94,'PRECIOS DE REFERENCIA APU'!$A$1:$D$3745,4,FALSE)</f>
        <v>26586</v>
      </c>
      <c r="I94" s="69">
        <f t="shared" si="829"/>
        <v>36423</v>
      </c>
      <c r="J94" s="69">
        <f t="shared" si="830"/>
        <v>364230</v>
      </c>
      <c r="K94" s="9"/>
      <c r="L94" s="503">
        <v>1024.67</v>
      </c>
      <c r="M94" s="503"/>
      <c r="O94" s="73"/>
      <c r="P94" s="69">
        <f t="shared" si="938"/>
        <v>0</v>
      </c>
      <c r="Q94" s="73"/>
      <c r="R94" s="69">
        <f t="shared" si="938"/>
        <v>0</v>
      </c>
      <c r="S94" s="73"/>
      <c r="T94" s="69">
        <f t="shared" ref="T94" si="999">+ROUND($I94*S94,0)</f>
        <v>0</v>
      </c>
      <c r="U94" s="73"/>
      <c r="V94" s="69">
        <f t="shared" ref="V94" si="1000">+ROUND($I94*U94,0)</f>
        <v>0</v>
      </c>
      <c r="W94" s="73"/>
      <c r="X94" s="69">
        <f t="shared" ref="X94" si="1001">+ROUND($I94*W94,0)</f>
        <v>0</v>
      </c>
      <c r="Y94" s="73"/>
      <c r="Z94" s="69">
        <f t="shared" ref="Z94" si="1002">+ROUND($I94*Y94,0)</f>
        <v>0</v>
      </c>
      <c r="AA94" s="73"/>
      <c r="AB94" s="69">
        <f t="shared" ref="AB94:AD94" si="1003">+ROUND($I94*AA94,0)</f>
        <v>0</v>
      </c>
      <c r="AC94" s="73"/>
      <c r="AD94" s="69">
        <f t="shared" si="1003"/>
        <v>0</v>
      </c>
      <c r="AE94" s="73"/>
      <c r="AF94" s="69">
        <f t="shared" si="836"/>
        <v>0</v>
      </c>
      <c r="AG94" s="73"/>
      <c r="AH94" s="69">
        <f t="shared" ref="AH94" si="1004">+ROUND($I94*AG94,0)</f>
        <v>0</v>
      </c>
      <c r="AI94" s="73"/>
      <c r="AJ94" s="69">
        <f t="shared" ref="AJ94" si="1005">+ROUND($I94*AI94,0)</f>
        <v>0</v>
      </c>
      <c r="AK94" s="73"/>
      <c r="AL94" s="69">
        <f t="shared" ref="AL94" si="1006">+ROUND($I94*AK94,0)</f>
        <v>0</v>
      </c>
      <c r="AM94" s="73"/>
      <c r="AN94" s="69">
        <f t="shared" ref="AN94" si="1007">+ROUND($I94*AM94,0)</f>
        <v>0</v>
      </c>
      <c r="AO94" s="73"/>
      <c r="AP94" s="69">
        <f t="shared" ref="AP94" si="1008">+ROUND($I94*AO94,0)</f>
        <v>0</v>
      </c>
      <c r="AQ94" s="73"/>
      <c r="AR94" s="69">
        <f t="shared" ref="AR94" si="1009">+ROUND($I94*AQ94,0)</f>
        <v>0</v>
      </c>
      <c r="AS94" s="73"/>
      <c r="AT94" s="69">
        <f t="shared" ref="AT94" si="1010">+ROUND($I94*AS94,0)</f>
        <v>0</v>
      </c>
      <c r="AU94" s="73"/>
      <c r="AV94" s="69">
        <f t="shared" ref="AV94:AX94" si="1011">+ROUND($I94*AU94,0)</f>
        <v>0</v>
      </c>
      <c r="AW94" s="73"/>
      <c r="AX94" s="69">
        <f t="shared" si="1011"/>
        <v>0</v>
      </c>
      <c r="AY94" s="73"/>
      <c r="AZ94" s="69">
        <f t="shared" ref="AZ94" si="1012">+ROUND($I94*AY94,0)</f>
        <v>0</v>
      </c>
      <c r="BA94" s="73">
        <v>10</v>
      </c>
      <c r="BB94" s="69">
        <f t="shared" ref="BB94" si="1013">+ROUND($I94*BA94,0)</f>
        <v>364230</v>
      </c>
    </row>
    <row r="95" spans="1:54" ht="30" customHeight="1" x14ac:dyDescent="0.3">
      <c r="A95" s="3"/>
      <c r="B95" s="8"/>
      <c r="C95" s="60">
        <v>5241</v>
      </c>
      <c r="D95" s="60">
        <v>8013</v>
      </c>
      <c r="E95" s="60" t="str">
        <f>+VLOOKUP(C95,'PRECIOS IDU 2025'!$A$1:$E$3189,2,FALSE)</f>
        <v>TACHA REFLECTIVA BIDIRECCIONAL (INCLUYE SUMINISTRO E INSTALACIÓN).</v>
      </c>
      <c r="F95" s="60" t="str">
        <f>+VLOOKUP(C95,'PRECIOS IDU 2025'!$A$1:$E$3189,3,FALSE)</f>
        <v>UN</v>
      </c>
      <c r="G95" s="108">
        <f t="shared" si="922"/>
        <v>10</v>
      </c>
      <c r="H95" s="69">
        <f>+VLOOKUP(C95,'PRECIOS DE REFERENCIA APU'!$A$1:$D$3745,4,FALSE)</f>
        <v>19717</v>
      </c>
      <c r="I95" s="69">
        <f t="shared" si="829"/>
        <v>27012</v>
      </c>
      <c r="J95" s="69">
        <f t="shared" si="830"/>
        <v>270120</v>
      </c>
      <c r="K95" s="9"/>
      <c r="L95" s="503">
        <v>34</v>
      </c>
      <c r="M95" s="503"/>
      <c r="O95" s="73"/>
      <c r="P95" s="69">
        <f t="shared" si="938"/>
        <v>0</v>
      </c>
      <c r="Q95" s="73"/>
      <c r="R95" s="69">
        <f t="shared" si="938"/>
        <v>0</v>
      </c>
      <c r="S95" s="73"/>
      <c r="T95" s="69">
        <f t="shared" ref="T95" si="1014">+ROUND($I95*S95,0)</f>
        <v>0</v>
      </c>
      <c r="U95" s="73"/>
      <c r="V95" s="69">
        <f t="shared" ref="V95" si="1015">+ROUND($I95*U95,0)</f>
        <v>0</v>
      </c>
      <c r="W95" s="73"/>
      <c r="X95" s="69">
        <f t="shared" ref="X95" si="1016">+ROUND($I95*W95,0)</f>
        <v>0</v>
      </c>
      <c r="Y95" s="73"/>
      <c r="Z95" s="69">
        <f t="shared" ref="Z95" si="1017">+ROUND($I95*Y95,0)</f>
        <v>0</v>
      </c>
      <c r="AA95" s="73"/>
      <c r="AB95" s="69">
        <f t="shared" ref="AB95:AD95" si="1018">+ROUND($I95*AA95,0)</f>
        <v>0</v>
      </c>
      <c r="AC95" s="73"/>
      <c r="AD95" s="69">
        <f t="shared" si="1018"/>
        <v>0</v>
      </c>
      <c r="AE95" s="73"/>
      <c r="AF95" s="69">
        <f t="shared" si="836"/>
        <v>0</v>
      </c>
      <c r="AG95" s="73"/>
      <c r="AH95" s="69">
        <f t="shared" ref="AH95" si="1019">+ROUND($I95*AG95,0)</f>
        <v>0</v>
      </c>
      <c r="AI95" s="73"/>
      <c r="AJ95" s="69">
        <f t="shared" ref="AJ95" si="1020">+ROUND($I95*AI95,0)</f>
        <v>0</v>
      </c>
      <c r="AK95" s="73"/>
      <c r="AL95" s="69">
        <f t="shared" ref="AL95" si="1021">+ROUND($I95*AK95,0)</f>
        <v>0</v>
      </c>
      <c r="AM95" s="73"/>
      <c r="AN95" s="69">
        <f t="shared" ref="AN95" si="1022">+ROUND($I95*AM95,0)</f>
        <v>0</v>
      </c>
      <c r="AO95" s="73"/>
      <c r="AP95" s="69">
        <f t="shared" ref="AP95" si="1023">+ROUND($I95*AO95,0)</f>
        <v>0</v>
      </c>
      <c r="AQ95" s="73"/>
      <c r="AR95" s="69">
        <f t="shared" ref="AR95" si="1024">+ROUND($I95*AQ95,0)</f>
        <v>0</v>
      </c>
      <c r="AS95" s="73"/>
      <c r="AT95" s="69">
        <f t="shared" ref="AT95" si="1025">+ROUND($I95*AS95,0)</f>
        <v>0</v>
      </c>
      <c r="AU95" s="73"/>
      <c r="AV95" s="69">
        <f t="shared" ref="AV95:AX95" si="1026">+ROUND($I95*AU95,0)</f>
        <v>0</v>
      </c>
      <c r="AW95" s="73"/>
      <c r="AX95" s="69">
        <f t="shared" si="1026"/>
        <v>0</v>
      </c>
      <c r="AY95" s="73"/>
      <c r="AZ95" s="69">
        <f t="shared" ref="AZ95" si="1027">+ROUND($I95*AY95,0)</f>
        <v>0</v>
      </c>
      <c r="BA95" s="73">
        <v>10</v>
      </c>
      <c r="BB95" s="69">
        <f t="shared" ref="BB95" si="1028">+ROUND($I95*BA95,0)</f>
        <v>270120</v>
      </c>
    </row>
    <row r="96" spans="1:54" ht="41.4" x14ac:dyDescent="0.3">
      <c r="A96" s="3"/>
      <c r="B96" s="8"/>
      <c r="C96" s="60">
        <v>8566</v>
      </c>
      <c r="D96" s="60">
        <v>8014</v>
      </c>
      <c r="E96" s="60" t="str">
        <f>+VLOOKUP(C96,'PRECIOS IDU 2025'!$A$1:$E$3189,2,FALSE)</f>
        <v>PINTURA EN PLÁSTICO EN FRÍO METILMETACRILATO PARA MARCAS VIALES, CON MICROESFERAS Y ESPESOR SECO SEGÚN NORMA NTC 4744. SUMINISTRO Y APLICACIÓN. (CEBRAS, FLECHAS, PICTOGRAMAS, LINEAS DE PARE, SENDEROS PEATONALES, ACHURADOS, ETC).</v>
      </c>
      <c r="F96" s="60" t="str">
        <f>+VLOOKUP(C96,'PRECIOS IDU 2025'!$A$1:$E$3189,3,FALSE)</f>
        <v>M2</v>
      </c>
      <c r="G96" s="108">
        <f t="shared" si="922"/>
        <v>10</v>
      </c>
      <c r="H96" s="69">
        <f>+VLOOKUP(C96,'PRECIOS DE REFERENCIA APU'!$A$1:$D$3745,4,FALSE)</f>
        <v>147965</v>
      </c>
      <c r="I96" s="69">
        <f t="shared" si="829"/>
        <v>202712</v>
      </c>
      <c r="J96" s="69">
        <f t="shared" si="830"/>
        <v>2027120</v>
      </c>
      <c r="K96" s="9"/>
      <c r="L96" s="503">
        <v>188.94</v>
      </c>
      <c r="M96" s="503"/>
      <c r="O96" s="73"/>
      <c r="P96" s="69">
        <f t="shared" si="938"/>
        <v>0</v>
      </c>
      <c r="Q96" s="73"/>
      <c r="R96" s="69">
        <f t="shared" si="938"/>
        <v>0</v>
      </c>
      <c r="S96" s="73"/>
      <c r="T96" s="69">
        <f t="shared" ref="T96" si="1029">+ROUND($I96*S96,0)</f>
        <v>0</v>
      </c>
      <c r="U96" s="73"/>
      <c r="V96" s="69">
        <f t="shared" ref="V96" si="1030">+ROUND($I96*U96,0)</f>
        <v>0</v>
      </c>
      <c r="W96" s="73"/>
      <c r="X96" s="69">
        <f t="shared" ref="X96" si="1031">+ROUND($I96*W96,0)</f>
        <v>0</v>
      </c>
      <c r="Y96" s="73"/>
      <c r="Z96" s="69">
        <f t="shared" ref="Z96" si="1032">+ROUND($I96*Y96,0)</f>
        <v>0</v>
      </c>
      <c r="AA96" s="73"/>
      <c r="AB96" s="69">
        <f t="shared" ref="AB96:AD96" si="1033">+ROUND($I96*AA96,0)</f>
        <v>0</v>
      </c>
      <c r="AC96" s="73"/>
      <c r="AD96" s="69">
        <f t="shared" si="1033"/>
        <v>0</v>
      </c>
      <c r="AE96" s="73"/>
      <c r="AF96" s="69">
        <f t="shared" si="836"/>
        <v>0</v>
      </c>
      <c r="AG96" s="73"/>
      <c r="AH96" s="69">
        <f t="shared" ref="AH96" si="1034">+ROUND($I96*AG96,0)</f>
        <v>0</v>
      </c>
      <c r="AI96" s="73"/>
      <c r="AJ96" s="69">
        <f t="shared" ref="AJ96" si="1035">+ROUND($I96*AI96,0)</f>
        <v>0</v>
      </c>
      <c r="AK96" s="73"/>
      <c r="AL96" s="69">
        <f t="shared" ref="AL96" si="1036">+ROUND($I96*AK96,0)</f>
        <v>0</v>
      </c>
      <c r="AM96" s="73"/>
      <c r="AN96" s="69">
        <f t="shared" ref="AN96" si="1037">+ROUND($I96*AM96,0)</f>
        <v>0</v>
      </c>
      <c r="AO96" s="73"/>
      <c r="AP96" s="69">
        <f t="shared" ref="AP96" si="1038">+ROUND($I96*AO96,0)</f>
        <v>0</v>
      </c>
      <c r="AQ96" s="73"/>
      <c r="AR96" s="69">
        <f t="shared" ref="AR96" si="1039">+ROUND($I96*AQ96,0)</f>
        <v>0</v>
      </c>
      <c r="AS96" s="73"/>
      <c r="AT96" s="69">
        <f t="shared" ref="AT96" si="1040">+ROUND($I96*AS96,0)</f>
        <v>0</v>
      </c>
      <c r="AU96" s="73"/>
      <c r="AV96" s="69">
        <f t="shared" ref="AV96:AX96" si="1041">+ROUND($I96*AU96,0)</f>
        <v>0</v>
      </c>
      <c r="AW96" s="73"/>
      <c r="AX96" s="69">
        <f t="shared" si="1041"/>
        <v>0</v>
      </c>
      <c r="AY96" s="73"/>
      <c r="AZ96" s="69">
        <f t="shared" ref="AZ96" si="1042">+ROUND($I96*AY96,0)</f>
        <v>0</v>
      </c>
      <c r="BA96" s="73">
        <v>10</v>
      </c>
      <c r="BB96" s="69">
        <f t="shared" ref="BB96" si="1043">+ROUND($I96*BA96,0)</f>
        <v>2027120</v>
      </c>
    </row>
    <row r="97" spans="1:54" ht="30" customHeight="1" thickBot="1" x14ac:dyDescent="0.35">
      <c r="A97" s="3"/>
      <c r="B97" s="8"/>
      <c r="C97" s="60">
        <v>10264</v>
      </c>
      <c r="D97" s="60">
        <v>8015</v>
      </c>
      <c r="E97" s="60" t="str">
        <f>+VLOOKUP(C97,'PRECIOS IDU 2025'!$A$1:$E$3189,2,FALSE)</f>
        <v>BANDAS SONORAS REDUCTORAS DE VELOCIDAD DE 3CM DE ALTURA, CONSTRUIDA CON GRAVILLA DE 1/2", PINTURA DE LARGA DURACIÓN BLANCA Y RESINA EPÓXICA.</v>
      </c>
      <c r="F97" s="60" t="str">
        <f>+VLOOKUP(C97,'PRECIOS IDU 2025'!$A$1:$E$3189,3,FALSE)</f>
        <v>M2</v>
      </c>
      <c r="G97" s="108">
        <f t="shared" si="922"/>
        <v>10</v>
      </c>
      <c r="H97" s="69">
        <f>+VLOOKUP(C97,'PRECIOS DE REFERENCIA APU'!$A$1:$D$3745,4,FALSE)</f>
        <v>232836</v>
      </c>
      <c r="I97" s="528">
        <f t="shared" si="829"/>
        <v>318985</v>
      </c>
      <c r="J97" s="528">
        <f t="shared" si="830"/>
        <v>3189850</v>
      </c>
      <c r="K97" s="9"/>
      <c r="L97" s="503">
        <v>58.49</v>
      </c>
      <c r="M97" s="503"/>
      <c r="O97" s="73"/>
      <c r="P97" s="69">
        <f t="shared" si="938"/>
        <v>0</v>
      </c>
      <c r="Q97" s="73"/>
      <c r="R97" s="69">
        <f t="shared" si="938"/>
        <v>0</v>
      </c>
      <c r="S97" s="73"/>
      <c r="T97" s="69">
        <f t="shared" ref="T97" si="1044">+ROUND($I97*S97,0)</f>
        <v>0</v>
      </c>
      <c r="U97" s="73"/>
      <c r="V97" s="69">
        <f t="shared" ref="V97" si="1045">+ROUND($I97*U97,0)</f>
        <v>0</v>
      </c>
      <c r="W97" s="73"/>
      <c r="X97" s="69">
        <f t="shared" ref="X97" si="1046">+ROUND($I97*W97,0)</f>
        <v>0</v>
      </c>
      <c r="Y97" s="73"/>
      <c r="Z97" s="69">
        <f t="shared" ref="Z97" si="1047">+ROUND($I97*Y97,0)</f>
        <v>0</v>
      </c>
      <c r="AA97" s="73"/>
      <c r="AB97" s="69">
        <f t="shared" ref="AB97:AD97" si="1048">+ROUND($I97*AA97,0)</f>
        <v>0</v>
      </c>
      <c r="AC97" s="73"/>
      <c r="AD97" s="69">
        <f t="shared" si="1048"/>
        <v>0</v>
      </c>
      <c r="AE97" s="73"/>
      <c r="AF97" s="69">
        <f t="shared" si="836"/>
        <v>0</v>
      </c>
      <c r="AG97" s="73"/>
      <c r="AH97" s="69">
        <f t="shared" ref="AH97" si="1049">+ROUND($I97*AG97,0)</f>
        <v>0</v>
      </c>
      <c r="AI97" s="73"/>
      <c r="AJ97" s="69">
        <f t="shared" ref="AJ97" si="1050">+ROUND($I97*AI97,0)</f>
        <v>0</v>
      </c>
      <c r="AK97" s="73"/>
      <c r="AL97" s="69">
        <f t="shared" ref="AL97" si="1051">+ROUND($I97*AK97,0)</f>
        <v>0</v>
      </c>
      <c r="AM97" s="73"/>
      <c r="AN97" s="69">
        <f t="shared" ref="AN97" si="1052">+ROUND($I97*AM97,0)</f>
        <v>0</v>
      </c>
      <c r="AO97" s="73"/>
      <c r="AP97" s="69">
        <f t="shared" ref="AP97" si="1053">+ROUND($I97*AO97,0)</f>
        <v>0</v>
      </c>
      <c r="AQ97" s="73"/>
      <c r="AR97" s="69">
        <f t="shared" ref="AR97" si="1054">+ROUND($I97*AQ97,0)</f>
        <v>0</v>
      </c>
      <c r="AS97" s="73"/>
      <c r="AT97" s="69">
        <f t="shared" ref="AT97" si="1055">+ROUND($I97*AS97,0)</f>
        <v>0</v>
      </c>
      <c r="AU97" s="73"/>
      <c r="AV97" s="69">
        <f t="shared" ref="AV97:AX97" si="1056">+ROUND($I97*AU97,0)</f>
        <v>0</v>
      </c>
      <c r="AW97" s="73"/>
      <c r="AX97" s="69">
        <f t="shared" si="1056"/>
        <v>0</v>
      </c>
      <c r="AY97" s="73"/>
      <c r="AZ97" s="69">
        <f t="shared" ref="AZ97" si="1057">+ROUND($I97*AY97,0)</f>
        <v>0</v>
      </c>
      <c r="BA97" s="73">
        <v>10</v>
      </c>
      <c r="BB97" s="69">
        <f t="shared" ref="BB97" si="1058">+ROUND($I97*BA97,0)</f>
        <v>3189850</v>
      </c>
    </row>
    <row r="98" spans="1:54" ht="30" customHeight="1" thickBot="1" x14ac:dyDescent="0.35">
      <c r="A98" s="3"/>
      <c r="B98" s="8"/>
      <c r="C98" s="87"/>
      <c r="D98" s="87"/>
      <c r="E98" s="87"/>
      <c r="F98" s="87"/>
      <c r="G98" s="87"/>
      <c r="H98" s="89"/>
      <c r="I98" s="529" t="s">
        <v>6084</v>
      </c>
      <c r="J98" s="530">
        <f>+SUM(J83:J97)</f>
        <v>22353270</v>
      </c>
      <c r="K98" s="9"/>
    </row>
    <row r="99" spans="1:54" s="22" customFormat="1" ht="30" customHeight="1" thickBot="1" x14ac:dyDescent="0.35">
      <c r="A99" s="17"/>
      <c r="B99" s="18"/>
      <c r="C99" s="573" t="s">
        <v>40</v>
      </c>
      <c r="D99" s="574"/>
      <c r="E99" s="574"/>
      <c r="F99" s="574"/>
      <c r="G99" s="574"/>
      <c r="H99" s="575"/>
      <c r="I99" s="19"/>
      <c r="J99" s="20">
        <f>+J98+J82+J63+J45</f>
        <v>1712573903</v>
      </c>
      <c r="K99" s="21"/>
      <c r="O99" s="527">
        <f>+SUM(P99:AB99)</f>
        <v>694326010</v>
      </c>
      <c r="P99" s="20">
        <f>+SUM(P24:P97)</f>
        <v>107286603</v>
      </c>
      <c r="R99" s="20">
        <f>+SUM(R24:R97)</f>
        <v>86210593</v>
      </c>
      <c r="T99" s="20">
        <f>+SUM(T24:T97)</f>
        <v>208447091</v>
      </c>
      <c r="V99" s="20">
        <f>+SUM(V24:V97)</f>
        <v>0</v>
      </c>
      <c r="X99" s="20">
        <f>+SUM(X24:X97)</f>
        <v>141779961</v>
      </c>
      <c r="Z99" s="20">
        <f>+SUM(Z24:Z97)</f>
        <v>150601762</v>
      </c>
      <c r="AB99" s="20">
        <f>+SUM(AB24:AB97)</f>
        <v>0</v>
      </c>
      <c r="AD99" s="20">
        <f>+SUM(AD24:AD97)</f>
        <v>148352924</v>
      </c>
      <c r="AF99" s="20">
        <f>+SUM(AF24:AF97)</f>
        <v>33837188</v>
      </c>
      <c r="AH99" s="20">
        <f>+SUM(AH24:AH97)</f>
        <v>2492932</v>
      </c>
      <c r="AJ99" s="20">
        <f>+SUM(AJ24:AJ97)</f>
        <v>10555067</v>
      </c>
      <c r="AL99" s="20">
        <f>+SUM(AL24:AL97)</f>
        <v>10175323</v>
      </c>
      <c r="AN99" s="20" t="e">
        <f>+SUM(AN24:AN97)</f>
        <v>#VALUE!</v>
      </c>
      <c r="AP99" s="20">
        <f>+SUM(AP24:AP97)</f>
        <v>8593328</v>
      </c>
      <c r="AR99" s="20" t="e">
        <f>+SUM(AR24:AR97)</f>
        <v>#VALUE!</v>
      </c>
      <c r="AT99" s="20" t="e">
        <f>+SUM(AT24:AT97)</f>
        <v>#VALUE!</v>
      </c>
      <c r="AV99" s="20" t="e">
        <f>+SUM(AV24:AV97)</f>
        <v>#VALUE!</v>
      </c>
      <c r="AX99" s="20" t="e">
        <f>+SUM(AX24:AX97)</f>
        <v>#VALUE!</v>
      </c>
      <c r="AZ99" s="20" t="e">
        <f>+SUM(AZ24:AZ97)</f>
        <v>#VALUE!</v>
      </c>
      <c r="BB99" s="20">
        <f>+SUM(BB24:BB97)</f>
        <v>743199330</v>
      </c>
    </row>
    <row r="100" spans="1:54" s="22" customFormat="1" ht="15.6" x14ac:dyDescent="0.3">
      <c r="A100" s="17"/>
      <c r="B100" s="18"/>
      <c r="C100" s="23"/>
      <c r="D100" s="23"/>
      <c r="E100" s="23"/>
      <c r="F100" s="23"/>
      <c r="G100" s="23"/>
      <c r="H100" s="23"/>
      <c r="I100" s="23"/>
      <c r="J100" s="24"/>
      <c r="K100" s="21"/>
      <c r="P100" s="24"/>
      <c r="R100" s="24"/>
      <c r="T100" s="24"/>
      <c r="V100" s="24"/>
      <c r="X100" s="24"/>
      <c r="Z100" s="24"/>
      <c r="AB100" s="24"/>
      <c r="AD100" s="24"/>
      <c r="AF100" s="24"/>
      <c r="AH100" s="24"/>
    </row>
    <row r="101" spans="1:54" s="22" customFormat="1" ht="27.6" x14ac:dyDescent="0.3">
      <c r="A101" s="17"/>
      <c r="B101" s="18"/>
      <c r="C101" s="23"/>
      <c r="D101" s="23"/>
      <c r="E101" s="23"/>
      <c r="F101" s="23"/>
      <c r="G101" s="23"/>
      <c r="H101" s="23"/>
      <c r="I101" s="487" t="s">
        <v>41</v>
      </c>
      <c r="J101" s="486" t="s">
        <v>42</v>
      </c>
      <c r="K101" s="21"/>
      <c r="M101" s="22" t="s">
        <v>6636</v>
      </c>
      <c r="N101" s="22" t="s">
        <v>6635</v>
      </c>
      <c r="P101" s="486"/>
      <c r="R101" s="486"/>
      <c r="T101" s="486"/>
      <c r="V101" s="486"/>
      <c r="X101" s="486"/>
      <c r="Z101" s="486"/>
      <c r="AB101" s="486"/>
      <c r="AD101" s="486"/>
      <c r="AF101" s="486"/>
      <c r="AH101" s="486"/>
      <c r="AJ101" s="486"/>
      <c r="AL101" s="486"/>
      <c r="AN101" s="486"/>
      <c r="AP101" s="486"/>
      <c r="AR101" s="486"/>
      <c r="AT101" s="486"/>
      <c r="AV101" s="486"/>
      <c r="AX101" s="486"/>
      <c r="AZ101" s="486"/>
      <c r="BB101" s="486"/>
    </row>
    <row r="102" spans="1:54" s="22" customFormat="1" ht="15.6" x14ac:dyDescent="0.3">
      <c r="A102" s="17"/>
      <c r="B102" s="18"/>
      <c r="C102" s="23"/>
      <c r="D102" s="23"/>
      <c r="E102" s="576" t="s">
        <v>6658</v>
      </c>
      <c r="F102" s="577"/>
      <c r="G102" s="577"/>
      <c r="H102" s="578"/>
      <c r="I102" s="56"/>
      <c r="J102" s="27">
        <f>+J99</f>
        <v>1712573903</v>
      </c>
      <c r="K102" s="21"/>
      <c r="M102" s="535">
        <f>+J45+J63+J98</f>
        <v>787766202</v>
      </c>
      <c r="N102" s="535">
        <f>+J82</f>
        <v>924807701</v>
      </c>
      <c r="P102" s="27">
        <f>+P99</f>
        <v>107286603</v>
      </c>
      <c r="R102" s="27">
        <f>+R99</f>
        <v>86210593</v>
      </c>
      <c r="T102" s="27">
        <f>+T99</f>
        <v>208447091</v>
      </c>
      <c r="V102" s="27">
        <f>+V99</f>
        <v>0</v>
      </c>
      <c r="X102" s="27">
        <f>+X99</f>
        <v>141779961</v>
      </c>
      <c r="Z102" s="27">
        <f>+Z99</f>
        <v>150601762</v>
      </c>
      <c r="AB102" s="27">
        <f>+AB99</f>
        <v>0</v>
      </c>
      <c r="AD102" s="27">
        <f>+AD99</f>
        <v>148352924</v>
      </c>
      <c r="AF102" s="27">
        <f>+AF99</f>
        <v>33837188</v>
      </c>
      <c r="AH102" s="27"/>
      <c r="AJ102" s="27"/>
      <c r="AL102" s="27"/>
      <c r="AN102" s="27"/>
      <c r="AP102" s="27"/>
      <c r="AR102" s="27"/>
      <c r="AT102" s="27"/>
      <c r="AV102" s="27"/>
      <c r="AX102" s="27"/>
      <c r="AZ102" s="27"/>
      <c r="BB102" s="27"/>
    </row>
    <row r="103" spans="1:54" s="22" customFormat="1" ht="15.75" customHeight="1" x14ac:dyDescent="0.3">
      <c r="A103" s="17"/>
      <c r="B103" s="18"/>
      <c r="C103" s="23"/>
      <c r="D103" s="23"/>
      <c r="E103" s="579" t="s">
        <v>43</v>
      </c>
      <c r="F103" s="580"/>
      <c r="G103" s="580"/>
      <c r="H103" s="581"/>
      <c r="I103" s="485">
        <f>ROUND(J103/($J$99/(1+$J$117)),6)</f>
        <v>4.2416000000000002E-2</v>
      </c>
      <c r="J103" s="27" cm="1">
        <f t="array" ref="J103:K103">+'COMPONENTE AMBIENTAL'!N99:O99</f>
        <v>53022691</v>
      </c>
      <c r="K103" s="21">
        <v>0</v>
      </c>
      <c r="L103" s="504"/>
      <c r="M103" s="504">
        <f>+($N$113/$N$114)*J103</f>
        <v>24400607.335711043</v>
      </c>
      <c r="N103" s="504">
        <f>+($N$112/$N$114)*J103</f>
        <v>28622083.664288953</v>
      </c>
      <c r="O103" s="527">
        <f>+SUM(P103:AB103)</f>
        <v>29450532.04016</v>
      </c>
      <c r="P103" s="27">
        <f>+P99*$I$103</f>
        <v>4550668.5528480001</v>
      </c>
      <c r="R103" s="27">
        <f>+R99*$I$103</f>
        <v>3656708.5126880002</v>
      </c>
      <c r="T103" s="27">
        <f>+T99*$I$103</f>
        <v>8841491.8118559998</v>
      </c>
      <c r="V103" s="27">
        <f>+V99*$I$103</f>
        <v>0</v>
      </c>
      <c r="X103" s="27">
        <f>+X99*$I$103</f>
        <v>6013738.8257760005</v>
      </c>
      <c r="Z103" s="27">
        <f>+Z99*$I$103</f>
        <v>6387924.3369920002</v>
      </c>
      <c r="AB103" s="27">
        <f>+AB99*$I$103</f>
        <v>0</v>
      </c>
      <c r="AD103" s="27">
        <f>+AD99*$I$103</f>
        <v>6292537.624384</v>
      </c>
      <c r="AF103" s="27">
        <f>+AF99*$I$103</f>
        <v>1435238.1662080002</v>
      </c>
      <c r="AH103" s="27"/>
      <c r="AJ103" s="27"/>
      <c r="AL103" s="27"/>
      <c r="AN103" s="27"/>
      <c r="AP103" s="27"/>
      <c r="AR103" s="27"/>
      <c r="AT103" s="27"/>
      <c r="AV103" s="27"/>
      <c r="AX103" s="27"/>
      <c r="AZ103" s="27"/>
      <c r="BB103" s="27"/>
    </row>
    <row r="104" spans="1:54" s="22" customFormat="1" ht="15.6" x14ac:dyDescent="0.3">
      <c r="A104" s="17"/>
      <c r="B104" s="18"/>
      <c r="C104" s="23"/>
      <c r="D104" s="23"/>
      <c r="E104" s="579" t="s">
        <v>44</v>
      </c>
      <c r="F104" s="580"/>
      <c r="G104" s="580"/>
      <c r="H104" s="581"/>
      <c r="I104" s="485">
        <f>ROUND(J104/($J$99/(1+$J$117)),6)</f>
        <v>2.3616999999999999E-2</v>
      </c>
      <c r="J104" s="27">
        <f>+'COMPONENTE SOCIAL'!L48</f>
        <v>29522037</v>
      </c>
      <c r="K104" s="21"/>
      <c r="L104" s="504"/>
      <c r="M104" s="504">
        <f>+($N$113/$N$114)*J104</f>
        <v>13585799.192789609</v>
      </c>
      <c r="N104" s="504">
        <f>+($N$112/$N$114)*J104</f>
        <v>15936237.80721039</v>
      </c>
      <c r="O104" s="527">
        <f>+SUM(P104:AB104)</f>
        <v>16397897.378169999</v>
      </c>
      <c r="P104" s="27">
        <f>+P99*$I$104</f>
        <v>2533787.7030509999</v>
      </c>
      <c r="R104" s="27">
        <f>+R99*$I$104</f>
        <v>2036035.574881</v>
      </c>
      <c r="T104" s="27">
        <f>+T99*$I$104</f>
        <v>4922894.9481469998</v>
      </c>
      <c r="V104" s="27">
        <f>+V99*$I$104</f>
        <v>0</v>
      </c>
      <c r="X104" s="27">
        <f>+X99*$I$104</f>
        <v>3348417.3389369999</v>
      </c>
      <c r="Z104" s="27">
        <f>+Z99*$I$104</f>
        <v>3556761.8131539999</v>
      </c>
      <c r="AB104" s="27">
        <f>+AB99*$I$104</f>
        <v>0</v>
      </c>
      <c r="AD104" s="27">
        <f>+AD99*$I$104</f>
        <v>3503651.0061079999</v>
      </c>
      <c r="AF104" s="27">
        <f>+AF99*$I$104</f>
        <v>799132.86899599992</v>
      </c>
      <c r="AH104" s="27"/>
      <c r="AJ104" s="27"/>
      <c r="AL104" s="27"/>
      <c r="AN104" s="27"/>
      <c r="AP104" s="27"/>
      <c r="AR104" s="27"/>
      <c r="AT104" s="27"/>
      <c r="AV104" s="27"/>
      <c r="AX104" s="27"/>
      <c r="AZ104" s="27"/>
      <c r="BB104" s="27"/>
    </row>
    <row r="105" spans="1:54" s="22" customFormat="1" ht="15.6" x14ac:dyDescent="0.3">
      <c r="A105" s="17"/>
      <c r="B105" s="18"/>
      <c r="C105" s="23"/>
      <c r="D105" s="23"/>
      <c r="E105" s="579" t="s">
        <v>45</v>
      </c>
      <c r="F105" s="580"/>
      <c r="G105" s="580"/>
      <c r="H105" s="581"/>
      <c r="I105" s="485">
        <f>ROUND(J105/($J$99/(1+$J$117)),6)</f>
        <v>4.3983000000000001E-2</v>
      </c>
      <c r="J105" s="27">
        <f>+'COMPONENTE PMT'!T33</f>
        <v>54980774</v>
      </c>
      <c r="K105" s="21"/>
      <c r="L105" s="504"/>
      <c r="M105" s="504">
        <f>+($N$113/$N$114)*J105</f>
        <v>25301701.065822385</v>
      </c>
      <c r="N105" s="504">
        <f>+($N$112/$N$114)*J105</f>
        <v>29679072.934177611</v>
      </c>
      <c r="O105" s="527">
        <f>+SUM(P105:AB105)</f>
        <v>30538540.897830002</v>
      </c>
      <c r="P105" s="27">
        <f>+P99*$I$105</f>
        <v>4718786.6597490003</v>
      </c>
      <c r="R105" s="27">
        <f>+R99*$I$105</f>
        <v>3791800.5119190002</v>
      </c>
      <c r="T105" s="27">
        <f>+T99*$I$105</f>
        <v>9168128.4034529999</v>
      </c>
      <c r="V105" s="27">
        <f>+V99*$I$105</f>
        <v>0</v>
      </c>
      <c r="X105" s="27">
        <f>+X99*$I$105</f>
        <v>6235908.0246630004</v>
      </c>
      <c r="Z105" s="27">
        <f>+Z99*$I$105</f>
        <v>6623917.2980460003</v>
      </c>
      <c r="AB105" s="27">
        <f>+AB99*$I$105</f>
        <v>0</v>
      </c>
      <c r="AD105" s="27">
        <f>+AD99*$I$105</f>
        <v>6525006.6562919999</v>
      </c>
      <c r="AF105" s="27">
        <f>+AF99*$I$105</f>
        <v>1488261.0398039999</v>
      </c>
      <c r="AH105" s="27"/>
      <c r="AJ105" s="27"/>
      <c r="AL105" s="27"/>
      <c r="AN105" s="27"/>
      <c r="AP105" s="27"/>
      <c r="AR105" s="27"/>
      <c r="AT105" s="27"/>
      <c r="AV105" s="27"/>
      <c r="AX105" s="27"/>
      <c r="AZ105" s="27"/>
      <c r="BB105" s="27"/>
    </row>
    <row r="106" spans="1:54" s="22" customFormat="1" ht="61.2" customHeight="1" thickBot="1" x14ac:dyDescent="0.35">
      <c r="A106" s="17"/>
      <c r="B106" s="18"/>
      <c r="C106" s="23"/>
      <c r="D106" s="23"/>
      <c r="E106" s="570" t="s">
        <v>6624</v>
      </c>
      <c r="F106" s="571"/>
      <c r="G106" s="571"/>
      <c r="H106" s="572"/>
      <c r="I106" s="518"/>
      <c r="J106" s="519">
        <f>+M106+N106</f>
        <v>1148729.0025268449</v>
      </c>
      <c r="K106" s="21"/>
      <c r="M106" s="504">
        <f>1209633.41-334741.62</f>
        <v>874891.78999999992</v>
      </c>
      <c r="N106" s="504">
        <f>967805.592526845-693968.38</f>
        <v>273837.21252684505</v>
      </c>
      <c r="P106" s="517"/>
      <c r="R106" s="517"/>
      <c r="T106" s="517"/>
      <c r="V106" s="517"/>
      <c r="X106" s="517"/>
      <c r="Z106" s="517"/>
      <c r="AB106" s="517"/>
      <c r="AD106" s="517"/>
      <c r="AF106" s="517"/>
      <c r="AH106" s="517"/>
    </row>
    <row r="107" spans="1:54" s="22" customFormat="1" ht="30" customHeight="1" thickBot="1" x14ac:dyDescent="0.35">
      <c r="A107" s="17"/>
      <c r="B107" s="18"/>
      <c r="C107" s="25"/>
      <c r="D107" s="26"/>
      <c r="E107" s="551" t="s">
        <v>46</v>
      </c>
      <c r="F107" s="552"/>
      <c r="G107" s="552"/>
      <c r="H107" s="553"/>
      <c r="I107" s="520"/>
      <c r="J107" s="484">
        <f>+SUM(J102:J106)</f>
        <v>1851248134.0025268</v>
      </c>
      <c r="K107" s="21"/>
      <c r="M107" s="535">
        <f>+SUM(M102:M106)</f>
        <v>851929201.38432288</v>
      </c>
      <c r="N107" s="535">
        <f>+SUM(N102:N106)</f>
        <v>999318932.61820388</v>
      </c>
      <c r="O107" s="504">
        <f>+SUM(P107:AD107)</f>
        <v>935387099.6029439</v>
      </c>
      <c r="P107" s="20">
        <f>+SUM(P102:P105)</f>
        <v>119089845.915648</v>
      </c>
      <c r="R107" s="20">
        <f>+SUM(R102:R105)</f>
        <v>95695137.599488005</v>
      </c>
      <c r="T107" s="20">
        <f>+SUM(T102:T105)</f>
        <v>231379606.16345599</v>
      </c>
      <c r="V107" s="20">
        <f>+SUM(V102:V105)</f>
        <v>0</v>
      </c>
      <c r="X107" s="20">
        <f>+SUM(X102:X105)</f>
        <v>157378025.18937603</v>
      </c>
      <c r="Z107" s="20">
        <f>+SUM(Z102:Z105)</f>
        <v>167170365.448192</v>
      </c>
      <c r="AB107" s="20">
        <f>+SUM(AB102:AB105)</f>
        <v>0</v>
      </c>
      <c r="AD107" s="20">
        <f>+SUM(AD102:AD105)</f>
        <v>164674119.28678396</v>
      </c>
      <c r="AF107" s="20">
        <f>+SUM(AF102:AF105)</f>
        <v>37559820.075007997</v>
      </c>
      <c r="AH107" s="20">
        <f>+SUM(AH102:AH105)</f>
        <v>0</v>
      </c>
      <c r="AJ107" s="20">
        <f>+SUM(AJ102:AJ105)</f>
        <v>0</v>
      </c>
      <c r="AL107" s="20">
        <f>+SUM(AL102:AL105)</f>
        <v>0</v>
      </c>
      <c r="AN107" s="20">
        <f>+SUM(AN102:AN105)</f>
        <v>0</v>
      </c>
      <c r="AP107" s="20">
        <f>+SUM(AP102:AP105)</f>
        <v>0</v>
      </c>
      <c r="AR107" s="20">
        <f>+SUM(AR102:AR105)</f>
        <v>0</v>
      </c>
      <c r="AT107" s="20">
        <f>+SUM(AT102:AT105)</f>
        <v>0</v>
      </c>
      <c r="AV107" s="20">
        <f>+SUM(AV102:AV105)</f>
        <v>0</v>
      </c>
      <c r="AX107" s="20">
        <f>+SUM(AX102:AX105)</f>
        <v>0</v>
      </c>
      <c r="AZ107" s="20">
        <f>+SUM(AZ102:AZ105)</f>
        <v>0</v>
      </c>
      <c r="BB107" s="20">
        <f>+SUM(BB102:BB105)</f>
        <v>0</v>
      </c>
    </row>
    <row r="108" spans="1:54" s="22" customFormat="1" ht="15.6" x14ac:dyDescent="0.3">
      <c r="A108" s="17"/>
      <c r="B108" s="18"/>
      <c r="C108" s="25"/>
      <c r="D108" s="26"/>
      <c r="E108" s="25"/>
      <c r="F108" s="25"/>
      <c r="G108" s="33"/>
      <c r="H108" s="34"/>
      <c r="I108" s="34" t="s">
        <v>6655</v>
      </c>
      <c r="J108" s="35">
        <f>+P114-J107</f>
        <v>-2.5267601013183594E-3</v>
      </c>
      <c r="K108" s="21"/>
      <c r="L108" s="504"/>
      <c r="M108" s="582">
        <f>+M107+N107</f>
        <v>1851248134.0025268</v>
      </c>
      <c r="N108" s="583"/>
      <c r="O108" s="522">
        <f>+O107-N112</f>
        <v>-173849900.3970561</v>
      </c>
    </row>
    <row r="109" spans="1:54" s="22" customFormat="1" ht="15.6" x14ac:dyDescent="0.3">
      <c r="A109" s="17"/>
      <c r="B109" s="18"/>
      <c r="C109" s="25"/>
      <c r="D109" s="26"/>
      <c r="E109" s="25"/>
      <c r="F109" s="25"/>
      <c r="G109" s="33"/>
      <c r="H109" s="34"/>
      <c r="I109" s="34" t="s">
        <v>6656</v>
      </c>
      <c r="J109" s="35">
        <f>+P113-M107</f>
        <v>-3.3181905746459961E-3</v>
      </c>
      <c r="K109" s="21"/>
      <c r="L109" s="504"/>
      <c r="M109" s="582">
        <f>+J107-M108</f>
        <v>0</v>
      </c>
      <c r="N109" s="583"/>
      <c r="O109" s="522"/>
    </row>
    <row r="110" spans="1:54" s="22" customFormat="1" ht="15.6" x14ac:dyDescent="0.3">
      <c r="A110" s="17"/>
      <c r="B110" s="18"/>
      <c r="C110" s="25"/>
      <c r="D110" s="26"/>
      <c r="E110" s="25"/>
      <c r="F110" s="25"/>
      <c r="G110" s="33"/>
      <c r="H110" s="34"/>
      <c r="I110" s="34" t="s">
        <v>6657</v>
      </c>
      <c r="J110" s="537">
        <f>+P112-N107</f>
        <v>7.9143047332763672E-4</v>
      </c>
      <c r="K110" s="21"/>
      <c r="L110" s="504"/>
      <c r="O110" s="522"/>
    </row>
    <row r="111" spans="1:54" s="22" customFormat="1" ht="16.2" thickBot="1" x14ac:dyDescent="0.35">
      <c r="A111" s="17"/>
      <c r="B111" s="18"/>
      <c r="C111" s="25"/>
      <c r="D111" s="26"/>
      <c r="E111" s="25"/>
      <c r="F111" s="25"/>
      <c r="G111" s="33"/>
      <c r="H111" s="34"/>
      <c r="I111" s="34"/>
      <c r="J111" s="35"/>
      <c r="K111" s="21"/>
      <c r="L111" s="504"/>
      <c r="N111" s="522"/>
      <c r="O111" s="22" t="s">
        <v>6663</v>
      </c>
    </row>
    <row r="112" spans="1:54" s="22" customFormat="1" ht="15.6" x14ac:dyDescent="0.3">
      <c r="A112" s="17"/>
      <c r="B112" s="18"/>
      <c r="C112" s="36"/>
      <c r="D112" s="568"/>
      <c r="E112" s="568"/>
      <c r="F112" s="568"/>
      <c r="G112" s="568"/>
      <c r="H112" s="568"/>
      <c r="I112" s="568"/>
      <c r="J112" s="569"/>
      <c r="K112" s="37"/>
      <c r="M112" s="22" t="s">
        <v>6635</v>
      </c>
      <c r="N112" s="522">
        <v>1109237000</v>
      </c>
      <c r="O112" s="523">
        <f>+($N$112/$N$114)*N116</f>
        <v>109918067.38100466</v>
      </c>
      <c r="P112" s="535">
        <f>+N112-O112</f>
        <v>999318932.61899531</v>
      </c>
    </row>
    <row r="113" spans="1:36" s="22" customFormat="1" ht="15.6" x14ac:dyDescent="0.3">
      <c r="A113" s="17"/>
      <c r="B113" s="18"/>
      <c r="C113" s="562" t="s">
        <v>47</v>
      </c>
      <c r="D113" s="558"/>
      <c r="E113" s="558"/>
      <c r="F113" s="567" t="s">
        <v>48</v>
      </c>
      <c r="G113" s="567"/>
      <c r="H113" s="567"/>
      <c r="I113" s="58"/>
      <c r="J113" s="38" t="s">
        <v>49</v>
      </c>
      <c r="K113" s="39"/>
      <c r="M113" s="22" t="s">
        <v>6636</v>
      </c>
      <c r="N113" s="523">
        <v>945635433</v>
      </c>
      <c r="O113" s="523">
        <f>+($N$113/$N$114)*N116</f>
        <v>93706231.618995339</v>
      </c>
      <c r="P113" s="535">
        <f>+N113-O113</f>
        <v>851929201.38100469</v>
      </c>
    </row>
    <row r="114" spans="1:36" s="22" customFormat="1" ht="32.25" customHeight="1" x14ac:dyDescent="0.3">
      <c r="A114" s="17"/>
      <c r="B114" s="18"/>
      <c r="C114" s="562" t="s">
        <v>50</v>
      </c>
      <c r="D114" s="558"/>
      <c r="E114" s="558"/>
      <c r="F114" s="563" t="s">
        <v>51</v>
      </c>
      <c r="G114" s="563"/>
      <c r="H114" s="40" t="s">
        <v>52</v>
      </c>
      <c r="I114" s="59"/>
      <c r="J114" s="72">
        <f>+ROUND('AIU FLDT'!J65,2)</f>
        <v>0.31</v>
      </c>
      <c r="K114" s="39"/>
      <c r="M114" s="22" t="s">
        <v>160</v>
      </c>
      <c r="N114" s="522">
        <f>+N113+N112</f>
        <v>2054872433</v>
      </c>
      <c r="O114" s="523">
        <f>+O113+O112</f>
        <v>203624299</v>
      </c>
      <c r="P114" s="535">
        <f>+SUM(P112:P113)</f>
        <v>1851248134</v>
      </c>
      <c r="AJ114" s="22" t="e">
        <f>+AJ99/AI17</f>
        <v>#DIV/0!</v>
      </c>
    </row>
    <row r="115" spans="1:36" s="22" customFormat="1" ht="15.6" x14ac:dyDescent="0.3">
      <c r="A115" s="17"/>
      <c r="B115" s="18"/>
      <c r="C115" s="562" t="s">
        <v>53</v>
      </c>
      <c r="D115" s="558"/>
      <c r="E115" s="558"/>
      <c r="F115" s="564" t="s">
        <v>54</v>
      </c>
      <c r="G115" s="565"/>
      <c r="H115" s="40" t="s">
        <v>55</v>
      </c>
      <c r="I115" s="59"/>
      <c r="J115" s="72">
        <v>0.01</v>
      </c>
      <c r="K115" s="39"/>
      <c r="N115" s="522"/>
    </row>
    <row r="116" spans="1:36" s="42" customFormat="1" ht="60" customHeight="1" x14ac:dyDescent="0.3">
      <c r="A116" s="17"/>
      <c r="B116" s="18"/>
      <c r="C116" s="562"/>
      <c r="D116" s="558"/>
      <c r="E116" s="558"/>
      <c r="F116" s="566" t="s">
        <v>56</v>
      </c>
      <c r="G116" s="563"/>
      <c r="H116" s="40" t="s">
        <v>57</v>
      </c>
      <c r="I116" s="59"/>
      <c r="J116" s="72">
        <v>0.05</v>
      </c>
      <c r="K116" s="21"/>
      <c r="M116" s="22" t="s">
        <v>6663</v>
      </c>
      <c r="N116" s="522" cm="1">
        <f t="array" ref="N116:O116">+[114]PO!$L$49:$M$49</f>
        <v>203624299</v>
      </c>
      <c r="O116" s="42">
        <v>0</v>
      </c>
    </row>
    <row r="117" spans="1:36" ht="15.6" x14ac:dyDescent="0.3">
      <c r="A117" s="3"/>
      <c r="B117" s="8"/>
      <c r="C117" s="557"/>
      <c r="D117" s="558"/>
      <c r="E117" s="558"/>
      <c r="F117" s="563" t="s">
        <v>58</v>
      </c>
      <c r="G117" s="563"/>
      <c r="H117" s="40" t="s">
        <v>59</v>
      </c>
      <c r="I117" s="59"/>
      <c r="J117" s="72">
        <f>+J114+J115+J116</f>
        <v>0.37</v>
      </c>
      <c r="K117" s="9"/>
      <c r="N117" s="538"/>
    </row>
    <row r="118" spans="1:36" ht="33.75" customHeight="1" thickBot="1" x14ac:dyDescent="0.35">
      <c r="A118" s="3"/>
      <c r="B118" s="8"/>
      <c r="C118" s="557"/>
      <c r="D118" s="558"/>
      <c r="E118" s="558"/>
      <c r="F118" s="559"/>
      <c r="G118" s="559"/>
      <c r="H118" s="559"/>
      <c r="I118" s="560"/>
      <c r="J118" s="561"/>
      <c r="K118" s="9"/>
      <c r="N118" s="539">
        <v>1851248134</v>
      </c>
    </row>
    <row r="119" spans="1:36" ht="16.2" thickBot="1" x14ac:dyDescent="0.35">
      <c r="A119" s="3"/>
      <c r="B119" s="50"/>
      <c r="C119" s="51"/>
      <c r="D119" s="51"/>
      <c r="E119" s="52"/>
      <c r="F119" s="51"/>
      <c r="G119" s="51"/>
      <c r="H119" s="51"/>
      <c r="I119" s="51"/>
      <c r="J119" s="51"/>
      <c r="K119" s="53"/>
      <c r="N119" s="538"/>
    </row>
    <row r="120" spans="1:36" ht="16.2" thickTop="1" x14ac:dyDescent="0.3">
      <c r="A120" s="3"/>
      <c r="B120" s="3"/>
      <c r="C120" s="3"/>
      <c r="D120" s="3"/>
      <c r="E120" s="3"/>
      <c r="F120" s="3"/>
      <c r="G120" s="3"/>
      <c r="H120" s="3"/>
      <c r="I120" s="3"/>
      <c r="J120" s="3"/>
      <c r="K120" s="3"/>
    </row>
  </sheetData>
  <mergeCells count="154">
    <mergeCell ref="AE10:AF10"/>
    <mergeCell ref="AE12:AF12"/>
    <mergeCell ref="AE13:AF13"/>
    <mergeCell ref="AE14:AE15"/>
    <mergeCell ref="AF14:AF15"/>
    <mergeCell ref="AE17:AF17"/>
    <mergeCell ref="AA17:AB17"/>
    <mergeCell ref="Y17:Z17"/>
    <mergeCell ref="AG17:AH17"/>
    <mergeCell ref="AB14:AB15"/>
    <mergeCell ref="AG12:AH12"/>
    <mergeCell ref="AG13:AH13"/>
    <mergeCell ref="AG14:AG15"/>
    <mergeCell ref="AH14:AH15"/>
    <mergeCell ref="AC12:AD12"/>
    <mergeCell ref="AC13:AD13"/>
    <mergeCell ref="AC14:AC15"/>
    <mergeCell ref="AD14:AD15"/>
    <mergeCell ref="O7:P7"/>
    <mergeCell ref="AC10:AD10"/>
    <mergeCell ref="O10:R10"/>
    <mergeCell ref="U10:V10"/>
    <mergeCell ref="AU17:AV17"/>
    <mergeCell ref="AW17:AX17"/>
    <mergeCell ref="AQ17:AR17"/>
    <mergeCell ref="AS17:AT17"/>
    <mergeCell ref="AM17:AN17"/>
    <mergeCell ref="AO17:AP17"/>
    <mergeCell ref="AI17:AJ17"/>
    <mergeCell ref="AK17:AL17"/>
    <mergeCell ref="AC17:AD17"/>
    <mergeCell ref="W12:X12"/>
    <mergeCell ref="W13:X13"/>
    <mergeCell ref="W14:W15"/>
    <mergeCell ref="X14:X15"/>
    <mergeCell ref="Y12:Z12"/>
    <mergeCell ref="Y13:Z13"/>
    <mergeCell ref="Y14:Y15"/>
    <mergeCell ref="Z14:Z15"/>
    <mergeCell ref="AA12:AB12"/>
    <mergeCell ref="AA13:AB13"/>
    <mergeCell ref="AA14:AA15"/>
    <mergeCell ref="Q12:R12"/>
    <mergeCell ref="Q13:R13"/>
    <mergeCell ref="Q14:Q15"/>
    <mergeCell ref="R14:R15"/>
    <mergeCell ref="S12:T12"/>
    <mergeCell ref="S13:T13"/>
    <mergeCell ref="S14:S15"/>
    <mergeCell ref="T14:T15"/>
    <mergeCell ref="U12:V12"/>
    <mergeCell ref="U13:V13"/>
    <mergeCell ref="U14:U15"/>
    <mergeCell ref="V14:V15"/>
    <mergeCell ref="M108:N108"/>
    <mergeCell ref="M109:N109"/>
    <mergeCell ref="C3:D3"/>
    <mergeCell ref="C5:J5"/>
    <mergeCell ref="C6:J6"/>
    <mergeCell ref="C7:E7"/>
    <mergeCell ref="F7:J9"/>
    <mergeCell ref="C8:E8"/>
    <mergeCell ref="C9:E9"/>
    <mergeCell ref="J14:J15"/>
    <mergeCell ref="C10:D12"/>
    <mergeCell ref="E10:J12"/>
    <mergeCell ref="C13:J13"/>
    <mergeCell ref="C14:C15"/>
    <mergeCell ref="D14:D15"/>
    <mergeCell ref="E14:E15"/>
    <mergeCell ref="F14:F15"/>
    <mergeCell ref="G14:G15"/>
    <mergeCell ref="H14:H15"/>
    <mergeCell ref="I14:I15"/>
    <mergeCell ref="C21:C22"/>
    <mergeCell ref="D21:D22"/>
    <mergeCell ref="E21:E22"/>
    <mergeCell ref="E106:H106"/>
    <mergeCell ref="O17:P17"/>
    <mergeCell ref="O13:P13"/>
    <mergeCell ref="O14:O15"/>
    <mergeCell ref="O12:P12"/>
    <mergeCell ref="P14:P15"/>
    <mergeCell ref="C99:H99"/>
    <mergeCell ref="E102:H102"/>
    <mergeCell ref="E103:H103"/>
    <mergeCell ref="E104:H104"/>
    <mergeCell ref="E105:H105"/>
    <mergeCell ref="Q17:R17"/>
    <mergeCell ref="S17:T17"/>
    <mergeCell ref="U17:V17"/>
    <mergeCell ref="W17:X17"/>
    <mergeCell ref="E107:H107"/>
    <mergeCell ref="C20:J20"/>
    <mergeCell ref="C118:E118"/>
    <mergeCell ref="F21:F22"/>
    <mergeCell ref="G21:G22"/>
    <mergeCell ref="H21:H22"/>
    <mergeCell ref="I21:I22"/>
    <mergeCell ref="J21:J22"/>
    <mergeCell ref="F118:J118"/>
    <mergeCell ref="C114:E114"/>
    <mergeCell ref="F114:G114"/>
    <mergeCell ref="C115:E115"/>
    <mergeCell ref="F115:G115"/>
    <mergeCell ref="F116:G116"/>
    <mergeCell ref="F117:G117"/>
    <mergeCell ref="C116:E116"/>
    <mergeCell ref="C117:E117"/>
    <mergeCell ref="C113:E113"/>
    <mergeCell ref="F113:H113"/>
    <mergeCell ref="D112:J112"/>
    <mergeCell ref="AK12:AL12"/>
    <mergeCell ref="AK13:AL13"/>
    <mergeCell ref="AK14:AK15"/>
    <mergeCell ref="AL14:AL15"/>
    <mergeCell ref="AI12:AJ12"/>
    <mergeCell ref="AI13:AJ13"/>
    <mergeCell ref="AI14:AI15"/>
    <mergeCell ref="AJ14:AJ15"/>
    <mergeCell ref="AO12:AP12"/>
    <mergeCell ref="AO13:AP13"/>
    <mergeCell ref="AO14:AO15"/>
    <mergeCell ref="AP14:AP15"/>
    <mergeCell ref="AM12:AN12"/>
    <mergeCell ref="AM13:AN13"/>
    <mergeCell ref="AM14:AM15"/>
    <mergeCell ref="AN14:AN15"/>
    <mergeCell ref="AS12:AT12"/>
    <mergeCell ref="AS13:AT13"/>
    <mergeCell ref="AS14:AS15"/>
    <mergeCell ref="AT14:AT15"/>
    <mergeCell ref="AQ12:AR12"/>
    <mergeCell ref="AQ13:AR13"/>
    <mergeCell ref="AQ14:AQ15"/>
    <mergeCell ref="AR14:AR15"/>
    <mergeCell ref="AW12:AX12"/>
    <mergeCell ref="AW13:AX13"/>
    <mergeCell ref="AW14:AW15"/>
    <mergeCell ref="AX14:AX15"/>
    <mergeCell ref="AU12:AV12"/>
    <mergeCell ref="AU13:AV13"/>
    <mergeCell ref="AU14:AU15"/>
    <mergeCell ref="AV14:AV15"/>
    <mergeCell ref="AY17:AZ17"/>
    <mergeCell ref="AZ14:AZ15"/>
    <mergeCell ref="AY14:AY15"/>
    <mergeCell ref="AY13:AZ13"/>
    <mergeCell ref="AY12:AZ12"/>
    <mergeCell ref="BA12:BB12"/>
    <mergeCell ref="BA13:BB13"/>
    <mergeCell ref="BA14:BA15"/>
    <mergeCell ref="BB14:BB15"/>
    <mergeCell ref="BA17:BB17"/>
  </mergeCells>
  <pageMargins left="0.11811023622047245" right="0.11811023622047245" top="0.15748031496062992" bottom="0.15748031496062992" header="0.31496062992125984" footer="0.31496062992125984"/>
  <pageSetup scale="4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0879B-58DA-42AE-9922-8A9930503216}">
  <sheetPr>
    <tabColor rgb="FF00B0F0"/>
  </sheetPr>
  <dimension ref="A1:E3173"/>
  <sheetViews>
    <sheetView workbookViewId="0">
      <selection activeCell="G34" sqref="G34"/>
    </sheetView>
  </sheetViews>
  <sheetFormatPr baseColWidth="10" defaultRowHeight="14.4" x14ac:dyDescent="0.3"/>
  <cols>
    <col min="4" max="4" width="13.88671875" bestFit="1" customWidth="1"/>
  </cols>
  <sheetData>
    <row r="1" spans="1:5" ht="15" x14ac:dyDescent="0.35">
      <c r="A1" s="509">
        <v>3007</v>
      </c>
      <c r="B1" s="510" t="s">
        <v>323</v>
      </c>
      <c r="C1" s="509" t="s">
        <v>21</v>
      </c>
      <c r="D1" s="511">
        <v>996</v>
      </c>
      <c r="E1" s="507" t="s">
        <v>331</v>
      </c>
    </row>
    <row r="2" spans="1:5" ht="15" x14ac:dyDescent="0.35">
      <c r="A2" s="509">
        <v>3009</v>
      </c>
      <c r="B2" s="510" t="s">
        <v>325</v>
      </c>
      <c r="C2" s="509" t="s">
        <v>30</v>
      </c>
      <c r="D2" s="512">
        <v>55856</v>
      </c>
      <c r="E2" s="507" t="s">
        <v>331</v>
      </c>
    </row>
    <row r="3" spans="1:5" ht="15" x14ac:dyDescent="0.35">
      <c r="A3" s="509">
        <v>3010</v>
      </c>
      <c r="B3" s="510" t="s">
        <v>326</v>
      </c>
      <c r="C3" s="509" t="s">
        <v>30</v>
      </c>
      <c r="D3" s="512">
        <v>45548</v>
      </c>
      <c r="E3" s="507" t="s">
        <v>331</v>
      </c>
    </row>
    <row r="4" spans="1:5" ht="15" x14ac:dyDescent="0.35">
      <c r="A4" s="509">
        <v>3011</v>
      </c>
      <c r="B4" s="510" t="s">
        <v>327</v>
      </c>
      <c r="C4" s="509" t="s">
        <v>328</v>
      </c>
      <c r="D4" s="512">
        <v>7827</v>
      </c>
      <c r="E4" s="507" t="s">
        <v>331</v>
      </c>
    </row>
    <row r="5" spans="1:5" ht="15" x14ac:dyDescent="0.35">
      <c r="A5" s="509">
        <v>3012</v>
      </c>
      <c r="B5" s="510" t="s">
        <v>329</v>
      </c>
      <c r="C5" s="509" t="s">
        <v>21</v>
      </c>
      <c r="D5" s="512">
        <v>9810</v>
      </c>
      <c r="E5" s="507" t="s">
        <v>331</v>
      </c>
    </row>
    <row r="6" spans="1:5" ht="15" x14ac:dyDescent="0.35">
      <c r="A6" s="509">
        <v>3015</v>
      </c>
      <c r="B6" s="510" t="s">
        <v>330</v>
      </c>
      <c r="C6" s="509" t="s">
        <v>32</v>
      </c>
      <c r="D6" s="512">
        <v>263096</v>
      </c>
      <c r="E6" s="507" t="s">
        <v>331</v>
      </c>
    </row>
    <row r="7" spans="1:5" ht="15" x14ac:dyDescent="0.35">
      <c r="A7" s="509">
        <v>3017</v>
      </c>
      <c r="B7" s="510" t="s">
        <v>332</v>
      </c>
      <c r="C7" s="509" t="s">
        <v>30</v>
      </c>
      <c r="D7" s="512">
        <v>45600</v>
      </c>
      <c r="E7" s="507" t="s">
        <v>331</v>
      </c>
    </row>
    <row r="8" spans="1:5" ht="15" x14ac:dyDescent="0.35">
      <c r="A8" s="509">
        <v>3018</v>
      </c>
      <c r="B8" s="510" t="s">
        <v>333</v>
      </c>
      <c r="C8" s="509" t="s">
        <v>30</v>
      </c>
      <c r="D8" s="511">
        <v>105111</v>
      </c>
      <c r="E8" s="507" t="s">
        <v>331</v>
      </c>
    </row>
    <row r="9" spans="1:5" ht="15" x14ac:dyDescent="0.35">
      <c r="A9" s="509">
        <v>3021</v>
      </c>
      <c r="B9" s="510" t="s">
        <v>334</v>
      </c>
      <c r="C9" s="509" t="s">
        <v>21</v>
      </c>
      <c r="D9" s="512">
        <v>8874</v>
      </c>
      <c r="E9" s="507" t="s">
        <v>331</v>
      </c>
    </row>
    <row r="10" spans="1:5" ht="15" x14ac:dyDescent="0.35">
      <c r="A10" s="509">
        <v>3022</v>
      </c>
      <c r="B10" s="510" t="s">
        <v>335</v>
      </c>
      <c r="C10" s="509" t="s">
        <v>30</v>
      </c>
      <c r="D10" s="512">
        <v>68205</v>
      </c>
      <c r="E10" s="507" t="s">
        <v>6108</v>
      </c>
    </row>
    <row r="11" spans="1:5" ht="15" x14ac:dyDescent="0.35">
      <c r="A11" s="509">
        <v>3024</v>
      </c>
      <c r="B11" s="510" t="s">
        <v>336</v>
      </c>
      <c r="C11" s="509" t="s">
        <v>30</v>
      </c>
      <c r="D11" s="512">
        <v>160860</v>
      </c>
      <c r="E11" s="507" t="s">
        <v>331</v>
      </c>
    </row>
    <row r="12" spans="1:5" ht="15" x14ac:dyDescent="0.35">
      <c r="A12" s="509">
        <v>3027</v>
      </c>
      <c r="B12" s="510" t="s">
        <v>337</v>
      </c>
      <c r="C12" s="509" t="s">
        <v>328</v>
      </c>
      <c r="D12" s="512">
        <v>84115</v>
      </c>
      <c r="E12" s="507" t="s">
        <v>331</v>
      </c>
    </row>
    <row r="13" spans="1:5" ht="15" x14ac:dyDescent="0.35">
      <c r="A13" s="509">
        <v>3041</v>
      </c>
      <c r="B13" s="510" t="s">
        <v>338</v>
      </c>
      <c r="C13" s="509" t="s">
        <v>328</v>
      </c>
      <c r="D13" s="511">
        <v>38866</v>
      </c>
      <c r="E13" s="507" t="s">
        <v>331</v>
      </c>
    </row>
    <row r="14" spans="1:5" ht="15" x14ac:dyDescent="0.35">
      <c r="A14" s="509">
        <v>3042</v>
      </c>
      <c r="B14" s="510" t="s">
        <v>339</v>
      </c>
      <c r="C14" s="509" t="s">
        <v>328</v>
      </c>
      <c r="D14" s="511">
        <v>65583</v>
      </c>
      <c r="E14" s="507" t="s">
        <v>331</v>
      </c>
    </row>
    <row r="15" spans="1:5" ht="15" x14ac:dyDescent="0.35">
      <c r="A15" s="509">
        <v>3043</v>
      </c>
      <c r="B15" s="510" t="s">
        <v>340</v>
      </c>
      <c r="C15" s="509" t="s">
        <v>328</v>
      </c>
      <c r="D15" s="511">
        <v>90827</v>
      </c>
      <c r="E15" s="507" t="s">
        <v>331</v>
      </c>
    </row>
    <row r="16" spans="1:5" ht="15" x14ac:dyDescent="0.35">
      <c r="A16" s="509">
        <v>3044</v>
      </c>
      <c r="B16" s="510" t="s">
        <v>341</v>
      </c>
      <c r="C16" s="509" t="s">
        <v>328</v>
      </c>
      <c r="D16" s="511">
        <v>128010</v>
      </c>
      <c r="E16" s="507" t="s">
        <v>331</v>
      </c>
    </row>
    <row r="17" spans="1:5" ht="15" x14ac:dyDescent="0.35">
      <c r="A17" s="509">
        <v>3045</v>
      </c>
      <c r="B17" s="510" t="s">
        <v>342</v>
      </c>
      <c r="C17" s="509" t="s">
        <v>328</v>
      </c>
      <c r="D17" s="511">
        <v>178842</v>
      </c>
      <c r="E17" s="507" t="s">
        <v>331</v>
      </c>
    </row>
    <row r="18" spans="1:5" ht="15" x14ac:dyDescent="0.35">
      <c r="A18" s="509">
        <v>3046</v>
      </c>
      <c r="B18" s="510" t="s">
        <v>343</v>
      </c>
      <c r="C18" s="509" t="s">
        <v>328</v>
      </c>
      <c r="D18" s="511">
        <v>316439</v>
      </c>
      <c r="E18" s="507" t="s">
        <v>331</v>
      </c>
    </row>
    <row r="19" spans="1:5" ht="15" x14ac:dyDescent="0.35">
      <c r="A19" s="509">
        <v>3047</v>
      </c>
      <c r="B19" s="510" t="s">
        <v>344</v>
      </c>
      <c r="C19" s="509" t="s">
        <v>328</v>
      </c>
      <c r="D19" s="511">
        <v>429354</v>
      </c>
      <c r="E19" s="507" t="s">
        <v>331</v>
      </c>
    </row>
    <row r="20" spans="1:5" ht="15" x14ac:dyDescent="0.35">
      <c r="A20" s="509">
        <v>3048</v>
      </c>
      <c r="B20" s="510" t="s">
        <v>345</v>
      </c>
      <c r="C20" s="509" t="s">
        <v>328</v>
      </c>
      <c r="D20" s="511">
        <v>523216</v>
      </c>
      <c r="E20" s="507" t="s">
        <v>331</v>
      </c>
    </row>
    <row r="21" spans="1:5" ht="15" x14ac:dyDescent="0.35">
      <c r="A21" s="509">
        <v>3050</v>
      </c>
      <c r="B21" s="510" t="s">
        <v>346</v>
      </c>
      <c r="C21" s="509" t="s">
        <v>30</v>
      </c>
      <c r="D21" s="512">
        <v>46355</v>
      </c>
      <c r="E21" s="507" t="s">
        <v>331</v>
      </c>
    </row>
    <row r="22" spans="1:5" ht="15" x14ac:dyDescent="0.35">
      <c r="A22" s="509">
        <v>3052</v>
      </c>
      <c r="B22" s="510" t="s">
        <v>347</v>
      </c>
      <c r="C22" s="509" t="s">
        <v>30</v>
      </c>
      <c r="D22" s="512">
        <v>118357</v>
      </c>
      <c r="E22" s="507" t="s">
        <v>331</v>
      </c>
    </row>
    <row r="23" spans="1:5" ht="15" x14ac:dyDescent="0.35">
      <c r="A23" s="509">
        <v>3055</v>
      </c>
      <c r="B23" s="510" t="s">
        <v>348</v>
      </c>
      <c r="C23" s="509" t="s">
        <v>328</v>
      </c>
      <c r="D23" s="511">
        <v>360022</v>
      </c>
      <c r="E23" s="507" t="s">
        <v>331</v>
      </c>
    </row>
    <row r="24" spans="1:5" ht="15" x14ac:dyDescent="0.35">
      <c r="A24" s="509">
        <v>3056</v>
      </c>
      <c r="B24" s="510" t="s">
        <v>349</v>
      </c>
      <c r="C24" s="509" t="s">
        <v>328</v>
      </c>
      <c r="D24" s="511">
        <v>477541</v>
      </c>
      <c r="E24" s="507" t="s">
        <v>331</v>
      </c>
    </row>
    <row r="25" spans="1:5" ht="15" x14ac:dyDescent="0.35">
      <c r="A25" s="509">
        <v>3057</v>
      </c>
      <c r="B25" s="510" t="s">
        <v>350</v>
      </c>
      <c r="C25" s="509" t="s">
        <v>32</v>
      </c>
      <c r="D25" s="511">
        <v>5330905</v>
      </c>
      <c r="E25" s="507" t="s">
        <v>331</v>
      </c>
    </row>
    <row r="26" spans="1:5" ht="15" x14ac:dyDescent="0.35">
      <c r="A26" s="509">
        <v>3058</v>
      </c>
      <c r="B26" s="510" t="s">
        <v>351</v>
      </c>
      <c r="C26" s="509" t="s">
        <v>32</v>
      </c>
      <c r="D26" s="511">
        <v>8730729</v>
      </c>
      <c r="E26" s="507" t="s">
        <v>331</v>
      </c>
    </row>
    <row r="27" spans="1:5" ht="15" x14ac:dyDescent="0.35">
      <c r="A27" s="509">
        <v>3059</v>
      </c>
      <c r="B27" s="510" t="s">
        <v>352</v>
      </c>
      <c r="C27" s="509" t="s">
        <v>32</v>
      </c>
      <c r="D27" s="511">
        <v>5253842</v>
      </c>
      <c r="E27" s="507" t="s">
        <v>331</v>
      </c>
    </row>
    <row r="28" spans="1:5" ht="15" x14ac:dyDescent="0.35">
      <c r="A28" s="509">
        <v>3064</v>
      </c>
      <c r="B28" s="510" t="s">
        <v>353</v>
      </c>
      <c r="C28" s="509" t="s">
        <v>328</v>
      </c>
      <c r="D28" s="512">
        <v>98801</v>
      </c>
      <c r="E28" s="507" t="s">
        <v>331</v>
      </c>
    </row>
    <row r="29" spans="1:5" ht="15" x14ac:dyDescent="0.35">
      <c r="A29" s="509">
        <v>3065</v>
      </c>
      <c r="B29" s="510" t="s">
        <v>354</v>
      </c>
      <c r="C29" s="509" t="s">
        <v>328</v>
      </c>
      <c r="D29" s="512">
        <v>119069</v>
      </c>
      <c r="E29" s="507" t="s">
        <v>331</v>
      </c>
    </row>
    <row r="30" spans="1:5" ht="15" x14ac:dyDescent="0.35">
      <c r="A30" s="509">
        <v>3066</v>
      </c>
      <c r="B30" s="510" t="s">
        <v>355</v>
      </c>
      <c r="C30" s="509" t="s">
        <v>328</v>
      </c>
      <c r="D30" s="512">
        <v>155519</v>
      </c>
      <c r="E30" s="507" t="s">
        <v>331</v>
      </c>
    </row>
    <row r="31" spans="1:5" ht="15" x14ac:dyDescent="0.35">
      <c r="A31" s="509">
        <v>3067</v>
      </c>
      <c r="B31" s="510" t="s">
        <v>356</v>
      </c>
      <c r="C31" s="509" t="s">
        <v>328</v>
      </c>
      <c r="D31" s="512">
        <v>185675</v>
      </c>
      <c r="E31" s="507" t="s">
        <v>331</v>
      </c>
    </row>
    <row r="32" spans="1:5" ht="15" x14ac:dyDescent="0.35">
      <c r="A32" s="509">
        <v>3068</v>
      </c>
      <c r="B32" s="510" t="s">
        <v>357</v>
      </c>
      <c r="C32" s="509" t="s">
        <v>328</v>
      </c>
      <c r="D32" s="512">
        <v>238559</v>
      </c>
      <c r="E32" s="507" t="s">
        <v>331</v>
      </c>
    </row>
    <row r="33" spans="1:5" ht="15" x14ac:dyDescent="0.35">
      <c r="A33" s="509">
        <v>3069</v>
      </c>
      <c r="B33" s="510" t="s">
        <v>358</v>
      </c>
      <c r="C33" s="509" t="s">
        <v>328</v>
      </c>
      <c r="D33" s="512">
        <v>300420</v>
      </c>
      <c r="E33" s="507" t="s">
        <v>331</v>
      </c>
    </row>
    <row r="34" spans="1:5" ht="15" x14ac:dyDescent="0.35">
      <c r="A34" s="509">
        <v>3070</v>
      </c>
      <c r="B34" s="510" t="s">
        <v>359</v>
      </c>
      <c r="C34" s="509" t="s">
        <v>328</v>
      </c>
      <c r="D34" s="512">
        <v>384834</v>
      </c>
      <c r="E34" s="507" t="s">
        <v>331</v>
      </c>
    </row>
    <row r="35" spans="1:5" ht="15" x14ac:dyDescent="0.35">
      <c r="A35" s="509">
        <v>3071</v>
      </c>
      <c r="B35" s="510" t="s">
        <v>360</v>
      </c>
      <c r="C35" s="509" t="s">
        <v>328</v>
      </c>
      <c r="D35" s="512">
        <v>555538</v>
      </c>
      <c r="E35" s="507" t="s">
        <v>331</v>
      </c>
    </row>
    <row r="36" spans="1:5" ht="15" x14ac:dyDescent="0.35">
      <c r="A36" s="509">
        <v>3151</v>
      </c>
      <c r="B36" s="510" t="s">
        <v>361</v>
      </c>
      <c r="C36" s="509" t="s">
        <v>32</v>
      </c>
      <c r="D36" s="511">
        <v>3179007</v>
      </c>
      <c r="E36" s="507" t="s">
        <v>331</v>
      </c>
    </row>
    <row r="37" spans="1:5" ht="15" x14ac:dyDescent="0.35">
      <c r="A37" s="509">
        <v>3155</v>
      </c>
      <c r="B37" s="510" t="s">
        <v>362</v>
      </c>
      <c r="C37" s="509" t="s">
        <v>32</v>
      </c>
      <c r="D37" s="512">
        <v>218962</v>
      </c>
      <c r="E37" s="507" t="s">
        <v>6108</v>
      </c>
    </row>
    <row r="38" spans="1:5" ht="15" x14ac:dyDescent="0.35">
      <c r="A38" s="509">
        <v>3159</v>
      </c>
      <c r="B38" s="510" t="s">
        <v>363</v>
      </c>
      <c r="C38" s="509" t="s">
        <v>328</v>
      </c>
      <c r="D38" s="511">
        <v>41707</v>
      </c>
      <c r="E38" s="507" t="s">
        <v>6108</v>
      </c>
    </row>
    <row r="39" spans="1:5" ht="15" x14ac:dyDescent="0.35">
      <c r="A39" s="509">
        <v>3163</v>
      </c>
      <c r="B39" s="510" t="s">
        <v>364</v>
      </c>
      <c r="C39" s="509" t="s">
        <v>328</v>
      </c>
      <c r="D39" s="511">
        <v>374571</v>
      </c>
      <c r="E39" s="507" t="s">
        <v>331</v>
      </c>
    </row>
    <row r="40" spans="1:5" ht="15" x14ac:dyDescent="0.35">
      <c r="A40" s="509">
        <v>3172</v>
      </c>
      <c r="B40" s="510" t="s">
        <v>365</v>
      </c>
      <c r="C40" s="509" t="s">
        <v>21</v>
      </c>
      <c r="D40" s="511">
        <v>23810</v>
      </c>
      <c r="E40" s="507" t="s">
        <v>331</v>
      </c>
    </row>
    <row r="41" spans="1:5" ht="15" x14ac:dyDescent="0.35">
      <c r="A41" s="509">
        <v>3178</v>
      </c>
      <c r="B41" s="510" t="s">
        <v>366</v>
      </c>
      <c r="C41" s="509" t="s">
        <v>21</v>
      </c>
      <c r="D41" s="511">
        <v>40822</v>
      </c>
      <c r="E41" s="507" t="s">
        <v>331</v>
      </c>
    </row>
    <row r="42" spans="1:5" ht="15" x14ac:dyDescent="0.35">
      <c r="A42" s="509">
        <v>3180</v>
      </c>
      <c r="B42" s="510" t="s">
        <v>368</v>
      </c>
      <c r="C42" s="509" t="s">
        <v>328</v>
      </c>
      <c r="D42" s="511">
        <v>7107</v>
      </c>
      <c r="E42" s="507" t="s">
        <v>331</v>
      </c>
    </row>
    <row r="43" spans="1:5" ht="15" x14ac:dyDescent="0.35">
      <c r="A43" s="509">
        <v>3189</v>
      </c>
      <c r="B43" s="510" t="s">
        <v>369</v>
      </c>
      <c r="C43" s="509" t="s">
        <v>328</v>
      </c>
      <c r="D43" s="511">
        <v>372221</v>
      </c>
      <c r="E43" s="507" t="s">
        <v>331</v>
      </c>
    </row>
    <row r="44" spans="1:5" ht="15" x14ac:dyDescent="0.35">
      <c r="A44" s="509">
        <v>3194</v>
      </c>
      <c r="B44" s="510" t="s">
        <v>370</v>
      </c>
      <c r="C44" s="509" t="s">
        <v>328</v>
      </c>
      <c r="D44" s="511">
        <v>153356</v>
      </c>
      <c r="E44" s="507" t="s">
        <v>331</v>
      </c>
    </row>
    <row r="45" spans="1:5" ht="15" x14ac:dyDescent="0.35">
      <c r="A45" s="509">
        <v>3195</v>
      </c>
      <c r="B45" s="510" t="s">
        <v>371</v>
      </c>
      <c r="C45" s="509" t="s">
        <v>328</v>
      </c>
      <c r="D45" s="511">
        <v>63338</v>
      </c>
      <c r="E45" s="507" t="s">
        <v>6108</v>
      </c>
    </row>
    <row r="46" spans="1:5" ht="15" x14ac:dyDescent="0.35">
      <c r="A46" s="509">
        <v>3196</v>
      </c>
      <c r="B46" s="510" t="s">
        <v>372</v>
      </c>
      <c r="C46" s="509" t="s">
        <v>32</v>
      </c>
      <c r="D46" s="512">
        <v>193265</v>
      </c>
      <c r="E46" s="507" t="s">
        <v>331</v>
      </c>
    </row>
    <row r="47" spans="1:5" ht="15" x14ac:dyDescent="0.35">
      <c r="A47" s="509">
        <v>3197</v>
      </c>
      <c r="B47" s="510" t="s">
        <v>373</v>
      </c>
      <c r="C47" s="509" t="s">
        <v>32</v>
      </c>
      <c r="D47" s="512">
        <v>242221</v>
      </c>
      <c r="E47" s="507" t="s">
        <v>331</v>
      </c>
    </row>
    <row r="48" spans="1:5" ht="15" x14ac:dyDescent="0.35">
      <c r="A48" s="509">
        <v>3198</v>
      </c>
      <c r="B48" s="510" t="s">
        <v>374</v>
      </c>
      <c r="C48" s="509" t="s">
        <v>32</v>
      </c>
      <c r="D48" s="512">
        <v>327003</v>
      </c>
      <c r="E48" s="507" t="s">
        <v>331</v>
      </c>
    </row>
    <row r="49" spans="1:5" ht="15" x14ac:dyDescent="0.35">
      <c r="A49" s="509">
        <v>3199</v>
      </c>
      <c r="B49" s="510" t="s">
        <v>375</v>
      </c>
      <c r="C49" s="509" t="s">
        <v>32</v>
      </c>
      <c r="D49" s="512">
        <v>350269</v>
      </c>
      <c r="E49" s="507" t="s">
        <v>331</v>
      </c>
    </row>
    <row r="50" spans="1:5" ht="15" x14ac:dyDescent="0.35">
      <c r="A50" s="509">
        <v>3200</v>
      </c>
      <c r="B50" s="510" t="s">
        <v>376</v>
      </c>
      <c r="C50" s="509" t="s">
        <v>32</v>
      </c>
      <c r="D50" s="512">
        <v>654027</v>
      </c>
      <c r="E50" s="507" t="s">
        <v>331</v>
      </c>
    </row>
    <row r="51" spans="1:5" ht="15" x14ac:dyDescent="0.35">
      <c r="A51" s="509">
        <v>3201</v>
      </c>
      <c r="B51" s="510" t="s">
        <v>377</v>
      </c>
      <c r="C51" s="509" t="s">
        <v>32</v>
      </c>
      <c r="D51" s="512">
        <v>982339</v>
      </c>
      <c r="E51" s="507" t="s">
        <v>331</v>
      </c>
    </row>
    <row r="52" spans="1:5" ht="15" x14ac:dyDescent="0.35">
      <c r="A52" s="509">
        <v>3202</v>
      </c>
      <c r="B52" s="510" t="s">
        <v>378</v>
      </c>
      <c r="C52" s="509" t="s">
        <v>30</v>
      </c>
      <c r="D52" s="512">
        <v>732374</v>
      </c>
      <c r="E52" s="507" t="s">
        <v>331</v>
      </c>
    </row>
    <row r="53" spans="1:5" ht="15" x14ac:dyDescent="0.35">
      <c r="A53" s="509">
        <v>3203</v>
      </c>
      <c r="B53" s="510" t="s">
        <v>379</v>
      </c>
      <c r="C53" s="509" t="s">
        <v>30</v>
      </c>
      <c r="D53" s="512">
        <v>648923</v>
      </c>
      <c r="E53" s="507" t="s">
        <v>6109</v>
      </c>
    </row>
    <row r="54" spans="1:5" ht="15" x14ac:dyDescent="0.35">
      <c r="A54" s="509">
        <v>3204</v>
      </c>
      <c r="B54" s="510" t="s">
        <v>380</v>
      </c>
      <c r="C54" s="509" t="s">
        <v>30</v>
      </c>
      <c r="D54" s="511">
        <v>909318</v>
      </c>
      <c r="E54" s="507" t="s">
        <v>6109</v>
      </c>
    </row>
    <row r="55" spans="1:5" ht="15" x14ac:dyDescent="0.35">
      <c r="A55" s="509">
        <v>3207</v>
      </c>
      <c r="B55" s="510" t="s">
        <v>381</v>
      </c>
      <c r="C55" s="509" t="s">
        <v>32</v>
      </c>
      <c r="D55" s="512">
        <v>62024</v>
      </c>
      <c r="E55" s="507" t="s">
        <v>3594</v>
      </c>
    </row>
    <row r="56" spans="1:5" ht="15" x14ac:dyDescent="0.35">
      <c r="A56" s="509">
        <v>3209</v>
      </c>
      <c r="B56" s="510" t="s">
        <v>382</v>
      </c>
      <c r="C56" s="509" t="s">
        <v>328</v>
      </c>
      <c r="D56" s="512">
        <v>469420</v>
      </c>
      <c r="E56" s="507" t="s">
        <v>331</v>
      </c>
    </row>
    <row r="57" spans="1:5" ht="15" x14ac:dyDescent="0.35">
      <c r="A57" s="509">
        <v>3210</v>
      </c>
      <c r="B57" s="510" t="s">
        <v>383</v>
      </c>
      <c r="C57" s="509" t="s">
        <v>328</v>
      </c>
      <c r="D57" s="512">
        <v>72359</v>
      </c>
      <c r="E57" s="507" t="s">
        <v>331</v>
      </c>
    </row>
    <row r="58" spans="1:5" ht="15" x14ac:dyDescent="0.35">
      <c r="A58" s="509">
        <v>3221</v>
      </c>
      <c r="B58" s="510" t="s">
        <v>384</v>
      </c>
      <c r="C58" s="509" t="s">
        <v>32</v>
      </c>
      <c r="D58" s="511">
        <v>863216</v>
      </c>
      <c r="E58" s="507" t="s">
        <v>331</v>
      </c>
    </row>
    <row r="59" spans="1:5" ht="15" x14ac:dyDescent="0.35">
      <c r="A59" s="509">
        <v>3223</v>
      </c>
      <c r="B59" s="510" t="s">
        <v>385</v>
      </c>
      <c r="C59" s="509" t="s">
        <v>328</v>
      </c>
      <c r="D59" s="511">
        <v>26380</v>
      </c>
      <c r="E59" s="507" t="s">
        <v>331</v>
      </c>
    </row>
    <row r="60" spans="1:5" ht="15" x14ac:dyDescent="0.35">
      <c r="A60" s="509">
        <v>3224</v>
      </c>
      <c r="B60" s="510" t="s">
        <v>386</v>
      </c>
      <c r="C60" s="509" t="s">
        <v>328</v>
      </c>
      <c r="D60" s="511">
        <v>36289</v>
      </c>
      <c r="E60" s="507" t="s">
        <v>331</v>
      </c>
    </row>
    <row r="61" spans="1:5" ht="15" x14ac:dyDescent="0.35">
      <c r="A61" s="509">
        <v>3225</v>
      </c>
      <c r="B61" s="510" t="s">
        <v>387</v>
      </c>
      <c r="C61" s="509" t="s">
        <v>328</v>
      </c>
      <c r="D61" s="511">
        <v>59610</v>
      </c>
      <c r="E61" s="507" t="s">
        <v>331</v>
      </c>
    </row>
    <row r="62" spans="1:5" ht="15" x14ac:dyDescent="0.35">
      <c r="A62" s="509">
        <v>3226</v>
      </c>
      <c r="B62" s="510" t="s">
        <v>388</v>
      </c>
      <c r="C62" s="509" t="s">
        <v>328</v>
      </c>
      <c r="D62" s="511">
        <v>75728</v>
      </c>
      <c r="E62" s="507" t="s">
        <v>331</v>
      </c>
    </row>
    <row r="63" spans="1:5" ht="15" x14ac:dyDescent="0.35">
      <c r="A63" s="509">
        <v>3227</v>
      </c>
      <c r="B63" s="510" t="s">
        <v>389</v>
      </c>
      <c r="C63" s="509" t="s">
        <v>328</v>
      </c>
      <c r="D63" s="511">
        <v>151191</v>
      </c>
      <c r="E63" s="507" t="s">
        <v>331</v>
      </c>
    </row>
    <row r="64" spans="1:5" ht="15" x14ac:dyDescent="0.35">
      <c r="A64" s="509">
        <v>3228</v>
      </c>
      <c r="B64" s="510" t="s">
        <v>390</v>
      </c>
      <c r="C64" s="509" t="s">
        <v>328</v>
      </c>
      <c r="D64" s="511">
        <v>249962</v>
      </c>
      <c r="E64" s="507" t="s">
        <v>331</v>
      </c>
    </row>
    <row r="65" spans="1:5" ht="15" x14ac:dyDescent="0.35">
      <c r="A65" s="509">
        <v>3229</v>
      </c>
      <c r="B65" s="510" t="s">
        <v>391</v>
      </c>
      <c r="C65" s="509" t="s">
        <v>328</v>
      </c>
      <c r="D65" s="511">
        <v>389243</v>
      </c>
      <c r="E65" s="507" t="s">
        <v>331</v>
      </c>
    </row>
    <row r="66" spans="1:5" ht="15" x14ac:dyDescent="0.35">
      <c r="A66" s="509">
        <v>3230</v>
      </c>
      <c r="B66" s="510" t="s">
        <v>392</v>
      </c>
      <c r="C66" s="509" t="s">
        <v>328</v>
      </c>
      <c r="D66" s="511">
        <v>532870</v>
      </c>
      <c r="E66" s="507" t="s">
        <v>331</v>
      </c>
    </row>
    <row r="67" spans="1:5" ht="15" x14ac:dyDescent="0.35">
      <c r="A67" s="509">
        <v>3231</v>
      </c>
      <c r="B67" s="510" t="s">
        <v>393</v>
      </c>
      <c r="C67" s="509" t="s">
        <v>328</v>
      </c>
      <c r="D67" s="511">
        <v>22935</v>
      </c>
      <c r="E67" s="507" t="s">
        <v>331</v>
      </c>
    </row>
    <row r="68" spans="1:5" ht="15" x14ac:dyDescent="0.35">
      <c r="A68" s="509">
        <v>3232</v>
      </c>
      <c r="B68" s="510" t="s">
        <v>394</v>
      </c>
      <c r="C68" s="509" t="s">
        <v>328</v>
      </c>
      <c r="D68" s="511">
        <v>31190</v>
      </c>
      <c r="E68" s="507" t="s">
        <v>331</v>
      </c>
    </row>
    <row r="69" spans="1:5" ht="15" x14ac:dyDescent="0.35">
      <c r="A69" s="509">
        <v>3233</v>
      </c>
      <c r="B69" s="510" t="s">
        <v>395</v>
      </c>
      <c r="C69" s="509" t="s">
        <v>328</v>
      </c>
      <c r="D69" s="511">
        <v>50566</v>
      </c>
      <c r="E69" s="507" t="s">
        <v>331</v>
      </c>
    </row>
    <row r="70" spans="1:5" ht="15" x14ac:dyDescent="0.35">
      <c r="A70" s="509">
        <v>3234</v>
      </c>
      <c r="B70" s="510" t="s">
        <v>396</v>
      </c>
      <c r="C70" s="509" t="s">
        <v>328</v>
      </c>
      <c r="D70" s="511">
        <v>65150</v>
      </c>
      <c r="E70" s="507" t="s">
        <v>331</v>
      </c>
    </row>
    <row r="71" spans="1:5" ht="15" x14ac:dyDescent="0.35">
      <c r="A71" s="509">
        <v>3235</v>
      </c>
      <c r="B71" s="510" t="s">
        <v>397</v>
      </c>
      <c r="C71" s="509" t="s">
        <v>328</v>
      </c>
      <c r="D71" s="511">
        <v>126304</v>
      </c>
      <c r="E71" s="507" t="s">
        <v>331</v>
      </c>
    </row>
    <row r="72" spans="1:5" ht="15" x14ac:dyDescent="0.35">
      <c r="A72" s="509">
        <v>3236</v>
      </c>
      <c r="B72" s="510" t="s">
        <v>398</v>
      </c>
      <c r="C72" s="509" t="s">
        <v>328</v>
      </c>
      <c r="D72" s="511">
        <v>208639</v>
      </c>
      <c r="E72" s="507" t="s">
        <v>6108</v>
      </c>
    </row>
    <row r="73" spans="1:5" ht="15" x14ac:dyDescent="0.35">
      <c r="A73" s="509">
        <v>3237</v>
      </c>
      <c r="B73" s="510" t="s">
        <v>399</v>
      </c>
      <c r="C73" s="509" t="s">
        <v>328</v>
      </c>
      <c r="D73" s="511">
        <v>320804</v>
      </c>
      <c r="E73" s="507" t="s">
        <v>6108</v>
      </c>
    </row>
    <row r="74" spans="1:5" ht="15" x14ac:dyDescent="0.35">
      <c r="A74" s="509">
        <v>3238</v>
      </c>
      <c r="B74" s="510" t="s">
        <v>400</v>
      </c>
      <c r="C74" s="509" t="s">
        <v>328</v>
      </c>
      <c r="D74" s="511">
        <v>459341</v>
      </c>
      <c r="E74" s="507" t="s">
        <v>331</v>
      </c>
    </row>
    <row r="75" spans="1:5" ht="15" x14ac:dyDescent="0.35">
      <c r="A75" s="509">
        <v>3239</v>
      </c>
      <c r="B75" s="510" t="s">
        <v>401</v>
      </c>
      <c r="C75" s="509" t="s">
        <v>328</v>
      </c>
      <c r="D75" s="511">
        <v>42036</v>
      </c>
      <c r="E75" s="507" t="s">
        <v>331</v>
      </c>
    </row>
    <row r="76" spans="1:5" ht="15" x14ac:dyDescent="0.35">
      <c r="A76" s="509">
        <v>3240</v>
      </c>
      <c r="B76" s="510" t="s">
        <v>402</v>
      </c>
      <c r="C76" s="509" t="s">
        <v>328</v>
      </c>
      <c r="D76" s="511">
        <v>53785</v>
      </c>
      <c r="E76" s="507" t="s">
        <v>331</v>
      </c>
    </row>
    <row r="77" spans="1:5" ht="15" x14ac:dyDescent="0.35">
      <c r="A77" s="509">
        <v>3241</v>
      </c>
      <c r="B77" s="510" t="s">
        <v>403</v>
      </c>
      <c r="C77" s="509" t="s">
        <v>328</v>
      </c>
      <c r="D77" s="511">
        <v>105573</v>
      </c>
      <c r="E77" s="507" t="s">
        <v>331</v>
      </c>
    </row>
    <row r="78" spans="1:5" ht="15" x14ac:dyDescent="0.35">
      <c r="A78" s="509">
        <v>3242</v>
      </c>
      <c r="B78" s="510" t="s">
        <v>404</v>
      </c>
      <c r="C78" s="509" t="s">
        <v>328</v>
      </c>
      <c r="D78" s="511">
        <v>173396</v>
      </c>
      <c r="E78" s="507" t="s">
        <v>331</v>
      </c>
    </row>
    <row r="79" spans="1:5" ht="15" x14ac:dyDescent="0.35">
      <c r="A79" s="509">
        <v>3243</v>
      </c>
      <c r="B79" s="510" t="s">
        <v>405</v>
      </c>
      <c r="C79" s="509" t="s">
        <v>328</v>
      </c>
      <c r="D79" s="511">
        <v>266986</v>
      </c>
      <c r="E79" s="507" t="s">
        <v>331</v>
      </c>
    </row>
    <row r="80" spans="1:5" ht="15" x14ac:dyDescent="0.35">
      <c r="A80" s="509">
        <v>3245</v>
      </c>
      <c r="B80" s="510" t="s">
        <v>406</v>
      </c>
      <c r="C80" s="509" t="s">
        <v>328</v>
      </c>
      <c r="D80" s="511">
        <v>379790</v>
      </c>
      <c r="E80" s="507" t="s">
        <v>331</v>
      </c>
    </row>
    <row r="81" spans="1:5" ht="15" x14ac:dyDescent="0.35">
      <c r="A81" s="509">
        <v>3246</v>
      </c>
      <c r="B81" s="510" t="s">
        <v>407</v>
      </c>
      <c r="C81" s="509" t="s">
        <v>328</v>
      </c>
      <c r="D81" s="511">
        <v>43733</v>
      </c>
      <c r="E81" s="507" t="s">
        <v>331</v>
      </c>
    </row>
    <row r="82" spans="1:5" ht="15" x14ac:dyDescent="0.35">
      <c r="A82" s="509">
        <v>3247</v>
      </c>
      <c r="B82" s="510" t="s">
        <v>408</v>
      </c>
      <c r="C82" s="509" t="s">
        <v>328</v>
      </c>
      <c r="D82" s="511">
        <v>87750</v>
      </c>
      <c r="E82" s="507" t="s">
        <v>331</v>
      </c>
    </row>
    <row r="83" spans="1:5" ht="15" x14ac:dyDescent="0.35">
      <c r="A83" s="509">
        <v>3248</v>
      </c>
      <c r="B83" s="510" t="s">
        <v>409</v>
      </c>
      <c r="C83" s="509" t="s">
        <v>328</v>
      </c>
      <c r="D83" s="511">
        <v>142144</v>
      </c>
      <c r="E83" s="507" t="s">
        <v>331</v>
      </c>
    </row>
    <row r="84" spans="1:5" ht="15" x14ac:dyDescent="0.35">
      <c r="A84" s="509">
        <v>3249</v>
      </c>
      <c r="B84" s="510" t="s">
        <v>410</v>
      </c>
      <c r="C84" s="509" t="s">
        <v>328</v>
      </c>
      <c r="D84" s="511">
        <v>218210</v>
      </c>
      <c r="E84" s="507" t="s">
        <v>331</v>
      </c>
    </row>
    <row r="85" spans="1:5" ht="15" x14ac:dyDescent="0.35">
      <c r="A85" s="509">
        <v>3250</v>
      </c>
      <c r="B85" s="510" t="s">
        <v>411</v>
      </c>
      <c r="C85" s="509" t="s">
        <v>328</v>
      </c>
      <c r="D85" s="511">
        <v>291950</v>
      </c>
      <c r="E85" s="507" t="s">
        <v>331</v>
      </c>
    </row>
    <row r="86" spans="1:5" ht="15" x14ac:dyDescent="0.35">
      <c r="A86" s="509">
        <v>3251</v>
      </c>
      <c r="B86" s="510" t="s">
        <v>412</v>
      </c>
      <c r="C86" s="509" t="s">
        <v>32</v>
      </c>
      <c r="D86" s="511">
        <v>569190</v>
      </c>
      <c r="E86" s="507" t="s">
        <v>331</v>
      </c>
    </row>
    <row r="87" spans="1:5" ht="15" x14ac:dyDescent="0.35">
      <c r="A87" s="509">
        <v>3252</v>
      </c>
      <c r="B87" s="510" t="s">
        <v>413</v>
      </c>
      <c r="C87" s="509" t="s">
        <v>32</v>
      </c>
      <c r="D87" s="511">
        <v>523634</v>
      </c>
      <c r="E87" s="507" t="s">
        <v>331</v>
      </c>
    </row>
    <row r="88" spans="1:5" ht="15" x14ac:dyDescent="0.35">
      <c r="A88" s="509">
        <v>3253</v>
      </c>
      <c r="B88" s="510" t="s">
        <v>414</v>
      </c>
      <c r="C88" s="509" t="s">
        <v>32</v>
      </c>
      <c r="D88" s="511">
        <v>585375</v>
      </c>
      <c r="E88" s="507" t="s">
        <v>331</v>
      </c>
    </row>
    <row r="89" spans="1:5" ht="15" x14ac:dyDescent="0.35">
      <c r="A89" s="509">
        <v>3254</v>
      </c>
      <c r="B89" s="510" t="s">
        <v>415</v>
      </c>
      <c r="C89" s="509" t="s">
        <v>32</v>
      </c>
      <c r="D89" s="511">
        <v>724422</v>
      </c>
      <c r="E89" s="507" t="s">
        <v>331</v>
      </c>
    </row>
    <row r="90" spans="1:5" ht="15" x14ac:dyDescent="0.35">
      <c r="A90" s="509">
        <v>3255</v>
      </c>
      <c r="B90" s="510" t="s">
        <v>416</v>
      </c>
      <c r="C90" s="509" t="s">
        <v>32</v>
      </c>
      <c r="D90" s="511">
        <v>768660</v>
      </c>
      <c r="E90" s="507" t="s">
        <v>331</v>
      </c>
    </row>
    <row r="91" spans="1:5" ht="15" x14ac:dyDescent="0.35">
      <c r="A91" s="509">
        <v>3256</v>
      </c>
      <c r="B91" s="510" t="s">
        <v>417</v>
      </c>
      <c r="C91" s="509" t="s">
        <v>32</v>
      </c>
      <c r="D91" s="511">
        <v>851960</v>
      </c>
      <c r="E91" s="507" t="s">
        <v>331</v>
      </c>
    </row>
    <row r="92" spans="1:5" ht="15" x14ac:dyDescent="0.35">
      <c r="A92" s="509">
        <v>3257</v>
      </c>
      <c r="B92" s="510" t="s">
        <v>418</v>
      </c>
      <c r="C92" s="509" t="s">
        <v>32</v>
      </c>
      <c r="D92" s="511">
        <v>1179551</v>
      </c>
      <c r="E92" s="507" t="s">
        <v>331</v>
      </c>
    </row>
    <row r="93" spans="1:5" ht="15" x14ac:dyDescent="0.35">
      <c r="A93" s="509">
        <v>3258</v>
      </c>
      <c r="B93" s="510" t="s">
        <v>419</v>
      </c>
      <c r="C93" s="509" t="s">
        <v>32</v>
      </c>
      <c r="D93" s="511">
        <v>1232590</v>
      </c>
      <c r="E93" s="507" t="s">
        <v>331</v>
      </c>
    </row>
    <row r="94" spans="1:5" ht="15" x14ac:dyDescent="0.35">
      <c r="A94" s="509">
        <v>3259</v>
      </c>
      <c r="B94" s="510" t="s">
        <v>420</v>
      </c>
      <c r="C94" s="509" t="s">
        <v>32</v>
      </c>
      <c r="D94" s="511">
        <v>1234222</v>
      </c>
      <c r="E94" s="507" t="s">
        <v>331</v>
      </c>
    </row>
    <row r="95" spans="1:5" ht="15" x14ac:dyDescent="0.35">
      <c r="A95" s="509">
        <v>3260</v>
      </c>
      <c r="B95" s="510" t="s">
        <v>421</v>
      </c>
      <c r="C95" s="509" t="s">
        <v>32</v>
      </c>
      <c r="D95" s="511">
        <v>1467563</v>
      </c>
      <c r="E95" s="507" t="s">
        <v>331</v>
      </c>
    </row>
    <row r="96" spans="1:5" ht="15" x14ac:dyDescent="0.35">
      <c r="A96" s="509">
        <v>3261</v>
      </c>
      <c r="B96" s="510" t="s">
        <v>422</v>
      </c>
      <c r="C96" s="509" t="s">
        <v>32</v>
      </c>
      <c r="D96" s="511">
        <v>1771013</v>
      </c>
      <c r="E96" s="507" t="s">
        <v>331</v>
      </c>
    </row>
    <row r="97" spans="1:5" ht="15" x14ac:dyDescent="0.35">
      <c r="A97" s="509">
        <v>3262</v>
      </c>
      <c r="B97" s="510" t="s">
        <v>423</v>
      </c>
      <c r="C97" s="509" t="s">
        <v>32</v>
      </c>
      <c r="D97" s="511">
        <v>1824563</v>
      </c>
      <c r="E97" s="507" t="s">
        <v>331</v>
      </c>
    </row>
    <row r="98" spans="1:5" ht="15" x14ac:dyDescent="0.35">
      <c r="A98" s="509">
        <v>3263</v>
      </c>
      <c r="B98" s="510" t="s">
        <v>424</v>
      </c>
      <c r="C98" s="509" t="s">
        <v>32</v>
      </c>
      <c r="D98" s="511">
        <v>2074463</v>
      </c>
      <c r="E98" s="507" t="s">
        <v>331</v>
      </c>
    </row>
    <row r="99" spans="1:5" ht="15" x14ac:dyDescent="0.35">
      <c r="A99" s="509">
        <v>3264</v>
      </c>
      <c r="B99" s="510" t="s">
        <v>425</v>
      </c>
      <c r="C99" s="509" t="s">
        <v>32</v>
      </c>
      <c r="D99" s="511">
        <v>2348163</v>
      </c>
      <c r="E99" s="507" t="s">
        <v>331</v>
      </c>
    </row>
    <row r="100" spans="1:5" ht="15" x14ac:dyDescent="0.35">
      <c r="A100" s="509">
        <v>3265</v>
      </c>
      <c r="B100" s="510" t="s">
        <v>426</v>
      </c>
      <c r="C100" s="509" t="s">
        <v>32</v>
      </c>
      <c r="D100" s="511">
        <v>2895563</v>
      </c>
      <c r="E100" s="507" t="s">
        <v>331</v>
      </c>
    </row>
    <row r="101" spans="1:5" ht="15" x14ac:dyDescent="0.35">
      <c r="A101" s="509">
        <v>3267</v>
      </c>
      <c r="B101" s="510" t="s">
        <v>427</v>
      </c>
      <c r="C101" s="509" t="s">
        <v>32</v>
      </c>
      <c r="D101" s="511">
        <v>1968306</v>
      </c>
      <c r="E101" s="507" t="s">
        <v>331</v>
      </c>
    </row>
    <row r="102" spans="1:5" ht="15" x14ac:dyDescent="0.35">
      <c r="A102" s="509">
        <v>3268</v>
      </c>
      <c r="B102" s="510" t="s">
        <v>428</v>
      </c>
      <c r="C102" s="509" t="s">
        <v>32</v>
      </c>
      <c r="D102" s="511">
        <v>2299797</v>
      </c>
      <c r="E102" s="507" t="s">
        <v>331</v>
      </c>
    </row>
    <row r="103" spans="1:5" ht="15" x14ac:dyDescent="0.35">
      <c r="A103" s="509">
        <v>3269</v>
      </c>
      <c r="B103" s="510" t="s">
        <v>429</v>
      </c>
      <c r="C103" s="509" t="s">
        <v>32</v>
      </c>
      <c r="D103" s="511">
        <v>2329547</v>
      </c>
      <c r="E103" s="507" t="s">
        <v>331</v>
      </c>
    </row>
    <row r="104" spans="1:5" ht="15" x14ac:dyDescent="0.35">
      <c r="A104" s="509">
        <v>3270</v>
      </c>
      <c r="B104" s="510" t="s">
        <v>430</v>
      </c>
      <c r="C104" s="509" t="s">
        <v>32</v>
      </c>
      <c r="D104" s="511">
        <v>2466397</v>
      </c>
      <c r="E104" s="507" t="s">
        <v>331</v>
      </c>
    </row>
    <row r="105" spans="1:5" ht="15" x14ac:dyDescent="0.35">
      <c r="A105" s="509">
        <v>3271</v>
      </c>
      <c r="B105" s="510" t="s">
        <v>431</v>
      </c>
      <c r="C105" s="509" t="s">
        <v>32</v>
      </c>
      <c r="D105" s="511">
        <v>2936447</v>
      </c>
      <c r="E105" s="507" t="s">
        <v>331</v>
      </c>
    </row>
    <row r="106" spans="1:5" ht="15" x14ac:dyDescent="0.35">
      <c r="A106" s="509">
        <v>3272</v>
      </c>
      <c r="B106" s="510" t="s">
        <v>432</v>
      </c>
      <c r="C106" s="509" t="s">
        <v>32</v>
      </c>
      <c r="D106" s="511">
        <v>3454097</v>
      </c>
      <c r="E106" s="507" t="s">
        <v>331</v>
      </c>
    </row>
    <row r="107" spans="1:5" ht="15" x14ac:dyDescent="0.35">
      <c r="A107" s="509">
        <v>3273</v>
      </c>
      <c r="B107" s="510" t="s">
        <v>433</v>
      </c>
      <c r="C107" s="509" t="s">
        <v>32</v>
      </c>
      <c r="D107" s="511">
        <v>7629323</v>
      </c>
      <c r="E107" s="507" t="s">
        <v>331</v>
      </c>
    </row>
    <row r="108" spans="1:5" ht="15" x14ac:dyDescent="0.35">
      <c r="A108" s="509">
        <v>3274</v>
      </c>
      <c r="B108" s="510" t="s">
        <v>434</v>
      </c>
      <c r="C108" s="509" t="s">
        <v>32</v>
      </c>
      <c r="D108" s="511">
        <v>8654015</v>
      </c>
      <c r="E108" s="507" t="s">
        <v>331</v>
      </c>
    </row>
    <row r="109" spans="1:5" ht="15" x14ac:dyDescent="0.35">
      <c r="A109" s="509">
        <v>3275</v>
      </c>
      <c r="B109" s="510" t="s">
        <v>435</v>
      </c>
      <c r="C109" s="509" t="s">
        <v>32</v>
      </c>
      <c r="D109" s="511">
        <v>9442241</v>
      </c>
      <c r="E109" s="507" t="s">
        <v>331</v>
      </c>
    </row>
    <row r="110" spans="1:5" ht="15" x14ac:dyDescent="0.35">
      <c r="A110" s="509">
        <v>3276</v>
      </c>
      <c r="B110" s="510" t="s">
        <v>436</v>
      </c>
      <c r="C110" s="509" t="s">
        <v>32</v>
      </c>
      <c r="D110" s="511">
        <v>10033410</v>
      </c>
      <c r="E110" s="507" t="s">
        <v>331</v>
      </c>
    </row>
    <row r="111" spans="1:5" ht="15" x14ac:dyDescent="0.35">
      <c r="A111" s="509">
        <v>3277</v>
      </c>
      <c r="B111" s="510" t="s">
        <v>437</v>
      </c>
      <c r="C111" s="509" t="s">
        <v>32</v>
      </c>
      <c r="D111" s="511">
        <v>10506345</v>
      </c>
      <c r="E111" s="507" t="s">
        <v>331</v>
      </c>
    </row>
    <row r="112" spans="1:5" ht="15" x14ac:dyDescent="0.35">
      <c r="A112" s="509">
        <v>3278</v>
      </c>
      <c r="B112" s="510" t="s">
        <v>438</v>
      </c>
      <c r="C112" s="509" t="s">
        <v>32</v>
      </c>
      <c r="D112" s="511">
        <v>11333981</v>
      </c>
      <c r="E112" s="507" t="s">
        <v>331</v>
      </c>
    </row>
    <row r="113" spans="1:5" ht="15" x14ac:dyDescent="0.35">
      <c r="A113" s="509">
        <v>3279</v>
      </c>
      <c r="B113" s="510" t="s">
        <v>439</v>
      </c>
      <c r="C113" s="509" t="s">
        <v>32</v>
      </c>
      <c r="D113" s="511">
        <v>11925151</v>
      </c>
      <c r="E113" s="507" t="s">
        <v>331</v>
      </c>
    </row>
    <row r="114" spans="1:5" ht="15" x14ac:dyDescent="0.35">
      <c r="A114" s="509">
        <v>3280</v>
      </c>
      <c r="B114" s="510" t="s">
        <v>440</v>
      </c>
      <c r="C114" s="509" t="s">
        <v>32</v>
      </c>
      <c r="D114" s="511">
        <v>13580424</v>
      </c>
      <c r="E114" s="507" t="s">
        <v>331</v>
      </c>
    </row>
    <row r="115" spans="1:5" ht="15" x14ac:dyDescent="0.35">
      <c r="A115" s="509">
        <v>3281</v>
      </c>
      <c r="B115" s="510" t="s">
        <v>441</v>
      </c>
      <c r="C115" s="509" t="s">
        <v>32</v>
      </c>
      <c r="D115" s="511">
        <v>328602</v>
      </c>
      <c r="E115" s="507" t="s">
        <v>331</v>
      </c>
    </row>
    <row r="116" spans="1:5" ht="15" x14ac:dyDescent="0.35">
      <c r="A116" s="509">
        <v>3282</v>
      </c>
      <c r="B116" s="510" t="s">
        <v>442</v>
      </c>
      <c r="C116" s="509" t="s">
        <v>32</v>
      </c>
      <c r="D116" s="511">
        <v>420920</v>
      </c>
      <c r="E116" s="507" t="s">
        <v>331</v>
      </c>
    </row>
    <row r="117" spans="1:5" ht="15" x14ac:dyDescent="0.35">
      <c r="A117" s="509">
        <v>3283</v>
      </c>
      <c r="B117" s="510" t="s">
        <v>443</v>
      </c>
      <c r="C117" s="509" t="s">
        <v>328</v>
      </c>
      <c r="D117" s="511">
        <v>9574</v>
      </c>
      <c r="E117" s="507" t="s">
        <v>331</v>
      </c>
    </row>
    <row r="118" spans="1:5" ht="15" x14ac:dyDescent="0.35">
      <c r="A118" s="509">
        <v>3284</v>
      </c>
      <c r="B118" s="510" t="s">
        <v>444</v>
      </c>
      <c r="C118" s="509" t="s">
        <v>328</v>
      </c>
      <c r="D118" s="511">
        <v>15250</v>
      </c>
      <c r="E118" s="507" t="s">
        <v>331</v>
      </c>
    </row>
    <row r="119" spans="1:5" ht="15" x14ac:dyDescent="0.35">
      <c r="A119" s="509">
        <v>3285</v>
      </c>
      <c r="B119" s="510" t="s">
        <v>445</v>
      </c>
      <c r="C119" s="509" t="s">
        <v>328</v>
      </c>
      <c r="D119" s="511">
        <v>12768</v>
      </c>
      <c r="E119" s="507" t="s">
        <v>331</v>
      </c>
    </row>
    <row r="120" spans="1:5" ht="15" x14ac:dyDescent="0.35">
      <c r="A120" s="509">
        <v>3286</v>
      </c>
      <c r="B120" s="510" t="s">
        <v>446</v>
      </c>
      <c r="C120" s="509" t="s">
        <v>328</v>
      </c>
      <c r="D120" s="511">
        <v>21452</v>
      </c>
      <c r="E120" s="507" t="s">
        <v>331</v>
      </c>
    </row>
    <row r="121" spans="1:5" ht="15" x14ac:dyDescent="0.35">
      <c r="A121" s="509">
        <v>3287</v>
      </c>
      <c r="B121" s="510" t="s">
        <v>447</v>
      </c>
      <c r="C121" s="509" t="s">
        <v>328</v>
      </c>
      <c r="D121" s="512">
        <v>49627</v>
      </c>
      <c r="E121" s="507" t="s">
        <v>331</v>
      </c>
    </row>
    <row r="122" spans="1:5" ht="15" x14ac:dyDescent="0.35">
      <c r="A122" s="509">
        <v>3288</v>
      </c>
      <c r="B122" s="510" t="s">
        <v>448</v>
      </c>
      <c r="C122" s="509" t="s">
        <v>328</v>
      </c>
      <c r="D122" s="512">
        <v>46860</v>
      </c>
      <c r="E122" s="507" t="s">
        <v>331</v>
      </c>
    </row>
    <row r="123" spans="1:5" ht="15" x14ac:dyDescent="0.35">
      <c r="A123" s="509">
        <v>3291</v>
      </c>
      <c r="B123" s="510" t="s">
        <v>449</v>
      </c>
      <c r="C123" s="509" t="s">
        <v>32</v>
      </c>
      <c r="D123" s="511">
        <v>159975</v>
      </c>
      <c r="E123" s="507" t="s">
        <v>331</v>
      </c>
    </row>
    <row r="124" spans="1:5" ht="15" x14ac:dyDescent="0.35">
      <c r="A124" s="509">
        <v>3292</v>
      </c>
      <c r="B124" s="510" t="s">
        <v>450</v>
      </c>
      <c r="C124" s="509" t="s">
        <v>32</v>
      </c>
      <c r="D124" s="511">
        <v>230747</v>
      </c>
      <c r="E124" s="507" t="s">
        <v>331</v>
      </c>
    </row>
    <row r="125" spans="1:5" ht="15" x14ac:dyDescent="0.35">
      <c r="A125" s="509">
        <v>3293</v>
      </c>
      <c r="B125" s="510" t="s">
        <v>451</v>
      </c>
      <c r="C125" s="509" t="s">
        <v>32</v>
      </c>
      <c r="D125" s="511">
        <v>311475</v>
      </c>
      <c r="E125" s="507" t="s">
        <v>331</v>
      </c>
    </row>
    <row r="126" spans="1:5" ht="15" x14ac:dyDescent="0.35">
      <c r="A126" s="509">
        <v>3294</v>
      </c>
      <c r="B126" s="510" t="s">
        <v>452</v>
      </c>
      <c r="C126" s="509" t="s">
        <v>32</v>
      </c>
      <c r="D126" s="511">
        <v>578917</v>
      </c>
      <c r="E126" s="507" t="s">
        <v>331</v>
      </c>
    </row>
    <row r="127" spans="1:5" ht="15" x14ac:dyDescent="0.35">
      <c r="A127" s="509">
        <v>3295</v>
      </c>
      <c r="B127" s="510" t="s">
        <v>453</v>
      </c>
      <c r="C127" s="509" t="s">
        <v>32</v>
      </c>
      <c r="D127" s="511">
        <v>1047631</v>
      </c>
      <c r="E127" s="507" t="s">
        <v>331</v>
      </c>
    </row>
    <row r="128" spans="1:5" ht="15" x14ac:dyDescent="0.35">
      <c r="A128" s="509">
        <v>3296</v>
      </c>
      <c r="B128" s="510" t="s">
        <v>454</v>
      </c>
      <c r="C128" s="509" t="s">
        <v>32</v>
      </c>
      <c r="D128" s="511">
        <v>1863449</v>
      </c>
      <c r="E128" s="507" t="s">
        <v>331</v>
      </c>
    </row>
    <row r="129" spans="1:5" ht="15" x14ac:dyDescent="0.35">
      <c r="A129" s="509">
        <v>3297</v>
      </c>
      <c r="B129" s="510" t="s">
        <v>455</v>
      </c>
      <c r="C129" s="509" t="s">
        <v>32</v>
      </c>
      <c r="D129" s="511">
        <v>2302192</v>
      </c>
      <c r="E129" s="507" t="s">
        <v>331</v>
      </c>
    </row>
    <row r="130" spans="1:5" ht="15" x14ac:dyDescent="0.35">
      <c r="A130" s="509">
        <v>3298</v>
      </c>
      <c r="B130" s="510" t="s">
        <v>456</v>
      </c>
      <c r="C130" s="509" t="s">
        <v>32</v>
      </c>
      <c r="D130" s="511">
        <v>3029619</v>
      </c>
      <c r="E130" s="507" t="s">
        <v>331</v>
      </c>
    </row>
    <row r="131" spans="1:5" ht="15" x14ac:dyDescent="0.35">
      <c r="A131" s="509">
        <v>3299</v>
      </c>
      <c r="B131" s="510" t="s">
        <v>457</v>
      </c>
      <c r="C131" s="509" t="s">
        <v>32</v>
      </c>
      <c r="D131" s="511">
        <v>3963461</v>
      </c>
      <c r="E131" s="507" t="s">
        <v>331</v>
      </c>
    </row>
    <row r="132" spans="1:5" ht="15" x14ac:dyDescent="0.35">
      <c r="A132" s="509">
        <v>3300</v>
      </c>
      <c r="B132" s="510" t="s">
        <v>458</v>
      </c>
      <c r="C132" s="509" t="s">
        <v>32</v>
      </c>
      <c r="D132" s="511">
        <v>4967883</v>
      </c>
      <c r="E132" s="507" t="s">
        <v>331</v>
      </c>
    </row>
    <row r="133" spans="1:5" ht="15" x14ac:dyDescent="0.35">
      <c r="A133" s="509">
        <v>3301</v>
      </c>
      <c r="B133" s="510" t="s">
        <v>459</v>
      </c>
      <c r="C133" s="509" t="s">
        <v>32</v>
      </c>
      <c r="D133" s="511">
        <v>6223211</v>
      </c>
      <c r="E133" s="507" t="s">
        <v>331</v>
      </c>
    </row>
    <row r="134" spans="1:5" ht="15" x14ac:dyDescent="0.35">
      <c r="A134" s="509">
        <v>3303</v>
      </c>
      <c r="B134" s="510" t="s">
        <v>460</v>
      </c>
      <c r="C134" s="509" t="s">
        <v>32</v>
      </c>
      <c r="D134" s="511">
        <v>180205</v>
      </c>
      <c r="E134" s="507" t="s">
        <v>331</v>
      </c>
    </row>
    <row r="135" spans="1:5" ht="15" x14ac:dyDescent="0.35">
      <c r="A135" s="509">
        <v>3304</v>
      </c>
      <c r="B135" s="510" t="s">
        <v>461</v>
      </c>
      <c r="C135" s="509" t="s">
        <v>32</v>
      </c>
      <c r="D135" s="511">
        <v>213570</v>
      </c>
      <c r="E135" s="507" t="s">
        <v>331</v>
      </c>
    </row>
    <row r="136" spans="1:5" ht="15" x14ac:dyDescent="0.35">
      <c r="A136" s="509">
        <v>3305</v>
      </c>
      <c r="B136" s="510" t="s">
        <v>462</v>
      </c>
      <c r="C136" s="509" t="s">
        <v>32</v>
      </c>
      <c r="D136" s="511">
        <v>281548</v>
      </c>
      <c r="E136" s="507" t="s">
        <v>331</v>
      </c>
    </row>
    <row r="137" spans="1:5" ht="15" x14ac:dyDescent="0.35">
      <c r="A137" s="509">
        <v>3306</v>
      </c>
      <c r="B137" s="510" t="s">
        <v>463</v>
      </c>
      <c r="C137" s="509" t="s">
        <v>32</v>
      </c>
      <c r="D137" s="511">
        <v>495617</v>
      </c>
      <c r="E137" s="507" t="s">
        <v>331</v>
      </c>
    </row>
    <row r="138" spans="1:5" ht="15" x14ac:dyDescent="0.35">
      <c r="A138" s="509">
        <v>3307</v>
      </c>
      <c r="B138" s="510" t="s">
        <v>464</v>
      </c>
      <c r="C138" s="509" t="s">
        <v>32</v>
      </c>
      <c r="D138" s="511">
        <v>994081</v>
      </c>
      <c r="E138" s="507" t="s">
        <v>331</v>
      </c>
    </row>
    <row r="139" spans="1:5" ht="15" x14ac:dyDescent="0.35">
      <c r="A139" s="509">
        <v>3308</v>
      </c>
      <c r="B139" s="510" t="s">
        <v>465</v>
      </c>
      <c r="C139" s="509" t="s">
        <v>32</v>
      </c>
      <c r="D139" s="511">
        <v>1595599</v>
      </c>
      <c r="E139" s="507" t="s">
        <v>331</v>
      </c>
    </row>
    <row r="140" spans="1:5" ht="15" x14ac:dyDescent="0.35">
      <c r="A140" s="509">
        <v>3309</v>
      </c>
      <c r="B140" s="510" t="s">
        <v>466</v>
      </c>
      <c r="C140" s="509" t="s">
        <v>32</v>
      </c>
      <c r="D140" s="511">
        <v>2212942</v>
      </c>
      <c r="E140" s="507" t="s">
        <v>331</v>
      </c>
    </row>
    <row r="141" spans="1:5" ht="15" x14ac:dyDescent="0.35">
      <c r="A141" s="509">
        <v>3310</v>
      </c>
      <c r="B141" s="510" t="s">
        <v>467</v>
      </c>
      <c r="C141" s="509" t="s">
        <v>32</v>
      </c>
      <c r="D141" s="511">
        <v>2207458</v>
      </c>
      <c r="E141" s="507" t="s">
        <v>331</v>
      </c>
    </row>
    <row r="142" spans="1:5" ht="15" x14ac:dyDescent="0.35">
      <c r="A142" s="509">
        <v>3311</v>
      </c>
      <c r="B142" s="510" t="s">
        <v>468</v>
      </c>
      <c r="C142" s="509" t="s">
        <v>32</v>
      </c>
      <c r="D142" s="511">
        <v>2828182</v>
      </c>
      <c r="E142" s="507" t="s">
        <v>331</v>
      </c>
    </row>
    <row r="143" spans="1:5" ht="15" x14ac:dyDescent="0.35">
      <c r="A143" s="509">
        <v>3312</v>
      </c>
      <c r="B143" s="510" t="s">
        <v>469</v>
      </c>
      <c r="C143" s="509" t="s">
        <v>32</v>
      </c>
      <c r="D143" s="511">
        <v>3787168</v>
      </c>
      <c r="E143" s="507" t="s">
        <v>331</v>
      </c>
    </row>
    <row r="144" spans="1:5" ht="15" x14ac:dyDescent="0.35">
      <c r="A144" s="509">
        <v>3313</v>
      </c>
      <c r="B144" s="510" t="s">
        <v>470</v>
      </c>
      <c r="C144" s="509" t="s">
        <v>32</v>
      </c>
      <c r="D144" s="511">
        <v>5430109</v>
      </c>
      <c r="E144" s="507" t="s">
        <v>331</v>
      </c>
    </row>
    <row r="145" spans="1:5" ht="15" x14ac:dyDescent="0.35">
      <c r="A145" s="509">
        <v>3315</v>
      </c>
      <c r="B145" s="510" t="s">
        <v>471</v>
      </c>
      <c r="C145" s="509" t="s">
        <v>32</v>
      </c>
      <c r="D145" s="511">
        <v>418267</v>
      </c>
      <c r="E145" s="507" t="s">
        <v>331</v>
      </c>
    </row>
    <row r="146" spans="1:5" ht="15" x14ac:dyDescent="0.35">
      <c r="A146" s="509">
        <v>3316</v>
      </c>
      <c r="B146" s="510" t="s">
        <v>472</v>
      </c>
      <c r="C146" s="509" t="s">
        <v>32</v>
      </c>
      <c r="D146" s="511">
        <v>1939242</v>
      </c>
      <c r="E146" s="507" t="s">
        <v>331</v>
      </c>
    </row>
    <row r="147" spans="1:5" ht="15" x14ac:dyDescent="0.35">
      <c r="A147" s="509">
        <v>3317</v>
      </c>
      <c r="B147" s="510" t="s">
        <v>473</v>
      </c>
      <c r="C147" s="509" t="s">
        <v>32</v>
      </c>
      <c r="D147" s="511">
        <v>406367</v>
      </c>
      <c r="E147" s="507" t="s">
        <v>331</v>
      </c>
    </row>
    <row r="148" spans="1:5" ht="15" x14ac:dyDescent="0.35">
      <c r="A148" s="509">
        <v>3318</v>
      </c>
      <c r="B148" s="510" t="s">
        <v>474</v>
      </c>
      <c r="C148" s="509" t="s">
        <v>32</v>
      </c>
      <c r="D148" s="511">
        <v>1689342</v>
      </c>
      <c r="E148" s="507" t="s">
        <v>331</v>
      </c>
    </row>
    <row r="149" spans="1:5" ht="15" x14ac:dyDescent="0.35">
      <c r="A149" s="509">
        <v>3320</v>
      </c>
      <c r="B149" s="510" t="s">
        <v>475</v>
      </c>
      <c r="C149" s="509" t="s">
        <v>32</v>
      </c>
      <c r="D149" s="511">
        <v>407557</v>
      </c>
      <c r="E149" s="507" t="s">
        <v>331</v>
      </c>
    </row>
    <row r="150" spans="1:5" ht="15" x14ac:dyDescent="0.35">
      <c r="A150" s="509">
        <v>3322</v>
      </c>
      <c r="B150" s="510" t="s">
        <v>476</v>
      </c>
      <c r="C150" s="509" t="s">
        <v>32</v>
      </c>
      <c r="D150" s="511">
        <v>613098</v>
      </c>
      <c r="E150" s="507" t="s">
        <v>331</v>
      </c>
    </row>
    <row r="151" spans="1:5" ht="15" x14ac:dyDescent="0.35">
      <c r="A151" s="509">
        <v>3323</v>
      </c>
      <c r="B151" s="510" t="s">
        <v>477</v>
      </c>
      <c r="C151" s="509" t="s">
        <v>32</v>
      </c>
      <c r="D151" s="511">
        <v>881069</v>
      </c>
      <c r="E151" s="507" t="s">
        <v>331</v>
      </c>
    </row>
    <row r="152" spans="1:5" ht="15" x14ac:dyDescent="0.35">
      <c r="A152" s="509">
        <v>3324</v>
      </c>
      <c r="B152" s="510" t="s">
        <v>478</v>
      </c>
      <c r="C152" s="509" t="s">
        <v>32</v>
      </c>
      <c r="D152" s="511">
        <v>2246099</v>
      </c>
      <c r="E152" s="507" t="s">
        <v>331</v>
      </c>
    </row>
    <row r="153" spans="1:5" ht="15" x14ac:dyDescent="0.35">
      <c r="A153" s="509">
        <v>3325</v>
      </c>
      <c r="B153" s="510" t="s">
        <v>479</v>
      </c>
      <c r="C153" s="509" t="s">
        <v>32</v>
      </c>
      <c r="D153" s="512">
        <v>3783365</v>
      </c>
      <c r="E153" s="507" t="s">
        <v>331</v>
      </c>
    </row>
    <row r="154" spans="1:5" ht="15" x14ac:dyDescent="0.35">
      <c r="A154" s="509">
        <v>3327</v>
      </c>
      <c r="B154" s="510" t="s">
        <v>480</v>
      </c>
      <c r="C154" s="509" t="s">
        <v>32</v>
      </c>
      <c r="D154" s="511">
        <v>4497138</v>
      </c>
      <c r="E154" s="507" t="s">
        <v>331</v>
      </c>
    </row>
    <row r="155" spans="1:5" ht="15" x14ac:dyDescent="0.35">
      <c r="A155" s="509">
        <v>3328</v>
      </c>
      <c r="B155" s="510" t="s">
        <v>481</v>
      </c>
      <c r="C155" s="509" t="s">
        <v>32</v>
      </c>
      <c r="D155" s="512">
        <v>3263276</v>
      </c>
      <c r="E155" s="507" t="s">
        <v>331</v>
      </c>
    </row>
    <row r="156" spans="1:5" ht="15" x14ac:dyDescent="0.35">
      <c r="A156" s="509">
        <v>3329</v>
      </c>
      <c r="B156" s="510" t="s">
        <v>482</v>
      </c>
      <c r="C156" s="509" t="s">
        <v>32</v>
      </c>
      <c r="D156" s="512">
        <v>3500254</v>
      </c>
      <c r="E156" s="507" t="s">
        <v>331</v>
      </c>
    </row>
    <row r="157" spans="1:5" ht="15" x14ac:dyDescent="0.35">
      <c r="A157" s="509">
        <v>3330</v>
      </c>
      <c r="B157" s="510" t="s">
        <v>483</v>
      </c>
      <c r="C157" s="509" t="s">
        <v>32</v>
      </c>
      <c r="D157" s="511">
        <v>5988376</v>
      </c>
      <c r="E157" s="507" t="s">
        <v>331</v>
      </c>
    </row>
    <row r="158" spans="1:5" ht="15" x14ac:dyDescent="0.35">
      <c r="A158" s="509">
        <v>3331</v>
      </c>
      <c r="B158" s="510" t="s">
        <v>484</v>
      </c>
      <c r="C158" s="509" t="s">
        <v>32</v>
      </c>
      <c r="D158" s="511">
        <v>8129354</v>
      </c>
      <c r="E158" s="507" t="s">
        <v>331</v>
      </c>
    </row>
    <row r="159" spans="1:5" ht="15" x14ac:dyDescent="0.35">
      <c r="A159" s="509">
        <v>3347</v>
      </c>
      <c r="B159" s="510" t="s">
        <v>485</v>
      </c>
      <c r="C159" s="509" t="s">
        <v>32</v>
      </c>
      <c r="D159" s="512">
        <v>1218078</v>
      </c>
      <c r="E159" s="507" t="s">
        <v>331</v>
      </c>
    </row>
    <row r="160" spans="1:5" ht="15" x14ac:dyDescent="0.35">
      <c r="A160" s="509">
        <v>3348</v>
      </c>
      <c r="B160" s="510" t="s">
        <v>486</v>
      </c>
      <c r="C160" s="509" t="s">
        <v>32</v>
      </c>
      <c r="D160" s="512">
        <v>1267665</v>
      </c>
      <c r="E160" s="507" t="s">
        <v>331</v>
      </c>
    </row>
    <row r="161" spans="1:5" ht="15" x14ac:dyDescent="0.35">
      <c r="A161" s="509">
        <v>3350</v>
      </c>
      <c r="B161" s="510" t="s">
        <v>487</v>
      </c>
      <c r="C161" s="509" t="s">
        <v>32</v>
      </c>
      <c r="D161" s="512">
        <v>1225170</v>
      </c>
      <c r="E161" s="507" t="s">
        <v>331</v>
      </c>
    </row>
    <row r="162" spans="1:5" ht="15" x14ac:dyDescent="0.35">
      <c r="A162" s="509">
        <v>3351</v>
      </c>
      <c r="B162" s="510" t="s">
        <v>488</v>
      </c>
      <c r="C162" s="509" t="s">
        <v>32</v>
      </c>
      <c r="D162" s="512">
        <v>1485574</v>
      </c>
      <c r="E162" s="507" t="s">
        <v>331</v>
      </c>
    </row>
    <row r="163" spans="1:5" ht="15" x14ac:dyDescent="0.35">
      <c r="A163" s="509">
        <v>3352</v>
      </c>
      <c r="B163" s="510" t="s">
        <v>489</v>
      </c>
      <c r="C163" s="509" t="s">
        <v>32</v>
      </c>
      <c r="D163" s="512">
        <v>1692285</v>
      </c>
      <c r="E163" s="507" t="s">
        <v>331</v>
      </c>
    </row>
    <row r="164" spans="1:5" ht="15" x14ac:dyDescent="0.35">
      <c r="A164" s="509">
        <v>3353</v>
      </c>
      <c r="B164" s="510" t="s">
        <v>490</v>
      </c>
      <c r="C164" s="509" t="s">
        <v>32</v>
      </c>
      <c r="D164" s="512">
        <v>1530691</v>
      </c>
      <c r="E164" s="507" t="s">
        <v>331</v>
      </c>
    </row>
    <row r="165" spans="1:5" ht="15" x14ac:dyDescent="0.35">
      <c r="A165" s="509">
        <v>3354</v>
      </c>
      <c r="B165" s="510" t="s">
        <v>491</v>
      </c>
      <c r="C165" s="509" t="s">
        <v>32</v>
      </c>
      <c r="D165" s="512">
        <v>2266988</v>
      </c>
      <c r="E165" s="507" t="s">
        <v>331</v>
      </c>
    </row>
    <row r="166" spans="1:5" ht="15" x14ac:dyDescent="0.35">
      <c r="A166" s="509">
        <v>3355</v>
      </c>
      <c r="B166" s="510" t="s">
        <v>492</v>
      </c>
      <c r="C166" s="509" t="s">
        <v>32</v>
      </c>
      <c r="D166" s="512">
        <v>2460783</v>
      </c>
      <c r="E166" s="507" t="s">
        <v>331</v>
      </c>
    </row>
    <row r="167" spans="1:5" ht="15" x14ac:dyDescent="0.35">
      <c r="A167" s="509">
        <v>3356</v>
      </c>
      <c r="B167" s="510" t="s">
        <v>493</v>
      </c>
      <c r="C167" s="509" t="s">
        <v>32</v>
      </c>
      <c r="D167" s="512">
        <v>3180413</v>
      </c>
      <c r="E167" s="507" t="s">
        <v>331</v>
      </c>
    </row>
    <row r="168" spans="1:5" ht="15" x14ac:dyDescent="0.35">
      <c r="A168" s="509">
        <v>3357</v>
      </c>
      <c r="B168" s="510" t="s">
        <v>494</v>
      </c>
      <c r="C168" s="509" t="s">
        <v>32</v>
      </c>
      <c r="D168" s="512">
        <v>3872244</v>
      </c>
      <c r="E168" s="507" t="s">
        <v>331</v>
      </c>
    </row>
    <row r="169" spans="1:5" ht="15" x14ac:dyDescent="0.35">
      <c r="A169" s="509">
        <v>3358</v>
      </c>
      <c r="B169" s="510" t="s">
        <v>495</v>
      </c>
      <c r="C169" s="509" t="s">
        <v>32</v>
      </c>
      <c r="D169" s="512">
        <v>1975563</v>
      </c>
      <c r="E169" s="507" t="s">
        <v>331</v>
      </c>
    </row>
    <row r="170" spans="1:5" ht="15" x14ac:dyDescent="0.35">
      <c r="A170" s="509">
        <v>3359</v>
      </c>
      <c r="B170" s="510" t="s">
        <v>496</v>
      </c>
      <c r="C170" s="509" t="s">
        <v>32</v>
      </c>
      <c r="D170" s="512">
        <v>2493921</v>
      </c>
      <c r="E170" s="507" t="s">
        <v>331</v>
      </c>
    </row>
    <row r="171" spans="1:5" ht="15" x14ac:dyDescent="0.35">
      <c r="A171" s="509">
        <v>3360</v>
      </c>
      <c r="B171" s="510" t="s">
        <v>497</v>
      </c>
      <c r="C171" s="509" t="s">
        <v>32</v>
      </c>
      <c r="D171" s="512">
        <v>3664423</v>
      </c>
      <c r="E171" s="507" t="s">
        <v>331</v>
      </c>
    </row>
    <row r="172" spans="1:5" ht="15" x14ac:dyDescent="0.35">
      <c r="A172" s="509">
        <v>3361</v>
      </c>
      <c r="B172" s="510" t="s">
        <v>498</v>
      </c>
      <c r="C172" s="509" t="s">
        <v>32</v>
      </c>
      <c r="D172" s="512">
        <v>4009120</v>
      </c>
      <c r="E172" s="507" t="s">
        <v>331</v>
      </c>
    </row>
    <row r="173" spans="1:5" ht="15" x14ac:dyDescent="0.35">
      <c r="A173" s="509">
        <v>3363</v>
      </c>
      <c r="B173" s="510" t="s">
        <v>499</v>
      </c>
      <c r="C173" s="509" t="s">
        <v>32</v>
      </c>
      <c r="D173" s="512">
        <v>4670624</v>
      </c>
      <c r="E173" s="507" t="s">
        <v>331</v>
      </c>
    </row>
    <row r="174" spans="1:5" ht="15" x14ac:dyDescent="0.35">
      <c r="A174" s="509">
        <v>3364</v>
      </c>
      <c r="B174" s="510" t="s">
        <v>500</v>
      </c>
      <c r="C174" s="509" t="s">
        <v>32</v>
      </c>
      <c r="D174" s="512">
        <v>1030010</v>
      </c>
      <c r="E174" s="507" t="s">
        <v>331</v>
      </c>
    </row>
    <row r="175" spans="1:5" ht="15" x14ac:dyDescent="0.35">
      <c r="A175" s="509">
        <v>3365</v>
      </c>
      <c r="B175" s="510" t="s">
        <v>501</v>
      </c>
      <c r="C175" s="509" t="s">
        <v>32</v>
      </c>
      <c r="D175" s="512">
        <v>1219072</v>
      </c>
      <c r="E175" s="507" t="s">
        <v>331</v>
      </c>
    </row>
    <row r="176" spans="1:5" ht="15" x14ac:dyDescent="0.35">
      <c r="A176" s="509">
        <v>3366</v>
      </c>
      <c r="B176" s="510" t="s">
        <v>502</v>
      </c>
      <c r="C176" s="509" t="s">
        <v>32</v>
      </c>
      <c r="D176" s="512">
        <v>1531708</v>
      </c>
      <c r="E176" s="507" t="s">
        <v>331</v>
      </c>
    </row>
    <row r="177" spans="1:5" ht="15" x14ac:dyDescent="0.35">
      <c r="A177" s="509">
        <v>3368</v>
      </c>
      <c r="B177" s="510" t="s">
        <v>503</v>
      </c>
      <c r="C177" s="509" t="s">
        <v>32</v>
      </c>
      <c r="D177" s="512">
        <v>1212041</v>
      </c>
      <c r="E177" s="507" t="s">
        <v>331</v>
      </c>
    </row>
    <row r="178" spans="1:5" ht="15" x14ac:dyDescent="0.35">
      <c r="A178" s="509">
        <v>3369</v>
      </c>
      <c r="B178" s="510" t="s">
        <v>504</v>
      </c>
      <c r="C178" s="509" t="s">
        <v>32</v>
      </c>
      <c r="D178" s="512">
        <v>1403464</v>
      </c>
      <c r="E178" s="507" t="s">
        <v>331</v>
      </c>
    </row>
    <row r="179" spans="1:5" ht="15" x14ac:dyDescent="0.35">
      <c r="A179" s="509">
        <v>3370</v>
      </c>
      <c r="B179" s="510" t="s">
        <v>505</v>
      </c>
      <c r="C179" s="509" t="s">
        <v>32</v>
      </c>
      <c r="D179" s="512">
        <v>1846908</v>
      </c>
      <c r="E179" s="507" t="s">
        <v>331</v>
      </c>
    </row>
    <row r="180" spans="1:5" ht="15" x14ac:dyDescent="0.35">
      <c r="A180" s="509">
        <v>3371</v>
      </c>
      <c r="B180" s="510" t="s">
        <v>506</v>
      </c>
      <c r="C180" s="509" t="s">
        <v>32</v>
      </c>
      <c r="D180" s="512">
        <v>1413119</v>
      </c>
      <c r="E180" s="507" t="s">
        <v>331</v>
      </c>
    </row>
    <row r="181" spans="1:5" ht="15" x14ac:dyDescent="0.35">
      <c r="A181" s="509">
        <v>3372</v>
      </c>
      <c r="B181" s="510" t="s">
        <v>507</v>
      </c>
      <c r="C181" s="509" t="s">
        <v>32</v>
      </c>
      <c r="D181" s="512">
        <v>1808090</v>
      </c>
      <c r="E181" s="507" t="s">
        <v>331</v>
      </c>
    </row>
    <row r="182" spans="1:5" ht="15" x14ac:dyDescent="0.35">
      <c r="A182" s="509">
        <v>3373</v>
      </c>
      <c r="B182" s="510" t="s">
        <v>508</v>
      </c>
      <c r="C182" s="509" t="s">
        <v>32</v>
      </c>
      <c r="D182" s="512">
        <v>2587838</v>
      </c>
      <c r="E182" s="507" t="s">
        <v>331</v>
      </c>
    </row>
    <row r="183" spans="1:5" ht="15" x14ac:dyDescent="0.35">
      <c r="A183" s="509">
        <v>3374</v>
      </c>
      <c r="B183" s="510" t="s">
        <v>509</v>
      </c>
      <c r="C183" s="509" t="s">
        <v>32</v>
      </c>
      <c r="D183" s="512">
        <v>2292279</v>
      </c>
      <c r="E183" s="507" t="s">
        <v>331</v>
      </c>
    </row>
    <row r="184" spans="1:5" ht="15" x14ac:dyDescent="0.35">
      <c r="A184" s="509">
        <v>3375</v>
      </c>
      <c r="B184" s="510" t="s">
        <v>510</v>
      </c>
      <c r="C184" s="509" t="s">
        <v>32</v>
      </c>
      <c r="D184" s="512">
        <v>2677376</v>
      </c>
      <c r="E184" s="507" t="s">
        <v>331</v>
      </c>
    </row>
    <row r="185" spans="1:5" ht="15" x14ac:dyDescent="0.35">
      <c r="A185" s="509">
        <v>3376</v>
      </c>
      <c r="B185" s="510" t="s">
        <v>511</v>
      </c>
      <c r="C185" s="509" t="s">
        <v>32</v>
      </c>
      <c r="D185" s="512">
        <v>3124590</v>
      </c>
      <c r="E185" s="507" t="s">
        <v>331</v>
      </c>
    </row>
    <row r="186" spans="1:5" ht="15" x14ac:dyDescent="0.35">
      <c r="A186" s="509">
        <v>3378</v>
      </c>
      <c r="B186" s="510" t="s">
        <v>512</v>
      </c>
      <c r="C186" s="509" t="s">
        <v>21</v>
      </c>
      <c r="D186" s="512">
        <v>4872</v>
      </c>
      <c r="E186" s="507" t="s">
        <v>331</v>
      </c>
    </row>
    <row r="187" spans="1:5" ht="15" x14ac:dyDescent="0.35">
      <c r="A187" s="509">
        <v>3379</v>
      </c>
      <c r="B187" s="510" t="s">
        <v>513</v>
      </c>
      <c r="C187" s="509" t="s">
        <v>328</v>
      </c>
      <c r="D187" s="511">
        <v>259730</v>
      </c>
      <c r="E187" s="507" t="s">
        <v>331</v>
      </c>
    </row>
    <row r="188" spans="1:5" ht="15" x14ac:dyDescent="0.35">
      <c r="A188" s="509">
        <v>3380</v>
      </c>
      <c r="B188" s="510" t="s">
        <v>514</v>
      </c>
      <c r="C188" s="509" t="s">
        <v>328</v>
      </c>
      <c r="D188" s="511">
        <v>122097</v>
      </c>
      <c r="E188" s="507" t="s">
        <v>331</v>
      </c>
    </row>
    <row r="189" spans="1:5" ht="15" x14ac:dyDescent="0.35">
      <c r="A189" s="509">
        <v>3382</v>
      </c>
      <c r="B189" s="510" t="s">
        <v>515</v>
      </c>
      <c r="C189" s="509" t="s">
        <v>328</v>
      </c>
      <c r="D189" s="511">
        <v>29375</v>
      </c>
      <c r="E189" s="507" t="s">
        <v>331</v>
      </c>
    </row>
    <row r="190" spans="1:5" ht="15" x14ac:dyDescent="0.35">
      <c r="A190" s="509">
        <v>3385</v>
      </c>
      <c r="B190" s="510" t="s">
        <v>516</v>
      </c>
      <c r="C190" s="509" t="s">
        <v>328</v>
      </c>
      <c r="D190" s="511">
        <v>180857</v>
      </c>
      <c r="E190" s="507" t="s">
        <v>331</v>
      </c>
    </row>
    <row r="191" spans="1:5" ht="15" x14ac:dyDescent="0.35">
      <c r="A191" s="509">
        <v>3388</v>
      </c>
      <c r="B191" s="510" t="s">
        <v>517</v>
      </c>
      <c r="C191" s="509" t="s">
        <v>328</v>
      </c>
      <c r="D191" s="511">
        <v>578670</v>
      </c>
      <c r="E191" s="507" t="s">
        <v>331</v>
      </c>
    </row>
    <row r="192" spans="1:5" ht="15" x14ac:dyDescent="0.35">
      <c r="A192" s="509">
        <v>3391</v>
      </c>
      <c r="B192" s="510" t="s">
        <v>518</v>
      </c>
      <c r="C192" s="509" t="s">
        <v>32</v>
      </c>
      <c r="D192" s="511">
        <v>263101</v>
      </c>
      <c r="E192" s="507" t="s">
        <v>6108</v>
      </c>
    </row>
    <row r="193" spans="1:5" ht="15" x14ac:dyDescent="0.35">
      <c r="A193" s="509">
        <v>3393</v>
      </c>
      <c r="B193" s="510" t="s">
        <v>519</v>
      </c>
      <c r="C193" s="509" t="s">
        <v>32</v>
      </c>
      <c r="D193" s="511">
        <v>1565840</v>
      </c>
      <c r="E193" s="507" t="s">
        <v>6108</v>
      </c>
    </row>
    <row r="194" spans="1:5" ht="15" x14ac:dyDescent="0.35">
      <c r="A194" s="509">
        <v>3394</v>
      </c>
      <c r="B194" s="510" t="s">
        <v>520</v>
      </c>
      <c r="C194" s="509" t="s">
        <v>30</v>
      </c>
      <c r="D194" s="511">
        <v>894526</v>
      </c>
      <c r="E194" s="507" t="s">
        <v>6108</v>
      </c>
    </row>
    <row r="195" spans="1:5" ht="15" x14ac:dyDescent="0.35">
      <c r="A195" s="509">
        <v>3396</v>
      </c>
      <c r="B195" s="510" t="s">
        <v>521</v>
      </c>
      <c r="C195" s="509" t="s">
        <v>32</v>
      </c>
      <c r="D195" s="512">
        <v>761017</v>
      </c>
      <c r="E195" s="507" t="s">
        <v>6108</v>
      </c>
    </row>
    <row r="196" spans="1:5" ht="15" x14ac:dyDescent="0.35">
      <c r="A196" s="509">
        <v>3397</v>
      </c>
      <c r="B196" s="510" t="s">
        <v>522</v>
      </c>
      <c r="C196" s="509" t="s">
        <v>32</v>
      </c>
      <c r="D196" s="512">
        <v>465125</v>
      </c>
      <c r="E196" s="507" t="s">
        <v>6108</v>
      </c>
    </row>
    <row r="197" spans="1:5" ht="15" x14ac:dyDescent="0.35">
      <c r="A197" s="509">
        <v>3400</v>
      </c>
      <c r="B197" s="510" t="s">
        <v>523</v>
      </c>
      <c r="C197" s="509" t="s">
        <v>32</v>
      </c>
      <c r="D197" s="512">
        <v>262509</v>
      </c>
      <c r="E197" s="507" t="s">
        <v>6108</v>
      </c>
    </row>
    <row r="198" spans="1:5" ht="15" x14ac:dyDescent="0.35">
      <c r="A198" s="509">
        <v>3401</v>
      </c>
      <c r="B198" s="510" t="s">
        <v>524</v>
      </c>
      <c r="C198" s="509" t="s">
        <v>32</v>
      </c>
      <c r="D198" s="512">
        <v>546817</v>
      </c>
      <c r="E198" s="507" t="s">
        <v>6108</v>
      </c>
    </row>
    <row r="199" spans="1:5" ht="15" x14ac:dyDescent="0.35">
      <c r="A199" s="509">
        <v>3403</v>
      </c>
      <c r="B199" s="510" t="s">
        <v>525</v>
      </c>
      <c r="C199" s="509" t="s">
        <v>32</v>
      </c>
      <c r="D199" s="512">
        <v>933908</v>
      </c>
      <c r="E199" s="507" t="s">
        <v>6108</v>
      </c>
    </row>
    <row r="200" spans="1:5" ht="15" x14ac:dyDescent="0.35">
      <c r="A200" s="509">
        <v>3404</v>
      </c>
      <c r="B200" s="510" t="s">
        <v>526</v>
      </c>
      <c r="C200" s="509" t="s">
        <v>32</v>
      </c>
      <c r="D200" s="511">
        <v>204842</v>
      </c>
      <c r="E200" s="507" t="s">
        <v>6108</v>
      </c>
    </row>
    <row r="201" spans="1:5" ht="15" x14ac:dyDescent="0.35">
      <c r="A201" s="509">
        <v>3405</v>
      </c>
      <c r="B201" s="510" t="s">
        <v>527</v>
      </c>
      <c r="C201" s="509" t="s">
        <v>32</v>
      </c>
      <c r="D201" s="511">
        <v>314081</v>
      </c>
      <c r="E201" s="507" t="s">
        <v>6108</v>
      </c>
    </row>
    <row r="202" spans="1:5" ht="15" x14ac:dyDescent="0.35">
      <c r="A202" s="509">
        <v>3408</v>
      </c>
      <c r="B202" s="510" t="s">
        <v>528</v>
      </c>
      <c r="C202" s="509" t="s">
        <v>328</v>
      </c>
      <c r="D202" s="511">
        <v>387306</v>
      </c>
      <c r="E202" s="507" t="s">
        <v>6108</v>
      </c>
    </row>
    <row r="203" spans="1:5" ht="15" x14ac:dyDescent="0.35">
      <c r="A203" s="509">
        <v>3410</v>
      </c>
      <c r="B203" s="510" t="s">
        <v>529</v>
      </c>
      <c r="C203" s="509" t="s">
        <v>32</v>
      </c>
      <c r="D203" s="511">
        <v>8891130</v>
      </c>
      <c r="E203" s="507" t="s">
        <v>6108</v>
      </c>
    </row>
    <row r="204" spans="1:5" ht="15" x14ac:dyDescent="0.35">
      <c r="A204" s="509">
        <v>3411</v>
      </c>
      <c r="B204" s="510" t="s">
        <v>530</v>
      </c>
      <c r="C204" s="509" t="s">
        <v>32</v>
      </c>
      <c r="D204" s="511">
        <v>9214267</v>
      </c>
      <c r="E204" s="507" t="s">
        <v>6108</v>
      </c>
    </row>
    <row r="205" spans="1:5" ht="15" x14ac:dyDescent="0.35">
      <c r="A205" s="509">
        <v>3412</v>
      </c>
      <c r="B205" s="510" t="s">
        <v>531</v>
      </c>
      <c r="C205" s="509" t="s">
        <v>32</v>
      </c>
      <c r="D205" s="511">
        <v>509934</v>
      </c>
      <c r="E205" s="507" t="s">
        <v>6108</v>
      </c>
    </row>
    <row r="206" spans="1:5" ht="15" x14ac:dyDescent="0.35">
      <c r="A206" s="509">
        <v>3413</v>
      </c>
      <c r="B206" s="510" t="s">
        <v>532</v>
      </c>
      <c r="C206" s="509" t="s">
        <v>32</v>
      </c>
      <c r="D206" s="511">
        <v>12757</v>
      </c>
      <c r="E206" s="507" t="s">
        <v>6108</v>
      </c>
    </row>
    <row r="207" spans="1:5" ht="15" x14ac:dyDescent="0.35">
      <c r="A207" s="509">
        <v>3414</v>
      </c>
      <c r="B207" s="510" t="s">
        <v>533</v>
      </c>
      <c r="C207" s="509" t="s">
        <v>32</v>
      </c>
      <c r="D207" s="511">
        <v>21920</v>
      </c>
      <c r="E207" s="507" t="s">
        <v>6108</v>
      </c>
    </row>
    <row r="208" spans="1:5" ht="15" x14ac:dyDescent="0.35">
      <c r="A208" s="509">
        <v>3415</v>
      </c>
      <c r="B208" s="510" t="s">
        <v>534</v>
      </c>
      <c r="C208" s="509" t="s">
        <v>328</v>
      </c>
      <c r="D208" s="511">
        <v>53322</v>
      </c>
      <c r="E208" s="507" t="s">
        <v>6108</v>
      </c>
    </row>
    <row r="209" spans="1:5" ht="15" x14ac:dyDescent="0.35">
      <c r="A209" s="509">
        <v>3425</v>
      </c>
      <c r="B209" s="510" t="s">
        <v>535</v>
      </c>
      <c r="C209" s="509" t="s">
        <v>21</v>
      </c>
      <c r="D209" s="511">
        <v>88226</v>
      </c>
      <c r="E209" s="507" t="s">
        <v>6108</v>
      </c>
    </row>
    <row r="210" spans="1:5" ht="15" x14ac:dyDescent="0.35">
      <c r="A210" s="509">
        <v>3426</v>
      </c>
      <c r="B210" s="510" t="s">
        <v>536</v>
      </c>
      <c r="C210" s="509" t="s">
        <v>328</v>
      </c>
      <c r="D210" s="511">
        <v>51161</v>
      </c>
      <c r="E210" s="507" t="s">
        <v>6108</v>
      </c>
    </row>
    <row r="211" spans="1:5" ht="15" x14ac:dyDescent="0.35">
      <c r="A211" s="509">
        <v>3429</v>
      </c>
      <c r="B211" s="510" t="s">
        <v>537</v>
      </c>
      <c r="C211" s="509" t="s">
        <v>32</v>
      </c>
      <c r="D211" s="511">
        <v>651084</v>
      </c>
      <c r="E211" s="507" t="s">
        <v>6108</v>
      </c>
    </row>
    <row r="212" spans="1:5" ht="15" x14ac:dyDescent="0.35">
      <c r="A212" s="509">
        <v>3430</v>
      </c>
      <c r="B212" s="510" t="s">
        <v>538</v>
      </c>
      <c r="C212" s="509" t="s">
        <v>32</v>
      </c>
      <c r="D212" s="511">
        <v>476139</v>
      </c>
      <c r="E212" s="507" t="s">
        <v>6108</v>
      </c>
    </row>
    <row r="213" spans="1:5" ht="15" x14ac:dyDescent="0.35">
      <c r="A213" s="509">
        <v>3431</v>
      </c>
      <c r="B213" s="510" t="s">
        <v>539</v>
      </c>
      <c r="C213" s="509" t="s">
        <v>32</v>
      </c>
      <c r="D213" s="511">
        <v>596679</v>
      </c>
      <c r="E213" s="507" t="s">
        <v>6108</v>
      </c>
    </row>
    <row r="214" spans="1:5" ht="15" x14ac:dyDescent="0.35">
      <c r="A214" s="509">
        <v>3432</v>
      </c>
      <c r="B214" s="510" t="s">
        <v>540</v>
      </c>
      <c r="C214" s="509" t="s">
        <v>32</v>
      </c>
      <c r="D214" s="511">
        <v>777513</v>
      </c>
      <c r="E214" s="507" t="s">
        <v>6108</v>
      </c>
    </row>
    <row r="215" spans="1:5" ht="15" x14ac:dyDescent="0.35">
      <c r="A215" s="509">
        <v>3433</v>
      </c>
      <c r="B215" s="510" t="s">
        <v>541</v>
      </c>
      <c r="C215" s="509" t="s">
        <v>32</v>
      </c>
      <c r="D215" s="511">
        <v>9386</v>
      </c>
      <c r="E215" s="507" t="s">
        <v>6108</v>
      </c>
    </row>
    <row r="216" spans="1:5" ht="15" x14ac:dyDescent="0.35">
      <c r="A216" s="509">
        <v>3434</v>
      </c>
      <c r="B216" s="510" t="s">
        <v>542</v>
      </c>
      <c r="C216" s="509" t="s">
        <v>32</v>
      </c>
      <c r="D216" s="511">
        <v>82052</v>
      </c>
      <c r="E216" s="507" t="s">
        <v>6108</v>
      </c>
    </row>
    <row r="217" spans="1:5" ht="15" x14ac:dyDescent="0.35">
      <c r="A217" s="509">
        <v>3436</v>
      </c>
      <c r="B217" s="510" t="s">
        <v>543</v>
      </c>
      <c r="C217" s="509" t="s">
        <v>30</v>
      </c>
      <c r="D217" s="512">
        <v>129186</v>
      </c>
      <c r="E217" s="507" t="s">
        <v>6108</v>
      </c>
    </row>
    <row r="218" spans="1:5" ht="15" x14ac:dyDescent="0.35">
      <c r="A218" s="509">
        <v>3442</v>
      </c>
      <c r="B218" s="510" t="s">
        <v>544</v>
      </c>
      <c r="C218" s="509" t="s">
        <v>30</v>
      </c>
      <c r="D218" s="512">
        <v>662836</v>
      </c>
      <c r="E218" s="507" t="s">
        <v>6108</v>
      </c>
    </row>
    <row r="219" spans="1:5" ht="15" x14ac:dyDescent="0.35">
      <c r="A219" s="509">
        <v>3443</v>
      </c>
      <c r="B219" s="510" t="s">
        <v>545</v>
      </c>
      <c r="C219" s="509" t="s">
        <v>30</v>
      </c>
      <c r="D219" s="512">
        <v>95753</v>
      </c>
      <c r="E219" s="507" t="s">
        <v>6108</v>
      </c>
    </row>
    <row r="220" spans="1:5" ht="15" x14ac:dyDescent="0.35">
      <c r="A220" s="509">
        <v>3450</v>
      </c>
      <c r="B220" s="510" t="s">
        <v>546</v>
      </c>
      <c r="C220" s="509" t="s">
        <v>32</v>
      </c>
      <c r="D220" s="512">
        <v>414828</v>
      </c>
      <c r="E220" s="507" t="s">
        <v>6108</v>
      </c>
    </row>
    <row r="221" spans="1:5" ht="15" x14ac:dyDescent="0.35">
      <c r="A221" s="509">
        <v>3454</v>
      </c>
      <c r="B221" s="510" t="s">
        <v>547</v>
      </c>
      <c r="C221" s="509" t="s">
        <v>30</v>
      </c>
      <c r="D221" s="512">
        <v>119724</v>
      </c>
      <c r="E221" s="507" t="s">
        <v>6108</v>
      </c>
    </row>
    <row r="222" spans="1:5" ht="15" x14ac:dyDescent="0.35">
      <c r="A222" s="509">
        <v>3463</v>
      </c>
      <c r="B222" s="510" t="s">
        <v>548</v>
      </c>
      <c r="C222" s="509" t="s">
        <v>32</v>
      </c>
      <c r="D222" s="512">
        <v>282065</v>
      </c>
      <c r="E222" s="507" t="s">
        <v>6108</v>
      </c>
    </row>
    <row r="223" spans="1:5" ht="15" x14ac:dyDescent="0.35">
      <c r="A223" s="509">
        <v>3464</v>
      </c>
      <c r="B223" s="510" t="s">
        <v>549</v>
      </c>
      <c r="C223" s="509" t="s">
        <v>30</v>
      </c>
      <c r="D223" s="512">
        <v>55856</v>
      </c>
      <c r="E223" s="507" t="s">
        <v>6108</v>
      </c>
    </row>
    <row r="224" spans="1:5" ht="15" x14ac:dyDescent="0.35">
      <c r="A224" s="509">
        <v>3465</v>
      </c>
      <c r="B224" s="510" t="s">
        <v>550</v>
      </c>
      <c r="C224" s="509" t="s">
        <v>30</v>
      </c>
      <c r="D224" s="511">
        <v>560568</v>
      </c>
      <c r="E224" s="507" t="s">
        <v>6108</v>
      </c>
    </row>
    <row r="225" spans="1:5" ht="15" x14ac:dyDescent="0.35">
      <c r="A225" s="509">
        <v>3466</v>
      </c>
      <c r="B225" s="510" t="s">
        <v>551</v>
      </c>
      <c r="C225" s="509" t="s">
        <v>30</v>
      </c>
      <c r="D225" s="512">
        <v>576687</v>
      </c>
      <c r="E225" s="507" t="s">
        <v>6108</v>
      </c>
    </row>
    <row r="226" spans="1:5" ht="15" x14ac:dyDescent="0.35">
      <c r="A226" s="509">
        <v>3467</v>
      </c>
      <c r="B226" s="510" t="s">
        <v>552</v>
      </c>
      <c r="C226" s="509" t="s">
        <v>30</v>
      </c>
      <c r="D226" s="512">
        <v>559937</v>
      </c>
      <c r="E226" s="507" t="s">
        <v>6108</v>
      </c>
    </row>
    <row r="227" spans="1:5" ht="15" x14ac:dyDescent="0.35">
      <c r="A227" s="509">
        <v>3468</v>
      </c>
      <c r="B227" s="510" t="s">
        <v>553</v>
      </c>
      <c r="C227" s="509" t="s">
        <v>30</v>
      </c>
      <c r="D227" s="512">
        <v>491103</v>
      </c>
      <c r="E227" s="507" t="s">
        <v>6108</v>
      </c>
    </row>
    <row r="228" spans="1:5" ht="15" x14ac:dyDescent="0.35">
      <c r="A228" s="509">
        <v>3470</v>
      </c>
      <c r="B228" s="510" t="s">
        <v>554</v>
      </c>
      <c r="C228" s="509" t="s">
        <v>328</v>
      </c>
      <c r="D228" s="512">
        <v>1145041</v>
      </c>
      <c r="E228" s="507" t="s">
        <v>6108</v>
      </c>
    </row>
    <row r="229" spans="1:5" ht="15" x14ac:dyDescent="0.35">
      <c r="A229" s="509">
        <v>3471</v>
      </c>
      <c r="B229" s="510" t="s">
        <v>555</v>
      </c>
      <c r="C229" s="509" t="s">
        <v>328</v>
      </c>
      <c r="D229" s="512">
        <v>793661</v>
      </c>
      <c r="E229" s="507" t="s">
        <v>6108</v>
      </c>
    </row>
    <row r="230" spans="1:5" ht="15" x14ac:dyDescent="0.35">
      <c r="A230" s="509">
        <v>3472</v>
      </c>
      <c r="B230" s="510" t="s">
        <v>556</v>
      </c>
      <c r="C230" s="509" t="s">
        <v>32</v>
      </c>
      <c r="D230" s="512">
        <v>670098</v>
      </c>
      <c r="E230" s="507" t="s">
        <v>6108</v>
      </c>
    </row>
    <row r="231" spans="1:5" ht="15" x14ac:dyDescent="0.35">
      <c r="A231" s="509">
        <v>3473</v>
      </c>
      <c r="B231" s="510" t="s">
        <v>557</v>
      </c>
      <c r="C231" s="509" t="s">
        <v>32</v>
      </c>
      <c r="D231" s="512">
        <v>892217</v>
      </c>
      <c r="E231" s="507" t="s">
        <v>6108</v>
      </c>
    </row>
    <row r="232" spans="1:5" ht="15" x14ac:dyDescent="0.35">
      <c r="A232" s="509">
        <v>3474</v>
      </c>
      <c r="B232" s="510" t="s">
        <v>558</v>
      </c>
      <c r="C232" s="509" t="s">
        <v>32</v>
      </c>
      <c r="D232" s="511">
        <v>1096720</v>
      </c>
      <c r="E232" s="507" t="s">
        <v>6108</v>
      </c>
    </row>
    <row r="233" spans="1:5" ht="15" x14ac:dyDescent="0.35">
      <c r="A233" s="509">
        <v>3475</v>
      </c>
      <c r="B233" s="510" t="s">
        <v>559</v>
      </c>
      <c r="C233" s="509" t="s">
        <v>30</v>
      </c>
      <c r="D233" s="511">
        <v>413270</v>
      </c>
      <c r="E233" s="507" t="s">
        <v>6108</v>
      </c>
    </row>
    <row r="234" spans="1:5" ht="15" x14ac:dyDescent="0.35">
      <c r="A234" s="509">
        <v>3476</v>
      </c>
      <c r="B234" s="510" t="s">
        <v>560</v>
      </c>
      <c r="C234" s="509" t="s">
        <v>30</v>
      </c>
      <c r="D234" s="512">
        <v>463967</v>
      </c>
      <c r="E234" s="507" t="s">
        <v>6108</v>
      </c>
    </row>
    <row r="235" spans="1:5" ht="15" x14ac:dyDescent="0.35">
      <c r="A235" s="509">
        <v>3477</v>
      </c>
      <c r="B235" s="510" t="s">
        <v>561</v>
      </c>
      <c r="C235" s="509" t="s">
        <v>30</v>
      </c>
      <c r="D235" s="512">
        <v>567153</v>
      </c>
      <c r="E235" s="507" t="s">
        <v>6108</v>
      </c>
    </row>
    <row r="236" spans="1:5" ht="15" x14ac:dyDescent="0.35">
      <c r="A236" s="509">
        <v>3478</v>
      </c>
      <c r="B236" s="510" t="s">
        <v>562</v>
      </c>
      <c r="C236" s="509" t="s">
        <v>30</v>
      </c>
      <c r="D236" s="512">
        <v>158626</v>
      </c>
      <c r="E236" s="507" t="s">
        <v>6108</v>
      </c>
    </row>
    <row r="237" spans="1:5" ht="15" x14ac:dyDescent="0.35">
      <c r="A237" s="509">
        <v>3486</v>
      </c>
      <c r="B237" s="510" t="s">
        <v>563</v>
      </c>
      <c r="C237" s="509" t="s">
        <v>30</v>
      </c>
      <c r="D237" s="512">
        <v>214944</v>
      </c>
      <c r="E237" s="507" t="s">
        <v>6108</v>
      </c>
    </row>
    <row r="238" spans="1:5" ht="15" x14ac:dyDescent="0.35">
      <c r="A238" s="509">
        <v>3490</v>
      </c>
      <c r="B238" s="510" t="s">
        <v>564</v>
      </c>
      <c r="C238" s="509" t="s">
        <v>32</v>
      </c>
      <c r="D238" s="512">
        <v>61642</v>
      </c>
      <c r="E238" s="507" t="s">
        <v>6108</v>
      </c>
    </row>
    <row r="239" spans="1:5" ht="15" x14ac:dyDescent="0.35">
      <c r="A239" s="509">
        <v>3491</v>
      </c>
      <c r="B239" s="510" t="s">
        <v>565</v>
      </c>
      <c r="C239" s="509" t="s">
        <v>32</v>
      </c>
      <c r="D239" s="512">
        <v>48987</v>
      </c>
      <c r="E239" s="507" t="s">
        <v>6108</v>
      </c>
    </row>
    <row r="240" spans="1:5" ht="15" x14ac:dyDescent="0.35">
      <c r="A240" s="509">
        <v>3492</v>
      </c>
      <c r="B240" s="510" t="s">
        <v>566</v>
      </c>
      <c r="C240" s="509" t="s">
        <v>32</v>
      </c>
      <c r="D240" s="512">
        <v>88992</v>
      </c>
      <c r="E240" s="507" t="s">
        <v>6108</v>
      </c>
    </row>
    <row r="241" spans="1:5" ht="15" x14ac:dyDescent="0.35">
      <c r="A241" s="509">
        <v>3499</v>
      </c>
      <c r="B241" s="510" t="s">
        <v>567</v>
      </c>
      <c r="C241" s="509" t="s">
        <v>32</v>
      </c>
      <c r="D241" s="511">
        <v>487631</v>
      </c>
      <c r="E241" s="507" t="s">
        <v>6108</v>
      </c>
    </row>
    <row r="242" spans="1:5" ht="15" x14ac:dyDescent="0.35">
      <c r="A242" s="509">
        <v>3500</v>
      </c>
      <c r="B242" s="510" t="s">
        <v>568</v>
      </c>
      <c r="C242" s="509" t="s">
        <v>32</v>
      </c>
      <c r="D242" s="511">
        <v>1024963</v>
      </c>
      <c r="E242" s="507" t="s">
        <v>6108</v>
      </c>
    </row>
    <row r="243" spans="1:5" ht="15" x14ac:dyDescent="0.35">
      <c r="A243" s="509">
        <v>3501</v>
      </c>
      <c r="B243" s="510" t="s">
        <v>569</v>
      </c>
      <c r="C243" s="509" t="s">
        <v>32</v>
      </c>
      <c r="D243" s="511">
        <v>1279275</v>
      </c>
      <c r="E243" s="507" t="s">
        <v>6108</v>
      </c>
    </row>
    <row r="244" spans="1:5" ht="15" x14ac:dyDescent="0.35">
      <c r="A244" s="509">
        <v>3502</v>
      </c>
      <c r="B244" s="510" t="s">
        <v>570</v>
      </c>
      <c r="C244" s="509" t="s">
        <v>32</v>
      </c>
      <c r="D244" s="511">
        <v>1510829</v>
      </c>
      <c r="E244" s="507" t="s">
        <v>6108</v>
      </c>
    </row>
    <row r="245" spans="1:5" ht="15" x14ac:dyDescent="0.35">
      <c r="A245" s="509">
        <v>3503</v>
      </c>
      <c r="B245" s="510" t="s">
        <v>571</v>
      </c>
      <c r="C245" s="509" t="s">
        <v>32</v>
      </c>
      <c r="D245" s="511">
        <v>1651905</v>
      </c>
      <c r="E245" s="507" t="s">
        <v>6108</v>
      </c>
    </row>
    <row r="246" spans="1:5" ht="15" x14ac:dyDescent="0.35">
      <c r="A246" s="509">
        <v>3504</v>
      </c>
      <c r="B246" s="510" t="s">
        <v>572</v>
      </c>
      <c r="C246" s="509" t="s">
        <v>32</v>
      </c>
      <c r="D246" s="511">
        <v>152288</v>
      </c>
      <c r="E246" s="507" t="s">
        <v>6108</v>
      </c>
    </row>
    <row r="247" spans="1:5" ht="15" x14ac:dyDescent="0.35">
      <c r="A247" s="509">
        <v>3505</v>
      </c>
      <c r="B247" s="510" t="s">
        <v>573</v>
      </c>
      <c r="C247" s="509" t="s">
        <v>32</v>
      </c>
      <c r="D247" s="511">
        <v>295949</v>
      </c>
      <c r="E247" s="507" t="s">
        <v>6108</v>
      </c>
    </row>
    <row r="248" spans="1:5" ht="15" x14ac:dyDescent="0.35">
      <c r="A248" s="509">
        <v>3506</v>
      </c>
      <c r="B248" s="510" t="s">
        <v>574</v>
      </c>
      <c r="C248" s="509" t="s">
        <v>32</v>
      </c>
      <c r="D248" s="511">
        <v>379399</v>
      </c>
      <c r="E248" s="507" t="s">
        <v>6108</v>
      </c>
    </row>
    <row r="249" spans="1:5" ht="15" x14ac:dyDescent="0.35">
      <c r="A249" s="509">
        <v>3507</v>
      </c>
      <c r="B249" s="510" t="s">
        <v>575</v>
      </c>
      <c r="C249" s="509" t="s">
        <v>32</v>
      </c>
      <c r="D249" s="512">
        <v>452508</v>
      </c>
      <c r="E249" s="507" t="s">
        <v>6108</v>
      </c>
    </row>
    <row r="250" spans="1:5" ht="15" x14ac:dyDescent="0.35">
      <c r="A250" s="509">
        <v>3508</v>
      </c>
      <c r="B250" s="510" t="s">
        <v>576</v>
      </c>
      <c r="C250" s="509" t="s">
        <v>32</v>
      </c>
      <c r="D250" s="512">
        <v>571879</v>
      </c>
      <c r="E250" s="507" t="s">
        <v>6108</v>
      </c>
    </row>
    <row r="251" spans="1:5" ht="15" x14ac:dyDescent="0.35">
      <c r="A251" s="509">
        <v>3509</v>
      </c>
      <c r="B251" s="510" t="s">
        <v>577</v>
      </c>
      <c r="C251" s="509" t="s">
        <v>32</v>
      </c>
      <c r="D251" s="512">
        <v>662075</v>
      </c>
      <c r="E251" s="507" t="s">
        <v>6108</v>
      </c>
    </row>
    <row r="252" spans="1:5" ht="15" x14ac:dyDescent="0.35">
      <c r="A252" s="509">
        <v>3510</v>
      </c>
      <c r="B252" s="510" t="s">
        <v>578</v>
      </c>
      <c r="C252" s="509" t="s">
        <v>32</v>
      </c>
      <c r="D252" s="512">
        <v>782330</v>
      </c>
      <c r="E252" s="507" t="s">
        <v>6108</v>
      </c>
    </row>
    <row r="253" spans="1:5" ht="15" x14ac:dyDescent="0.35">
      <c r="A253" s="509">
        <v>3511</v>
      </c>
      <c r="B253" s="510" t="s">
        <v>579</v>
      </c>
      <c r="C253" s="509" t="s">
        <v>32</v>
      </c>
      <c r="D253" s="512">
        <v>1117976</v>
      </c>
      <c r="E253" s="507" t="s">
        <v>6108</v>
      </c>
    </row>
    <row r="254" spans="1:5" ht="15" x14ac:dyDescent="0.35">
      <c r="A254" s="509">
        <v>3512</v>
      </c>
      <c r="B254" s="510" t="s">
        <v>580</v>
      </c>
      <c r="C254" s="509" t="s">
        <v>32</v>
      </c>
      <c r="D254" s="512">
        <v>50052</v>
      </c>
      <c r="E254" s="507" t="s">
        <v>6108</v>
      </c>
    </row>
    <row r="255" spans="1:5" ht="15" x14ac:dyDescent="0.35">
      <c r="A255" s="509">
        <v>3513</v>
      </c>
      <c r="B255" s="510" t="s">
        <v>581</v>
      </c>
      <c r="C255" s="509" t="s">
        <v>32</v>
      </c>
      <c r="D255" s="512">
        <v>102543</v>
      </c>
      <c r="E255" s="507" t="s">
        <v>6108</v>
      </c>
    </row>
    <row r="256" spans="1:5" ht="15" x14ac:dyDescent="0.35">
      <c r="A256" s="509">
        <v>3514</v>
      </c>
      <c r="B256" s="510" t="s">
        <v>582</v>
      </c>
      <c r="C256" s="509" t="s">
        <v>32</v>
      </c>
      <c r="D256" s="512">
        <v>140495</v>
      </c>
      <c r="E256" s="507" t="s">
        <v>6108</v>
      </c>
    </row>
    <row r="257" spans="1:5" ht="15" x14ac:dyDescent="0.35">
      <c r="A257" s="509">
        <v>3515</v>
      </c>
      <c r="B257" s="510" t="s">
        <v>583</v>
      </c>
      <c r="C257" s="509" t="s">
        <v>32</v>
      </c>
      <c r="D257" s="511">
        <v>186144</v>
      </c>
      <c r="E257" s="507" t="s">
        <v>6108</v>
      </c>
    </row>
    <row r="258" spans="1:5" ht="15" x14ac:dyDescent="0.35">
      <c r="A258" s="509">
        <v>3516</v>
      </c>
      <c r="B258" s="510" t="s">
        <v>584</v>
      </c>
      <c r="C258" s="509" t="s">
        <v>32</v>
      </c>
      <c r="D258" s="511">
        <v>376049</v>
      </c>
      <c r="E258" s="507" t="s">
        <v>6108</v>
      </c>
    </row>
    <row r="259" spans="1:5" ht="15" x14ac:dyDescent="0.35">
      <c r="A259" s="509">
        <v>3517</v>
      </c>
      <c r="B259" s="510" t="s">
        <v>585</v>
      </c>
      <c r="C259" s="509" t="s">
        <v>32</v>
      </c>
      <c r="D259" s="511">
        <v>1342101</v>
      </c>
      <c r="E259" s="507" t="s">
        <v>6108</v>
      </c>
    </row>
    <row r="260" spans="1:5" ht="15" x14ac:dyDescent="0.35">
      <c r="A260" s="509">
        <v>3518</v>
      </c>
      <c r="B260" s="510" t="s">
        <v>586</v>
      </c>
      <c r="C260" s="509" t="s">
        <v>32</v>
      </c>
      <c r="D260" s="511">
        <v>2903491</v>
      </c>
      <c r="E260" s="507" t="s">
        <v>6108</v>
      </c>
    </row>
    <row r="261" spans="1:5" ht="15" x14ac:dyDescent="0.35">
      <c r="A261" s="509">
        <v>3519</v>
      </c>
      <c r="B261" s="510" t="s">
        <v>587</v>
      </c>
      <c r="C261" s="509" t="s">
        <v>32</v>
      </c>
      <c r="D261" s="511">
        <v>3936279</v>
      </c>
      <c r="E261" s="507" t="s">
        <v>6108</v>
      </c>
    </row>
    <row r="262" spans="1:5" ht="15" x14ac:dyDescent="0.35">
      <c r="A262" s="509">
        <v>3520</v>
      </c>
      <c r="B262" s="510" t="s">
        <v>588</v>
      </c>
      <c r="C262" s="509" t="s">
        <v>32</v>
      </c>
      <c r="D262" s="511">
        <v>91572</v>
      </c>
      <c r="E262" s="507" t="s">
        <v>6108</v>
      </c>
    </row>
    <row r="263" spans="1:5" ht="15" x14ac:dyDescent="0.35">
      <c r="A263" s="509">
        <v>3521</v>
      </c>
      <c r="B263" s="510" t="s">
        <v>589</v>
      </c>
      <c r="C263" s="509" t="s">
        <v>32</v>
      </c>
      <c r="D263" s="511">
        <v>116633</v>
      </c>
      <c r="E263" s="507" t="s">
        <v>6108</v>
      </c>
    </row>
    <row r="264" spans="1:5" ht="15" x14ac:dyDescent="0.35">
      <c r="A264" s="509">
        <v>3522</v>
      </c>
      <c r="B264" s="510" t="s">
        <v>590</v>
      </c>
      <c r="C264" s="509" t="s">
        <v>32</v>
      </c>
      <c r="D264" s="511">
        <v>133698</v>
      </c>
      <c r="E264" s="507" t="s">
        <v>6108</v>
      </c>
    </row>
    <row r="265" spans="1:5" ht="15" x14ac:dyDescent="0.35">
      <c r="A265" s="509">
        <v>3523</v>
      </c>
      <c r="B265" s="510" t="s">
        <v>591</v>
      </c>
      <c r="C265" s="509" t="s">
        <v>32</v>
      </c>
      <c r="D265" s="511">
        <v>176508</v>
      </c>
      <c r="E265" s="507" t="s">
        <v>6108</v>
      </c>
    </row>
    <row r="266" spans="1:5" ht="15" x14ac:dyDescent="0.35">
      <c r="A266" s="509">
        <v>3524</v>
      </c>
      <c r="B266" s="510" t="s">
        <v>592</v>
      </c>
      <c r="C266" s="509" t="s">
        <v>32</v>
      </c>
      <c r="D266" s="511">
        <v>328343</v>
      </c>
      <c r="E266" s="507" t="s">
        <v>6108</v>
      </c>
    </row>
    <row r="267" spans="1:5" ht="15" x14ac:dyDescent="0.35">
      <c r="A267" s="509">
        <v>3525</v>
      </c>
      <c r="B267" s="510" t="s">
        <v>593</v>
      </c>
      <c r="C267" s="509" t="s">
        <v>32</v>
      </c>
      <c r="D267" s="511">
        <v>897798</v>
      </c>
      <c r="E267" s="507" t="s">
        <v>6108</v>
      </c>
    </row>
    <row r="268" spans="1:5" ht="15" x14ac:dyDescent="0.35">
      <c r="A268" s="509">
        <v>3526</v>
      </c>
      <c r="B268" s="510" t="s">
        <v>594</v>
      </c>
      <c r="C268" s="509" t="s">
        <v>32</v>
      </c>
      <c r="D268" s="511">
        <v>1907818</v>
      </c>
      <c r="E268" s="507" t="s">
        <v>6108</v>
      </c>
    </row>
    <row r="269" spans="1:5" ht="15" x14ac:dyDescent="0.35">
      <c r="A269" s="509">
        <v>3527</v>
      </c>
      <c r="B269" s="510" t="s">
        <v>595</v>
      </c>
      <c r="C269" s="509" t="s">
        <v>32</v>
      </c>
      <c r="D269" s="511">
        <v>2672602</v>
      </c>
      <c r="E269" s="507" t="s">
        <v>6108</v>
      </c>
    </row>
    <row r="270" spans="1:5" ht="15" x14ac:dyDescent="0.35">
      <c r="A270" s="509">
        <v>3528</v>
      </c>
      <c r="B270" s="510" t="s">
        <v>596</v>
      </c>
      <c r="C270" s="509" t="s">
        <v>32</v>
      </c>
      <c r="D270" s="511">
        <v>47717</v>
      </c>
      <c r="E270" s="507" t="s">
        <v>6108</v>
      </c>
    </row>
    <row r="271" spans="1:5" ht="15" x14ac:dyDescent="0.35">
      <c r="A271" s="509">
        <v>3529</v>
      </c>
      <c r="B271" s="510" t="s">
        <v>597</v>
      </c>
      <c r="C271" s="509" t="s">
        <v>32</v>
      </c>
      <c r="D271" s="511">
        <v>64739</v>
      </c>
      <c r="E271" s="507" t="s">
        <v>6108</v>
      </c>
    </row>
    <row r="272" spans="1:5" ht="15" x14ac:dyDescent="0.35">
      <c r="A272" s="509">
        <v>3530</v>
      </c>
      <c r="B272" s="510" t="s">
        <v>598</v>
      </c>
      <c r="C272" s="509" t="s">
        <v>32</v>
      </c>
      <c r="D272" s="511">
        <v>87232</v>
      </c>
      <c r="E272" s="507" t="s">
        <v>6108</v>
      </c>
    </row>
    <row r="273" spans="1:5" ht="15" x14ac:dyDescent="0.35">
      <c r="A273" s="509">
        <v>3531</v>
      </c>
      <c r="B273" s="510" t="s">
        <v>599</v>
      </c>
      <c r="C273" s="509" t="s">
        <v>32</v>
      </c>
      <c r="D273" s="511">
        <v>141065</v>
      </c>
      <c r="E273" s="507" t="s">
        <v>6108</v>
      </c>
    </row>
    <row r="274" spans="1:5" ht="15" x14ac:dyDescent="0.35">
      <c r="A274" s="509">
        <v>3532</v>
      </c>
      <c r="B274" s="510" t="s">
        <v>600</v>
      </c>
      <c r="C274" s="509" t="s">
        <v>32</v>
      </c>
      <c r="D274" s="511">
        <v>338156</v>
      </c>
      <c r="E274" s="507" t="s">
        <v>6108</v>
      </c>
    </row>
    <row r="275" spans="1:5" ht="15" x14ac:dyDescent="0.35">
      <c r="A275" s="509">
        <v>3533</v>
      </c>
      <c r="B275" s="510" t="s">
        <v>601</v>
      </c>
      <c r="C275" s="509" t="s">
        <v>32</v>
      </c>
      <c r="D275" s="511">
        <v>702724</v>
      </c>
      <c r="E275" s="507" t="s">
        <v>6108</v>
      </c>
    </row>
    <row r="276" spans="1:5" ht="15" x14ac:dyDescent="0.35">
      <c r="A276" s="509">
        <v>3534</v>
      </c>
      <c r="B276" s="510" t="s">
        <v>602</v>
      </c>
      <c r="C276" s="509" t="s">
        <v>32</v>
      </c>
      <c r="D276" s="511">
        <v>1557925</v>
      </c>
      <c r="E276" s="507" t="s">
        <v>6108</v>
      </c>
    </row>
    <row r="277" spans="1:5" ht="15" x14ac:dyDescent="0.35">
      <c r="A277" s="509">
        <v>3535</v>
      </c>
      <c r="B277" s="510" t="s">
        <v>603</v>
      </c>
      <c r="C277" s="509" t="s">
        <v>32</v>
      </c>
      <c r="D277" s="511">
        <v>2093925</v>
      </c>
      <c r="E277" s="507" t="s">
        <v>6108</v>
      </c>
    </row>
    <row r="278" spans="1:5" ht="15" x14ac:dyDescent="0.35">
      <c r="A278" s="509">
        <v>3536</v>
      </c>
      <c r="B278" s="510" t="s">
        <v>604</v>
      </c>
      <c r="C278" s="509" t="s">
        <v>32</v>
      </c>
      <c r="D278" s="511">
        <v>54144</v>
      </c>
      <c r="E278" s="507" t="s">
        <v>6108</v>
      </c>
    </row>
    <row r="279" spans="1:5" ht="15" x14ac:dyDescent="0.35">
      <c r="A279" s="509">
        <v>3537</v>
      </c>
      <c r="B279" s="510" t="s">
        <v>605</v>
      </c>
      <c r="C279" s="509" t="s">
        <v>32</v>
      </c>
      <c r="D279" s="511">
        <v>61573</v>
      </c>
      <c r="E279" s="507" t="s">
        <v>6108</v>
      </c>
    </row>
    <row r="280" spans="1:5" ht="15" x14ac:dyDescent="0.35">
      <c r="A280" s="509">
        <v>3538</v>
      </c>
      <c r="B280" s="510" t="s">
        <v>606</v>
      </c>
      <c r="C280" s="509" t="s">
        <v>32</v>
      </c>
      <c r="D280" s="511">
        <v>80131</v>
      </c>
      <c r="E280" s="507" t="s">
        <v>6108</v>
      </c>
    </row>
    <row r="281" spans="1:5" ht="15" x14ac:dyDescent="0.35">
      <c r="A281" s="509">
        <v>3539</v>
      </c>
      <c r="B281" s="510" t="s">
        <v>607</v>
      </c>
      <c r="C281" s="509" t="s">
        <v>32</v>
      </c>
      <c r="D281" s="511">
        <v>134493</v>
      </c>
      <c r="E281" s="507" t="s">
        <v>6108</v>
      </c>
    </row>
    <row r="282" spans="1:5" ht="15" x14ac:dyDescent="0.35">
      <c r="A282" s="509">
        <v>3540</v>
      </c>
      <c r="B282" s="510" t="s">
        <v>608</v>
      </c>
      <c r="C282" s="509" t="s">
        <v>32</v>
      </c>
      <c r="D282" s="511">
        <v>303919</v>
      </c>
      <c r="E282" s="507" t="s">
        <v>6108</v>
      </c>
    </row>
    <row r="283" spans="1:5" ht="15" x14ac:dyDescent="0.35">
      <c r="A283" s="509">
        <v>3541</v>
      </c>
      <c r="B283" s="510" t="s">
        <v>609</v>
      </c>
      <c r="C283" s="509" t="s">
        <v>32</v>
      </c>
      <c r="D283" s="511">
        <v>606012</v>
      </c>
      <c r="E283" s="507" t="s">
        <v>6108</v>
      </c>
    </row>
    <row r="284" spans="1:5" ht="15" x14ac:dyDescent="0.35">
      <c r="A284" s="509">
        <v>3542</v>
      </c>
      <c r="B284" s="510" t="s">
        <v>610</v>
      </c>
      <c r="C284" s="509" t="s">
        <v>32</v>
      </c>
      <c r="D284" s="511">
        <v>1278923</v>
      </c>
      <c r="E284" s="507" t="s">
        <v>6108</v>
      </c>
    </row>
    <row r="285" spans="1:5" ht="15" x14ac:dyDescent="0.35">
      <c r="A285" s="509">
        <v>3543</v>
      </c>
      <c r="B285" s="510" t="s">
        <v>611</v>
      </c>
      <c r="C285" s="509" t="s">
        <v>32</v>
      </c>
      <c r="D285" s="511">
        <v>1689385</v>
      </c>
      <c r="E285" s="507" t="s">
        <v>6108</v>
      </c>
    </row>
    <row r="286" spans="1:5" ht="15" x14ac:dyDescent="0.35">
      <c r="A286" s="509">
        <v>3544</v>
      </c>
      <c r="B286" s="510" t="s">
        <v>612</v>
      </c>
      <c r="C286" s="509" t="s">
        <v>32</v>
      </c>
      <c r="D286" s="511">
        <v>43681</v>
      </c>
      <c r="E286" s="507" t="s">
        <v>6108</v>
      </c>
    </row>
    <row r="287" spans="1:5" ht="15" x14ac:dyDescent="0.35">
      <c r="A287" s="509">
        <v>3545</v>
      </c>
      <c r="B287" s="510" t="s">
        <v>613</v>
      </c>
      <c r="C287" s="509" t="s">
        <v>32</v>
      </c>
      <c r="D287" s="511">
        <v>74277</v>
      </c>
      <c r="E287" s="507" t="s">
        <v>6108</v>
      </c>
    </row>
    <row r="288" spans="1:5" ht="15" x14ac:dyDescent="0.35">
      <c r="A288" s="509">
        <v>3546</v>
      </c>
      <c r="B288" s="510" t="s">
        <v>614</v>
      </c>
      <c r="C288" s="509" t="s">
        <v>32</v>
      </c>
      <c r="D288" s="511">
        <v>17378</v>
      </c>
      <c r="E288" s="507" t="s">
        <v>6108</v>
      </c>
    </row>
    <row r="289" spans="1:5" ht="15" x14ac:dyDescent="0.35">
      <c r="A289" s="509">
        <v>3548</v>
      </c>
      <c r="B289" s="510" t="s">
        <v>615</v>
      </c>
      <c r="C289" s="509" t="s">
        <v>32</v>
      </c>
      <c r="D289" s="511">
        <v>281184</v>
      </c>
      <c r="E289" s="507" t="s">
        <v>6108</v>
      </c>
    </row>
    <row r="290" spans="1:5" ht="15" x14ac:dyDescent="0.35">
      <c r="A290" s="509">
        <v>3549</v>
      </c>
      <c r="B290" s="510" t="s">
        <v>616</v>
      </c>
      <c r="C290" s="509" t="s">
        <v>32</v>
      </c>
      <c r="D290" s="511">
        <v>237114</v>
      </c>
      <c r="E290" s="507" t="s">
        <v>6108</v>
      </c>
    </row>
    <row r="291" spans="1:5" ht="15" x14ac:dyDescent="0.35">
      <c r="A291" s="509">
        <v>3550</v>
      </c>
      <c r="B291" s="510" t="s">
        <v>617</v>
      </c>
      <c r="C291" s="509" t="s">
        <v>32</v>
      </c>
      <c r="D291" s="511">
        <v>726512</v>
      </c>
      <c r="E291" s="507" t="s">
        <v>6108</v>
      </c>
    </row>
    <row r="292" spans="1:5" ht="15" x14ac:dyDescent="0.35">
      <c r="A292" s="509">
        <v>3551</v>
      </c>
      <c r="B292" s="510" t="s">
        <v>618</v>
      </c>
      <c r="C292" s="509" t="s">
        <v>32</v>
      </c>
      <c r="D292" s="512">
        <v>974920</v>
      </c>
      <c r="E292" s="507" t="s">
        <v>6108</v>
      </c>
    </row>
    <row r="293" spans="1:5" ht="15" x14ac:dyDescent="0.35">
      <c r="A293" s="509">
        <v>3552</v>
      </c>
      <c r="B293" s="510" t="s">
        <v>619</v>
      </c>
      <c r="C293" s="509" t="s">
        <v>32</v>
      </c>
      <c r="D293" s="512">
        <v>284720</v>
      </c>
      <c r="E293" s="507" t="s">
        <v>6108</v>
      </c>
    </row>
    <row r="294" spans="1:5" ht="15" x14ac:dyDescent="0.35">
      <c r="A294" s="509">
        <v>3554</v>
      </c>
      <c r="B294" s="510" t="s">
        <v>620</v>
      </c>
      <c r="C294" s="509" t="s">
        <v>32</v>
      </c>
      <c r="D294" s="512">
        <v>747813</v>
      </c>
      <c r="E294" s="507" t="s">
        <v>331</v>
      </c>
    </row>
    <row r="295" spans="1:5" ht="15" x14ac:dyDescent="0.35">
      <c r="A295" s="509">
        <v>3555</v>
      </c>
      <c r="B295" s="510" t="s">
        <v>621</v>
      </c>
      <c r="C295" s="509" t="s">
        <v>32</v>
      </c>
      <c r="D295" s="512">
        <v>1072120</v>
      </c>
      <c r="E295" s="507" t="s">
        <v>331</v>
      </c>
    </row>
    <row r="296" spans="1:5" ht="15" x14ac:dyDescent="0.35">
      <c r="A296" s="509">
        <v>3556</v>
      </c>
      <c r="B296" s="510" t="s">
        <v>622</v>
      </c>
      <c r="C296" s="509" t="s">
        <v>32</v>
      </c>
      <c r="D296" s="512">
        <v>10897340</v>
      </c>
      <c r="E296" s="507" t="s">
        <v>331</v>
      </c>
    </row>
    <row r="297" spans="1:5" ht="15" x14ac:dyDescent="0.35">
      <c r="A297" s="509">
        <v>3557</v>
      </c>
      <c r="B297" s="510" t="s">
        <v>623</v>
      </c>
      <c r="C297" s="509" t="s">
        <v>32</v>
      </c>
      <c r="D297" s="512">
        <v>11710453</v>
      </c>
      <c r="E297" s="507" t="s">
        <v>331</v>
      </c>
    </row>
    <row r="298" spans="1:5" ht="15" x14ac:dyDescent="0.35">
      <c r="A298" s="509">
        <v>3559</v>
      </c>
      <c r="B298" s="510" t="s">
        <v>624</v>
      </c>
      <c r="C298" s="509" t="s">
        <v>32</v>
      </c>
      <c r="D298" s="512">
        <v>4956436</v>
      </c>
      <c r="E298" s="507" t="s">
        <v>6108</v>
      </c>
    </row>
    <row r="299" spans="1:5" ht="15" x14ac:dyDescent="0.35">
      <c r="A299" s="509">
        <v>3560</v>
      </c>
      <c r="B299" s="510" t="s">
        <v>625</v>
      </c>
      <c r="C299" s="509" t="s">
        <v>32</v>
      </c>
      <c r="D299" s="512">
        <v>202339</v>
      </c>
      <c r="E299" s="507" t="s">
        <v>6108</v>
      </c>
    </row>
    <row r="300" spans="1:5" ht="15" x14ac:dyDescent="0.35">
      <c r="A300" s="509">
        <v>3561</v>
      </c>
      <c r="B300" s="510" t="s">
        <v>626</v>
      </c>
      <c r="C300" s="509" t="s">
        <v>32</v>
      </c>
      <c r="D300" s="512">
        <v>281567</v>
      </c>
      <c r="E300" s="507" t="s">
        <v>6108</v>
      </c>
    </row>
    <row r="301" spans="1:5" ht="15" x14ac:dyDescent="0.35">
      <c r="A301" s="509">
        <v>3562</v>
      </c>
      <c r="B301" s="510" t="s">
        <v>627</v>
      </c>
      <c r="C301" s="509" t="s">
        <v>328</v>
      </c>
      <c r="D301" s="512">
        <v>268996</v>
      </c>
      <c r="E301" s="507" t="s">
        <v>6108</v>
      </c>
    </row>
    <row r="302" spans="1:5" ht="15" x14ac:dyDescent="0.35">
      <c r="A302" s="509">
        <v>3567</v>
      </c>
      <c r="B302" s="510" t="s">
        <v>628</v>
      </c>
      <c r="C302" s="509" t="s">
        <v>21</v>
      </c>
      <c r="D302" s="512">
        <v>113174</v>
      </c>
      <c r="E302" s="507" t="s">
        <v>6108</v>
      </c>
    </row>
    <row r="303" spans="1:5" ht="15" x14ac:dyDescent="0.35">
      <c r="A303" s="509">
        <v>3569</v>
      </c>
      <c r="B303" s="510" t="s">
        <v>629</v>
      </c>
      <c r="C303" s="509" t="s">
        <v>32</v>
      </c>
      <c r="D303" s="512">
        <v>3879529</v>
      </c>
      <c r="E303" s="507" t="s">
        <v>6108</v>
      </c>
    </row>
    <row r="304" spans="1:5" ht="15" x14ac:dyDescent="0.35">
      <c r="A304" s="509">
        <v>3589</v>
      </c>
      <c r="B304" s="510" t="s">
        <v>630</v>
      </c>
      <c r="C304" s="509" t="s">
        <v>32</v>
      </c>
      <c r="D304" s="511">
        <v>785831</v>
      </c>
      <c r="E304" s="507" t="s">
        <v>6108</v>
      </c>
    </row>
    <row r="305" spans="1:5" ht="15" x14ac:dyDescent="0.35">
      <c r="A305" s="509">
        <v>3591</v>
      </c>
      <c r="B305" s="510" t="s">
        <v>631</v>
      </c>
      <c r="C305" s="509" t="s">
        <v>328</v>
      </c>
      <c r="D305" s="512">
        <v>63338</v>
      </c>
      <c r="E305" s="507" t="s">
        <v>6108</v>
      </c>
    </row>
    <row r="306" spans="1:5" ht="15" x14ac:dyDescent="0.35">
      <c r="A306" s="509">
        <v>3599</v>
      </c>
      <c r="B306" s="510" t="s">
        <v>632</v>
      </c>
      <c r="C306" s="509" t="s">
        <v>328</v>
      </c>
      <c r="D306" s="512">
        <v>1080219</v>
      </c>
      <c r="E306" s="507" t="s">
        <v>6108</v>
      </c>
    </row>
    <row r="307" spans="1:5" ht="15" x14ac:dyDescent="0.35">
      <c r="A307" s="509">
        <v>3600</v>
      </c>
      <c r="B307" s="510" t="s">
        <v>633</v>
      </c>
      <c r="C307" s="509" t="s">
        <v>32</v>
      </c>
      <c r="D307" s="511">
        <v>48544</v>
      </c>
      <c r="E307" s="507" t="s">
        <v>331</v>
      </c>
    </row>
    <row r="308" spans="1:5" ht="15" x14ac:dyDescent="0.35">
      <c r="A308" s="509">
        <v>3601</v>
      </c>
      <c r="B308" s="510" t="s">
        <v>634</v>
      </c>
      <c r="C308" s="509" t="s">
        <v>32</v>
      </c>
      <c r="D308" s="511">
        <v>76282</v>
      </c>
      <c r="E308" s="507" t="s">
        <v>331</v>
      </c>
    </row>
    <row r="309" spans="1:5" ht="15" x14ac:dyDescent="0.35">
      <c r="A309" s="509">
        <v>3602</v>
      </c>
      <c r="B309" s="510" t="s">
        <v>635</v>
      </c>
      <c r="C309" s="509" t="s">
        <v>32</v>
      </c>
      <c r="D309" s="511">
        <v>109652</v>
      </c>
      <c r="E309" s="507" t="s">
        <v>331</v>
      </c>
    </row>
    <row r="310" spans="1:5" ht="15" x14ac:dyDescent="0.35">
      <c r="A310" s="509">
        <v>3603</v>
      </c>
      <c r="B310" s="510" t="s">
        <v>636</v>
      </c>
      <c r="C310" s="509" t="s">
        <v>32</v>
      </c>
      <c r="D310" s="511">
        <v>247108</v>
      </c>
      <c r="E310" s="507" t="s">
        <v>331</v>
      </c>
    </row>
    <row r="311" spans="1:5" ht="15" x14ac:dyDescent="0.35">
      <c r="A311" s="509">
        <v>3604</v>
      </c>
      <c r="B311" s="510" t="s">
        <v>637</v>
      </c>
      <c r="C311" s="509" t="s">
        <v>32</v>
      </c>
      <c r="D311" s="511">
        <v>449790</v>
      </c>
      <c r="E311" s="507" t="s">
        <v>6108</v>
      </c>
    </row>
    <row r="312" spans="1:5" ht="15" x14ac:dyDescent="0.35">
      <c r="A312" s="509">
        <v>3605</v>
      </c>
      <c r="B312" s="510" t="s">
        <v>638</v>
      </c>
      <c r="C312" s="509" t="s">
        <v>32</v>
      </c>
      <c r="D312" s="511">
        <v>811056</v>
      </c>
      <c r="E312" s="507" t="s">
        <v>6108</v>
      </c>
    </row>
    <row r="313" spans="1:5" ht="15" x14ac:dyDescent="0.35">
      <c r="A313" s="509">
        <v>3606</v>
      </c>
      <c r="B313" s="510" t="s">
        <v>639</v>
      </c>
      <c r="C313" s="509" t="s">
        <v>32</v>
      </c>
      <c r="D313" s="511">
        <v>1248004</v>
      </c>
      <c r="E313" s="507" t="s">
        <v>331</v>
      </c>
    </row>
    <row r="314" spans="1:5" ht="15" x14ac:dyDescent="0.35">
      <c r="A314" s="509">
        <v>3607</v>
      </c>
      <c r="B314" s="510" t="s">
        <v>640</v>
      </c>
      <c r="C314" s="509" t="s">
        <v>32</v>
      </c>
      <c r="D314" s="511">
        <v>31967</v>
      </c>
      <c r="E314" s="507" t="s">
        <v>331</v>
      </c>
    </row>
    <row r="315" spans="1:5" ht="15" x14ac:dyDescent="0.35">
      <c r="A315" s="509">
        <v>3611</v>
      </c>
      <c r="B315" s="510" t="s">
        <v>641</v>
      </c>
      <c r="C315" s="509" t="s">
        <v>30</v>
      </c>
      <c r="D315" s="511">
        <v>678894</v>
      </c>
      <c r="E315" s="507" t="s">
        <v>331</v>
      </c>
    </row>
    <row r="316" spans="1:5" ht="15" x14ac:dyDescent="0.35">
      <c r="A316" s="509">
        <v>3618</v>
      </c>
      <c r="B316" s="510" t="s">
        <v>642</v>
      </c>
      <c r="C316" s="509" t="s">
        <v>32</v>
      </c>
      <c r="D316" s="511">
        <v>202860</v>
      </c>
      <c r="E316" s="507" t="s">
        <v>331</v>
      </c>
    </row>
    <row r="317" spans="1:5" ht="15" x14ac:dyDescent="0.35">
      <c r="A317" s="509">
        <v>3619</v>
      </c>
      <c r="B317" s="510" t="s">
        <v>643</v>
      </c>
      <c r="C317" s="509" t="s">
        <v>32</v>
      </c>
      <c r="D317" s="511">
        <v>146885</v>
      </c>
      <c r="E317" s="507" t="s">
        <v>6108</v>
      </c>
    </row>
    <row r="318" spans="1:5" ht="15" x14ac:dyDescent="0.35">
      <c r="A318" s="509">
        <v>3620</v>
      </c>
      <c r="B318" s="510" t="s">
        <v>644</v>
      </c>
      <c r="C318" s="509" t="s">
        <v>32</v>
      </c>
      <c r="D318" s="511">
        <v>253878</v>
      </c>
      <c r="E318" s="507" t="s">
        <v>6108</v>
      </c>
    </row>
    <row r="319" spans="1:5" ht="15" x14ac:dyDescent="0.35">
      <c r="A319" s="509">
        <v>3621</v>
      </c>
      <c r="B319" s="510" t="s">
        <v>645</v>
      </c>
      <c r="C319" s="509" t="s">
        <v>32</v>
      </c>
      <c r="D319" s="511">
        <v>1008467</v>
      </c>
      <c r="E319" s="507" t="s">
        <v>6108</v>
      </c>
    </row>
    <row r="320" spans="1:5" ht="15" x14ac:dyDescent="0.35">
      <c r="A320" s="509">
        <v>3636</v>
      </c>
      <c r="B320" s="510" t="s">
        <v>646</v>
      </c>
      <c r="C320" s="509" t="s">
        <v>30</v>
      </c>
      <c r="D320" s="511">
        <v>1194851</v>
      </c>
      <c r="E320" s="507" t="s">
        <v>6108</v>
      </c>
    </row>
    <row r="321" spans="1:5" ht="15" x14ac:dyDescent="0.35">
      <c r="A321" s="509">
        <v>3639</v>
      </c>
      <c r="B321" s="510" t="s">
        <v>647</v>
      </c>
      <c r="C321" s="509" t="s">
        <v>30</v>
      </c>
      <c r="D321" s="511">
        <v>933968</v>
      </c>
      <c r="E321" s="507" t="s">
        <v>6108</v>
      </c>
    </row>
    <row r="322" spans="1:5" ht="15" x14ac:dyDescent="0.35">
      <c r="A322" s="509">
        <v>3641</v>
      </c>
      <c r="B322" s="510" t="s">
        <v>648</v>
      </c>
      <c r="C322" s="509" t="s">
        <v>30</v>
      </c>
      <c r="D322" s="512">
        <v>1016621</v>
      </c>
      <c r="E322" s="507" t="s">
        <v>6108</v>
      </c>
    </row>
    <row r="323" spans="1:5" ht="15" x14ac:dyDescent="0.35">
      <c r="A323" s="509">
        <v>3642</v>
      </c>
      <c r="B323" s="510" t="s">
        <v>649</v>
      </c>
      <c r="C323" s="509" t="s">
        <v>30</v>
      </c>
      <c r="D323" s="511">
        <v>1016621</v>
      </c>
      <c r="E323" s="507" t="s">
        <v>331</v>
      </c>
    </row>
    <row r="324" spans="1:5" ht="15" x14ac:dyDescent="0.35">
      <c r="A324" s="509">
        <v>3643</v>
      </c>
      <c r="B324" s="510" t="s">
        <v>650</v>
      </c>
      <c r="C324" s="509" t="s">
        <v>30</v>
      </c>
      <c r="D324" s="511">
        <v>1014194</v>
      </c>
      <c r="E324" s="507" t="s">
        <v>331</v>
      </c>
    </row>
    <row r="325" spans="1:5" ht="15" x14ac:dyDescent="0.35">
      <c r="A325" s="509">
        <v>3644</v>
      </c>
      <c r="B325" s="510" t="s">
        <v>651</v>
      </c>
      <c r="C325" s="509" t="s">
        <v>30</v>
      </c>
      <c r="D325" s="511">
        <v>1159690</v>
      </c>
      <c r="E325" s="507" t="s">
        <v>331</v>
      </c>
    </row>
    <row r="326" spans="1:5" ht="15" x14ac:dyDescent="0.35">
      <c r="A326" s="509">
        <v>3645</v>
      </c>
      <c r="B326" s="510" t="s">
        <v>652</v>
      </c>
      <c r="C326" s="509" t="s">
        <v>30</v>
      </c>
      <c r="D326" s="511">
        <v>1094798</v>
      </c>
      <c r="E326" s="507" t="s">
        <v>331</v>
      </c>
    </row>
    <row r="327" spans="1:5" ht="15" x14ac:dyDescent="0.35">
      <c r="A327" s="509">
        <v>3646</v>
      </c>
      <c r="B327" s="510" t="s">
        <v>653</v>
      </c>
      <c r="C327" s="509" t="s">
        <v>30</v>
      </c>
      <c r="D327" s="511">
        <v>966990</v>
      </c>
      <c r="E327" s="507" t="s">
        <v>331</v>
      </c>
    </row>
    <row r="328" spans="1:5" ht="15" x14ac:dyDescent="0.35">
      <c r="A328" s="509">
        <v>3647</v>
      </c>
      <c r="B328" s="510" t="s">
        <v>654</v>
      </c>
      <c r="C328" s="509" t="s">
        <v>30</v>
      </c>
      <c r="D328" s="511">
        <v>802989</v>
      </c>
      <c r="E328" s="507" t="s">
        <v>331</v>
      </c>
    </row>
    <row r="329" spans="1:5" ht="15" x14ac:dyDescent="0.35">
      <c r="A329" s="509">
        <v>3649</v>
      </c>
      <c r="B329" s="510" t="s">
        <v>655</v>
      </c>
      <c r="C329" s="509" t="s">
        <v>30</v>
      </c>
      <c r="D329" s="511">
        <v>481090</v>
      </c>
      <c r="E329" s="507" t="s">
        <v>6108</v>
      </c>
    </row>
    <row r="330" spans="1:5" ht="15" x14ac:dyDescent="0.35">
      <c r="A330" s="509">
        <v>3650</v>
      </c>
      <c r="B330" s="510" t="s">
        <v>656</v>
      </c>
      <c r="C330" s="509" t="s">
        <v>30</v>
      </c>
      <c r="D330" s="511">
        <v>442487</v>
      </c>
      <c r="E330" s="507" t="s">
        <v>6108</v>
      </c>
    </row>
    <row r="331" spans="1:5" ht="15" x14ac:dyDescent="0.35">
      <c r="A331" s="509">
        <v>3652</v>
      </c>
      <c r="B331" s="510" t="s">
        <v>657</v>
      </c>
      <c r="C331" s="509" t="s">
        <v>32</v>
      </c>
      <c r="D331" s="511">
        <v>5005812</v>
      </c>
      <c r="E331" s="507" t="s">
        <v>6108</v>
      </c>
    </row>
    <row r="332" spans="1:5" ht="15" x14ac:dyDescent="0.35">
      <c r="A332" s="509">
        <v>3653</v>
      </c>
      <c r="B332" s="510" t="s">
        <v>658</v>
      </c>
      <c r="C332" s="509" t="s">
        <v>32</v>
      </c>
      <c r="D332" s="511">
        <v>6801245</v>
      </c>
      <c r="E332" s="507" t="s">
        <v>331</v>
      </c>
    </row>
    <row r="333" spans="1:5" ht="15" x14ac:dyDescent="0.35">
      <c r="A333" s="509">
        <v>3654</v>
      </c>
      <c r="B333" s="510" t="s">
        <v>659</v>
      </c>
      <c r="C333" s="509" t="s">
        <v>32</v>
      </c>
      <c r="D333" s="512">
        <v>4650466</v>
      </c>
      <c r="E333" s="507" t="s">
        <v>331</v>
      </c>
    </row>
    <row r="334" spans="1:5" ht="15" x14ac:dyDescent="0.35">
      <c r="A334" s="509">
        <v>3655</v>
      </c>
      <c r="B334" s="510" t="s">
        <v>660</v>
      </c>
      <c r="C334" s="509" t="s">
        <v>32</v>
      </c>
      <c r="D334" s="512">
        <v>8294591</v>
      </c>
      <c r="E334" s="507" t="s">
        <v>331</v>
      </c>
    </row>
    <row r="335" spans="1:5" ht="15" x14ac:dyDescent="0.35">
      <c r="A335" s="509">
        <v>3665</v>
      </c>
      <c r="B335" s="510" t="s">
        <v>661</v>
      </c>
      <c r="C335" s="509" t="s">
        <v>30</v>
      </c>
      <c r="D335" s="511">
        <v>425729</v>
      </c>
      <c r="E335" s="507" t="s">
        <v>331</v>
      </c>
    </row>
    <row r="336" spans="1:5" ht="15" x14ac:dyDescent="0.35">
      <c r="A336" s="509">
        <v>3684</v>
      </c>
      <c r="B336" s="510" t="s">
        <v>662</v>
      </c>
      <c r="C336" s="509" t="s">
        <v>32</v>
      </c>
      <c r="D336" s="511">
        <v>213570</v>
      </c>
      <c r="E336" s="507" t="s">
        <v>331</v>
      </c>
    </row>
    <row r="337" spans="1:5" ht="15" x14ac:dyDescent="0.35">
      <c r="A337" s="509">
        <v>3685</v>
      </c>
      <c r="B337" s="510" t="s">
        <v>663</v>
      </c>
      <c r="C337" s="509" t="s">
        <v>32</v>
      </c>
      <c r="D337" s="511">
        <v>666831</v>
      </c>
      <c r="E337" s="507" t="s">
        <v>331</v>
      </c>
    </row>
    <row r="338" spans="1:5" ht="15" x14ac:dyDescent="0.35">
      <c r="A338" s="509">
        <v>3687</v>
      </c>
      <c r="B338" s="510" t="s">
        <v>664</v>
      </c>
      <c r="C338" s="509" t="s">
        <v>32</v>
      </c>
      <c r="D338" s="511">
        <v>273361</v>
      </c>
      <c r="E338" s="507" t="s">
        <v>331</v>
      </c>
    </row>
    <row r="339" spans="1:5" ht="15" x14ac:dyDescent="0.35">
      <c r="A339" s="509">
        <v>3688</v>
      </c>
      <c r="B339" s="510" t="s">
        <v>665</v>
      </c>
      <c r="C339" s="509" t="s">
        <v>32</v>
      </c>
      <c r="D339" s="512">
        <v>69292</v>
      </c>
      <c r="E339" s="507" t="s">
        <v>331</v>
      </c>
    </row>
    <row r="340" spans="1:5" ht="15" x14ac:dyDescent="0.35">
      <c r="A340" s="509">
        <v>3689</v>
      </c>
      <c r="B340" s="510" t="s">
        <v>666</v>
      </c>
      <c r="C340" s="509" t="s">
        <v>30</v>
      </c>
      <c r="D340" s="511">
        <v>140616</v>
      </c>
      <c r="E340" s="507" t="s">
        <v>331</v>
      </c>
    </row>
    <row r="341" spans="1:5" ht="15" x14ac:dyDescent="0.35">
      <c r="A341" s="509">
        <v>3696</v>
      </c>
      <c r="B341" s="510" t="s">
        <v>667</v>
      </c>
      <c r="C341" s="509" t="s">
        <v>21</v>
      </c>
      <c r="D341" s="511">
        <v>96149</v>
      </c>
      <c r="E341" s="507" t="s">
        <v>331</v>
      </c>
    </row>
    <row r="342" spans="1:5" ht="15" x14ac:dyDescent="0.35">
      <c r="A342" s="509">
        <v>3704</v>
      </c>
      <c r="B342" s="510" t="s">
        <v>668</v>
      </c>
      <c r="C342" s="509" t="s">
        <v>328</v>
      </c>
      <c r="D342" s="511">
        <v>302579</v>
      </c>
      <c r="E342" s="507" t="s">
        <v>331</v>
      </c>
    </row>
    <row r="343" spans="1:5" ht="15" x14ac:dyDescent="0.35">
      <c r="A343" s="509">
        <v>3708</v>
      </c>
      <c r="B343" s="510" t="s">
        <v>669</v>
      </c>
      <c r="C343" s="509" t="s">
        <v>670</v>
      </c>
      <c r="D343" s="511">
        <v>5749</v>
      </c>
      <c r="E343" s="507" t="s">
        <v>331</v>
      </c>
    </row>
    <row r="344" spans="1:5" ht="15" x14ac:dyDescent="0.35">
      <c r="A344" s="509">
        <v>3710</v>
      </c>
      <c r="B344" s="510" t="s">
        <v>671</v>
      </c>
      <c r="C344" s="509" t="s">
        <v>30</v>
      </c>
      <c r="D344" s="512">
        <v>5870</v>
      </c>
      <c r="E344" s="507" t="s">
        <v>331</v>
      </c>
    </row>
    <row r="345" spans="1:5" ht="15" x14ac:dyDescent="0.35">
      <c r="A345" s="509">
        <v>3712</v>
      </c>
      <c r="B345" s="510" t="s">
        <v>672</v>
      </c>
      <c r="C345" s="509" t="s">
        <v>32</v>
      </c>
      <c r="D345" s="512">
        <v>5086921</v>
      </c>
      <c r="E345" s="507" t="s">
        <v>331</v>
      </c>
    </row>
    <row r="346" spans="1:5" ht="15" x14ac:dyDescent="0.35">
      <c r="A346" s="509">
        <v>3716</v>
      </c>
      <c r="B346" s="510" t="s">
        <v>673</v>
      </c>
      <c r="C346" s="509" t="s">
        <v>32</v>
      </c>
      <c r="D346" s="511">
        <v>1691800</v>
      </c>
      <c r="E346" s="507" t="s">
        <v>331</v>
      </c>
    </row>
    <row r="347" spans="1:5" ht="15" x14ac:dyDescent="0.35">
      <c r="A347" s="509">
        <v>3721</v>
      </c>
      <c r="B347" s="510" t="s">
        <v>674</v>
      </c>
      <c r="C347" s="509" t="s">
        <v>21</v>
      </c>
      <c r="D347" s="512">
        <v>34245</v>
      </c>
      <c r="E347" s="507" t="s">
        <v>331</v>
      </c>
    </row>
    <row r="348" spans="1:5" ht="15" x14ac:dyDescent="0.35">
      <c r="A348" s="509">
        <v>3722</v>
      </c>
      <c r="B348" s="510" t="s">
        <v>675</v>
      </c>
      <c r="C348" s="509" t="s">
        <v>32</v>
      </c>
      <c r="D348" s="512">
        <v>143380</v>
      </c>
      <c r="E348" s="507" t="s">
        <v>331</v>
      </c>
    </row>
    <row r="349" spans="1:5" ht="15" x14ac:dyDescent="0.35">
      <c r="A349" s="509">
        <v>3723</v>
      </c>
      <c r="B349" s="510" t="s">
        <v>676</v>
      </c>
      <c r="C349" s="509" t="s">
        <v>32</v>
      </c>
      <c r="D349" s="512">
        <v>117573</v>
      </c>
      <c r="E349" s="507" t="s">
        <v>331</v>
      </c>
    </row>
    <row r="350" spans="1:5" ht="15" x14ac:dyDescent="0.35">
      <c r="A350" s="509">
        <v>3724</v>
      </c>
      <c r="B350" s="510" t="s">
        <v>677</v>
      </c>
      <c r="C350" s="509" t="s">
        <v>32</v>
      </c>
      <c r="D350" s="512">
        <v>117573</v>
      </c>
      <c r="E350" s="507" t="s">
        <v>331</v>
      </c>
    </row>
    <row r="351" spans="1:5" ht="15" x14ac:dyDescent="0.35">
      <c r="A351" s="509">
        <v>3727</v>
      </c>
      <c r="B351" s="510" t="s">
        <v>678</v>
      </c>
      <c r="C351" s="509" t="s">
        <v>328</v>
      </c>
      <c r="D351" s="511">
        <v>8317</v>
      </c>
      <c r="E351" s="507" t="s">
        <v>331</v>
      </c>
    </row>
    <row r="352" spans="1:5" ht="15" x14ac:dyDescent="0.35">
      <c r="A352" s="509">
        <v>3729</v>
      </c>
      <c r="B352" s="510" t="s">
        <v>679</v>
      </c>
      <c r="C352" s="509" t="s">
        <v>30</v>
      </c>
      <c r="D352" s="511">
        <v>621139</v>
      </c>
      <c r="E352" s="507" t="s">
        <v>331</v>
      </c>
    </row>
    <row r="353" spans="1:5" ht="15" x14ac:dyDescent="0.35">
      <c r="A353" s="509">
        <v>3730</v>
      </c>
      <c r="B353" s="510" t="s">
        <v>680</v>
      </c>
      <c r="C353" s="509" t="s">
        <v>30</v>
      </c>
      <c r="D353" s="512">
        <v>648450</v>
      </c>
      <c r="E353" s="507" t="s">
        <v>331</v>
      </c>
    </row>
    <row r="354" spans="1:5" ht="15" x14ac:dyDescent="0.35">
      <c r="A354" s="509">
        <v>3733</v>
      </c>
      <c r="B354" s="510" t="s">
        <v>681</v>
      </c>
      <c r="C354" s="509" t="s">
        <v>328</v>
      </c>
      <c r="D354" s="512">
        <v>2277660</v>
      </c>
      <c r="E354" s="507" t="s">
        <v>331</v>
      </c>
    </row>
    <row r="355" spans="1:5" ht="15" x14ac:dyDescent="0.35">
      <c r="A355" s="509">
        <v>3735</v>
      </c>
      <c r="B355" s="510" t="s">
        <v>682</v>
      </c>
      <c r="C355" s="509" t="s">
        <v>328</v>
      </c>
      <c r="D355" s="512">
        <v>2637</v>
      </c>
      <c r="E355" s="507" t="s">
        <v>331</v>
      </c>
    </row>
    <row r="356" spans="1:5" ht="15" x14ac:dyDescent="0.35">
      <c r="A356" s="509">
        <v>3745</v>
      </c>
      <c r="B356" s="510" t="s">
        <v>683</v>
      </c>
      <c r="C356" s="509" t="s">
        <v>21</v>
      </c>
      <c r="D356" s="512">
        <v>112861</v>
      </c>
      <c r="E356" s="507" t="s">
        <v>331</v>
      </c>
    </row>
    <row r="357" spans="1:5" ht="15" x14ac:dyDescent="0.35">
      <c r="A357" s="509">
        <v>3748</v>
      </c>
      <c r="B357" s="510" t="s">
        <v>684</v>
      </c>
      <c r="C357" s="509" t="s">
        <v>30</v>
      </c>
      <c r="D357" s="512">
        <v>949996</v>
      </c>
      <c r="E357" s="507" t="s">
        <v>331</v>
      </c>
    </row>
    <row r="358" spans="1:5" ht="15" x14ac:dyDescent="0.35">
      <c r="A358" s="509">
        <v>3749</v>
      </c>
      <c r="B358" s="510" t="s">
        <v>685</v>
      </c>
      <c r="C358" s="509" t="s">
        <v>30</v>
      </c>
      <c r="D358" s="511">
        <v>986662</v>
      </c>
      <c r="E358" s="507" t="s">
        <v>331</v>
      </c>
    </row>
    <row r="359" spans="1:5" ht="15" x14ac:dyDescent="0.35">
      <c r="A359" s="509">
        <v>3751</v>
      </c>
      <c r="B359" s="510" t="s">
        <v>686</v>
      </c>
      <c r="C359" s="509" t="s">
        <v>328</v>
      </c>
      <c r="D359" s="512">
        <v>82600</v>
      </c>
      <c r="E359" s="507" t="s">
        <v>331</v>
      </c>
    </row>
    <row r="360" spans="1:5" ht="15" x14ac:dyDescent="0.35">
      <c r="A360" s="509">
        <v>3753</v>
      </c>
      <c r="B360" s="510" t="s">
        <v>687</v>
      </c>
      <c r="C360" s="509" t="s">
        <v>328</v>
      </c>
      <c r="D360" s="512">
        <v>33503</v>
      </c>
      <c r="E360" s="507" t="s">
        <v>6108</v>
      </c>
    </row>
    <row r="361" spans="1:5" ht="15" x14ac:dyDescent="0.35">
      <c r="A361" s="509">
        <v>3758</v>
      </c>
      <c r="B361" s="510" t="s">
        <v>688</v>
      </c>
      <c r="C361" s="509" t="s">
        <v>328</v>
      </c>
      <c r="D361" s="511">
        <v>461143</v>
      </c>
      <c r="E361" s="507" t="s">
        <v>6108</v>
      </c>
    </row>
    <row r="362" spans="1:5" ht="15" x14ac:dyDescent="0.35">
      <c r="A362" s="509">
        <v>3760</v>
      </c>
      <c r="B362" s="510" t="s">
        <v>689</v>
      </c>
      <c r="C362" s="509" t="s">
        <v>328</v>
      </c>
      <c r="D362" s="511">
        <v>558595</v>
      </c>
      <c r="E362" s="507" t="s">
        <v>6108</v>
      </c>
    </row>
    <row r="363" spans="1:5" ht="15" x14ac:dyDescent="0.35">
      <c r="A363" s="509">
        <v>3761</v>
      </c>
      <c r="B363" s="510" t="s">
        <v>690</v>
      </c>
      <c r="C363" s="509" t="s">
        <v>328</v>
      </c>
      <c r="D363" s="512">
        <v>675630</v>
      </c>
      <c r="E363" s="507" t="s">
        <v>6108</v>
      </c>
    </row>
    <row r="364" spans="1:5" ht="15" x14ac:dyDescent="0.35">
      <c r="A364" s="509">
        <v>3770</v>
      </c>
      <c r="B364" s="510" t="s">
        <v>691</v>
      </c>
      <c r="C364" s="509" t="s">
        <v>692</v>
      </c>
      <c r="D364" s="511">
        <v>705692</v>
      </c>
      <c r="E364" s="507" t="s">
        <v>6108</v>
      </c>
    </row>
    <row r="365" spans="1:5" ht="15" x14ac:dyDescent="0.35">
      <c r="A365" s="509">
        <v>3776</v>
      </c>
      <c r="B365" s="510" t="s">
        <v>693</v>
      </c>
      <c r="C365" s="509" t="s">
        <v>21</v>
      </c>
      <c r="D365" s="512">
        <v>52315</v>
      </c>
      <c r="E365" s="507" t="s">
        <v>6108</v>
      </c>
    </row>
    <row r="366" spans="1:5" ht="15" x14ac:dyDescent="0.35">
      <c r="A366" s="509">
        <v>3777</v>
      </c>
      <c r="B366" s="510" t="s">
        <v>694</v>
      </c>
      <c r="C366" s="509" t="s">
        <v>32</v>
      </c>
      <c r="D366" s="512">
        <v>404048</v>
      </c>
      <c r="E366" s="507" t="s">
        <v>6108</v>
      </c>
    </row>
    <row r="367" spans="1:5" ht="15" x14ac:dyDescent="0.35">
      <c r="A367" s="509">
        <v>3779</v>
      </c>
      <c r="B367" s="510" t="s">
        <v>695</v>
      </c>
      <c r="C367" s="509" t="s">
        <v>32</v>
      </c>
      <c r="D367" s="512">
        <v>551696</v>
      </c>
      <c r="E367" s="507" t="s">
        <v>6108</v>
      </c>
    </row>
    <row r="368" spans="1:5" ht="15" x14ac:dyDescent="0.35">
      <c r="A368" s="509">
        <v>3780</v>
      </c>
      <c r="B368" s="510" t="s">
        <v>696</v>
      </c>
      <c r="C368" s="509" t="s">
        <v>328</v>
      </c>
      <c r="D368" s="512">
        <v>92718</v>
      </c>
      <c r="E368" s="507" t="s">
        <v>6108</v>
      </c>
    </row>
    <row r="369" spans="1:5" ht="15" x14ac:dyDescent="0.35">
      <c r="A369" s="509">
        <v>3784</v>
      </c>
      <c r="B369" s="510" t="s">
        <v>697</v>
      </c>
      <c r="C369" s="509" t="s">
        <v>328</v>
      </c>
      <c r="D369" s="512">
        <v>37932</v>
      </c>
      <c r="E369" s="507" t="s">
        <v>331</v>
      </c>
    </row>
    <row r="370" spans="1:5" ht="15" x14ac:dyDescent="0.35">
      <c r="A370" s="509">
        <v>3787</v>
      </c>
      <c r="B370" s="510" t="s">
        <v>698</v>
      </c>
      <c r="C370" s="509" t="s">
        <v>328</v>
      </c>
      <c r="D370" s="512">
        <v>30100</v>
      </c>
      <c r="E370" s="507" t="s">
        <v>6108</v>
      </c>
    </row>
    <row r="371" spans="1:5" ht="15" x14ac:dyDescent="0.35">
      <c r="A371" s="509">
        <v>3795</v>
      </c>
      <c r="B371" s="510" t="s">
        <v>699</v>
      </c>
      <c r="C371" s="509" t="s">
        <v>328</v>
      </c>
      <c r="D371" s="511">
        <v>244684</v>
      </c>
      <c r="E371" s="507" t="s">
        <v>6108</v>
      </c>
    </row>
    <row r="372" spans="1:5" ht="15" x14ac:dyDescent="0.35">
      <c r="A372" s="509">
        <v>3796</v>
      </c>
      <c r="B372" s="510" t="s">
        <v>700</v>
      </c>
      <c r="C372" s="509" t="s">
        <v>328</v>
      </c>
      <c r="D372" s="511">
        <v>367624</v>
      </c>
      <c r="E372" s="507" t="s">
        <v>6108</v>
      </c>
    </row>
    <row r="373" spans="1:5" ht="15" x14ac:dyDescent="0.35">
      <c r="A373" s="509">
        <v>3797</v>
      </c>
      <c r="B373" s="510" t="s">
        <v>701</v>
      </c>
      <c r="C373" s="509" t="s">
        <v>328</v>
      </c>
      <c r="D373" s="511">
        <v>487676</v>
      </c>
      <c r="E373" s="507" t="s">
        <v>6108</v>
      </c>
    </row>
    <row r="374" spans="1:5" ht="15" x14ac:dyDescent="0.35">
      <c r="A374" s="509">
        <v>3798</v>
      </c>
      <c r="B374" s="510" t="s">
        <v>702</v>
      </c>
      <c r="C374" s="509" t="s">
        <v>328</v>
      </c>
      <c r="D374" s="511">
        <v>729937</v>
      </c>
      <c r="E374" s="507" t="s">
        <v>6108</v>
      </c>
    </row>
    <row r="375" spans="1:5" ht="15" x14ac:dyDescent="0.35">
      <c r="A375" s="509">
        <v>3800</v>
      </c>
      <c r="B375" s="510" t="s">
        <v>703</v>
      </c>
      <c r="C375" s="509" t="s">
        <v>21</v>
      </c>
      <c r="D375" s="511">
        <v>1785</v>
      </c>
      <c r="E375" s="507" t="s">
        <v>6108</v>
      </c>
    </row>
    <row r="376" spans="1:5" ht="15" x14ac:dyDescent="0.35">
      <c r="A376" s="509">
        <v>3806</v>
      </c>
      <c r="B376" s="510" t="s">
        <v>704</v>
      </c>
      <c r="C376" s="509" t="s">
        <v>21</v>
      </c>
      <c r="D376" s="511">
        <v>2840</v>
      </c>
      <c r="E376" s="507" t="s">
        <v>6108</v>
      </c>
    </row>
    <row r="377" spans="1:5" ht="15" x14ac:dyDescent="0.35">
      <c r="A377" s="509">
        <v>3811</v>
      </c>
      <c r="B377" s="510" t="s">
        <v>705</v>
      </c>
      <c r="C377" s="509" t="s">
        <v>328</v>
      </c>
      <c r="D377" s="511">
        <v>3055</v>
      </c>
      <c r="E377" s="507" t="s">
        <v>331</v>
      </c>
    </row>
    <row r="378" spans="1:5" ht="15" x14ac:dyDescent="0.35">
      <c r="A378" s="509">
        <v>3819</v>
      </c>
      <c r="B378" s="510" t="s">
        <v>706</v>
      </c>
      <c r="C378" s="509" t="s">
        <v>328</v>
      </c>
      <c r="D378" s="511">
        <v>6670</v>
      </c>
      <c r="E378" s="507" t="s">
        <v>331</v>
      </c>
    </row>
    <row r="379" spans="1:5" ht="15" x14ac:dyDescent="0.35">
      <c r="A379" s="509">
        <v>3837</v>
      </c>
      <c r="B379" s="510" t="s">
        <v>707</v>
      </c>
      <c r="C379" s="509" t="s">
        <v>328</v>
      </c>
      <c r="D379" s="512">
        <v>15011</v>
      </c>
      <c r="E379" s="507" t="s">
        <v>331</v>
      </c>
    </row>
    <row r="380" spans="1:5" ht="15" x14ac:dyDescent="0.35">
      <c r="A380" s="509">
        <v>3841</v>
      </c>
      <c r="B380" s="510" t="s">
        <v>708</v>
      </c>
      <c r="C380" s="509" t="s">
        <v>30</v>
      </c>
      <c r="D380" s="512">
        <v>1343363</v>
      </c>
      <c r="E380" s="507" t="s">
        <v>331</v>
      </c>
    </row>
    <row r="381" spans="1:5" ht="15" x14ac:dyDescent="0.35">
      <c r="A381" s="509">
        <v>3847</v>
      </c>
      <c r="B381" s="510" t="s">
        <v>709</v>
      </c>
      <c r="C381" s="509" t="s">
        <v>30</v>
      </c>
      <c r="D381" s="511">
        <v>163220</v>
      </c>
      <c r="E381" s="507" t="s">
        <v>6108</v>
      </c>
    </row>
    <row r="382" spans="1:5" ht="15" x14ac:dyDescent="0.35">
      <c r="A382" s="509">
        <v>3851</v>
      </c>
      <c r="B382" s="510" t="s">
        <v>710</v>
      </c>
      <c r="C382" s="509" t="s">
        <v>30</v>
      </c>
      <c r="D382" s="511">
        <v>117900</v>
      </c>
      <c r="E382" s="507" t="s">
        <v>331</v>
      </c>
    </row>
    <row r="383" spans="1:5" ht="15" x14ac:dyDescent="0.35">
      <c r="A383" s="509">
        <v>3864</v>
      </c>
      <c r="B383" s="510" t="s">
        <v>711</v>
      </c>
      <c r="C383" s="509" t="s">
        <v>21</v>
      </c>
      <c r="D383" s="512">
        <v>3214</v>
      </c>
      <c r="E383" s="507" t="s">
        <v>331</v>
      </c>
    </row>
    <row r="384" spans="1:5" ht="15" x14ac:dyDescent="0.35">
      <c r="A384" s="509">
        <v>3866</v>
      </c>
      <c r="B384" s="510" t="s">
        <v>712</v>
      </c>
      <c r="C384" s="509" t="s">
        <v>21</v>
      </c>
      <c r="D384" s="512">
        <v>3630</v>
      </c>
      <c r="E384" s="507" t="s">
        <v>331</v>
      </c>
    </row>
    <row r="385" spans="1:5" ht="15" x14ac:dyDescent="0.35">
      <c r="A385" s="509">
        <v>3867</v>
      </c>
      <c r="B385" s="510" t="s">
        <v>713</v>
      </c>
      <c r="C385" s="509" t="s">
        <v>21</v>
      </c>
      <c r="D385" s="512">
        <v>3910</v>
      </c>
      <c r="E385" s="507" t="s">
        <v>331</v>
      </c>
    </row>
    <row r="386" spans="1:5" ht="15" x14ac:dyDescent="0.35">
      <c r="A386" s="509">
        <v>3872</v>
      </c>
      <c r="B386" s="510" t="s">
        <v>714</v>
      </c>
      <c r="C386" s="509" t="s">
        <v>328</v>
      </c>
      <c r="D386" s="512">
        <v>2591</v>
      </c>
      <c r="E386" s="507" t="s">
        <v>331</v>
      </c>
    </row>
    <row r="387" spans="1:5" ht="15" x14ac:dyDescent="0.35">
      <c r="A387" s="509">
        <v>3873</v>
      </c>
      <c r="B387" s="510" t="s">
        <v>715</v>
      </c>
      <c r="C387" s="509" t="s">
        <v>30</v>
      </c>
      <c r="D387" s="512">
        <v>369271</v>
      </c>
      <c r="E387" s="507" t="s">
        <v>6108</v>
      </c>
    </row>
    <row r="388" spans="1:5" ht="15" x14ac:dyDescent="0.35">
      <c r="A388" s="509">
        <v>3874</v>
      </c>
      <c r="B388" s="510" t="s">
        <v>716</v>
      </c>
      <c r="C388" s="509" t="s">
        <v>30</v>
      </c>
      <c r="D388" s="512">
        <v>376026</v>
      </c>
      <c r="E388" s="507" t="s">
        <v>6108</v>
      </c>
    </row>
    <row r="389" spans="1:5" ht="15" x14ac:dyDescent="0.35">
      <c r="A389" s="509">
        <v>3875</v>
      </c>
      <c r="B389" s="510" t="s">
        <v>717</v>
      </c>
      <c r="C389" s="509" t="s">
        <v>30</v>
      </c>
      <c r="D389" s="512">
        <v>580092</v>
      </c>
      <c r="E389" s="507" t="s">
        <v>331</v>
      </c>
    </row>
    <row r="390" spans="1:5" ht="15" x14ac:dyDescent="0.35">
      <c r="A390" s="509">
        <v>3876</v>
      </c>
      <c r="B390" s="510" t="s">
        <v>718</v>
      </c>
      <c r="C390" s="509" t="s">
        <v>328</v>
      </c>
      <c r="D390" s="512">
        <v>201554</v>
      </c>
      <c r="E390" s="507" t="s">
        <v>331</v>
      </c>
    </row>
    <row r="391" spans="1:5" ht="15" x14ac:dyDescent="0.35">
      <c r="A391" s="509">
        <v>3877</v>
      </c>
      <c r="B391" s="510" t="s">
        <v>719</v>
      </c>
      <c r="C391" s="509" t="s">
        <v>328</v>
      </c>
      <c r="D391" s="512">
        <v>304477</v>
      </c>
      <c r="E391" s="507" t="s">
        <v>331</v>
      </c>
    </row>
    <row r="392" spans="1:5" ht="15" x14ac:dyDescent="0.35">
      <c r="A392" s="509">
        <v>3878</v>
      </c>
      <c r="B392" s="510" t="s">
        <v>720</v>
      </c>
      <c r="C392" s="509" t="s">
        <v>32</v>
      </c>
      <c r="D392" s="512">
        <v>1896945</v>
      </c>
      <c r="E392" s="507" t="s">
        <v>6108</v>
      </c>
    </row>
    <row r="393" spans="1:5" ht="15" x14ac:dyDescent="0.35">
      <c r="A393" s="509">
        <v>3879</v>
      </c>
      <c r="B393" s="510" t="s">
        <v>721</v>
      </c>
      <c r="C393" s="509" t="s">
        <v>32</v>
      </c>
      <c r="D393" s="511">
        <v>1128464</v>
      </c>
      <c r="E393" s="507" t="s">
        <v>331</v>
      </c>
    </row>
    <row r="394" spans="1:5" ht="15" x14ac:dyDescent="0.35">
      <c r="A394" s="509">
        <v>3880</v>
      </c>
      <c r="B394" s="510" t="s">
        <v>722</v>
      </c>
      <c r="C394" s="509" t="s">
        <v>32</v>
      </c>
      <c r="D394" s="511">
        <v>951836</v>
      </c>
      <c r="E394" s="507" t="s">
        <v>331</v>
      </c>
    </row>
    <row r="395" spans="1:5" ht="15" x14ac:dyDescent="0.35">
      <c r="A395" s="509">
        <v>3881</v>
      </c>
      <c r="B395" s="510" t="s">
        <v>723</v>
      </c>
      <c r="C395" s="509" t="s">
        <v>32</v>
      </c>
      <c r="D395" s="511">
        <v>705878</v>
      </c>
      <c r="E395" s="507" t="s">
        <v>331</v>
      </c>
    </row>
    <row r="396" spans="1:5" ht="15" x14ac:dyDescent="0.35">
      <c r="A396" s="509">
        <v>3882</v>
      </c>
      <c r="B396" s="510" t="s">
        <v>724</v>
      </c>
      <c r="C396" s="509" t="s">
        <v>32</v>
      </c>
      <c r="D396" s="512">
        <v>3153105</v>
      </c>
      <c r="E396" s="507" t="s">
        <v>331</v>
      </c>
    </row>
    <row r="397" spans="1:5" ht="15" x14ac:dyDescent="0.35">
      <c r="A397" s="509">
        <v>3883</v>
      </c>
      <c r="B397" s="510" t="s">
        <v>725</v>
      </c>
      <c r="C397" s="509" t="s">
        <v>32</v>
      </c>
      <c r="D397" s="512">
        <v>4283909</v>
      </c>
      <c r="E397" s="507" t="s">
        <v>331</v>
      </c>
    </row>
    <row r="398" spans="1:5" ht="15" x14ac:dyDescent="0.35">
      <c r="A398" s="509">
        <v>3884</v>
      </c>
      <c r="B398" s="510" t="s">
        <v>726</v>
      </c>
      <c r="C398" s="509" t="s">
        <v>32</v>
      </c>
      <c r="D398" s="512">
        <v>3917772</v>
      </c>
      <c r="E398" s="507" t="s">
        <v>331</v>
      </c>
    </row>
    <row r="399" spans="1:5" ht="15" x14ac:dyDescent="0.35">
      <c r="A399" s="509">
        <v>3885</v>
      </c>
      <c r="B399" s="510" t="s">
        <v>727</v>
      </c>
      <c r="C399" s="509" t="s">
        <v>32</v>
      </c>
      <c r="D399" s="512">
        <v>4872741</v>
      </c>
      <c r="E399" s="507" t="s">
        <v>331</v>
      </c>
    </row>
    <row r="400" spans="1:5" ht="15" x14ac:dyDescent="0.35">
      <c r="A400" s="509">
        <v>3886</v>
      </c>
      <c r="B400" s="510" t="s">
        <v>728</v>
      </c>
      <c r="C400" s="509" t="s">
        <v>32</v>
      </c>
      <c r="D400" s="511">
        <v>4828110</v>
      </c>
      <c r="E400" s="507" t="s">
        <v>331</v>
      </c>
    </row>
    <row r="401" spans="1:5" ht="15" x14ac:dyDescent="0.35">
      <c r="A401" s="509">
        <v>3887</v>
      </c>
      <c r="B401" s="510" t="s">
        <v>729</v>
      </c>
      <c r="C401" s="509" t="s">
        <v>32</v>
      </c>
      <c r="D401" s="511">
        <v>5261045</v>
      </c>
      <c r="E401" s="507" t="s">
        <v>331</v>
      </c>
    </row>
    <row r="402" spans="1:5" ht="15" x14ac:dyDescent="0.35">
      <c r="A402" s="509">
        <v>3888</v>
      </c>
      <c r="B402" s="510" t="s">
        <v>730</v>
      </c>
      <c r="C402" s="509" t="s">
        <v>32</v>
      </c>
      <c r="D402" s="511">
        <v>5312317</v>
      </c>
      <c r="E402" s="507" t="s">
        <v>331</v>
      </c>
    </row>
    <row r="403" spans="1:5" ht="15" x14ac:dyDescent="0.35">
      <c r="A403" s="509">
        <v>3889</v>
      </c>
      <c r="B403" s="510" t="s">
        <v>731</v>
      </c>
      <c r="C403" s="509" t="s">
        <v>32</v>
      </c>
      <c r="D403" s="511">
        <v>3266221</v>
      </c>
      <c r="E403" s="507" t="s">
        <v>331</v>
      </c>
    </row>
    <row r="404" spans="1:5" ht="15" x14ac:dyDescent="0.35">
      <c r="A404" s="509">
        <v>3890</v>
      </c>
      <c r="B404" s="510" t="s">
        <v>732</v>
      </c>
      <c r="C404" s="509" t="s">
        <v>32</v>
      </c>
      <c r="D404" s="511">
        <v>3293451</v>
      </c>
      <c r="E404" s="507" t="s">
        <v>331</v>
      </c>
    </row>
    <row r="405" spans="1:5" ht="15" x14ac:dyDescent="0.35">
      <c r="A405" s="509">
        <v>3891</v>
      </c>
      <c r="B405" s="510" t="s">
        <v>733</v>
      </c>
      <c r="C405" s="509" t="s">
        <v>32</v>
      </c>
      <c r="D405" s="511">
        <v>4241137</v>
      </c>
      <c r="E405" s="507" t="s">
        <v>6108</v>
      </c>
    </row>
    <row r="406" spans="1:5" ht="15" x14ac:dyDescent="0.35">
      <c r="A406" s="509">
        <v>3892</v>
      </c>
      <c r="B406" s="510" t="s">
        <v>734</v>
      </c>
      <c r="C406" s="509" t="s">
        <v>32</v>
      </c>
      <c r="D406" s="511">
        <v>5194423</v>
      </c>
      <c r="E406" s="507" t="s">
        <v>6108</v>
      </c>
    </row>
    <row r="407" spans="1:5" ht="15" x14ac:dyDescent="0.35">
      <c r="A407" s="509">
        <v>3893</v>
      </c>
      <c r="B407" s="510" t="s">
        <v>735</v>
      </c>
      <c r="C407" s="509" t="s">
        <v>32</v>
      </c>
      <c r="D407" s="511">
        <v>5245695</v>
      </c>
      <c r="E407" s="507" t="s">
        <v>6108</v>
      </c>
    </row>
    <row r="408" spans="1:5" ht="15" x14ac:dyDescent="0.35">
      <c r="A408" s="509">
        <v>3894</v>
      </c>
      <c r="B408" s="510" t="s">
        <v>736</v>
      </c>
      <c r="C408" s="509" t="s">
        <v>32</v>
      </c>
      <c r="D408" s="511">
        <v>5709555</v>
      </c>
      <c r="E408" s="507" t="s">
        <v>6108</v>
      </c>
    </row>
    <row r="409" spans="1:5" ht="15" x14ac:dyDescent="0.35">
      <c r="A409" s="509">
        <v>3895</v>
      </c>
      <c r="B409" s="510" t="s">
        <v>737</v>
      </c>
      <c r="C409" s="509" t="s">
        <v>32</v>
      </c>
      <c r="D409" s="511">
        <v>5767462</v>
      </c>
      <c r="E409" s="507" t="s">
        <v>331</v>
      </c>
    </row>
    <row r="410" spans="1:5" ht="15" x14ac:dyDescent="0.35">
      <c r="A410" s="509">
        <v>3896</v>
      </c>
      <c r="B410" s="510" t="s">
        <v>738</v>
      </c>
      <c r="C410" s="509" t="s">
        <v>32</v>
      </c>
      <c r="D410" s="511">
        <v>3953902</v>
      </c>
      <c r="E410" s="507" t="s">
        <v>6108</v>
      </c>
    </row>
    <row r="411" spans="1:5" ht="15" x14ac:dyDescent="0.35">
      <c r="A411" s="509">
        <v>3897</v>
      </c>
      <c r="B411" s="510" t="s">
        <v>739</v>
      </c>
      <c r="C411" s="509" t="s">
        <v>32</v>
      </c>
      <c r="D411" s="511">
        <v>6746404</v>
      </c>
      <c r="E411" s="507" t="s">
        <v>331</v>
      </c>
    </row>
    <row r="412" spans="1:5" ht="15" x14ac:dyDescent="0.35">
      <c r="A412" s="509">
        <v>3898</v>
      </c>
      <c r="B412" s="510" t="s">
        <v>740</v>
      </c>
      <c r="C412" s="509" t="s">
        <v>32</v>
      </c>
      <c r="D412" s="511">
        <v>8021696</v>
      </c>
      <c r="E412" s="507" t="s">
        <v>331</v>
      </c>
    </row>
    <row r="413" spans="1:5" ht="15" x14ac:dyDescent="0.35">
      <c r="A413" s="509">
        <v>3899</v>
      </c>
      <c r="B413" s="510" t="s">
        <v>741</v>
      </c>
      <c r="C413" s="509" t="s">
        <v>32</v>
      </c>
      <c r="D413" s="511">
        <v>9256356</v>
      </c>
      <c r="E413" s="507" t="s">
        <v>331</v>
      </c>
    </row>
    <row r="414" spans="1:5" ht="15" x14ac:dyDescent="0.35">
      <c r="A414" s="509">
        <v>3900</v>
      </c>
      <c r="B414" s="510" t="s">
        <v>742</v>
      </c>
      <c r="C414" s="509" t="s">
        <v>328</v>
      </c>
      <c r="D414" s="511">
        <v>2299662</v>
      </c>
      <c r="E414" s="507" t="s">
        <v>331</v>
      </c>
    </row>
    <row r="415" spans="1:5" ht="15" x14ac:dyDescent="0.35">
      <c r="A415" s="509">
        <v>3901</v>
      </c>
      <c r="B415" s="510" t="s">
        <v>743</v>
      </c>
      <c r="C415" s="509" t="s">
        <v>328</v>
      </c>
      <c r="D415" s="512">
        <v>24373</v>
      </c>
      <c r="E415" s="507" t="s">
        <v>331</v>
      </c>
    </row>
    <row r="416" spans="1:5" ht="15" x14ac:dyDescent="0.35">
      <c r="A416" s="509">
        <v>3902</v>
      </c>
      <c r="B416" s="510" t="s">
        <v>744</v>
      </c>
      <c r="C416" s="509" t="s">
        <v>328</v>
      </c>
      <c r="D416" s="512">
        <v>45769</v>
      </c>
      <c r="E416" s="507" t="s">
        <v>6108</v>
      </c>
    </row>
    <row r="417" spans="1:5" ht="15" x14ac:dyDescent="0.35">
      <c r="A417" s="509">
        <v>3903</v>
      </c>
      <c r="B417" s="510" t="s">
        <v>745</v>
      </c>
      <c r="C417" s="509" t="s">
        <v>328</v>
      </c>
      <c r="D417" s="512">
        <v>74627</v>
      </c>
      <c r="E417" s="507" t="s">
        <v>331</v>
      </c>
    </row>
    <row r="418" spans="1:5" ht="15" x14ac:dyDescent="0.35">
      <c r="A418" s="509">
        <v>3904</v>
      </c>
      <c r="B418" s="510" t="s">
        <v>746</v>
      </c>
      <c r="C418" s="509" t="s">
        <v>328</v>
      </c>
      <c r="D418" s="511">
        <v>36251</v>
      </c>
      <c r="E418" s="507" t="s">
        <v>6108</v>
      </c>
    </row>
    <row r="419" spans="1:5" ht="15" x14ac:dyDescent="0.35">
      <c r="A419" s="509">
        <v>3905</v>
      </c>
      <c r="B419" s="510" t="s">
        <v>747</v>
      </c>
      <c r="C419" s="509" t="s">
        <v>328</v>
      </c>
      <c r="D419" s="511">
        <v>98128</v>
      </c>
      <c r="E419" s="507" t="s">
        <v>331</v>
      </c>
    </row>
    <row r="420" spans="1:5" ht="15" x14ac:dyDescent="0.35">
      <c r="A420" s="509">
        <v>3906</v>
      </c>
      <c r="B420" s="510" t="s">
        <v>748</v>
      </c>
      <c r="C420" s="509" t="s">
        <v>328</v>
      </c>
      <c r="D420" s="511">
        <v>1878960</v>
      </c>
      <c r="E420" s="507" t="s">
        <v>6108</v>
      </c>
    </row>
    <row r="421" spans="1:5" ht="15" x14ac:dyDescent="0.35">
      <c r="A421" s="509">
        <v>3907</v>
      </c>
      <c r="B421" s="510" t="s">
        <v>749</v>
      </c>
      <c r="C421" s="509" t="s">
        <v>328</v>
      </c>
      <c r="D421" s="511">
        <v>1895848</v>
      </c>
      <c r="E421" s="507" t="s">
        <v>6108</v>
      </c>
    </row>
    <row r="422" spans="1:5" ht="15" x14ac:dyDescent="0.35">
      <c r="A422" s="509">
        <v>3908</v>
      </c>
      <c r="B422" s="510" t="s">
        <v>750</v>
      </c>
      <c r="C422" s="509" t="s">
        <v>32</v>
      </c>
      <c r="D422" s="511">
        <v>3796243</v>
      </c>
      <c r="E422" s="507" t="s">
        <v>6108</v>
      </c>
    </row>
    <row r="423" spans="1:5" ht="15" x14ac:dyDescent="0.35">
      <c r="A423" s="509">
        <v>3909</v>
      </c>
      <c r="B423" s="510" t="s">
        <v>751</v>
      </c>
      <c r="C423" s="509" t="s">
        <v>32</v>
      </c>
      <c r="D423" s="511">
        <v>3816371</v>
      </c>
      <c r="E423" s="507" t="s">
        <v>6108</v>
      </c>
    </row>
    <row r="424" spans="1:5" ht="15" x14ac:dyDescent="0.35">
      <c r="A424" s="509">
        <v>3910</v>
      </c>
      <c r="B424" s="510" t="s">
        <v>752</v>
      </c>
      <c r="C424" s="509" t="s">
        <v>30</v>
      </c>
      <c r="D424" s="511">
        <v>732747</v>
      </c>
      <c r="E424" s="507" t="s">
        <v>6108</v>
      </c>
    </row>
    <row r="425" spans="1:5" ht="15" x14ac:dyDescent="0.35">
      <c r="A425" s="509">
        <v>3919</v>
      </c>
      <c r="B425" s="510" t="s">
        <v>753</v>
      </c>
      <c r="C425" s="509" t="s">
        <v>328</v>
      </c>
      <c r="D425" s="511">
        <v>731840</v>
      </c>
      <c r="E425" s="507" t="s">
        <v>6108</v>
      </c>
    </row>
    <row r="426" spans="1:5" ht="15" x14ac:dyDescent="0.35">
      <c r="A426" s="509">
        <v>3920</v>
      </c>
      <c r="B426" s="510" t="s">
        <v>754</v>
      </c>
      <c r="C426" s="509" t="s">
        <v>328</v>
      </c>
      <c r="D426" s="511">
        <v>873391</v>
      </c>
      <c r="E426" s="507" t="s">
        <v>6108</v>
      </c>
    </row>
    <row r="427" spans="1:5" ht="15" x14ac:dyDescent="0.35">
      <c r="A427" s="509">
        <v>3921</v>
      </c>
      <c r="B427" s="510" t="s">
        <v>755</v>
      </c>
      <c r="C427" s="509" t="s">
        <v>328</v>
      </c>
      <c r="D427" s="511">
        <v>1069340</v>
      </c>
      <c r="E427" s="507" t="s">
        <v>331</v>
      </c>
    </row>
    <row r="428" spans="1:5" ht="15" x14ac:dyDescent="0.35">
      <c r="A428" s="509">
        <v>3922</v>
      </c>
      <c r="B428" s="510" t="s">
        <v>756</v>
      </c>
      <c r="C428" s="509" t="s">
        <v>328</v>
      </c>
      <c r="D428" s="512">
        <v>1462839</v>
      </c>
      <c r="E428" s="507" t="s">
        <v>6109</v>
      </c>
    </row>
    <row r="429" spans="1:5" ht="15" x14ac:dyDescent="0.35">
      <c r="A429" s="509">
        <v>3923</v>
      </c>
      <c r="B429" s="510" t="s">
        <v>757</v>
      </c>
      <c r="C429" s="509" t="s">
        <v>328</v>
      </c>
      <c r="D429" s="511">
        <v>1950029</v>
      </c>
      <c r="E429" s="507" t="s">
        <v>331</v>
      </c>
    </row>
    <row r="430" spans="1:5" ht="15" x14ac:dyDescent="0.35">
      <c r="A430" s="509">
        <v>3924</v>
      </c>
      <c r="B430" s="510" t="s">
        <v>758</v>
      </c>
      <c r="C430" s="509" t="s">
        <v>328</v>
      </c>
      <c r="D430" s="511">
        <v>2589589</v>
      </c>
      <c r="E430" s="507" t="s">
        <v>6109</v>
      </c>
    </row>
    <row r="431" spans="1:5" ht="15" x14ac:dyDescent="0.35">
      <c r="A431" s="509">
        <v>3925</v>
      </c>
      <c r="B431" s="510" t="s">
        <v>759</v>
      </c>
      <c r="C431" s="509" t="s">
        <v>328</v>
      </c>
      <c r="D431" s="511">
        <v>3022743</v>
      </c>
      <c r="E431" s="507" t="s">
        <v>331</v>
      </c>
    </row>
    <row r="432" spans="1:5" ht="15" x14ac:dyDescent="0.35">
      <c r="A432" s="509">
        <v>3932</v>
      </c>
      <c r="B432" s="510" t="s">
        <v>760</v>
      </c>
      <c r="C432" s="509" t="s">
        <v>328</v>
      </c>
      <c r="D432" s="511">
        <v>76810</v>
      </c>
      <c r="E432" s="507" t="s">
        <v>331</v>
      </c>
    </row>
    <row r="433" spans="1:5" ht="15" x14ac:dyDescent="0.35">
      <c r="A433" s="509">
        <v>3933</v>
      </c>
      <c r="B433" s="510" t="s">
        <v>761</v>
      </c>
      <c r="C433" s="509" t="s">
        <v>328</v>
      </c>
      <c r="D433" s="511">
        <v>117175</v>
      </c>
      <c r="E433" s="507" t="s">
        <v>331</v>
      </c>
    </row>
    <row r="434" spans="1:5" ht="15" x14ac:dyDescent="0.35">
      <c r="A434" s="509">
        <v>3934</v>
      </c>
      <c r="B434" s="510" t="s">
        <v>762</v>
      </c>
      <c r="C434" s="509" t="s">
        <v>328</v>
      </c>
      <c r="D434" s="511">
        <v>199635</v>
      </c>
      <c r="E434" s="507" t="s">
        <v>331</v>
      </c>
    </row>
    <row r="435" spans="1:5" ht="15" x14ac:dyDescent="0.35">
      <c r="A435" s="509">
        <v>3935</v>
      </c>
      <c r="B435" s="510" t="s">
        <v>763</v>
      </c>
      <c r="C435" s="509" t="s">
        <v>328</v>
      </c>
      <c r="D435" s="511">
        <v>252259</v>
      </c>
      <c r="E435" s="507" t="s">
        <v>331</v>
      </c>
    </row>
    <row r="436" spans="1:5" ht="15" x14ac:dyDescent="0.35">
      <c r="A436" s="509">
        <v>3936</v>
      </c>
      <c r="B436" s="510" t="s">
        <v>764</v>
      </c>
      <c r="C436" s="509" t="s">
        <v>328</v>
      </c>
      <c r="D436" s="512">
        <v>322710</v>
      </c>
      <c r="E436" s="507" t="s">
        <v>331</v>
      </c>
    </row>
    <row r="437" spans="1:5" ht="15" x14ac:dyDescent="0.35">
      <c r="A437" s="509">
        <v>3937</v>
      </c>
      <c r="B437" s="510" t="s">
        <v>765</v>
      </c>
      <c r="C437" s="509" t="s">
        <v>328</v>
      </c>
      <c r="D437" s="512">
        <v>423211</v>
      </c>
      <c r="E437" s="507" t="s">
        <v>331</v>
      </c>
    </row>
    <row r="438" spans="1:5" ht="15" x14ac:dyDescent="0.35">
      <c r="A438" s="509">
        <v>3938</v>
      </c>
      <c r="B438" s="510" t="s">
        <v>766</v>
      </c>
      <c r="C438" s="509" t="s">
        <v>328</v>
      </c>
      <c r="D438" s="512">
        <v>507574</v>
      </c>
      <c r="E438" s="507" t="s">
        <v>331</v>
      </c>
    </row>
    <row r="439" spans="1:5" ht="15" x14ac:dyDescent="0.35">
      <c r="A439" s="509">
        <v>3939</v>
      </c>
      <c r="B439" s="510" t="s">
        <v>767</v>
      </c>
      <c r="C439" s="509" t="s">
        <v>328</v>
      </c>
      <c r="D439" s="512">
        <v>720525</v>
      </c>
      <c r="E439" s="507" t="s">
        <v>331</v>
      </c>
    </row>
    <row r="440" spans="1:5" ht="15" x14ac:dyDescent="0.35">
      <c r="A440" s="509">
        <v>3944</v>
      </c>
      <c r="B440" s="510" t="s">
        <v>768</v>
      </c>
      <c r="C440" s="509" t="s">
        <v>328</v>
      </c>
      <c r="D440" s="512">
        <v>778782</v>
      </c>
      <c r="E440" s="507" t="s">
        <v>331</v>
      </c>
    </row>
    <row r="441" spans="1:5" ht="15" x14ac:dyDescent="0.35">
      <c r="A441" s="509">
        <v>3945</v>
      </c>
      <c r="B441" s="510" t="s">
        <v>769</v>
      </c>
      <c r="C441" s="509" t="s">
        <v>328</v>
      </c>
      <c r="D441" s="512">
        <v>944262</v>
      </c>
      <c r="E441" s="507" t="s">
        <v>331</v>
      </c>
    </row>
    <row r="442" spans="1:5" ht="15" x14ac:dyDescent="0.35">
      <c r="A442" s="509">
        <v>3946</v>
      </c>
      <c r="B442" s="510" t="s">
        <v>770</v>
      </c>
      <c r="C442" s="509" t="s">
        <v>328</v>
      </c>
      <c r="D442" s="512">
        <v>1144924</v>
      </c>
      <c r="E442" s="507" t="s">
        <v>331</v>
      </c>
    </row>
    <row r="443" spans="1:5" ht="15" x14ac:dyDescent="0.35">
      <c r="A443" s="509">
        <v>3947</v>
      </c>
      <c r="B443" s="510" t="s">
        <v>771</v>
      </c>
      <c r="C443" s="509" t="s">
        <v>328</v>
      </c>
      <c r="D443" s="512">
        <v>1438977</v>
      </c>
      <c r="E443" s="507" t="s">
        <v>331</v>
      </c>
    </row>
    <row r="444" spans="1:5" ht="15" x14ac:dyDescent="0.35">
      <c r="A444" s="509">
        <v>3948</v>
      </c>
      <c r="B444" s="510" t="s">
        <v>772</v>
      </c>
      <c r="C444" s="509" t="s">
        <v>328</v>
      </c>
      <c r="D444" s="512">
        <v>1782967</v>
      </c>
      <c r="E444" s="507" t="s">
        <v>331</v>
      </c>
    </row>
    <row r="445" spans="1:5" ht="15" x14ac:dyDescent="0.35">
      <c r="A445" s="509">
        <v>3949</v>
      </c>
      <c r="B445" s="510" t="s">
        <v>773</v>
      </c>
      <c r="C445" s="509" t="s">
        <v>328</v>
      </c>
      <c r="D445" s="512">
        <v>2018133</v>
      </c>
      <c r="E445" s="507" t="s">
        <v>331</v>
      </c>
    </row>
    <row r="446" spans="1:5" ht="15" x14ac:dyDescent="0.35">
      <c r="A446" s="509">
        <v>3950</v>
      </c>
      <c r="B446" s="510" t="s">
        <v>774</v>
      </c>
      <c r="C446" s="509" t="s">
        <v>328</v>
      </c>
      <c r="D446" s="512">
        <v>2393718</v>
      </c>
      <c r="E446" s="507" t="s">
        <v>331</v>
      </c>
    </row>
    <row r="447" spans="1:5" ht="15" x14ac:dyDescent="0.35">
      <c r="A447" s="509">
        <v>3951</v>
      </c>
      <c r="B447" s="510" t="s">
        <v>775</v>
      </c>
      <c r="C447" s="509" t="s">
        <v>328</v>
      </c>
      <c r="D447" s="512">
        <v>2690275</v>
      </c>
      <c r="E447" s="507" t="s">
        <v>331</v>
      </c>
    </row>
    <row r="448" spans="1:5" ht="15" x14ac:dyDescent="0.35">
      <c r="A448" s="509">
        <v>3952</v>
      </c>
      <c r="B448" s="510" t="s">
        <v>776</v>
      </c>
      <c r="C448" s="509" t="s">
        <v>328</v>
      </c>
      <c r="D448" s="512">
        <v>3046521</v>
      </c>
      <c r="E448" s="507" t="s">
        <v>331</v>
      </c>
    </row>
    <row r="449" spans="1:5" ht="15" x14ac:dyDescent="0.35">
      <c r="A449" s="509">
        <v>3953</v>
      </c>
      <c r="B449" s="510" t="s">
        <v>777</v>
      </c>
      <c r="C449" s="509" t="s">
        <v>328</v>
      </c>
      <c r="D449" s="512">
        <v>3409637</v>
      </c>
      <c r="E449" s="507" t="s">
        <v>331</v>
      </c>
    </row>
    <row r="450" spans="1:5" ht="15" x14ac:dyDescent="0.35">
      <c r="A450" s="509">
        <v>3954</v>
      </c>
      <c r="B450" s="510" t="s">
        <v>778</v>
      </c>
      <c r="C450" s="509" t="s">
        <v>328</v>
      </c>
      <c r="D450" s="512">
        <v>3815060</v>
      </c>
      <c r="E450" s="507" t="s">
        <v>331</v>
      </c>
    </row>
    <row r="451" spans="1:5" ht="15" x14ac:dyDescent="0.35">
      <c r="A451" s="509">
        <v>3955</v>
      </c>
      <c r="B451" s="510" t="s">
        <v>779</v>
      </c>
      <c r="C451" s="509" t="s">
        <v>328</v>
      </c>
      <c r="D451" s="512">
        <v>4267244</v>
      </c>
      <c r="E451" s="507" t="s">
        <v>331</v>
      </c>
    </row>
    <row r="452" spans="1:5" ht="15" x14ac:dyDescent="0.35">
      <c r="A452" s="509">
        <v>3956</v>
      </c>
      <c r="B452" s="510" t="s">
        <v>780</v>
      </c>
      <c r="C452" s="509" t="s">
        <v>328</v>
      </c>
      <c r="D452" s="512">
        <v>4771946</v>
      </c>
      <c r="E452" s="507" t="s">
        <v>331</v>
      </c>
    </row>
    <row r="453" spans="1:5" ht="15" x14ac:dyDescent="0.35">
      <c r="A453" s="509">
        <v>3957</v>
      </c>
      <c r="B453" s="510" t="s">
        <v>781</v>
      </c>
      <c r="C453" s="509" t="s">
        <v>328</v>
      </c>
      <c r="D453" s="512">
        <v>5908487</v>
      </c>
      <c r="E453" s="507" t="s">
        <v>331</v>
      </c>
    </row>
    <row r="454" spans="1:5" ht="15" x14ac:dyDescent="0.35">
      <c r="A454" s="509">
        <v>3958</v>
      </c>
      <c r="B454" s="510" t="s">
        <v>782</v>
      </c>
      <c r="C454" s="509" t="s">
        <v>328</v>
      </c>
      <c r="D454" s="512">
        <v>6630415</v>
      </c>
      <c r="E454" s="507" t="s">
        <v>331</v>
      </c>
    </row>
    <row r="455" spans="1:5" ht="15" x14ac:dyDescent="0.35">
      <c r="A455" s="509">
        <v>3959</v>
      </c>
      <c r="B455" s="510" t="s">
        <v>783</v>
      </c>
      <c r="C455" s="509" t="s">
        <v>328</v>
      </c>
      <c r="D455" s="512">
        <v>7422548</v>
      </c>
      <c r="E455" s="507" t="s">
        <v>331</v>
      </c>
    </row>
    <row r="456" spans="1:5" ht="15" x14ac:dyDescent="0.35">
      <c r="A456" s="509">
        <v>3960</v>
      </c>
      <c r="B456" s="510" t="s">
        <v>784</v>
      </c>
      <c r="C456" s="509" t="s">
        <v>328</v>
      </c>
      <c r="D456" s="512">
        <v>778782</v>
      </c>
      <c r="E456" s="507" t="s">
        <v>331</v>
      </c>
    </row>
    <row r="457" spans="1:5" ht="15" x14ac:dyDescent="0.35">
      <c r="A457" s="509">
        <v>3961</v>
      </c>
      <c r="B457" s="510" t="s">
        <v>785</v>
      </c>
      <c r="C457" s="509" t="s">
        <v>328</v>
      </c>
      <c r="D457" s="512">
        <v>969204</v>
      </c>
      <c r="E457" s="507" t="s">
        <v>331</v>
      </c>
    </row>
    <row r="458" spans="1:5" ht="15" x14ac:dyDescent="0.35">
      <c r="A458" s="509">
        <v>3963</v>
      </c>
      <c r="B458" s="510" t="s">
        <v>786</v>
      </c>
      <c r="C458" s="509" t="s">
        <v>328</v>
      </c>
      <c r="D458" s="512">
        <v>1473630</v>
      </c>
      <c r="E458" s="507" t="s">
        <v>6108</v>
      </c>
    </row>
    <row r="459" spans="1:5" ht="15" x14ac:dyDescent="0.35">
      <c r="A459" s="509">
        <v>3964</v>
      </c>
      <c r="B459" s="510" t="s">
        <v>787</v>
      </c>
      <c r="C459" s="509" t="s">
        <v>328</v>
      </c>
      <c r="D459" s="512">
        <v>1827187</v>
      </c>
      <c r="E459" s="507" t="s">
        <v>331</v>
      </c>
    </row>
    <row r="460" spans="1:5" ht="15" x14ac:dyDescent="0.35">
      <c r="A460" s="509">
        <v>3965</v>
      </c>
      <c r="B460" s="510" t="s">
        <v>788</v>
      </c>
      <c r="C460" s="509" t="s">
        <v>328</v>
      </c>
      <c r="D460" s="512">
        <v>2058641</v>
      </c>
      <c r="E460" s="507" t="s">
        <v>331</v>
      </c>
    </row>
    <row r="461" spans="1:5" ht="15" x14ac:dyDescent="0.35">
      <c r="A461" s="509">
        <v>3966</v>
      </c>
      <c r="B461" s="510" t="s">
        <v>789</v>
      </c>
      <c r="C461" s="509" t="s">
        <v>328</v>
      </c>
      <c r="D461" s="512">
        <v>2451457</v>
      </c>
      <c r="E461" s="507" t="s">
        <v>331</v>
      </c>
    </row>
    <row r="462" spans="1:5" ht="15" x14ac:dyDescent="0.35">
      <c r="A462" s="509">
        <v>3967</v>
      </c>
      <c r="B462" s="510" t="s">
        <v>790</v>
      </c>
      <c r="C462" s="509" t="s">
        <v>328</v>
      </c>
      <c r="D462" s="512">
        <v>2759533</v>
      </c>
      <c r="E462" s="507" t="s">
        <v>331</v>
      </c>
    </row>
    <row r="463" spans="1:5" ht="15" x14ac:dyDescent="0.35">
      <c r="A463" s="509">
        <v>3968</v>
      </c>
      <c r="B463" s="510" t="s">
        <v>791</v>
      </c>
      <c r="C463" s="509" t="s">
        <v>328</v>
      </c>
      <c r="D463" s="512">
        <v>3087076</v>
      </c>
      <c r="E463" s="507" t="s">
        <v>331</v>
      </c>
    </row>
    <row r="464" spans="1:5" ht="15" x14ac:dyDescent="0.35">
      <c r="A464" s="509">
        <v>3969</v>
      </c>
      <c r="B464" s="510" t="s">
        <v>792</v>
      </c>
      <c r="C464" s="509" t="s">
        <v>328</v>
      </c>
      <c r="D464" s="512">
        <v>3871643</v>
      </c>
      <c r="E464" s="507" t="s">
        <v>331</v>
      </c>
    </row>
    <row r="465" spans="1:5" ht="15" x14ac:dyDescent="0.35">
      <c r="A465" s="509">
        <v>3970</v>
      </c>
      <c r="B465" s="510" t="s">
        <v>793</v>
      </c>
      <c r="C465" s="509" t="s">
        <v>328</v>
      </c>
      <c r="D465" s="512">
        <v>3903501</v>
      </c>
      <c r="E465" s="507" t="s">
        <v>331</v>
      </c>
    </row>
    <row r="466" spans="1:5" ht="15" x14ac:dyDescent="0.35">
      <c r="A466" s="509">
        <v>3971</v>
      </c>
      <c r="B466" s="510" t="s">
        <v>794</v>
      </c>
      <c r="C466" s="509" t="s">
        <v>328</v>
      </c>
      <c r="D466" s="512">
        <v>4550130</v>
      </c>
      <c r="E466" s="507" t="s">
        <v>6108</v>
      </c>
    </row>
    <row r="467" spans="1:5" ht="15" x14ac:dyDescent="0.35">
      <c r="A467" s="509">
        <v>3972</v>
      </c>
      <c r="B467" s="510" t="s">
        <v>795</v>
      </c>
      <c r="C467" s="509" t="s">
        <v>328</v>
      </c>
      <c r="D467" s="512">
        <v>4793033</v>
      </c>
      <c r="E467" s="507" t="s">
        <v>6108</v>
      </c>
    </row>
    <row r="468" spans="1:5" ht="15" x14ac:dyDescent="0.35">
      <c r="A468" s="509">
        <v>3973</v>
      </c>
      <c r="B468" s="510" t="s">
        <v>796</v>
      </c>
      <c r="C468" s="509" t="s">
        <v>328</v>
      </c>
      <c r="D468" s="512">
        <v>5935381</v>
      </c>
      <c r="E468" s="507" t="s">
        <v>6108</v>
      </c>
    </row>
    <row r="469" spans="1:5" ht="15" x14ac:dyDescent="0.35">
      <c r="A469" s="509">
        <v>3974</v>
      </c>
      <c r="B469" s="510" t="s">
        <v>797</v>
      </c>
      <c r="C469" s="509" t="s">
        <v>328</v>
      </c>
      <c r="D469" s="512">
        <v>6734373</v>
      </c>
      <c r="E469" s="507" t="s">
        <v>331</v>
      </c>
    </row>
    <row r="470" spans="1:5" ht="15" x14ac:dyDescent="0.35">
      <c r="A470" s="509">
        <v>3975</v>
      </c>
      <c r="B470" s="510" t="s">
        <v>798</v>
      </c>
      <c r="C470" s="509" t="s">
        <v>328</v>
      </c>
      <c r="D470" s="512">
        <v>778782</v>
      </c>
      <c r="E470" s="507" t="s">
        <v>331</v>
      </c>
    </row>
    <row r="471" spans="1:5" ht="15" x14ac:dyDescent="0.35">
      <c r="A471" s="509">
        <v>3976</v>
      </c>
      <c r="B471" s="510" t="s">
        <v>799</v>
      </c>
      <c r="C471" s="509" t="s">
        <v>328</v>
      </c>
      <c r="D471" s="512">
        <v>1021422</v>
      </c>
      <c r="E471" s="507" t="s">
        <v>331</v>
      </c>
    </row>
    <row r="472" spans="1:5" ht="15" x14ac:dyDescent="0.35">
      <c r="A472" s="509">
        <v>3978</v>
      </c>
      <c r="B472" s="510" t="s">
        <v>800</v>
      </c>
      <c r="C472" s="509" t="s">
        <v>328</v>
      </c>
      <c r="D472" s="512">
        <v>1552598</v>
      </c>
      <c r="E472" s="507" t="s">
        <v>331</v>
      </c>
    </row>
    <row r="473" spans="1:5" ht="15" x14ac:dyDescent="0.35">
      <c r="A473" s="509">
        <v>3979</v>
      </c>
      <c r="B473" s="510" t="s">
        <v>801</v>
      </c>
      <c r="C473" s="509" t="s">
        <v>328</v>
      </c>
      <c r="D473" s="512">
        <v>1929099</v>
      </c>
      <c r="E473" s="507" t="s">
        <v>331</v>
      </c>
    </row>
    <row r="474" spans="1:5" ht="15" x14ac:dyDescent="0.35">
      <c r="A474" s="509">
        <v>3980</v>
      </c>
      <c r="B474" s="510" t="s">
        <v>802</v>
      </c>
      <c r="C474" s="509" t="s">
        <v>328</v>
      </c>
      <c r="D474" s="512">
        <v>2170025</v>
      </c>
      <c r="E474" s="507" t="s">
        <v>331</v>
      </c>
    </row>
    <row r="475" spans="1:5" ht="15" x14ac:dyDescent="0.35">
      <c r="A475" s="509">
        <v>3981</v>
      </c>
      <c r="B475" s="510" t="s">
        <v>803</v>
      </c>
      <c r="C475" s="509" t="s">
        <v>328</v>
      </c>
      <c r="D475" s="512">
        <v>2584356</v>
      </c>
      <c r="E475" s="507" t="s">
        <v>6108</v>
      </c>
    </row>
    <row r="476" spans="1:5" ht="15" x14ac:dyDescent="0.35">
      <c r="A476" s="509">
        <v>3982</v>
      </c>
      <c r="B476" s="510" t="s">
        <v>804</v>
      </c>
      <c r="C476" s="509" t="s">
        <v>328</v>
      </c>
      <c r="D476" s="512">
        <v>2905903</v>
      </c>
      <c r="E476" s="507" t="s">
        <v>331</v>
      </c>
    </row>
    <row r="477" spans="1:5" ht="15" x14ac:dyDescent="0.35">
      <c r="A477" s="509">
        <v>3983</v>
      </c>
      <c r="B477" s="510" t="s">
        <v>805</v>
      </c>
      <c r="C477" s="509" t="s">
        <v>328</v>
      </c>
      <c r="D477" s="512">
        <v>3244918</v>
      </c>
      <c r="E477" s="507" t="s">
        <v>331</v>
      </c>
    </row>
    <row r="478" spans="1:5" ht="15" x14ac:dyDescent="0.35">
      <c r="A478" s="509">
        <v>3984</v>
      </c>
      <c r="B478" s="510" t="s">
        <v>806</v>
      </c>
      <c r="C478" s="509" t="s">
        <v>328</v>
      </c>
      <c r="D478" s="512">
        <v>3473231</v>
      </c>
      <c r="E478" s="507" t="s">
        <v>331</v>
      </c>
    </row>
    <row r="479" spans="1:5" ht="15" x14ac:dyDescent="0.35">
      <c r="A479" s="509">
        <v>3985</v>
      </c>
      <c r="B479" s="510" t="s">
        <v>807</v>
      </c>
      <c r="C479" s="509" t="s">
        <v>328</v>
      </c>
      <c r="D479" s="512">
        <v>4063247</v>
      </c>
      <c r="E479" s="507" t="s">
        <v>331</v>
      </c>
    </row>
    <row r="480" spans="1:5" ht="15" x14ac:dyDescent="0.35">
      <c r="A480" s="509">
        <v>3986</v>
      </c>
      <c r="B480" s="510" t="s">
        <v>808</v>
      </c>
      <c r="C480" s="509" t="s">
        <v>328</v>
      </c>
      <c r="D480" s="512">
        <v>5256943</v>
      </c>
      <c r="E480" s="507" t="s">
        <v>331</v>
      </c>
    </row>
    <row r="481" spans="1:5" ht="15" x14ac:dyDescent="0.35">
      <c r="A481" s="509">
        <v>3987</v>
      </c>
      <c r="B481" s="510" t="s">
        <v>809</v>
      </c>
      <c r="C481" s="509" t="s">
        <v>328</v>
      </c>
      <c r="D481" s="512">
        <v>4367251</v>
      </c>
      <c r="E481" s="507" t="s">
        <v>331</v>
      </c>
    </row>
    <row r="482" spans="1:5" ht="15" x14ac:dyDescent="0.35">
      <c r="A482" s="509">
        <v>3988</v>
      </c>
      <c r="B482" s="510" t="s">
        <v>810</v>
      </c>
      <c r="C482" s="509" t="s">
        <v>328</v>
      </c>
      <c r="D482" s="512">
        <v>6179855</v>
      </c>
      <c r="E482" s="507" t="s">
        <v>331</v>
      </c>
    </row>
    <row r="483" spans="1:5" ht="15" x14ac:dyDescent="0.35">
      <c r="A483" s="509">
        <v>3989</v>
      </c>
      <c r="B483" s="510" t="s">
        <v>811</v>
      </c>
      <c r="C483" s="509" t="s">
        <v>328</v>
      </c>
      <c r="D483" s="512">
        <v>6901783</v>
      </c>
      <c r="E483" s="507" t="s">
        <v>331</v>
      </c>
    </row>
    <row r="484" spans="1:5" ht="15" x14ac:dyDescent="0.35">
      <c r="A484" s="509">
        <v>3990</v>
      </c>
      <c r="B484" s="510" t="s">
        <v>812</v>
      </c>
      <c r="C484" s="509" t="s">
        <v>328</v>
      </c>
      <c r="D484" s="512">
        <v>7538121</v>
      </c>
      <c r="E484" s="507" t="s">
        <v>331</v>
      </c>
    </row>
    <row r="485" spans="1:5" ht="15" x14ac:dyDescent="0.35">
      <c r="A485" s="509">
        <v>3991</v>
      </c>
      <c r="B485" s="510" t="s">
        <v>813</v>
      </c>
      <c r="C485" s="509" t="s">
        <v>328</v>
      </c>
      <c r="D485" s="512">
        <v>7663166</v>
      </c>
      <c r="E485" s="507" t="s">
        <v>331</v>
      </c>
    </row>
    <row r="486" spans="1:5" ht="15" x14ac:dyDescent="0.35">
      <c r="A486" s="509">
        <v>3992</v>
      </c>
      <c r="B486" s="510" t="s">
        <v>814</v>
      </c>
      <c r="C486" s="509" t="s">
        <v>328</v>
      </c>
      <c r="D486" s="512">
        <v>873078</v>
      </c>
      <c r="E486" s="507" t="s">
        <v>331</v>
      </c>
    </row>
    <row r="487" spans="1:5" ht="15" x14ac:dyDescent="0.35">
      <c r="A487" s="509">
        <v>3993</v>
      </c>
      <c r="B487" s="510" t="s">
        <v>815</v>
      </c>
      <c r="C487" s="509" t="s">
        <v>328</v>
      </c>
      <c r="D487" s="512">
        <v>1150180</v>
      </c>
      <c r="E487" s="507" t="s">
        <v>331</v>
      </c>
    </row>
    <row r="488" spans="1:5" ht="15" x14ac:dyDescent="0.35">
      <c r="A488" s="509">
        <v>3994</v>
      </c>
      <c r="B488" s="510" t="s">
        <v>816</v>
      </c>
      <c r="C488" s="509" t="s">
        <v>328</v>
      </c>
      <c r="D488" s="512">
        <v>1406629</v>
      </c>
      <c r="E488" s="507" t="s">
        <v>331</v>
      </c>
    </row>
    <row r="489" spans="1:5" ht="15" x14ac:dyDescent="0.35">
      <c r="A489" s="509">
        <v>3995</v>
      </c>
      <c r="B489" s="510" t="s">
        <v>817</v>
      </c>
      <c r="C489" s="509" t="s">
        <v>328</v>
      </c>
      <c r="D489" s="512">
        <v>1762134</v>
      </c>
      <c r="E489" s="507" t="s">
        <v>331</v>
      </c>
    </row>
    <row r="490" spans="1:5" ht="15" x14ac:dyDescent="0.35">
      <c r="A490" s="509">
        <v>3996</v>
      </c>
      <c r="B490" s="510" t="s">
        <v>818</v>
      </c>
      <c r="C490" s="509" t="s">
        <v>328</v>
      </c>
      <c r="D490" s="512">
        <v>2189042</v>
      </c>
      <c r="E490" s="507" t="s">
        <v>331</v>
      </c>
    </row>
    <row r="491" spans="1:5" ht="15" x14ac:dyDescent="0.35">
      <c r="A491" s="509">
        <v>3997</v>
      </c>
      <c r="B491" s="510" t="s">
        <v>819</v>
      </c>
      <c r="C491" s="509" t="s">
        <v>328</v>
      </c>
      <c r="D491" s="512">
        <v>2462670</v>
      </c>
      <c r="E491" s="507" t="s">
        <v>331</v>
      </c>
    </row>
    <row r="492" spans="1:5" ht="15" x14ac:dyDescent="0.35">
      <c r="A492" s="509">
        <v>3998</v>
      </c>
      <c r="B492" s="510" t="s">
        <v>820</v>
      </c>
      <c r="C492" s="509" t="s">
        <v>328</v>
      </c>
      <c r="D492" s="512">
        <v>2927171</v>
      </c>
      <c r="E492" s="507" t="s">
        <v>331</v>
      </c>
    </row>
    <row r="493" spans="1:5" ht="15" x14ac:dyDescent="0.35">
      <c r="A493" s="509">
        <v>3999</v>
      </c>
      <c r="B493" s="510" t="s">
        <v>821</v>
      </c>
      <c r="C493" s="509" t="s">
        <v>328</v>
      </c>
      <c r="D493" s="512">
        <v>3310027</v>
      </c>
      <c r="E493" s="507" t="s">
        <v>6108</v>
      </c>
    </row>
    <row r="494" spans="1:5" ht="15" x14ac:dyDescent="0.35">
      <c r="A494" s="509">
        <v>4000</v>
      </c>
      <c r="B494" s="510" t="s">
        <v>822</v>
      </c>
      <c r="C494" s="509" t="s">
        <v>328</v>
      </c>
      <c r="D494" s="512">
        <v>3548939</v>
      </c>
      <c r="E494" s="507" t="s">
        <v>331</v>
      </c>
    </row>
    <row r="495" spans="1:5" ht="15" x14ac:dyDescent="0.35">
      <c r="A495" s="509">
        <v>4001</v>
      </c>
      <c r="B495" s="510" t="s">
        <v>823</v>
      </c>
      <c r="C495" s="509" t="s">
        <v>328</v>
      </c>
      <c r="D495" s="512">
        <v>4081321</v>
      </c>
      <c r="E495" s="507" t="s">
        <v>331</v>
      </c>
    </row>
    <row r="496" spans="1:5" ht="15" x14ac:dyDescent="0.35">
      <c r="A496" s="509">
        <v>4002</v>
      </c>
      <c r="B496" s="510" t="s">
        <v>824</v>
      </c>
      <c r="C496" s="509" t="s">
        <v>328</v>
      </c>
      <c r="D496" s="512">
        <v>4596414</v>
      </c>
      <c r="E496" s="507" t="s">
        <v>331</v>
      </c>
    </row>
    <row r="497" spans="1:5" ht="15" x14ac:dyDescent="0.35">
      <c r="A497" s="509">
        <v>4004</v>
      </c>
      <c r="B497" s="510" t="s">
        <v>825</v>
      </c>
      <c r="C497" s="509" t="s">
        <v>328</v>
      </c>
      <c r="D497" s="512">
        <v>5156412</v>
      </c>
      <c r="E497" s="507" t="s">
        <v>331</v>
      </c>
    </row>
    <row r="498" spans="1:5" ht="15" x14ac:dyDescent="0.35">
      <c r="A498" s="509">
        <v>4005</v>
      </c>
      <c r="B498" s="510" t="s">
        <v>826</v>
      </c>
      <c r="C498" s="509" t="s">
        <v>328</v>
      </c>
      <c r="D498" s="512">
        <v>5726755</v>
      </c>
      <c r="E498" s="507" t="s">
        <v>6108</v>
      </c>
    </row>
    <row r="499" spans="1:5" ht="15" x14ac:dyDescent="0.35">
      <c r="A499" s="509">
        <v>4006</v>
      </c>
      <c r="B499" s="510" t="s">
        <v>827</v>
      </c>
      <c r="C499" s="509" t="s">
        <v>328</v>
      </c>
      <c r="D499" s="512">
        <v>7015283</v>
      </c>
      <c r="E499" s="507" t="s">
        <v>331</v>
      </c>
    </row>
    <row r="500" spans="1:5" ht="15" x14ac:dyDescent="0.35">
      <c r="A500" s="509">
        <v>4007</v>
      </c>
      <c r="B500" s="510" t="s">
        <v>828</v>
      </c>
      <c r="C500" s="509" t="s">
        <v>328</v>
      </c>
      <c r="D500" s="512">
        <v>8349108</v>
      </c>
      <c r="E500" s="507" t="s">
        <v>331</v>
      </c>
    </row>
    <row r="501" spans="1:5" ht="15" x14ac:dyDescent="0.35">
      <c r="A501" s="509">
        <v>4008</v>
      </c>
      <c r="B501" s="510" t="s">
        <v>829</v>
      </c>
      <c r="C501" s="509" t="s">
        <v>328</v>
      </c>
      <c r="D501" s="512">
        <v>9095117</v>
      </c>
      <c r="E501" s="507" t="s">
        <v>331</v>
      </c>
    </row>
    <row r="502" spans="1:5" ht="15" x14ac:dyDescent="0.35">
      <c r="A502" s="509">
        <v>4009</v>
      </c>
      <c r="B502" s="510" t="s">
        <v>830</v>
      </c>
      <c r="C502" s="509" t="s">
        <v>21</v>
      </c>
      <c r="D502" s="512">
        <v>12132</v>
      </c>
      <c r="E502" s="507" t="s">
        <v>331</v>
      </c>
    </row>
    <row r="503" spans="1:5" ht="15" x14ac:dyDescent="0.35">
      <c r="A503" s="509">
        <v>4010</v>
      </c>
      <c r="B503" s="510" t="s">
        <v>831</v>
      </c>
      <c r="C503" s="509" t="s">
        <v>21</v>
      </c>
      <c r="D503" s="512">
        <v>22852</v>
      </c>
      <c r="E503" s="507" t="s">
        <v>6109</v>
      </c>
    </row>
    <row r="504" spans="1:5" ht="15" x14ac:dyDescent="0.35">
      <c r="A504" s="509">
        <v>4011</v>
      </c>
      <c r="B504" s="510" t="s">
        <v>832</v>
      </c>
      <c r="C504" s="509" t="s">
        <v>21</v>
      </c>
      <c r="D504" s="512">
        <v>27763</v>
      </c>
      <c r="E504" s="507" t="s">
        <v>6109</v>
      </c>
    </row>
    <row r="505" spans="1:5" ht="15" x14ac:dyDescent="0.35">
      <c r="A505" s="509">
        <v>4012</v>
      </c>
      <c r="B505" s="510" t="s">
        <v>833</v>
      </c>
      <c r="C505" s="509" t="s">
        <v>21</v>
      </c>
      <c r="D505" s="512">
        <v>31390</v>
      </c>
      <c r="E505" s="507" t="s">
        <v>6109</v>
      </c>
    </row>
    <row r="506" spans="1:5" ht="15" x14ac:dyDescent="0.35">
      <c r="A506" s="509">
        <v>4013</v>
      </c>
      <c r="B506" s="510" t="s">
        <v>834</v>
      </c>
      <c r="C506" s="509" t="s">
        <v>21</v>
      </c>
      <c r="D506" s="512">
        <v>38583</v>
      </c>
      <c r="E506" s="507" t="s">
        <v>6109</v>
      </c>
    </row>
    <row r="507" spans="1:5" ht="15" x14ac:dyDescent="0.35">
      <c r="A507" s="509">
        <v>4014</v>
      </c>
      <c r="B507" s="510" t="s">
        <v>835</v>
      </c>
      <c r="C507" s="509" t="s">
        <v>21</v>
      </c>
      <c r="D507" s="512">
        <v>12132</v>
      </c>
      <c r="E507" s="507" t="s">
        <v>6108</v>
      </c>
    </row>
    <row r="508" spans="1:5" ht="15" x14ac:dyDescent="0.35">
      <c r="A508" s="509">
        <v>4015</v>
      </c>
      <c r="B508" s="510" t="s">
        <v>836</v>
      </c>
      <c r="C508" s="509" t="s">
        <v>21</v>
      </c>
      <c r="D508" s="512">
        <v>22852</v>
      </c>
      <c r="E508" s="507" t="s">
        <v>6108</v>
      </c>
    </row>
    <row r="509" spans="1:5" ht="15" x14ac:dyDescent="0.35">
      <c r="A509" s="509">
        <v>4016</v>
      </c>
      <c r="B509" s="510" t="s">
        <v>837</v>
      </c>
      <c r="C509" s="509" t="s">
        <v>21</v>
      </c>
      <c r="D509" s="512">
        <v>27763</v>
      </c>
      <c r="E509" s="507" t="s">
        <v>6108</v>
      </c>
    </row>
    <row r="510" spans="1:5" ht="15" x14ac:dyDescent="0.35">
      <c r="A510" s="509">
        <v>4017</v>
      </c>
      <c r="B510" s="510" t="s">
        <v>838</v>
      </c>
      <c r="C510" s="509" t="s">
        <v>21</v>
      </c>
      <c r="D510" s="512">
        <v>31390</v>
      </c>
      <c r="E510" s="507" t="s">
        <v>6108</v>
      </c>
    </row>
    <row r="511" spans="1:5" ht="15" x14ac:dyDescent="0.35">
      <c r="A511" s="509">
        <v>4018</v>
      </c>
      <c r="B511" s="510" t="s">
        <v>839</v>
      </c>
      <c r="C511" s="509" t="s">
        <v>21</v>
      </c>
      <c r="D511" s="512">
        <v>38583</v>
      </c>
      <c r="E511" s="507" t="s">
        <v>6108</v>
      </c>
    </row>
    <row r="512" spans="1:5" ht="15" x14ac:dyDescent="0.35">
      <c r="A512" s="509">
        <v>4019</v>
      </c>
      <c r="B512" s="510" t="s">
        <v>840</v>
      </c>
      <c r="C512" s="509" t="s">
        <v>21</v>
      </c>
      <c r="D512" s="512">
        <v>11141</v>
      </c>
      <c r="E512" s="507" t="s">
        <v>6108</v>
      </c>
    </row>
    <row r="513" spans="1:5" ht="15" x14ac:dyDescent="0.35">
      <c r="A513" s="509">
        <v>4020</v>
      </c>
      <c r="B513" s="510" t="s">
        <v>841</v>
      </c>
      <c r="C513" s="509" t="s">
        <v>21</v>
      </c>
      <c r="D513" s="512">
        <v>12767</v>
      </c>
      <c r="E513" s="507" t="s">
        <v>6108</v>
      </c>
    </row>
    <row r="514" spans="1:5" ht="15" x14ac:dyDescent="0.35">
      <c r="A514" s="509">
        <v>4021</v>
      </c>
      <c r="B514" s="510" t="s">
        <v>842</v>
      </c>
      <c r="C514" s="509" t="s">
        <v>21</v>
      </c>
      <c r="D514" s="512">
        <v>22852</v>
      </c>
      <c r="E514" s="507" t="s">
        <v>6108</v>
      </c>
    </row>
    <row r="515" spans="1:5" ht="15" x14ac:dyDescent="0.35">
      <c r="A515" s="509">
        <v>4022</v>
      </c>
      <c r="B515" s="510" t="s">
        <v>843</v>
      </c>
      <c r="C515" s="509" t="s">
        <v>21</v>
      </c>
      <c r="D515" s="512">
        <v>27763</v>
      </c>
      <c r="E515" s="507" t="s">
        <v>6108</v>
      </c>
    </row>
    <row r="516" spans="1:5" ht="15" x14ac:dyDescent="0.35">
      <c r="A516" s="509">
        <v>4023</v>
      </c>
      <c r="B516" s="510" t="s">
        <v>844</v>
      </c>
      <c r="C516" s="509" t="s">
        <v>21</v>
      </c>
      <c r="D516" s="512">
        <v>31390</v>
      </c>
      <c r="E516" s="507" t="s">
        <v>6108</v>
      </c>
    </row>
    <row r="517" spans="1:5" ht="15" x14ac:dyDescent="0.35">
      <c r="A517" s="509">
        <v>4024</v>
      </c>
      <c r="B517" s="510" t="s">
        <v>845</v>
      </c>
      <c r="C517" s="509" t="s">
        <v>21</v>
      </c>
      <c r="D517" s="512">
        <v>38583</v>
      </c>
      <c r="E517" s="507" t="s">
        <v>6108</v>
      </c>
    </row>
    <row r="518" spans="1:5" ht="15" x14ac:dyDescent="0.35">
      <c r="A518" s="509">
        <v>4026</v>
      </c>
      <c r="B518" s="510" t="s">
        <v>846</v>
      </c>
      <c r="C518" s="509" t="s">
        <v>21</v>
      </c>
      <c r="D518" s="512">
        <v>11973</v>
      </c>
      <c r="E518" s="507" t="s">
        <v>6108</v>
      </c>
    </row>
    <row r="519" spans="1:5" ht="15" x14ac:dyDescent="0.35">
      <c r="A519" s="509">
        <v>4027</v>
      </c>
      <c r="B519" s="510" t="s">
        <v>847</v>
      </c>
      <c r="C519" s="509" t="s">
        <v>21</v>
      </c>
      <c r="D519" s="512">
        <v>15329</v>
      </c>
      <c r="E519" s="507" t="s">
        <v>6108</v>
      </c>
    </row>
    <row r="520" spans="1:5" ht="15" x14ac:dyDescent="0.35">
      <c r="A520" s="509">
        <v>4028</v>
      </c>
      <c r="B520" s="510" t="s">
        <v>848</v>
      </c>
      <c r="C520" s="509" t="s">
        <v>21</v>
      </c>
      <c r="D520" s="512">
        <v>25096</v>
      </c>
      <c r="E520" s="507" t="s">
        <v>6108</v>
      </c>
    </row>
    <row r="521" spans="1:5" ht="15" x14ac:dyDescent="0.35">
      <c r="A521" s="509">
        <v>4029</v>
      </c>
      <c r="B521" s="510" t="s">
        <v>849</v>
      </c>
      <c r="C521" s="509" t="s">
        <v>21</v>
      </c>
      <c r="D521" s="512">
        <v>33207</v>
      </c>
      <c r="E521" s="507" t="s">
        <v>6108</v>
      </c>
    </row>
    <row r="522" spans="1:5" ht="15" x14ac:dyDescent="0.35">
      <c r="A522" s="509">
        <v>4030</v>
      </c>
      <c r="B522" s="510" t="s">
        <v>850</v>
      </c>
      <c r="C522" s="509" t="s">
        <v>21</v>
      </c>
      <c r="D522" s="512">
        <v>11973</v>
      </c>
      <c r="E522" s="507" t="s">
        <v>6108</v>
      </c>
    </row>
    <row r="523" spans="1:5" ht="15" x14ac:dyDescent="0.35">
      <c r="A523" s="509">
        <v>4032</v>
      </c>
      <c r="B523" s="510" t="s">
        <v>851</v>
      </c>
      <c r="C523" s="509" t="s">
        <v>21</v>
      </c>
      <c r="D523" s="512">
        <v>15329</v>
      </c>
      <c r="E523" s="507" t="s">
        <v>6108</v>
      </c>
    </row>
    <row r="524" spans="1:5" ht="15" x14ac:dyDescent="0.35">
      <c r="A524" s="509">
        <v>4033</v>
      </c>
      <c r="B524" s="510" t="s">
        <v>852</v>
      </c>
      <c r="C524" s="509" t="s">
        <v>21</v>
      </c>
      <c r="D524" s="512">
        <v>25096</v>
      </c>
      <c r="E524" s="507" t="s">
        <v>6108</v>
      </c>
    </row>
    <row r="525" spans="1:5" ht="15" x14ac:dyDescent="0.35">
      <c r="A525" s="509">
        <v>4034</v>
      </c>
      <c r="B525" s="510" t="s">
        <v>853</v>
      </c>
      <c r="C525" s="509" t="s">
        <v>21</v>
      </c>
      <c r="D525" s="512">
        <v>33207</v>
      </c>
      <c r="E525" s="507" t="s">
        <v>6108</v>
      </c>
    </row>
    <row r="526" spans="1:5" ht="15" x14ac:dyDescent="0.35">
      <c r="A526" s="509">
        <v>4036</v>
      </c>
      <c r="B526" s="510" t="s">
        <v>854</v>
      </c>
      <c r="C526" s="509" t="s">
        <v>21</v>
      </c>
      <c r="D526" s="512">
        <v>15329</v>
      </c>
      <c r="E526" s="507" t="s">
        <v>6108</v>
      </c>
    </row>
    <row r="527" spans="1:5" ht="15" x14ac:dyDescent="0.35">
      <c r="A527" s="509">
        <v>4037</v>
      </c>
      <c r="B527" s="510" t="s">
        <v>855</v>
      </c>
      <c r="C527" s="509" t="s">
        <v>21</v>
      </c>
      <c r="D527" s="512">
        <v>25096</v>
      </c>
      <c r="E527" s="507" t="s">
        <v>6108</v>
      </c>
    </row>
    <row r="528" spans="1:5" ht="15" x14ac:dyDescent="0.35">
      <c r="A528" s="509">
        <v>4038</v>
      </c>
      <c r="B528" s="510" t="s">
        <v>856</v>
      </c>
      <c r="C528" s="509" t="s">
        <v>21</v>
      </c>
      <c r="D528" s="512">
        <v>33207</v>
      </c>
      <c r="E528" s="507" t="s">
        <v>6108</v>
      </c>
    </row>
    <row r="529" spans="1:5" ht="15" x14ac:dyDescent="0.35">
      <c r="A529" s="509">
        <v>4039</v>
      </c>
      <c r="B529" s="510" t="s">
        <v>857</v>
      </c>
      <c r="C529" s="509" t="s">
        <v>328</v>
      </c>
      <c r="D529" s="512">
        <v>33922</v>
      </c>
      <c r="E529" s="507" t="s">
        <v>6108</v>
      </c>
    </row>
    <row r="530" spans="1:5" ht="15" x14ac:dyDescent="0.35">
      <c r="A530" s="509">
        <v>4040</v>
      </c>
      <c r="B530" s="510" t="s">
        <v>858</v>
      </c>
      <c r="C530" s="509" t="s">
        <v>328</v>
      </c>
      <c r="D530" s="512">
        <v>38455</v>
      </c>
      <c r="E530" s="507" t="s">
        <v>6108</v>
      </c>
    </row>
    <row r="531" spans="1:5" ht="15" x14ac:dyDescent="0.35">
      <c r="A531" s="509">
        <v>4041</v>
      </c>
      <c r="B531" s="510" t="s">
        <v>859</v>
      </c>
      <c r="C531" s="509" t="s">
        <v>328</v>
      </c>
      <c r="D531" s="512">
        <v>51998</v>
      </c>
      <c r="E531" s="507" t="s">
        <v>6108</v>
      </c>
    </row>
    <row r="532" spans="1:5" ht="15" x14ac:dyDescent="0.35">
      <c r="A532" s="509">
        <v>4042</v>
      </c>
      <c r="B532" s="510" t="s">
        <v>860</v>
      </c>
      <c r="C532" s="509" t="s">
        <v>328</v>
      </c>
      <c r="D532" s="512">
        <v>42360</v>
      </c>
      <c r="E532" s="507" t="s">
        <v>6108</v>
      </c>
    </row>
    <row r="533" spans="1:5" ht="15" x14ac:dyDescent="0.35">
      <c r="A533" s="509">
        <v>4043</v>
      </c>
      <c r="B533" s="510" t="s">
        <v>861</v>
      </c>
      <c r="C533" s="509" t="s">
        <v>328</v>
      </c>
      <c r="D533" s="511">
        <v>42989</v>
      </c>
      <c r="E533" s="507" t="s">
        <v>6108</v>
      </c>
    </row>
    <row r="534" spans="1:5" ht="15" x14ac:dyDescent="0.35">
      <c r="A534" s="509">
        <v>4044</v>
      </c>
      <c r="B534" s="510" t="s">
        <v>862</v>
      </c>
      <c r="C534" s="509" t="s">
        <v>328</v>
      </c>
      <c r="D534" s="511">
        <v>472315</v>
      </c>
      <c r="E534" s="507" t="s">
        <v>6108</v>
      </c>
    </row>
    <row r="535" spans="1:5" ht="15" x14ac:dyDescent="0.35">
      <c r="A535" s="509">
        <v>4045</v>
      </c>
      <c r="B535" s="510" t="s">
        <v>863</v>
      </c>
      <c r="C535" s="509" t="s">
        <v>328</v>
      </c>
      <c r="D535" s="511">
        <v>366181</v>
      </c>
      <c r="E535" s="507" t="s">
        <v>6108</v>
      </c>
    </row>
    <row r="536" spans="1:5" ht="15" x14ac:dyDescent="0.35">
      <c r="A536" s="509">
        <v>4046</v>
      </c>
      <c r="B536" s="510" t="s">
        <v>864</v>
      </c>
      <c r="C536" s="509" t="s">
        <v>328</v>
      </c>
      <c r="D536" s="511">
        <v>465020</v>
      </c>
      <c r="E536" s="507" t="s">
        <v>6108</v>
      </c>
    </row>
    <row r="537" spans="1:5" ht="15" x14ac:dyDescent="0.35">
      <c r="A537" s="509">
        <v>4047</v>
      </c>
      <c r="B537" s="510" t="s">
        <v>865</v>
      </c>
      <c r="C537" s="509" t="s">
        <v>328</v>
      </c>
      <c r="D537" s="511">
        <v>70726</v>
      </c>
      <c r="E537" s="507" t="s">
        <v>6108</v>
      </c>
    </row>
    <row r="538" spans="1:5" ht="15" x14ac:dyDescent="0.35">
      <c r="A538" s="509">
        <v>4048</v>
      </c>
      <c r="B538" s="510" t="s">
        <v>866</v>
      </c>
      <c r="C538" s="509" t="s">
        <v>328</v>
      </c>
      <c r="D538" s="512">
        <v>68244</v>
      </c>
      <c r="E538" s="507" t="s">
        <v>6108</v>
      </c>
    </row>
    <row r="539" spans="1:5" ht="15" x14ac:dyDescent="0.35">
      <c r="A539" s="509">
        <v>4049</v>
      </c>
      <c r="B539" s="510" t="s">
        <v>867</v>
      </c>
      <c r="C539" s="509" t="s">
        <v>328</v>
      </c>
      <c r="D539" s="511">
        <v>85050</v>
      </c>
      <c r="E539" s="507" t="s">
        <v>6108</v>
      </c>
    </row>
    <row r="540" spans="1:5" ht="15" x14ac:dyDescent="0.35">
      <c r="A540" s="509">
        <v>4050</v>
      </c>
      <c r="B540" s="510" t="s">
        <v>868</v>
      </c>
      <c r="C540" s="509" t="s">
        <v>328</v>
      </c>
      <c r="D540" s="512">
        <v>78877</v>
      </c>
      <c r="E540" s="507" t="s">
        <v>6108</v>
      </c>
    </row>
    <row r="541" spans="1:5" ht="15" x14ac:dyDescent="0.35">
      <c r="A541" s="509">
        <v>4051</v>
      </c>
      <c r="B541" s="510" t="s">
        <v>869</v>
      </c>
      <c r="C541" s="509" t="s">
        <v>21</v>
      </c>
      <c r="D541" s="512">
        <v>86831</v>
      </c>
      <c r="E541" s="507" t="s">
        <v>6108</v>
      </c>
    </row>
    <row r="542" spans="1:5" ht="15" x14ac:dyDescent="0.35">
      <c r="A542" s="509">
        <v>4052</v>
      </c>
      <c r="B542" s="510" t="s">
        <v>870</v>
      </c>
      <c r="C542" s="509" t="s">
        <v>32</v>
      </c>
      <c r="D542" s="512">
        <v>63013</v>
      </c>
      <c r="E542" s="507" t="s">
        <v>6108</v>
      </c>
    </row>
    <row r="543" spans="1:5" ht="15" x14ac:dyDescent="0.35">
      <c r="A543" s="509">
        <v>4053</v>
      </c>
      <c r="B543" s="510" t="s">
        <v>871</v>
      </c>
      <c r="C543" s="509" t="s">
        <v>32</v>
      </c>
      <c r="D543" s="512">
        <v>60519</v>
      </c>
      <c r="E543" s="507" t="s">
        <v>331</v>
      </c>
    </row>
    <row r="544" spans="1:5" ht="15" x14ac:dyDescent="0.35">
      <c r="A544" s="509">
        <v>4054</v>
      </c>
      <c r="B544" s="510" t="s">
        <v>872</v>
      </c>
      <c r="C544" s="509" t="s">
        <v>328</v>
      </c>
      <c r="D544" s="512">
        <v>85748</v>
      </c>
      <c r="E544" s="507" t="s">
        <v>331</v>
      </c>
    </row>
    <row r="545" spans="1:5" ht="15" x14ac:dyDescent="0.35">
      <c r="A545" s="509">
        <v>4055</v>
      </c>
      <c r="B545" s="510" t="s">
        <v>873</v>
      </c>
      <c r="C545" s="509" t="s">
        <v>328</v>
      </c>
      <c r="D545" s="511">
        <v>81633</v>
      </c>
      <c r="E545" s="507" t="s">
        <v>331</v>
      </c>
    </row>
    <row r="546" spans="1:5" ht="15" x14ac:dyDescent="0.35">
      <c r="A546" s="509">
        <v>4061</v>
      </c>
      <c r="B546" s="510" t="s">
        <v>874</v>
      </c>
      <c r="C546" s="509" t="s">
        <v>21</v>
      </c>
      <c r="D546" s="512">
        <v>99495</v>
      </c>
      <c r="E546" s="507" t="s">
        <v>331</v>
      </c>
    </row>
    <row r="547" spans="1:5" ht="15" x14ac:dyDescent="0.35">
      <c r="A547" s="509">
        <v>4064</v>
      </c>
      <c r="B547" s="510" t="s">
        <v>875</v>
      </c>
      <c r="C547" s="509" t="s">
        <v>21</v>
      </c>
      <c r="D547" s="512">
        <v>82545</v>
      </c>
      <c r="E547" s="507" t="s">
        <v>331</v>
      </c>
    </row>
    <row r="548" spans="1:5" ht="15" x14ac:dyDescent="0.35">
      <c r="A548" s="509">
        <v>4073</v>
      </c>
      <c r="B548" s="510" t="s">
        <v>876</v>
      </c>
      <c r="C548" s="509" t="s">
        <v>21</v>
      </c>
      <c r="D548" s="512">
        <v>128004</v>
      </c>
      <c r="E548" s="507" t="s">
        <v>331</v>
      </c>
    </row>
    <row r="549" spans="1:5" ht="15" x14ac:dyDescent="0.35">
      <c r="A549" s="509">
        <v>4074</v>
      </c>
      <c r="B549" s="510" t="s">
        <v>877</v>
      </c>
      <c r="C549" s="509" t="s">
        <v>21</v>
      </c>
      <c r="D549" s="512">
        <v>107401</v>
      </c>
      <c r="E549" s="507" t="s">
        <v>331</v>
      </c>
    </row>
    <row r="550" spans="1:5" ht="15" x14ac:dyDescent="0.35">
      <c r="A550" s="509">
        <v>4075</v>
      </c>
      <c r="B550" s="510" t="s">
        <v>878</v>
      </c>
      <c r="C550" s="509" t="s">
        <v>21</v>
      </c>
      <c r="D550" s="512">
        <v>118364</v>
      </c>
      <c r="E550" s="507" t="s">
        <v>331</v>
      </c>
    </row>
    <row r="551" spans="1:5" ht="15" x14ac:dyDescent="0.35">
      <c r="A551" s="509">
        <v>4077</v>
      </c>
      <c r="B551" s="510" t="s">
        <v>879</v>
      </c>
      <c r="C551" s="509" t="s">
        <v>21</v>
      </c>
      <c r="D551" s="512">
        <v>120134</v>
      </c>
      <c r="E551" s="507" t="s">
        <v>331</v>
      </c>
    </row>
    <row r="552" spans="1:5" ht="15" x14ac:dyDescent="0.35">
      <c r="A552" s="509">
        <v>4078</v>
      </c>
      <c r="B552" s="510" t="s">
        <v>880</v>
      </c>
      <c r="C552" s="509" t="s">
        <v>21</v>
      </c>
      <c r="D552" s="512">
        <v>131097</v>
      </c>
      <c r="E552" s="507" t="s">
        <v>331</v>
      </c>
    </row>
    <row r="553" spans="1:5" ht="15" x14ac:dyDescent="0.35">
      <c r="A553" s="509">
        <v>4079</v>
      </c>
      <c r="B553" s="510" t="s">
        <v>881</v>
      </c>
      <c r="C553" s="509" t="s">
        <v>21</v>
      </c>
      <c r="D553" s="512">
        <v>141984</v>
      </c>
      <c r="E553" s="507" t="s">
        <v>6108</v>
      </c>
    </row>
    <row r="554" spans="1:5" ht="15" x14ac:dyDescent="0.35">
      <c r="A554" s="509">
        <v>4080</v>
      </c>
      <c r="B554" s="510" t="s">
        <v>882</v>
      </c>
      <c r="C554" s="509" t="s">
        <v>32</v>
      </c>
      <c r="D554" s="512">
        <v>231206</v>
      </c>
      <c r="E554" s="507" t="s">
        <v>6108</v>
      </c>
    </row>
    <row r="555" spans="1:5" ht="15" x14ac:dyDescent="0.35">
      <c r="A555" s="509">
        <v>4081</v>
      </c>
      <c r="B555" s="510" t="s">
        <v>883</v>
      </c>
      <c r="C555" s="509" t="s">
        <v>32</v>
      </c>
      <c r="D555" s="512">
        <v>202339</v>
      </c>
      <c r="E555" s="507" t="s">
        <v>6109</v>
      </c>
    </row>
    <row r="556" spans="1:5" ht="15" x14ac:dyDescent="0.35">
      <c r="A556" s="509">
        <v>4082</v>
      </c>
      <c r="B556" s="510" t="s">
        <v>884</v>
      </c>
      <c r="C556" s="509" t="s">
        <v>32</v>
      </c>
      <c r="D556" s="512">
        <v>280254</v>
      </c>
      <c r="E556" s="507" t="s">
        <v>331</v>
      </c>
    </row>
    <row r="557" spans="1:5" ht="15" x14ac:dyDescent="0.35">
      <c r="A557" s="509">
        <v>4083</v>
      </c>
      <c r="B557" s="510" t="s">
        <v>885</v>
      </c>
      <c r="C557" s="509" t="s">
        <v>32</v>
      </c>
      <c r="D557" s="512">
        <v>282661</v>
      </c>
      <c r="E557" s="507" t="s">
        <v>6108</v>
      </c>
    </row>
    <row r="558" spans="1:5" ht="15" x14ac:dyDescent="0.35">
      <c r="A558" s="509">
        <v>4085</v>
      </c>
      <c r="B558" s="510" t="s">
        <v>886</v>
      </c>
      <c r="C558" s="509" t="s">
        <v>32</v>
      </c>
      <c r="D558" s="512">
        <v>106511</v>
      </c>
      <c r="E558" s="507" t="s">
        <v>6108</v>
      </c>
    </row>
    <row r="559" spans="1:5" ht="15" x14ac:dyDescent="0.35">
      <c r="A559" s="509">
        <v>4086</v>
      </c>
      <c r="B559" s="510" t="s">
        <v>887</v>
      </c>
      <c r="C559" s="509" t="s">
        <v>32</v>
      </c>
      <c r="D559" s="512">
        <v>99840</v>
      </c>
      <c r="E559" s="507" t="s">
        <v>6108</v>
      </c>
    </row>
    <row r="560" spans="1:5" ht="15" x14ac:dyDescent="0.35">
      <c r="A560" s="509">
        <v>4087</v>
      </c>
      <c r="B560" s="510" t="s">
        <v>888</v>
      </c>
      <c r="C560" s="509" t="s">
        <v>32</v>
      </c>
      <c r="D560" s="512">
        <v>103864</v>
      </c>
      <c r="E560" s="507" t="s">
        <v>6108</v>
      </c>
    </row>
    <row r="561" spans="1:5" ht="15" x14ac:dyDescent="0.35">
      <c r="A561" s="509">
        <v>4088</v>
      </c>
      <c r="B561" s="510" t="s">
        <v>889</v>
      </c>
      <c r="C561" s="509" t="s">
        <v>328</v>
      </c>
      <c r="D561" s="512">
        <v>68808</v>
      </c>
      <c r="E561" s="507" t="s">
        <v>6108</v>
      </c>
    </row>
    <row r="562" spans="1:5" ht="15" x14ac:dyDescent="0.35">
      <c r="A562" s="509">
        <v>4089</v>
      </c>
      <c r="B562" s="510" t="s">
        <v>890</v>
      </c>
      <c r="C562" s="509" t="s">
        <v>328</v>
      </c>
      <c r="D562" s="512">
        <v>67175</v>
      </c>
      <c r="E562" s="507" t="s">
        <v>6108</v>
      </c>
    </row>
    <row r="563" spans="1:5" ht="15" x14ac:dyDescent="0.35">
      <c r="A563" s="509">
        <v>4090</v>
      </c>
      <c r="B563" s="510" t="s">
        <v>891</v>
      </c>
      <c r="C563" s="509" t="s">
        <v>328</v>
      </c>
      <c r="D563" s="512">
        <v>64693</v>
      </c>
      <c r="E563" s="507" t="s">
        <v>6108</v>
      </c>
    </row>
    <row r="564" spans="1:5" ht="15" x14ac:dyDescent="0.35">
      <c r="A564" s="509">
        <v>4091</v>
      </c>
      <c r="B564" s="510" t="s">
        <v>892</v>
      </c>
      <c r="C564" s="509" t="s">
        <v>32</v>
      </c>
      <c r="D564" s="512">
        <v>942840</v>
      </c>
      <c r="E564" s="507" t="s">
        <v>6108</v>
      </c>
    </row>
    <row r="565" spans="1:5" ht="15" x14ac:dyDescent="0.35">
      <c r="A565" s="509">
        <v>4102</v>
      </c>
      <c r="B565" s="510" t="s">
        <v>893</v>
      </c>
      <c r="C565" s="509" t="s">
        <v>328</v>
      </c>
      <c r="D565" s="512">
        <v>167107</v>
      </c>
      <c r="E565" s="507" t="s">
        <v>6108</v>
      </c>
    </row>
    <row r="566" spans="1:5" ht="15" x14ac:dyDescent="0.35">
      <c r="A566" s="509">
        <v>4103</v>
      </c>
      <c r="B566" s="510" t="s">
        <v>894</v>
      </c>
      <c r="C566" s="509" t="s">
        <v>328</v>
      </c>
      <c r="D566" s="512">
        <v>180857</v>
      </c>
      <c r="E566" s="507" t="s">
        <v>6108</v>
      </c>
    </row>
    <row r="567" spans="1:5" ht="15" x14ac:dyDescent="0.35">
      <c r="A567" s="509">
        <v>4104</v>
      </c>
      <c r="B567" s="510" t="s">
        <v>895</v>
      </c>
      <c r="C567" s="509" t="s">
        <v>32</v>
      </c>
      <c r="D567" s="512">
        <v>851529</v>
      </c>
      <c r="E567" s="507" t="s">
        <v>6108</v>
      </c>
    </row>
    <row r="568" spans="1:5" ht="15" x14ac:dyDescent="0.35">
      <c r="A568" s="509">
        <v>4105</v>
      </c>
      <c r="B568" s="510" t="s">
        <v>896</v>
      </c>
      <c r="C568" s="509" t="s">
        <v>32</v>
      </c>
      <c r="D568" s="512">
        <v>1295809</v>
      </c>
      <c r="E568" s="507" t="s">
        <v>6108</v>
      </c>
    </row>
    <row r="569" spans="1:5" ht="15" x14ac:dyDescent="0.35">
      <c r="A569" s="509">
        <v>4106</v>
      </c>
      <c r="B569" s="510" t="s">
        <v>897</v>
      </c>
      <c r="C569" s="509" t="s">
        <v>32</v>
      </c>
      <c r="D569" s="511">
        <v>1261074</v>
      </c>
      <c r="E569" s="507" t="s">
        <v>6108</v>
      </c>
    </row>
    <row r="570" spans="1:5" ht="15" x14ac:dyDescent="0.35">
      <c r="A570" s="509">
        <v>4107</v>
      </c>
      <c r="B570" s="510" t="s">
        <v>898</v>
      </c>
      <c r="C570" s="509" t="s">
        <v>32</v>
      </c>
      <c r="D570" s="511">
        <v>1784667</v>
      </c>
      <c r="E570" s="507" t="s">
        <v>6108</v>
      </c>
    </row>
    <row r="571" spans="1:5" ht="15" x14ac:dyDescent="0.35">
      <c r="A571" s="509">
        <v>4108</v>
      </c>
      <c r="B571" s="510" t="s">
        <v>899</v>
      </c>
      <c r="C571" s="509" t="s">
        <v>32</v>
      </c>
      <c r="D571" s="511">
        <v>1679532</v>
      </c>
      <c r="E571" s="507" t="s">
        <v>6108</v>
      </c>
    </row>
    <row r="572" spans="1:5" ht="15" x14ac:dyDescent="0.35">
      <c r="A572" s="509">
        <v>4110</v>
      </c>
      <c r="B572" s="510" t="s">
        <v>900</v>
      </c>
      <c r="C572" s="509" t="s">
        <v>32</v>
      </c>
      <c r="D572" s="511">
        <v>3178674</v>
      </c>
      <c r="E572" s="507" t="s">
        <v>6108</v>
      </c>
    </row>
    <row r="573" spans="1:5" ht="15" x14ac:dyDescent="0.35">
      <c r="A573" s="509">
        <v>4111</v>
      </c>
      <c r="B573" s="510" t="s">
        <v>901</v>
      </c>
      <c r="C573" s="509" t="s">
        <v>30</v>
      </c>
      <c r="D573" s="511">
        <v>631754</v>
      </c>
      <c r="E573" s="507" t="s">
        <v>6108</v>
      </c>
    </row>
    <row r="574" spans="1:5" ht="15" x14ac:dyDescent="0.35">
      <c r="A574" s="509">
        <v>4113</v>
      </c>
      <c r="B574" s="510" t="s">
        <v>902</v>
      </c>
      <c r="C574" s="509" t="s">
        <v>32</v>
      </c>
      <c r="D574" s="511">
        <v>511753</v>
      </c>
      <c r="E574" s="507" t="s">
        <v>331</v>
      </c>
    </row>
    <row r="575" spans="1:5" ht="15" x14ac:dyDescent="0.35">
      <c r="A575" s="509">
        <v>4114</v>
      </c>
      <c r="B575" s="510" t="s">
        <v>903</v>
      </c>
      <c r="C575" s="509" t="s">
        <v>32</v>
      </c>
      <c r="D575" s="511">
        <v>417067</v>
      </c>
      <c r="E575" s="507" t="s">
        <v>331</v>
      </c>
    </row>
    <row r="576" spans="1:5" ht="15" x14ac:dyDescent="0.35">
      <c r="A576" s="509">
        <v>4115</v>
      </c>
      <c r="B576" s="510" t="s">
        <v>904</v>
      </c>
      <c r="C576" s="509" t="s">
        <v>32</v>
      </c>
      <c r="D576" s="511">
        <v>453758</v>
      </c>
      <c r="E576" s="507" t="s">
        <v>331</v>
      </c>
    </row>
    <row r="577" spans="1:5" ht="15" x14ac:dyDescent="0.35">
      <c r="A577" s="509">
        <v>4116</v>
      </c>
      <c r="B577" s="510" t="s">
        <v>905</v>
      </c>
      <c r="C577" s="509" t="s">
        <v>32</v>
      </c>
      <c r="D577" s="512">
        <v>529506</v>
      </c>
      <c r="E577" s="507" t="s">
        <v>331</v>
      </c>
    </row>
    <row r="578" spans="1:5" ht="15" x14ac:dyDescent="0.35">
      <c r="A578" s="509">
        <v>4117</v>
      </c>
      <c r="B578" s="510" t="s">
        <v>906</v>
      </c>
      <c r="C578" s="509" t="s">
        <v>32</v>
      </c>
      <c r="D578" s="512">
        <v>567381</v>
      </c>
      <c r="E578" s="507" t="s">
        <v>331</v>
      </c>
    </row>
    <row r="579" spans="1:5" ht="15" x14ac:dyDescent="0.35">
      <c r="A579" s="509">
        <v>4118</v>
      </c>
      <c r="B579" s="510" t="s">
        <v>907</v>
      </c>
      <c r="C579" s="509" t="s">
        <v>32</v>
      </c>
      <c r="D579" s="512">
        <v>463227</v>
      </c>
      <c r="E579" s="507" t="s">
        <v>331</v>
      </c>
    </row>
    <row r="580" spans="1:5" ht="15" x14ac:dyDescent="0.35">
      <c r="A580" s="509">
        <v>4119</v>
      </c>
      <c r="B580" s="510" t="s">
        <v>908</v>
      </c>
      <c r="C580" s="509" t="s">
        <v>32</v>
      </c>
      <c r="D580" s="512">
        <v>548444</v>
      </c>
      <c r="E580" s="507" t="s">
        <v>331</v>
      </c>
    </row>
    <row r="581" spans="1:5" ht="15" x14ac:dyDescent="0.35">
      <c r="A581" s="509">
        <v>4120</v>
      </c>
      <c r="B581" s="510" t="s">
        <v>909</v>
      </c>
      <c r="C581" s="509" t="s">
        <v>32</v>
      </c>
      <c r="D581" s="512">
        <v>589868</v>
      </c>
      <c r="E581" s="507" t="s">
        <v>331</v>
      </c>
    </row>
    <row r="582" spans="1:5" ht="15" x14ac:dyDescent="0.35">
      <c r="A582" s="509">
        <v>4121</v>
      </c>
      <c r="B582" s="510" t="s">
        <v>910</v>
      </c>
      <c r="C582" s="509" t="s">
        <v>32</v>
      </c>
      <c r="D582" s="512">
        <v>441922</v>
      </c>
      <c r="E582" s="507" t="s">
        <v>331</v>
      </c>
    </row>
    <row r="583" spans="1:5" ht="15" x14ac:dyDescent="0.35">
      <c r="A583" s="509">
        <v>4122</v>
      </c>
      <c r="B583" s="510" t="s">
        <v>911</v>
      </c>
      <c r="C583" s="509" t="s">
        <v>32</v>
      </c>
      <c r="D583" s="512">
        <v>411149</v>
      </c>
      <c r="E583" s="507" t="s">
        <v>331</v>
      </c>
    </row>
    <row r="584" spans="1:5" ht="15" x14ac:dyDescent="0.35">
      <c r="A584" s="509">
        <v>4123</v>
      </c>
      <c r="B584" s="510" t="s">
        <v>912</v>
      </c>
      <c r="C584" s="509" t="s">
        <v>32</v>
      </c>
      <c r="D584" s="512">
        <v>431270</v>
      </c>
      <c r="E584" s="507" t="s">
        <v>6108</v>
      </c>
    </row>
    <row r="585" spans="1:5" ht="15" x14ac:dyDescent="0.35">
      <c r="A585" s="509">
        <v>4124</v>
      </c>
      <c r="B585" s="510" t="s">
        <v>913</v>
      </c>
      <c r="C585" s="509" t="s">
        <v>32</v>
      </c>
      <c r="D585" s="512">
        <v>492816</v>
      </c>
      <c r="E585" s="507" t="s">
        <v>6108</v>
      </c>
    </row>
    <row r="586" spans="1:5" ht="15" x14ac:dyDescent="0.35">
      <c r="A586" s="509">
        <v>4125</v>
      </c>
      <c r="B586" s="510" t="s">
        <v>914</v>
      </c>
      <c r="C586" s="509" t="s">
        <v>32</v>
      </c>
      <c r="D586" s="512">
        <v>366807</v>
      </c>
      <c r="E586" s="507" t="s">
        <v>6108</v>
      </c>
    </row>
    <row r="587" spans="1:5" ht="15" x14ac:dyDescent="0.35">
      <c r="A587" s="509">
        <v>4126</v>
      </c>
      <c r="B587" s="510" t="s">
        <v>915</v>
      </c>
      <c r="C587" s="509" t="s">
        <v>32</v>
      </c>
      <c r="D587" s="512">
        <v>329934</v>
      </c>
      <c r="E587" s="507" t="s">
        <v>6108</v>
      </c>
    </row>
    <row r="588" spans="1:5" ht="15" x14ac:dyDescent="0.35">
      <c r="A588" s="509">
        <v>4127</v>
      </c>
      <c r="B588" s="510" t="s">
        <v>916</v>
      </c>
      <c r="C588" s="509" t="s">
        <v>32</v>
      </c>
      <c r="D588" s="512">
        <v>483043</v>
      </c>
      <c r="E588" s="507" t="s">
        <v>6108</v>
      </c>
    </row>
    <row r="589" spans="1:5" ht="15" x14ac:dyDescent="0.35">
      <c r="A589" s="509">
        <v>4128</v>
      </c>
      <c r="B589" s="510" t="s">
        <v>917</v>
      </c>
      <c r="C589" s="509" t="s">
        <v>328</v>
      </c>
      <c r="D589" s="512">
        <v>122097</v>
      </c>
      <c r="E589" s="507" t="s">
        <v>6108</v>
      </c>
    </row>
    <row r="590" spans="1:5" ht="15" x14ac:dyDescent="0.35">
      <c r="A590" s="509">
        <v>4129</v>
      </c>
      <c r="B590" s="510" t="s">
        <v>918</v>
      </c>
      <c r="C590" s="509" t="s">
        <v>328</v>
      </c>
      <c r="D590" s="512">
        <v>247964</v>
      </c>
      <c r="E590" s="507" t="s">
        <v>6108</v>
      </c>
    </row>
    <row r="591" spans="1:5" ht="15" x14ac:dyDescent="0.35">
      <c r="A591" s="509">
        <v>4130</v>
      </c>
      <c r="B591" s="510" t="s">
        <v>919</v>
      </c>
      <c r="C591" s="509" t="s">
        <v>32</v>
      </c>
      <c r="D591" s="512">
        <v>863318</v>
      </c>
      <c r="E591" s="507" t="s">
        <v>6108</v>
      </c>
    </row>
    <row r="592" spans="1:5" ht="15" x14ac:dyDescent="0.35">
      <c r="A592" s="509">
        <v>4131</v>
      </c>
      <c r="B592" s="510" t="s">
        <v>920</v>
      </c>
      <c r="C592" s="509" t="s">
        <v>32</v>
      </c>
      <c r="D592" s="512">
        <v>1366905</v>
      </c>
      <c r="E592" s="507" t="s">
        <v>6108</v>
      </c>
    </row>
    <row r="593" spans="1:5" ht="15" x14ac:dyDescent="0.35">
      <c r="A593" s="509">
        <v>4132</v>
      </c>
      <c r="B593" s="510" t="s">
        <v>921</v>
      </c>
      <c r="C593" s="509" t="s">
        <v>32</v>
      </c>
      <c r="D593" s="511">
        <v>2163978</v>
      </c>
      <c r="E593" s="507" t="s">
        <v>6108</v>
      </c>
    </row>
    <row r="594" spans="1:5" ht="15" x14ac:dyDescent="0.35">
      <c r="A594" s="509">
        <v>4133</v>
      </c>
      <c r="B594" s="510" t="s">
        <v>922</v>
      </c>
      <c r="C594" s="509" t="s">
        <v>32</v>
      </c>
      <c r="D594" s="511">
        <v>3106065</v>
      </c>
      <c r="E594" s="507" t="s">
        <v>331</v>
      </c>
    </row>
    <row r="595" spans="1:5" ht="15" x14ac:dyDescent="0.35">
      <c r="A595" s="509">
        <v>4134</v>
      </c>
      <c r="B595" s="510" t="s">
        <v>923</v>
      </c>
      <c r="C595" s="509" t="s">
        <v>30</v>
      </c>
      <c r="D595" s="511">
        <v>669722</v>
      </c>
      <c r="E595" s="507" t="s">
        <v>331</v>
      </c>
    </row>
    <row r="596" spans="1:5" ht="15" x14ac:dyDescent="0.35">
      <c r="A596" s="509">
        <v>4135</v>
      </c>
      <c r="B596" s="510" t="s">
        <v>924</v>
      </c>
      <c r="C596" s="509" t="s">
        <v>30</v>
      </c>
      <c r="D596" s="511">
        <v>690994</v>
      </c>
      <c r="E596" s="507" t="s">
        <v>331</v>
      </c>
    </row>
    <row r="597" spans="1:5" ht="15" x14ac:dyDescent="0.35">
      <c r="A597" s="509">
        <v>4136</v>
      </c>
      <c r="B597" s="510" t="s">
        <v>925</v>
      </c>
      <c r="C597" s="509" t="s">
        <v>32</v>
      </c>
      <c r="D597" s="511">
        <v>7184</v>
      </c>
      <c r="E597" s="507" t="s">
        <v>331</v>
      </c>
    </row>
    <row r="598" spans="1:5" ht="15" x14ac:dyDescent="0.35">
      <c r="A598" s="509">
        <v>4137</v>
      </c>
      <c r="B598" s="510" t="s">
        <v>926</v>
      </c>
      <c r="C598" s="509" t="s">
        <v>21</v>
      </c>
      <c r="D598" s="511">
        <v>148011</v>
      </c>
      <c r="E598" s="507" t="s">
        <v>331</v>
      </c>
    </row>
    <row r="599" spans="1:5" ht="15" x14ac:dyDescent="0.35">
      <c r="A599" s="509">
        <v>4138</v>
      </c>
      <c r="B599" s="510" t="s">
        <v>927</v>
      </c>
      <c r="C599" s="509" t="s">
        <v>32</v>
      </c>
      <c r="D599" s="512">
        <v>198128</v>
      </c>
      <c r="E599" s="507" t="s">
        <v>6108</v>
      </c>
    </row>
    <row r="600" spans="1:5" ht="15" x14ac:dyDescent="0.35">
      <c r="A600" s="509">
        <v>4140</v>
      </c>
      <c r="B600" s="510" t="s">
        <v>928</v>
      </c>
      <c r="C600" s="509" t="s">
        <v>30</v>
      </c>
      <c r="D600" s="512">
        <v>210725</v>
      </c>
      <c r="E600" s="507" t="s">
        <v>6108</v>
      </c>
    </row>
    <row r="601" spans="1:5" ht="15" x14ac:dyDescent="0.35">
      <c r="A601" s="509">
        <v>4142</v>
      </c>
      <c r="B601" s="510" t="s">
        <v>929</v>
      </c>
      <c r="C601" s="509" t="s">
        <v>30</v>
      </c>
      <c r="D601" s="511">
        <v>189280</v>
      </c>
      <c r="E601" s="507" t="s">
        <v>6108</v>
      </c>
    </row>
    <row r="602" spans="1:5" ht="15" x14ac:dyDescent="0.35">
      <c r="A602" s="509">
        <v>4143</v>
      </c>
      <c r="B602" s="510" t="s">
        <v>930</v>
      </c>
      <c r="C602" s="509" t="s">
        <v>328</v>
      </c>
      <c r="D602" s="512">
        <v>46052</v>
      </c>
      <c r="E602" s="507" t="s">
        <v>6108</v>
      </c>
    </row>
    <row r="603" spans="1:5" ht="15" x14ac:dyDescent="0.35">
      <c r="A603" s="509">
        <v>4144</v>
      </c>
      <c r="B603" s="510" t="s">
        <v>931</v>
      </c>
      <c r="C603" s="509" t="s">
        <v>328</v>
      </c>
      <c r="D603" s="511">
        <v>93074</v>
      </c>
      <c r="E603" s="507" t="s">
        <v>6108</v>
      </c>
    </row>
    <row r="604" spans="1:5" ht="15" x14ac:dyDescent="0.35">
      <c r="A604" s="509">
        <v>4154</v>
      </c>
      <c r="B604" s="510" t="s">
        <v>932</v>
      </c>
      <c r="C604" s="509" t="s">
        <v>21</v>
      </c>
      <c r="D604" s="511">
        <v>995</v>
      </c>
      <c r="E604" s="507" t="s">
        <v>6108</v>
      </c>
    </row>
    <row r="605" spans="1:5" ht="15" x14ac:dyDescent="0.35">
      <c r="A605" s="509">
        <v>4155</v>
      </c>
      <c r="B605" s="510" t="s">
        <v>933</v>
      </c>
      <c r="C605" s="509" t="s">
        <v>30</v>
      </c>
      <c r="D605" s="511">
        <v>103508</v>
      </c>
      <c r="E605" s="507" t="s">
        <v>6108</v>
      </c>
    </row>
    <row r="606" spans="1:5" ht="15" x14ac:dyDescent="0.35">
      <c r="A606" s="509">
        <v>4156</v>
      </c>
      <c r="B606" s="510" t="s">
        <v>934</v>
      </c>
      <c r="C606" s="509" t="s">
        <v>30</v>
      </c>
      <c r="D606" s="511">
        <v>178985</v>
      </c>
      <c r="E606" s="507" t="s">
        <v>6108</v>
      </c>
    </row>
    <row r="607" spans="1:5" ht="15" x14ac:dyDescent="0.35">
      <c r="A607" s="509">
        <v>4157</v>
      </c>
      <c r="B607" s="510" t="s">
        <v>935</v>
      </c>
      <c r="C607" s="509" t="s">
        <v>30</v>
      </c>
      <c r="D607" s="511">
        <v>188177</v>
      </c>
      <c r="E607" s="507" t="s">
        <v>6108</v>
      </c>
    </row>
    <row r="608" spans="1:5" ht="15" x14ac:dyDescent="0.35">
      <c r="A608" s="509">
        <v>4158</v>
      </c>
      <c r="B608" s="510" t="s">
        <v>936</v>
      </c>
      <c r="C608" s="509" t="s">
        <v>30</v>
      </c>
      <c r="D608" s="512">
        <v>192246</v>
      </c>
      <c r="E608" s="507" t="s">
        <v>6108</v>
      </c>
    </row>
    <row r="609" spans="1:5" ht="15" x14ac:dyDescent="0.35">
      <c r="A609" s="509">
        <v>4159</v>
      </c>
      <c r="B609" s="510" t="s">
        <v>937</v>
      </c>
      <c r="C609" s="509" t="s">
        <v>30</v>
      </c>
      <c r="D609" s="512">
        <v>167380</v>
      </c>
      <c r="E609" s="507" t="s">
        <v>6108</v>
      </c>
    </row>
    <row r="610" spans="1:5" ht="15" x14ac:dyDescent="0.35">
      <c r="A610" s="509">
        <v>4160</v>
      </c>
      <c r="B610" s="510" t="s">
        <v>938</v>
      </c>
      <c r="C610" s="509" t="s">
        <v>30</v>
      </c>
      <c r="D610" s="511">
        <v>170474</v>
      </c>
      <c r="E610" s="507" t="s">
        <v>6108</v>
      </c>
    </row>
    <row r="611" spans="1:5" ht="15" x14ac:dyDescent="0.35">
      <c r="A611" s="509">
        <v>4161</v>
      </c>
      <c r="B611" s="510" t="s">
        <v>939</v>
      </c>
      <c r="C611" s="509" t="s">
        <v>30</v>
      </c>
      <c r="D611" s="512">
        <v>176197</v>
      </c>
      <c r="E611" s="507" t="s">
        <v>6108</v>
      </c>
    </row>
    <row r="612" spans="1:5" ht="15" x14ac:dyDescent="0.35">
      <c r="A612" s="509">
        <v>4195</v>
      </c>
      <c r="B612" s="510" t="s">
        <v>940</v>
      </c>
      <c r="C612" s="509" t="s">
        <v>21</v>
      </c>
      <c r="D612" s="511">
        <v>590</v>
      </c>
      <c r="E612" s="507" t="s">
        <v>331</v>
      </c>
    </row>
    <row r="613" spans="1:5" ht="15" x14ac:dyDescent="0.35">
      <c r="A613" s="509">
        <v>4197</v>
      </c>
      <c r="B613" s="510" t="s">
        <v>941</v>
      </c>
      <c r="C613" s="509" t="s">
        <v>21</v>
      </c>
      <c r="D613" s="511">
        <v>4670</v>
      </c>
      <c r="E613" s="507" t="s">
        <v>331</v>
      </c>
    </row>
    <row r="614" spans="1:5" ht="15" x14ac:dyDescent="0.35">
      <c r="A614" s="509">
        <v>4198</v>
      </c>
      <c r="B614" s="510" t="s">
        <v>942</v>
      </c>
      <c r="C614" s="509" t="s">
        <v>21</v>
      </c>
      <c r="D614" s="512">
        <v>4893</v>
      </c>
      <c r="E614" s="507" t="s">
        <v>331</v>
      </c>
    </row>
    <row r="615" spans="1:5" ht="15" x14ac:dyDescent="0.35">
      <c r="A615" s="509">
        <v>4200</v>
      </c>
      <c r="B615" s="510" t="s">
        <v>943</v>
      </c>
      <c r="C615" s="509" t="s">
        <v>30</v>
      </c>
      <c r="D615" s="511">
        <v>1154780</v>
      </c>
      <c r="E615" s="507" t="s">
        <v>331</v>
      </c>
    </row>
    <row r="616" spans="1:5" ht="15" x14ac:dyDescent="0.35">
      <c r="A616" s="509">
        <v>4203</v>
      </c>
      <c r="B616" s="510" t="s">
        <v>944</v>
      </c>
      <c r="C616" s="509" t="s">
        <v>30</v>
      </c>
      <c r="D616" s="512">
        <v>1371234</v>
      </c>
      <c r="E616" s="507" t="s">
        <v>6108</v>
      </c>
    </row>
    <row r="617" spans="1:5" ht="15" x14ac:dyDescent="0.35">
      <c r="A617" s="509">
        <v>4207</v>
      </c>
      <c r="B617" s="510" t="s">
        <v>945</v>
      </c>
      <c r="C617" s="509" t="s">
        <v>30</v>
      </c>
      <c r="D617" s="512">
        <v>1515548</v>
      </c>
      <c r="E617" s="507" t="s">
        <v>6108</v>
      </c>
    </row>
    <row r="618" spans="1:5" ht="15" x14ac:dyDescent="0.35">
      <c r="A618" s="509">
        <v>4229</v>
      </c>
      <c r="B618" s="510" t="s">
        <v>946</v>
      </c>
      <c r="C618" s="509" t="s">
        <v>30</v>
      </c>
      <c r="D618" s="512">
        <v>829987</v>
      </c>
      <c r="E618" s="507" t="s">
        <v>6108</v>
      </c>
    </row>
    <row r="619" spans="1:5" ht="15" x14ac:dyDescent="0.35">
      <c r="A619" s="509">
        <v>4230</v>
      </c>
      <c r="B619" s="510" t="s">
        <v>947</v>
      </c>
      <c r="C619" s="509" t="s">
        <v>30</v>
      </c>
      <c r="D619" s="512">
        <v>794803</v>
      </c>
      <c r="E619" s="507" t="s">
        <v>6108</v>
      </c>
    </row>
    <row r="620" spans="1:5" ht="15" x14ac:dyDescent="0.35">
      <c r="A620" s="509">
        <v>4232</v>
      </c>
      <c r="B620" s="510" t="s">
        <v>948</v>
      </c>
      <c r="C620" s="509" t="s">
        <v>670</v>
      </c>
      <c r="D620" s="512">
        <v>7517</v>
      </c>
      <c r="E620" s="507" t="s">
        <v>6108</v>
      </c>
    </row>
    <row r="621" spans="1:5" ht="15" x14ac:dyDescent="0.35">
      <c r="A621" s="509">
        <v>4233</v>
      </c>
      <c r="B621" s="510" t="s">
        <v>949</v>
      </c>
      <c r="C621" s="509" t="s">
        <v>670</v>
      </c>
      <c r="D621" s="512">
        <v>7517</v>
      </c>
      <c r="E621" s="507" t="s">
        <v>6109</v>
      </c>
    </row>
    <row r="622" spans="1:5" ht="15" x14ac:dyDescent="0.35">
      <c r="A622" s="509">
        <v>4234</v>
      </c>
      <c r="B622" s="510" t="s">
        <v>950</v>
      </c>
      <c r="C622" s="509" t="s">
        <v>670</v>
      </c>
      <c r="D622" s="511">
        <v>7517</v>
      </c>
      <c r="E622" s="507" t="s">
        <v>331</v>
      </c>
    </row>
    <row r="623" spans="1:5" ht="15" x14ac:dyDescent="0.35">
      <c r="A623" s="509">
        <v>4235</v>
      </c>
      <c r="B623" s="510" t="s">
        <v>951</v>
      </c>
      <c r="C623" s="509" t="s">
        <v>670</v>
      </c>
      <c r="D623" s="511">
        <v>7517</v>
      </c>
      <c r="E623" s="507" t="s">
        <v>331</v>
      </c>
    </row>
    <row r="624" spans="1:5" ht="15" x14ac:dyDescent="0.35">
      <c r="A624" s="509">
        <v>4236</v>
      </c>
      <c r="B624" s="510" t="s">
        <v>952</v>
      </c>
      <c r="C624" s="509" t="s">
        <v>670</v>
      </c>
      <c r="D624" s="512">
        <v>7517</v>
      </c>
      <c r="E624" s="507" t="s">
        <v>331</v>
      </c>
    </row>
    <row r="625" spans="1:5" ht="15" x14ac:dyDescent="0.35">
      <c r="A625" s="509">
        <v>4237</v>
      </c>
      <c r="B625" s="510" t="s">
        <v>953</v>
      </c>
      <c r="C625" s="509" t="s">
        <v>670</v>
      </c>
      <c r="D625" s="512">
        <v>7517</v>
      </c>
      <c r="E625" s="507" t="s">
        <v>331</v>
      </c>
    </row>
    <row r="626" spans="1:5" ht="15" x14ac:dyDescent="0.35">
      <c r="A626" s="509">
        <v>4238</v>
      </c>
      <c r="B626" s="510" t="s">
        <v>954</v>
      </c>
      <c r="C626" s="509" t="s">
        <v>670</v>
      </c>
      <c r="D626" s="512">
        <v>7517</v>
      </c>
      <c r="E626" s="507" t="s">
        <v>331</v>
      </c>
    </row>
    <row r="627" spans="1:5" ht="15" x14ac:dyDescent="0.35">
      <c r="A627" s="509">
        <v>4239</v>
      </c>
      <c r="B627" s="510" t="s">
        <v>955</v>
      </c>
      <c r="C627" s="509" t="s">
        <v>328</v>
      </c>
      <c r="D627" s="512">
        <v>7728</v>
      </c>
      <c r="E627" s="507" t="s">
        <v>6108</v>
      </c>
    </row>
    <row r="628" spans="1:5" ht="15" x14ac:dyDescent="0.35">
      <c r="A628" s="509">
        <v>4240</v>
      </c>
      <c r="B628" s="510" t="s">
        <v>956</v>
      </c>
      <c r="C628" s="509" t="s">
        <v>328</v>
      </c>
      <c r="D628" s="512">
        <v>18379</v>
      </c>
      <c r="E628" s="507" t="s">
        <v>6108</v>
      </c>
    </row>
    <row r="629" spans="1:5" ht="15" x14ac:dyDescent="0.35">
      <c r="A629" s="509">
        <v>4241</v>
      </c>
      <c r="B629" s="510" t="s">
        <v>957</v>
      </c>
      <c r="C629" s="509" t="s">
        <v>328</v>
      </c>
      <c r="D629" s="512">
        <v>18379</v>
      </c>
      <c r="E629" s="507" t="s">
        <v>6108</v>
      </c>
    </row>
    <row r="630" spans="1:5" ht="15" x14ac:dyDescent="0.35">
      <c r="A630" s="509">
        <v>4242</v>
      </c>
      <c r="B630" s="510" t="s">
        <v>958</v>
      </c>
      <c r="C630" s="509" t="s">
        <v>328</v>
      </c>
      <c r="D630" s="512">
        <v>22973</v>
      </c>
      <c r="E630" s="507" t="s">
        <v>6108</v>
      </c>
    </row>
    <row r="631" spans="1:5" ht="15" x14ac:dyDescent="0.35">
      <c r="A631" s="509">
        <v>4243</v>
      </c>
      <c r="B631" s="510" t="s">
        <v>959</v>
      </c>
      <c r="C631" s="509" t="s">
        <v>328</v>
      </c>
      <c r="D631" s="511">
        <v>22973</v>
      </c>
      <c r="E631" s="507" t="s">
        <v>6108</v>
      </c>
    </row>
    <row r="632" spans="1:5" ht="15" x14ac:dyDescent="0.35">
      <c r="A632" s="509">
        <v>4244</v>
      </c>
      <c r="B632" s="510" t="s">
        <v>960</v>
      </c>
      <c r="C632" s="509" t="s">
        <v>32</v>
      </c>
      <c r="D632" s="511">
        <v>231260</v>
      </c>
      <c r="E632" s="507" t="s">
        <v>6108</v>
      </c>
    </row>
    <row r="633" spans="1:5" ht="15" x14ac:dyDescent="0.35">
      <c r="A633" s="509">
        <v>4245</v>
      </c>
      <c r="B633" s="510" t="s">
        <v>961</v>
      </c>
      <c r="C633" s="509" t="s">
        <v>32</v>
      </c>
      <c r="D633" s="511">
        <v>333872</v>
      </c>
      <c r="E633" s="507" t="s">
        <v>6108</v>
      </c>
    </row>
    <row r="634" spans="1:5" ht="15" x14ac:dyDescent="0.35">
      <c r="A634" s="509">
        <v>4246</v>
      </c>
      <c r="B634" s="510" t="s">
        <v>962</v>
      </c>
      <c r="C634" s="509" t="s">
        <v>32</v>
      </c>
      <c r="D634" s="511">
        <v>183783</v>
      </c>
      <c r="E634" s="507" t="s">
        <v>6108</v>
      </c>
    </row>
    <row r="635" spans="1:5" ht="15" x14ac:dyDescent="0.35">
      <c r="A635" s="509">
        <v>4247</v>
      </c>
      <c r="B635" s="510" t="s">
        <v>963</v>
      </c>
      <c r="C635" s="509" t="s">
        <v>21</v>
      </c>
      <c r="D635" s="511">
        <v>153152</v>
      </c>
      <c r="E635" s="507" t="s">
        <v>331</v>
      </c>
    </row>
    <row r="636" spans="1:5" ht="15" x14ac:dyDescent="0.35">
      <c r="A636" s="509">
        <v>4248</v>
      </c>
      <c r="B636" s="510" t="s">
        <v>964</v>
      </c>
      <c r="C636" s="509" t="s">
        <v>21</v>
      </c>
      <c r="D636" s="511">
        <v>153152</v>
      </c>
      <c r="E636" s="507" t="s">
        <v>6108</v>
      </c>
    </row>
    <row r="637" spans="1:5" ht="15" x14ac:dyDescent="0.35">
      <c r="A637" s="509">
        <v>4249</v>
      </c>
      <c r="B637" s="510" t="s">
        <v>965</v>
      </c>
      <c r="C637" s="509" t="s">
        <v>328</v>
      </c>
      <c r="D637" s="511">
        <v>22973</v>
      </c>
      <c r="E637" s="507" t="s">
        <v>6108</v>
      </c>
    </row>
    <row r="638" spans="1:5" ht="15" x14ac:dyDescent="0.35">
      <c r="A638" s="509">
        <v>4252</v>
      </c>
      <c r="B638" s="510" t="s">
        <v>966</v>
      </c>
      <c r="C638" s="509" t="s">
        <v>32</v>
      </c>
      <c r="D638" s="511">
        <v>2200628</v>
      </c>
      <c r="E638" s="507" t="s">
        <v>6108</v>
      </c>
    </row>
    <row r="639" spans="1:5" ht="15" x14ac:dyDescent="0.35">
      <c r="A639" s="509">
        <v>4253</v>
      </c>
      <c r="B639" s="510" t="s">
        <v>967</v>
      </c>
      <c r="C639" s="509" t="s">
        <v>32</v>
      </c>
      <c r="D639" s="511">
        <v>926418</v>
      </c>
      <c r="E639" s="507" t="s">
        <v>331</v>
      </c>
    </row>
    <row r="640" spans="1:5" ht="15" x14ac:dyDescent="0.35">
      <c r="A640" s="509">
        <v>4261</v>
      </c>
      <c r="B640" s="510" t="s">
        <v>968</v>
      </c>
      <c r="C640" s="509" t="s">
        <v>30</v>
      </c>
      <c r="D640" s="511">
        <v>734471</v>
      </c>
      <c r="E640" s="507" t="s">
        <v>6108</v>
      </c>
    </row>
    <row r="641" spans="1:5" ht="15" x14ac:dyDescent="0.35">
      <c r="A641" s="509">
        <v>4262</v>
      </c>
      <c r="B641" s="510" t="s">
        <v>969</v>
      </c>
      <c r="C641" s="509" t="s">
        <v>30</v>
      </c>
      <c r="D641" s="511">
        <v>5870</v>
      </c>
      <c r="E641" s="507" t="s">
        <v>6108</v>
      </c>
    </row>
    <row r="642" spans="1:5" ht="15" x14ac:dyDescent="0.35">
      <c r="A642" s="509">
        <v>4264</v>
      </c>
      <c r="B642" s="510" t="s">
        <v>970</v>
      </c>
      <c r="C642" s="509" t="s">
        <v>328</v>
      </c>
      <c r="D642" s="511">
        <v>66624</v>
      </c>
      <c r="E642" s="507" t="s">
        <v>6108</v>
      </c>
    </row>
    <row r="643" spans="1:5" ht="15" x14ac:dyDescent="0.35">
      <c r="A643" s="509">
        <v>4265</v>
      </c>
      <c r="B643" s="510" t="s">
        <v>971</v>
      </c>
      <c r="C643" s="509" t="s">
        <v>328</v>
      </c>
      <c r="D643" s="511">
        <v>147307</v>
      </c>
      <c r="E643" s="507" t="s">
        <v>331</v>
      </c>
    </row>
    <row r="644" spans="1:5" ht="15" x14ac:dyDescent="0.35">
      <c r="A644" s="509">
        <v>4266</v>
      </c>
      <c r="B644" s="510" t="s">
        <v>972</v>
      </c>
      <c r="C644" s="509" t="s">
        <v>30</v>
      </c>
      <c r="D644" s="512">
        <v>72552</v>
      </c>
      <c r="E644" s="507" t="s">
        <v>331</v>
      </c>
    </row>
    <row r="645" spans="1:5" ht="15" x14ac:dyDescent="0.35">
      <c r="A645" s="509">
        <v>4273</v>
      </c>
      <c r="B645" s="510" t="s">
        <v>973</v>
      </c>
      <c r="C645" s="509" t="s">
        <v>692</v>
      </c>
      <c r="D645" s="512">
        <v>218626</v>
      </c>
      <c r="E645" s="507" t="s">
        <v>6108</v>
      </c>
    </row>
    <row r="646" spans="1:5" ht="15" x14ac:dyDescent="0.35">
      <c r="A646" s="509">
        <v>4274</v>
      </c>
      <c r="B646" s="510" t="s">
        <v>974</v>
      </c>
      <c r="C646" s="509" t="s">
        <v>692</v>
      </c>
      <c r="D646" s="512">
        <v>316040</v>
      </c>
      <c r="E646" s="507" t="s">
        <v>6108</v>
      </c>
    </row>
    <row r="647" spans="1:5" ht="15" x14ac:dyDescent="0.35">
      <c r="A647" s="509">
        <v>4275</v>
      </c>
      <c r="B647" s="510" t="s">
        <v>975</v>
      </c>
      <c r="C647" s="509" t="s">
        <v>692</v>
      </c>
      <c r="D647" s="512">
        <v>236676</v>
      </c>
      <c r="E647" s="507" t="s">
        <v>6108</v>
      </c>
    </row>
    <row r="648" spans="1:5" ht="15" x14ac:dyDescent="0.35">
      <c r="A648" s="509">
        <v>4276</v>
      </c>
      <c r="B648" s="510" t="s">
        <v>976</v>
      </c>
      <c r="C648" s="509" t="s">
        <v>692</v>
      </c>
      <c r="D648" s="512">
        <v>334090</v>
      </c>
      <c r="E648" s="507" t="s">
        <v>6108</v>
      </c>
    </row>
    <row r="649" spans="1:5" ht="15" x14ac:dyDescent="0.35">
      <c r="A649" s="509">
        <v>4277</v>
      </c>
      <c r="B649" s="510" t="s">
        <v>977</v>
      </c>
      <c r="C649" s="509" t="s">
        <v>692</v>
      </c>
      <c r="D649" s="512">
        <v>236676</v>
      </c>
      <c r="E649" s="507" t="s">
        <v>6108</v>
      </c>
    </row>
    <row r="650" spans="1:5" ht="15" x14ac:dyDescent="0.35">
      <c r="A650" s="509">
        <v>4278</v>
      </c>
      <c r="B650" s="510" t="s">
        <v>978</v>
      </c>
      <c r="C650" s="509" t="s">
        <v>979</v>
      </c>
      <c r="D650" s="512">
        <v>29813</v>
      </c>
      <c r="E650" s="507" t="s">
        <v>331</v>
      </c>
    </row>
    <row r="651" spans="1:5" ht="15" x14ac:dyDescent="0.35">
      <c r="A651" s="509">
        <v>4279</v>
      </c>
      <c r="B651" s="510" t="s">
        <v>980</v>
      </c>
      <c r="C651" s="509" t="s">
        <v>979</v>
      </c>
      <c r="D651" s="512">
        <v>43097</v>
      </c>
      <c r="E651" s="507" t="s">
        <v>331</v>
      </c>
    </row>
    <row r="652" spans="1:5" ht="15" x14ac:dyDescent="0.35">
      <c r="A652" s="509">
        <v>4280</v>
      </c>
      <c r="B652" s="510" t="s">
        <v>981</v>
      </c>
      <c r="C652" s="509" t="s">
        <v>979</v>
      </c>
      <c r="D652" s="512">
        <v>32274</v>
      </c>
      <c r="E652" s="507" t="s">
        <v>6108</v>
      </c>
    </row>
    <row r="653" spans="1:5" ht="15" x14ac:dyDescent="0.35">
      <c r="A653" s="509">
        <v>4281</v>
      </c>
      <c r="B653" s="510" t="s">
        <v>982</v>
      </c>
      <c r="C653" s="509" t="s">
        <v>979</v>
      </c>
      <c r="D653" s="512">
        <v>45558</v>
      </c>
      <c r="E653" s="507" t="s">
        <v>6108</v>
      </c>
    </row>
    <row r="654" spans="1:5" ht="15" x14ac:dyDescent="0.35">
      <c r="A654" s="509">
        <v>4282</v>
      </c>
      <c r="B654" s="510" t="s">
        <v>983</v>
      </c>
      <c r="C654" s="509" t="s">
        <v>979</v>
      </c>
      <c r="D654" s="512">
        <v>32274</v>
      </c>
      <c r="E654" s="507" t="s">
        <v>6108</v>
      </c>
    </row>
    <row r="655" spans="1:5" ht="15" x14ac:dyDescent="0.35">
      <c r="A655" s="509">
        <v>4283</v>
      </c>
      <c r="B655" s="510" t="s">
        <v>984</v>
      </c>
      <c r="C655" s="509" t="s">
        <v>692</v>
      </c>
      <c r="D655" s="512">
        <v>334090</v>
      </c>
      <c r="E655" s="507" t="s">
        <v>6108</v>
      </c>
    </row>
    <row r="656" spans="1:5" ht="15" x14ac:dyDescent="0.35">
      <c r="A656" s="509">
        <v>4284</v>
      </c>
      <c r="B656" s="510" t="s">
        <v>985</v>
      </c>
      <c r="C656" s="509" t="s">
        <v>979</v>
      </c>
      <c r="D656" s="512">
        <v>69661</v>
      </c>
      <c r="E656" s="507" t="s">
        <v>6108</v>
      </c>
    </row>
    <row r="657" spans="1:5" ht="15" x14ac:dyDescent="0.35">
      <c r="A657" s="509">
        <v>4285</v>
      </c>
      <c r="B657" s="510" t="s">
        <v>986</v>
      </c>
      <c r="C657" s="509" t="s">
        <v>692</v>
      </c>
      <c r="D657" s="512">
        <v>510868</v>
      </c>
      <c r="E657" s="507" t="s">
        <v>6108</v>
      </c>
    </row>
    <row r="658" spans="1:5" ht="15" x14ac:dyDescent="0.35">
      <c r="A658" s="509">
        <v>4286</v>
      </c>
      <c r="B658" s="510" t="s">
        <v>987</v>
      </c>
      <c r="C658" s="509" t="s">
        <v>692</v>
      </c>
      <c r="D658" s="512">
        <v>948117</v>
      </c>
      <c r="E658" s="507" t="s">
        <v>6108</v>
      </c>
    </row>
    <row r="659" spans="1:5" ht="15" x14ac:dyDescent="0.35">
      <c r="A659" s="509">
        <v>4287</v>
      </c>
      <c r="B659" s="510" t="s">
        <v>988</v>
      </c>
      <c r="C659" s="509" t="s">
        <v>979</v>
      </c>
      <c r="D659" s="512">
        <v>56381</v>
      </c>
      <c r="E659" s="507" t="s">
        <v>6108</v>
      </c>
    </row>
    <row r="660" spans="1:5" ht="15" x14ac:dyDescent="0.35">
      <c r="A660" s="509">
        <v>4288</v>
      </c>
      <c r="B660" s="510" t="s">
        <v>989</v>
      </c>
      <c r="C660" s="509" t="s">
        <v>692</v>
      </c>
      <c r="D660" s="512">
        <v>413454</v>
      </c>
      <c r="E660" s="507" t="s">
        <v>6108</v>
      </c>
    </row>
    <row r="661" spans="1:5" ht="15" x14ac:dyDescent="0.35">
      <c r="A661" s="509">
        <v>4289</v>
      </c>
      <c r="B661" s="510" t="s">
        <v>990</v>
      </c>
      <c r="C661" s="509" t="s">
        <v>21</v>
      </c>
      <c r="D661" s="512">
        <v>35400</v>
      </c>
      <c r="E661" s="507" t="s">
        <v>6108</v>
      </c>
    </row>
    <row r="662" spans="1:5" ht="15" x14ac:dyDescent="0.35">
      <c r="A662" s="509">
        <v>4290</v>
      </c>
      <c r="B662" s="510" t="s">
        <v>991</v>
      </c>
      <c r="C662" s="509" t="s">
        <v>21</v>
      </c>
      <c r="D662" s="512">
        <v>50157</v>
      </c>
      <c r="E662" s="507" t="s">
        <v>6108</v>
      </c>
    </row>
    <row r="663" spans="1:5" ht="15" x14ac:dyDescent="0.35">
      <c r="A663" s="509">
        <v>4305</v>
      </c>
      <c r="B663" s="510" t="s">
        <v>992</v>
      </c>
      <c r="C663" s="509" t="s">
        <v>32</v>
      </c>
      <c r="D663" s="512">
        <v>461352</v>
      </c>
      <c r="E663" s="507" t="s">
        <v>6108</v>
      </c>
    </row>
    <row r="664" spans="1:5" ht="15" x14ac:dyDescent="0.35">
      <c r="A664" s="509">
        <v>4306</v>
      </c>
      <c r="B664" s="510" t="s">
        <v>993</v>
      </c>
      <c r="C664" s="509" t="s">
        <v>32</v>
      </c>
      <c r="D664" s="512">
        <v>1062339</v>
      </c>
      <c r="E664" s="507" t="s">
        <v>6108</v>
      </c>
    </row>
    <row r="665" spans="1:5" ht="15" x14ac:dyDescent="0.35">
      <c r="A665" s="509">
        <v>4307</v>
      </c>
      <c r="B665" s="510" t="s">
        <v>994</v>
      </c>
      <c r="C665" s="509" t="s">
        <v>32</v>
      </c>
      <c r="D665" s="512">
        <v>651887</v>
      </c>
      <c r="E665" s="507" t="s">
        <v>6108</v>
      </c>
    </row>
    <row r="666" spans="1:5" ht="15" x14ac:dyDescent="0.35">
      <c r="A666" s="509">
        <v>4308</v>
      </c>
      <c r="B666" s="510" t="s">
        <v>995</v>
      </c>
      <c r="C666" s="509" t="s">
        <v>32</v>
      </c>
      <c r="D666" s="512">
        <v>5960547</v>
      </c>
      <c r="E666" s="507" t="s">
        <v>6108</v>
      </c>
    </row>
    <row r="667" spans="1:5" ht="15" x14ac:dyDescent="0.35">
      <c r="A667" s="509">
        <v>4309</v>
      </c>
      <c r="B667" s="510" t="s">
        <v>996</v>
      </c>
      <c r="C667" s="509" t="s">
        <v>32</v>
      </c>
      <c r="D667" s="512">
        <v>5960547</v>
      </c>
      <c r="E667" s="507" t="s">
        <v>6108</v>
      </c>
    </row>
    <row r="668" spans="1:5" ht="15" x14ac:dyDescent="0.35">
      <c r="A668" s="509">
        <v>4310</v>
      </c>
      <c r="B668" s="510" t="s">
        <v>997</v>
      </c>
      <c r="C668" s="509" t="s">
        <v>32</v>
      </c>
      <c r="D668" s="512">
        <v>6478454</v>
      </c>
      <c r="E668" s="507" t="s">
        <v>6108</v>
      </c>
    </row>
    <row r="669" spans="1:5" ht="15" x14ac:dyDescent="0.35">
      <c r="A669" s="509">
        <v>4311</v>
      </c>
      <c r="B669" s="510" t="s">
        <v>998</v>
      </c>
      <c r="C669" s="509" t="s">
        <v>32</v>
      </c>
      <c r="D669" s="512">
        <v>5957127</v>
      </c>
      <c r="E669" s="507" t="s">
        <v>6108</v>
      </c>
    </row>
    <row r="670" spans="1:5" ht="15" x14ac:dyDescent="0.35">
      <c r="A670" s="509">
        <v>4312</v>
      </c>
      <c r="B670" s="510" t="s">
        <v>999</v>
      </c>
      <c r="C670" s="509" t="s">
        <v>32</v>
      </c>
      <c r="D670" s="512">
        <v>5957127</v>
      </c>
      <c r="E670" s="507" t="s">
        <v>6108</v>
      </c>
    </row>
    <row r="671" spans="1:5" ht="15" x14ac:dyDescent="0.35">
      <c r="A671" s="509">
        <v>4313</v>
      </c>
      <c r="B671" s="510" t="s">
        <v>1000</v>
      </c>
      <c r="C671" s="509" t="s">
        <v>32</v>
      </c>
      <c r="D671" s="512">
        <v>5953707</v>
      </c>
      <c r="E671" s="507" t="s">
        <v>6108</v>
      </c>
    </row>
    <row r="672" spans="1:5" ht="15" x14ac:dyDescent="0.35">
      <c r="A672" s="509">
        <v>4314</v>
      </c>
      <c r="B672" s="510" t="s">
        <v>1001</v>
      </c>
      <c r="C672" s="509" t="s">
        <v>32</v>
      </c>
      <c r="D672" s="512">
        <v>5425759</v>
      </c>
      <c r="E672" s="507" t="s">
        <v>6108</v>
      </c>
    </row>
    <row r="673" spans="1:5" ht="15" x14ac:dyDescent="0.35">
      <c r="A673" s="509">
        <v>4315</v>
      </c>
      <c r="B673" s="510" t="s">
        <v>1002</v>
      </c>
      <c r="C673" s="509" t="s">
        <v>32</v>
      </c>
      <c r="D673" s="512">
        <v>5425759</v>
      </c>
      <c r="E673" s="507" t="s">
        <v>6108</v>
      </c>
    </row>
    <row r="674" spans="1:5" ht="15" x14ac:dyDescent="0.35">
      <c r="A674" s="509">
        <v>4316</v>
      </c>
      <c r="B674" s="510" t="s">
        <v>1003</v>
      </c>
      <c r="C674" s="509" t="s">
        <v>32</v>
      </c>
      <c r="D674" s="512">
        <v>5983216</v>
      </c>
      <c r="E674" s="507" t="s">
        <v>6108</v>
      </c>
    </row>
    <row r="675" spans="1:5" ht="15" x14ac:dyDescent="0.35">
      <c r="A675" s="509">
        <v>4317</v>
      </c>
      <c r="B675" s="510" t="s">
        <v>1004</v>
      </c>
      <c r="C675" s="509" t="s">
        <v>32</v>
      </c>
      <c r="D675" s="511">
        <v>5410425</v>
      </c>
      <c r="E675" s="507" t="s">
        <v>6108</v>
      </c>
    </row>
    <row r="676" spans="1:5" ht="15" x14ac:dyDescent="0.35">
      <c r="A676" s="509">
        <v>4318</v>
      </c>
      <c r="B676" s="510" t="s">
        <v>1005</v>
      </c>
      <c r="C676" s="509" t="s">
        <v>32</v>
      </c>
      <c r="D676" s="511">
        <v>5410425</v>
      </c>
      <c r="E676" s="507" t="s">
        <v>6108</v>
      </c>
    </row>
    <row r="677" spans="1:5" ht="15" x14ac:dyDescent="0.35">
      <c r="A677" s="509">
        <v>4319</v>
      </c>
      <c r="B677" s="510" t="s">
        <v>1006</v>
      </c>
      <c r="C677" s="509" t="s">
        <v>32</v>
      </c>
      <c r="D677" s="511">
        <v>5405494</v>
      </c>
      <c r="E677" s="507" t="s">
        <v>6108</v>
      </c>
    </row>
    <row r="678" spans="1:5" ht="15" x14ac:dyDescent="0.35">
      <c r="A678" s="509">
        <v>4320</v>
      </c>
      <c r="B678" s="510" t="s">
        <v>1007</v>
      </c>
      <c r="C678" s="509" t="s">
        <v>32</v>
      </c>
      <c r="D678" s="511">
        <v>4573182</v>
      </c>
      <c r="E678" s="507" t="s">
        <v>6108</v>
      </c>
    </row>
    <row r="679" spans="1:5" ht="15" x14ac:dyDescent="0.35">
      <c r="A679" s="509">
        <v>4321</v>
      </c>
      <c r="B679" s="510" t="s">
        <v>1008</v>
      </c>
      <c r="C679" s="509" t="s">
        <v>32</v>
      </c>
      <c r="D679" s="511">
        <v>4573182</v>
      </c>
      <c r="E679" s="507" t="s">
        <v>6108</v>
      </c>
    </row>
    <row r="680" spans="1:5" ht="15" x14ac:dyDescent="0.35">
      <c r="A680" s="509">
        <v>4322</v>
      </c>
      <c r="B680" s="510" t="s">
        <v>1009</v>
      </c>
      <c r="C680" s="509" t="s">
        <v>32</v>
      </c>
      <c r="D680" s="511">
        <v>4573182</v>
      </c>
      <c r="E680" s="507" t="s">
        <v>6108</v>
      </c>
    </row>
    <row r="681" spans="1:5" ht="15" x14ac:dyDescent="0.35">
      <c r="A681" s="509">
        <v>4323</v>
      </c>
      <c r="B681" s="510" t="s">
        <v>1010</v>
      </c>
      <c r="C681" s="509" t="s">
        <v>32</v>
      </c>
      <c r="D681" s="511">
        <v>4552110</v>
      </c>
      <c r="E681" s="507" t="s">
        <v>6108</v>
      </c>
    </row>
    <row r="682" spans="1:5" ht="15" x14ac:dyDescent="0.35">
      <c r="A682" s="509">
        <v>4324</v>
      </c>
      <c r="B682" s="510" t="s">
        <v>1011</v>
      </c>
      <c r="C682" s="509" t="s">
        <v>32</v>
      </c>
      <c r="D682" s="511">
        <v>4552110</v>
      </c>
      <c r="E682" s="507" t="s">
        <v>6108</v>
      </c>
    </row>
    <row r="683" spans="1:5" ht="15" x14ac:dyDescent="0.35">
      <c r="A683" s="509">
        <v>4325</v>
      </c>
      <c r="B683" s="510" t="s">
        <v>1012</v>
      </c>
      <c r="C683" s="509" t="s">
        <v>32</v>
      </c>
      <c r="D683" s="511">
        <v>4547179</v>
      </c>
      <c r="E683" s="507" t="s">
        <v>6108</v>
      </c>
    </row>
    <row r="684" spans="1:5" ht="15" x14ac:dyDescent="0.35">
      <c r="A684" s="509">
        <v>4326</v>
      </c>
      <c r="B684" s="510" t="s">
        <v>1013</v>
      </c>
      <c r="C684" s="509" t="s">
        <v>32</v>
      </c>
      <c r="D684" s="511">
        <v>7550669</v>
      </c>
      <c r="E684" s="507" t="s">
        <v>6108</v>
      </c>
    </row>
    <row r="685" spans="1:5" ht="15" x14ac:dyDescent="0.35">
      <c r="A685" s="509">
        <v>4327</v>
      </c>
      <c r="B685" s="510" t="s">
        <v>1014</v>
      </c>
      <c r="C685" s="509" t="s">
        <v>32</v>
      </c>
      <c r="D685" s="511">
        <v>7499226</v>
      </c>
      <c r="E685" s="507" t="s">
        <v>6108</v>
      </c>
    </row>
    <row r="686" spans="1:5" ht="15" x14ac:dyDescent="0.35">
      <c r="A686" s="509">
        <v>4328</v>
      </c>
      <c r="B686" s="510" t="s">
        <v>1015</v>
      </c>
      <c r="C686" s="509" t="s">
        <v>32</v>
      </c>
      <c r="D686" s="511">
        <v>4171182</v>
      </c>
      <c r="E686" s="507" t="s">
        <v>6108</v>
      </c>
    </row>
    <row r="687" spans="1:5" ht="15" x14ac:dyDescent="0.35">
      <c r="A687" s="509">
        <v>4329</v>
      </c>
      <c r="B687" s="510" t="s">
        <v>1016</v>
      </c>
      <c r="C687" s="509" t="s">
        <v>32</v>
      </c>
      <c r="D687" s="511">
        <v>872058</v>
      </c>
      <c r="E687" s="507" t="s">
        <v>6108</v>
      </c>
    </row>
    <row r="688" spans="1:5" ht="15" x14ac:dyDescent="0.35">
      <c r="A688" s="509">
        <v>4330</v>
      </c>
      <c r="B688" s="510" t="s">
        <v>1017</v>
      </c>
      <c r="C688" s="509" t="s">
        <v>32</v>
      </c>
      <c r="D688" s="511">
        <v>1134109</v>
      </c>
      <c r="E688" s="507" t="s">
        <v>6108</v>
      </c>
    </row>
    <row r="689" spans="1:5" ht="15" x14ac:dyDescent="0.35">
      <c r="A689" s="509">
        <v>4331</v>
      </c>
      <c r="B689" s="510" t="s">
        <v>1018</v>
      </c>
      <c r="C689" s="509" t="s">
        <v>32</v>
      </c>
      <c r="D689" s="511">
        <v>1179527</v>
      </c>
      <c r="E689" s="507" t="s">
        <v>6108</v>
      </c>
    </row>
    <row r="690" spans="1:5" ht="15" x14ac:dyDescent="0.35">
      <c r="A690" s="509">
        <v>4332</v>
      </c>
      <c r="B690" s="510" t="s">
        <v>1019</v>
      </c>
      <c r="C690" s="509" t="s">
        <v>32</v>
      </c>
      <c r="D690" s="511">
        <v>3949943</v>
      </c>
      <c r="E690" s="507" t="s">
        <v>6108</v>
      </c>
    </row>
    <row r="691" spans="1:5" ht="15" x14ac:dyDescent="0.35">
      <c r="A691" s="509">
        <v>4333</v>
      </c>
      <c r="B691" s="510" t="s">
        <v>1020</v>
      </c>
      <c r="C691" s="509" t="s">
        <v>32</v>
      </c>
      <c r="D691" s="511">
        <v>3931283</v>
      </c>
      <c r="E691" s="507" t="s">
        <v>6108</v>
      </c>
    </row>
    <row r="692" spans="1:5" ht="15" x14ac:dyDescent="0.35">
      <c r="A692" s="509">
        <v>4334</v>
      </c>
      <c r="B692" s="510" t="s">
        <v>1021</v>
      </c>
      <c r="C692" s="509" t="s">
        <v>32</v>
      </c>
      <c r="D692" s="511">
        <v>3951188</v>
      </c>
      <c r="E692" s="507" t="s">
        <v>6108</v>
      </c>
    </row>
    <row r="693" spans="1:5" ht="15" x14ac:dyDescent="0.35">
      <c r="A693" s="509">
        <v>4335</v>
      </c>
      <c r="B693" s="510" t="s">
        <v>1022</v>
      </c>
      <c r="C693" s="509" t="s">
        <v>32</v>
      </c>
      <c r="D693" s="511">
        <v>3938903</v>
      </c>
      <c r="E693" s="507" t="s">
        <v>6108</v>
      </c>
    </row>
    <row r="694" spans="1:5" ht="15" x14ac:dyDescent="0.35">
      <c r="A694" s="509">
        <v>4336</v>
      </c>
      <c r="B694" s="510" t="s">
        <v>1023</v>
      </c>
      <c r="C694" s="509" t="s">
        <v>32</v>
      </c>
      <c r="D694" s="511">
        <v>2531999</v>
      </c>
      <c r="E694" s="507" t="s">
        <v>6108</v>
      </c>
    </row>
    <row r="695" spans="1:5" ht="15" x14ac:dyDescent="0.35">
      <c r="A695" s="509">
        <v>4337</v>
      </c>
      <c r="B695" s="510" t="s">
        <v>1024</v>
      </c>
      <c r="C695" s="509" t="s">
        <v>32</v>
      </c>
      <c r="D695" s="511">
        <v>461618</v>
      </c>
      <c r="E695" s="507" t="s">
        <v>6108</v>
      </c>
    </row>
    <row r="696" spans="1:5" ht="15" x14ac:dyDescent="0.35">
      <c r="A696" s="509">
        <v>4338</v>
      </c>
      <c r="B696" s="510" t="s">
        <v>1025</v>
      </c>
      <c r="C696" s="509" t="s">
        <v>32</v>
      </c>
      <c r="D696" s="511">
        <v>3931283</v>
      </c>
      <c r="E696" s="507" t="s">
        <v>6108</v>
      </c>
    </row>
    <row r="697" spans="1:5" ht="15" x14ac:dyDescent="0.35">
      <c r="A697" s="509">
        <v>4340</v>
      </c>
      <c r="B697" s="510" t="s">
        <v>1026</v>
      </c>
      <c r="C697" s="509" t="s">
        <v>328</v>
      </c>
      <c r="D697" s="511">
        <v>4819</v>
      </c>
      <c r="E697" s="507" t="s">
        <v>6108</v>
      </c>
    </row>
    <row r="698" spans="1:5" ht="15" x14ac:dyDescent="0.35">
      <c r="A698" s="509">
        <v>4341</v>
      </c>
      <c r="B698" s="510" t="s">
        <v>1027</v>
      </c>
      <c r="C698" s="509" t="s">
        <v>328</v>
      </c>
      <c r="D698" s="511">
        <v>263751</v>
      </c>
      <c r="E698" s="507" t="s">
        <v>6108</v>
      </c>
    </row>
    <row r="699" spans="1:5" ht="15" x14ac:dyDescent="0.35">
      <c r="A699" s="509">
        <v>4342</v>
      </c>
      <c r="B699" s="510" t="s">
        <v>1028</v>
      </c>
      <c r="C699" s="509" t="s">
        <v>328</v>
      </c>
      <c r="D699" s="511">
        <v>350900</v>
      </c>
      <c r="E699" s="507" t="s">
        <v>6108</v>
      </c>
    </row>
    <row r="700" spans="1:5" ht="15" x14ac:dyDescent="0.35">
      <c r="A700" s="509">
        <v>4343</v>
      </c>
      <c r="B700" s="510" t="s">
        <v>1029</v>
      </c>
      <c r="C700" s="509" t="s">
        <v>328</v>
      </c>
      <c r="D700" s="511">
        <v>575638</v>
      </c>
      <c r="E700" s="507" t="s">
        <v>331</v>
      </c>
    </row>
    <row r="701" spans="1:5" ht="15" x14ac:dyDescent="0.35">
      <c r="A701" s="509">
        <v>4344</v>
      </c>
      <c r="B701" s="510" t="s">
        <v>1030</v>
      </c>
      <c r="C701" s="509" t="s">
        <v>328</v>
      </c>
      <c r="D701" s="511">
        <v>644910</v>
      </c>
      <c r="E701" s="507" t="s">
        <v>6108</v>
      </c>
    </row>
    <row r="702" spans="1:5" ht="15" x14ac:dyDescent="0.35">
      <c r="A702" s="509">
        <v>4345</v>
      </c>
      <c r="B702" s="510" t="s">
        <v>1031</v>
      </c>
      <c r="C702" s="509" t="s">
        <v>328</v>
      </c>
      <c r="D702" s="511">
        <v>672194</v>
      </c>
      <c r="E702" s="507" t="s">
        <v>6108</v>
      </c>
    </row>
    <row r="703" spans="1:5" ht="15" x14ac:dyDescent="0.35">
      <c r="A703" s="509">
        <v>4346</v>
      </c>
      <c r="B703" s="510" t="s">
        <v>1032</v>
      </c>
      <c r="C703" s="509" t="s">
        <v>328</v>
      </c>
      <c r="D703" s="511">
        <v>914142</v>
      </c>
      <c r="E703" s="507" t="s">
        <v>6108</v>
      </c>
    </row>
    <row r="704" spans="1:5" ht="15" x14ac:dyDescent="0.35">
      <c r="A704" s="509">
        <v>4347</v>
      </c>
      <c r="B704" s="510" t="s">
        <v>1033</v>
      </c>
      <c r="C704" s="509" t="s">
        <v>328</v>
      </c>
      <c r="D704" s="511">
        <v>1194619</v>
      </c>
      <c r="E704" s="507" t="s">
        <v>331</v>
      </c>
    </row>
    <row r="705" spans="1:5" ht="15" x14ac:dyDescent="0.35">
      <c r="A705" s="509">
        <v>4348</v>
      </c>
      <c r="B705" s="510" t="s">
        <v>1034</v>
      </c>
      <c r="C705" s="509" t="s">
        <v>328</v>
      </c>
      <c r="D705" s="511">
        <v>1265587</v>
      </c>
      <c r="E705" s="507" t="s">
        <v>6108</v>
      </c>
    </row>
    <row r="706" spans="1:5" ht="15" x14ac:dyDescent="0.35">
      <c r="A706" s="509">
        <v>4349</v>
      </c>
      <c r="B706" s="510" t="s">
        <v>1035</v>
      </c>
      <c r="C706" s="509" t="s">
        <v>328</v>
      </c>
      <c r="D706" s="512">
        <v>1489333</v>
      </c>
      <c r="E706" s="507" t="s">
        <v>6108</v>
      </c>
    </row>
    <row r="707" spans="1:5" ht="15" x14ac:dyDescent="0.35">
      <c r="A707" s="509">
        <v>4350</v>
      </c>
      <c r="B707" s="510" t="s">
        <v>1036</v>
      </c>
      <c r="C707" s="509" t="s">
        <v>328</v>
      </c>
      <c r="D707" s="511">
        <v>2120778</v>
      </c>
      <c r="E707" s="507" t="s">
        <v>6108</v>
      </c>
    </row>
    <row r="708" spans="1:5" ht="15" x14ac:dyDescent="0.35">
      <c r="A708" s="509">
        <v>4351</v>
      </c>
      <c r="B708" s="510" t="s">
        <v>1037</v>
      </c>
      <c r="C708" s="509" t="s">
        <v>328</v>
      </c>
      <c r="D708" s="511">
        <v>373336</v>
      </c>
      <c r="E708" s="507" t="s">
        <v>6108</v>
      </c>
    </row>
    <row r="709" spans="1:5" ht="15" x14ac:dyDescent="0.35">
      <c r="A709" s="509">
        <v>4352</v>
      </c>
      <c r="B709" s="510" t="s">
        <v>1038</v>
      </c>
      <c r="C709" s="509" t="s">
        <v>328</v>
      </c>
      <c r="D709" s="511">
        <v>401170</v>
      </c>
      <c r="E709" s="507" t="s">
        <v>6108</v>
      </c>
    </row>
    <row r="710" spans="1:5" ht="15" x14ac:dyDescent="0.35">
      <c r="A710" s="509">
        <v>4353</v>
      </c>
      <c r="B710" s="510" t="s">
        <v>1039</v>
      </c>
      <c r="C710" s="509" t="s">
        <v>328</v>
      </c>
      <c r="D710" s="511">
        <v>554760</v>
      </c>
      <c r="E710" s="507" t="s">
        <v>6108</v>
      </c>
    </row>
    <row r="711" spans="1:5" ht="15" x14ac:dyDescent="0.35">
      <c r="A711" s="509">
        <v>4354</v>
      </c>
      <c r="B711" s="510" t="s">
        <v>1040</v>
      </c>
      <c r="C711" s="509" t="s">
        <v>328</v>
      </c>
      <c r="D711" s="511">
        <v>737334</v>
      </c>
      <c r="E711" s="507" t="s">
        <v>6108</v>
      </c>
    </row>
    <row r="712" spans="1:5" ht="15" x14ac:dyDescent="0.35">
      <c r="A712" s="509">
        <v>4355</v>
      </c>
      <c r="B712" s="510" t="s">
        <v>1041</v>
      </c>
      <c r="C712" s="509" t="s">
        <v>328</v>
      </c>
      <c r="D712" s="511">
        <v>705962</v>
      </c>
      <c r="E712" s="507" t="s">
        <v>6108</v>
      </c>
    </row>
    <row r="713" spans="1:5" ht="15" x14ac:dyDescent="0.35">
      <c r="A713" s="509">
        <v>4356</v>
      </c>
      <c r="B713" s="510" t="s">
        <v>1042</v>
      </c>
      <c r="C713" s="509" t="s">
        <v>328</v>
      </c>
      <c r="D713" s="511">
        <v>932410</v>
      </c>
      <c r="E713" s="507" t="s">
        <v>6108</v>
      </c>
    </row>
    <row r="714" spans="1:5" ht="15" x14ac:dyDescent="0.35">
      <c r="A714" s="509">
        <v>4357</v>
      </c>
      <c r="B714" s="510" t="s">
        <v>1043</v>
      </c>
      <c r="C714" s="509" t="s">
        <v>328</v>
      </c>
      <c r="D714" s="511">
        <v>525666</v>
      </c>
      <c r="E714" s="507" t="s">
        <v>6108</v>
      </c>
    </row>
    <row r="715" spans="1:5" ht="15" x14ac:dyDescent="0.35">
      <c r="A715" s="509">
        <v>4358</v>
      </c>
      <c r="B715" s="510" t="s">
        <v>1044</v>
      </c>
      <c r="C715" s="509" t="s">
        <v>328</v>
      </c>
      <c r="D715" s="511">
        <v>708128</v>
      </c>
      <c r="E715" s="507" t="s">
        <v>6108</v>
      </c>
    </row>
    <row r="716" spans="1:5" ht="15" x14ac:dyDescent="0.35">
      <c r="A716" s="509">
        <v>4359</v>
      </c>
      <c r="B716" s="510" t="s">
        <v>1045</v>
      </c>
      <c r="C716" s="509" t="s">
        <v>328</v>
      </c>
      <c r="D716" s="511">
        <v>553973</v>
      </c>
      <c r="E716" s="507" t="s">
        <v>6108</v>
      </c>
    </row>
    <row r="717" spans="1:5" ht="15" x14ac:dyDescent="0.35">
      <c r="A717" s="509">
        <v>4360</v>
      </c>
      <c r="B717" s="510" t="s">
        <v>1046</v>
      </c>
      <c r="C717" s="509" t="s">
        <v>328</v>
      </c>
      <c r="D717" s="511">
        <v>803783</v>
      </c>
      <c r="E717" s="507" t="s">
        <v>6108</v>
      </c>
    </row>
    <row r="718" spans="1:5" ht="15" x14ac:dyDescent="0.35">
      <c r="A718" s="509">
        <v>4361</v>
      </c>
      <c r="B718" s="510" t="s">
        <v>1047</v>
      </c>
      <c r="C718" s="509" t="s">
        <v>328</v>
      </c>
      <c r="D718" s="511">
        <v>829098</v>
      </c>
      <c r="E718" s="507" t="s">
        <v>6108</v>
      </c>
    </row>
    <row r="719" spans="1:5" ht="15" x14ac:dyDescent="0.35">
      <c r="A719" s="509">
        <v>4362</v>
      </c>
      <c r="B719" s="510" t="s">
        <v>1048</v>
      </c>
      <c r="C719" s="509" t="s">
        <v>328</v>
      </c>
      <c r="D719" s="511">
        <v>1068159</v>
      </c>
      <c r="E719" s="507" t="s">
        <v>6108</v>
      </c>
    </row>
    <row r="720" spans="1:5" ht="15" x14ac:dyDescent="0.35">
      <c r="A720" s="509">
        <v>4363</v>
      </c>
      <c r="B720" s="510" t="s">
        <v>1049</v>
      </c>
      <c r="C720" s="509" t="s">
        <v>328</v>
      </c>
      <c r="D720" s="511">
        <v>861242</v>
      </c>
      <c r="E720" s="507" t="s">
        <v>6108</v>
      </c>
    </row>
    <row r="721" spans="1:5" ht="15" x14ac:dyDescent="0.35">
      <c r="A721" s="509">
        <v>4384</v>
      </c>
      <c r="B721" s="510" t="s">
        <v>1050</v>
      </c>
      <c r="C721" s="509" t="s">
        <v>32</v>
      </c>
      <c r="D721" s="511">
        <v>218914</v>
      </c>
      <c r="E721" s="507" t="s">
        <v>6108</v>
      </c>
    </row>
    <row r="722" spans="1:5" ht="15" x14ac:dyDescent="0.35">
      <c r="A722" s="509">
        <v>4385</v>
      </c>
      <c r="B722" s="510" t="s">
        <v>1051</v>
      </c>
      <c r="C722" s="509" t="s">
        <v>32</v>
      </c>
      <c r="D722" s="511">
        <v>233194</v>
      </c>
      <c r="E722" s="507" t="s">
        <v>6108</v>
      </c>
    </row>
    <row r="723" spans="1:5" ht="15" x14ac:dyDescent="0.35">
      <c r="A723" s="509">
        <v>4386</v>
      </c>
      <c r="B723" s="510" t="s">
        <v>1052</v>
      </c>
      <c r="C723" s="509" t="s">
        <v>32</v>
      </c>
      <c r="D723" s="511">
        <v>429021</v>
      </c>
      <c r="E723" s="507" t="s">
        <v>6108</v>
      </c>
    </row>
    <row r="724" spans="1:5" ht="15" x14ac:dyDescent="0.35">
      <c r="A724" s="509">
        <v>4387</v>
      </c>
      <c r="B724" s="510" t="s">
        <v>1053</v>
      </c>
      <c r="C724" s="509" t="s">
        <v>32</v>
      </c>
      <c r="D724" s="511">
        <v>605808</v>
      </c>
      <c r="E724" s="507" t="s">
        <v>6108</v>
      </c>
    </row>
    <row r="725" spans="1:5" ht="15" x14ac:dyDescent="0.35">
      <c r="A725" s="509">
        <v>4388</v>
      </c>
      <c r="B725" s="510" t="s">
        <v>1054</v>
      </c>
      <c r="C725" s="509" t="s">
        <v>32</v>
      </c>
      <c r="D725" s="511">
        <v>844878</v>
      </c>
      <c r="E725" s="507" t="s">
        <v>6108</v>
      </c>
    </row>
    <row r="726" spans="1:5" ht="15" x14ac:dyDescent="0.35">
      <c r="A726" s="509">
        <v>4389</v>
      </c>
      <c r="B726" s="510" t="s">
        <v>1055</v>
      </c>
      <c r="C726" s="509" t="s">
        <v>32</v>
      </c>
      <c r="D726" s="511">
        <v>1225239</v>
      </c>
      <c r="E726" s="507" t="s">
        <v>6108</v>
      </c>
    </row>
    <row r="727" spans="1:5" ht="15" x14ac:dyDescent="0.35">
      <c r="A727" s="509">
        <v>4390</v>
      </c>
      <c r="B727" s="510" t="s">
        <v>1056</v>
      </c>
      <c r="C727" s="509" t="s">
        <v>30</v>
      </c>
      <c r="D727" s="511">
        <v>115136</v>
      </c>
      <c r="E727" s="507" t="s">
        <v>6108</v>
      </c>
    </row>
    <row r="728" spans="1:5" ht="15" x14ac:dyDescent="0.35">
      <c r="A728" s="509">
        <v>4391</v>
      </c>
      <c r="B728" s="510" t="s">
        <v>1057</v>
      </c>
      <c r="C728" s="509" t="s">
        <v>30</v>
      </c>
      <c r="D728" s="511">
        <v>158816</v>
      </c>
      <c r="E728" s="507" t="s">
        <v>6108</v>
      </c>
    </row>
    <row r="729" spans="1:5" ht="15" x14ac:dyDescent="0.35">
      <c r="A729" s="509">
        <v>4392</v>
      </c>
      <c r="B729" s="510" t="s">
        <v>1058</v>
      </c>
      <c r="C729" s="509" t="s">
        <v>979</v>
      </c>
      <c r="D729" s="511">
        <v>96227</v>
      </c>
      <c r="E729" s="507" t="s">
        <v>6108</v>
      </c>
    </row>
    <row r="730" spans="1:5" ht="15" x14ac:dyDescent="0.35">
      <c r="A730" s="509">
        <v>4393</v>
      </c>
      <c r="B730" s="510" t="s">
        <v>1059</v>
      </c>
      <c r="C730" s="509" t="s">
        <v>979</v>
      </c>
      <c r="D730" s="511">
        <v>129287</v>
      </c>
      <c r="E730" s="507" t="s">
        <v>6108</v>
      </c>
    </row>
    <row r="731" spans="1:5" ht="15" x14ac:dyDescent="0.35">
      <c r="A731" s="509">
        <v>4394</v>
      </c>
      <c r="B731" s="510" t="s">
        <v>1060</v>
      </c>
      <c r="C731" s="509" t="s">
        <v>21</v>
      </c>
      <c r="D731" s="511">
        <v>143955</v>
      </c>
      <c r="E731" s="507" t="s">
        <v>6108</v>
      </c>
    </row>
    <row r="732" spans="1:5" ht="15" x14ac:dyDescent="0.35">
      <c r="A732" s="509">
        <v>4395</v>
      </c>
      <c r="B732" s="510" t="s">
        <v>1061</v>
      </c>
      <c r="C732" s="509" t="s">
        <v>21</v>
      </c>
      <c r="D732" s="511">
        <v>113951</v>
      </c>
      <c r="E732" s="507" t="s">
        <v>6108</v>
      </c>
    </row>
    <row r="733" spans="1:5" ht="15" x14ac:dyDescent="0.35">
      <c r="A733" s="509">
        <v>4396</v>
      </c>
      <c r="B733" s="510" t="s">
        <v>1062</v>
      </c>
      <c r="C733" s="509" t="s">
        <v>21</v>
      </c>
      <c r="D733" s="511">
        <v>83635</v>
      </c>
      <c r="E733" s="507" t="s">
        <v>6108</v>
      </c>
    </row>
    <row r="734" spans="1:5" ht="15" x14ac:dyDescent="0.35">
      <c r="A734" s="509">
        <v>4402</v>
      </c>
      <c r="B734" s="510" t="s">
        <v>1063</v>
      </c>
      <c r="C734" s="509" t="s">
        <v>32</v>
      </c>
      <c r="D734" s="511">
        <v>1189379</v>
      </c>
      <c r="E734" s="507" t="s">
        <v>6108</v>
      </c>
    </row>
    <row r="735" spans="1:5" ht="15" x14ac:dyDescent="0.35">
      <c r="A735" s="509">
        <v>4403</v>
      </c>
      <c r="B735" s="510" t="s">
        <v>1064</v>
      </c>
      <c r="C735" s="509" t="s">
        <v>32</v>
      </c>
      <c r="D735" s="511">
        <v>7590755</v>
      </c>
      <c r="E735" s="507" t="s">
        <v>6108</v>
      </c>
    </row>
    <row r="736" spans="1:5" ht="15" x14ac:dyDescent="0.35">
      <c r="A736" s="509">
        <v>4404</v>
      </c>
      <c r="B736" s="510" t="s">
        <v>1065</v>
      </c>
      <c r="C736" s="509" t="s">
        <v>32</v>
      </c>
      <c r="D736" s="512">
        <v>146885</v>
      </c>
      <c r="E736" s="507" t="s">
        <v>6108</v>
      </c>
    </row>
    <row r="737" spans="1:5" ht="15" x14ac:dyDescent="0.35">
      <c r="A737" s="509">
        <v>4405</v>
      </c>
      <c r="B737" s="510" t="s">
        <v>1066</v>
      </c>
      <c r="C737" s="509" t="s">
        <v>32</v>
      </c>
      <c r="D737" s="512">
        <v>210000</v>
      </c>
      <c r="E737" s="507" t="s">
        <v>6108</v>
      </c>
    </row>
    <row r="738" spans="1:5" ht="15" x14ac:dyDescent="0.35">
      <c r="A738" s="509">
        <v>4406</v>
      </c>
      <c r="B738" s="510" t="s">
        <v>1067</v>
      </c>
      <c r="C738" s="509" t="s">
        <v>32</v>
      </c>
      <c r="D738" s="512">
        <v>490986</v>
      </c>
      <c r="E738" s="507" t="s">
        <v>6108</v>
      </c>
    </row>
    <row r="739" spans="1:5" ht="15" x14ac:dyDescent="0.35">
      <c r="A739" s="509">
        <v>4407</v>
      </c>
      <c r="B739" s="510" t="s">
        <v>1068</v>
      </c>
      <c r="C739" s="509" t="s">
        <v>32</v>
      </c>
      <c r="D739" s="512">
        <v>288142</v>
      </c>
      <c r="E739" s="507" t="s">
        <v>6108</v>
      </c>
    </row>
    <row r="740" spans="1:5" ht="15" x14ac:dyDescent="0.35">
      <c r="A740" s="509">
        <v>4408</v>
      </c>
      <c r="B740" s="510" t="s">
        <v>1069</v>
      </c>
      <c r="C740" s="509" t="s">
        <v>32</v>
      </c>
      <c r="D740" s="512">
        <v>693802</v>
      </c>
      <c r="E740" s="507" t="s">
        <v>6108</v>
      </c>
    </row>
    <row r="741" spans="1:5" ht="15" x14ac:dyDescent="0.35">
      <c r="A741" s="509">
        <v>4409</v>
      </c>
      <c r="B741" s="510" t="s">
        <v>1070</v>
      </c>
      <c r="C741" s="509" t="s">
        <v>32</v>
      </c>
      <c r="D741" s="512">
        <v>140499</v>
      </c>
      <c r="E741" s="507" t="s">
        <v>6108</v>
      </c>
    </row>
    <row r="742" spans="1:5" ht="15" x14ac:dyDescent="0.35">
      <c r="A742" s="509">
        <v>4410</v>
      </c>
      <c r="B742" s="510" t="s">
        <v>1071</v>
      </c>
      <c r="C742" s="509" t="s">
        <v>32</v>
      </c>
      <c r="D742" s="512">
        <v>147760</v>
      </c>
      <c r="E742" s="507" t="s">
        <v>6108</v>
      </c>
    </row>
    <row r="743" spans="1:5" ht="15" x14ac:dyDescent="0.35">
      <c r="A743" s="509">
        <v>4412</v>
      </c>
      <c r="B743" s="510" t="s">
        <v>1072</v>
      </c>
      <c r="C743" s="509" t="s">
        <v>32</v>
      </c>
      <c r="D743" s="511">
        <v>406367</v>
      </c>
      <c r="E743" s="507" t="s">
        <v>6108</v>
      </c>
    </row>
    <row r="744" spans="1:5" ht="15" x14ac:dyDescent="0.35">
      <c r="A744" s="509">
        <v>4413</v>
      </c>
      <c r="B744" s="510" t="s">
        <v>1073</v>
      </c>
      <c r="C744" s="509" t="s">
        <v>32</v>
      </c>
      <c r="D744" s="511">
        <v>1445392</v>
      </c>
      <c r="E744" s="507" t="s">
        <v>6108</v>
      </c>
    </row>
    <row r="745" spans="1:5" ht="15" x14ac:dyDescent="0.35">
      <c r="A745" s="509">
        <v>4414</v>
      </c>
      <c r="B745" s="510" t="s">
        <v>1074</v>
      </c>
      <c r="C745" s="509" t="s">
        <v>32</v>
      </c>
      <c r="D745" s="511">
        <v>1445392</v>
      </c>
      <c r="E745" s="507" t="s">
        <v>6108</v>
      </c>
    </row>
    <row r="746" spans="1:5" ht="15" x14ac:dyDescent="0.35">
      <c r="A746" s="509">
        <v>4415</v>
      </c>
      <c r="B746" s="510" t="s">
        <v>1075</v>
      </c>
      <c r="C746" s="509" t="s">
        <v>32</v>
      </c>
      <c r="D746" s="511">
        <v>85484</v>
      </c>
      <c r="E746" s="507" t="s">
        <v>6108</v>
      </c>
    </row>
    <row r="747" spans="1:5" ht="15" x14ac:dyDescent="0.35">
      <c r="A747" s="509">
        <v>4416</v>
      </c>
      <c r="B747" s="510" t="s">
        <v>1076</v>
      </c>
      <c r="C747" s="509" t="s">
        <v>32</v>
      </c>
      <c r="D747" s="511">
        <v>109089</v>
      </c>
      <c r="E747" s="507" t="s">
        <v>6108</v>
      </c>
    </row>
    <row r="748" spans="1:5" ht="15" x14ac:dyDescent="0.35">
      <c r="A748" s="509">
        <v>4417</v>
      </c>
      <c r="B748" s="510" t="s">
        <v>1077</v>
      </c>
      <c r="C748" s="509" t="s">
        <v>32</v>
      </c>
      <c r="D748" s="511">
        <v>242722</v>
      </c>
      <c r="E748" s="507" t="s">
        <v>6108</v>
      </c>
    </row>
    <row r="749" spans="1:5" ht="15" x14ac:dyDescent="0.35">
      <c r="A749" s="509">
        <v>4418</v>
      </c>
      <c r="B749" s="510" t="s">
        <v>1078</v>
      </c>
      <c r="C749" s="509" t="s">
        <v>32</v>
      </c>
      <c r="D749" s="511">
        <v>53737</v>
      </c>
      <c r="E749" s="507" t="s">
        <v>6108</v>
      </c>
    </row>
    <row r="750" spans="1:5" ht="15" x14ac:dyDescent="0.35">
      <c r="A750" s="509">
        <v>4419</v>
      </c>
      <c r="B750" s="510" t="s">
        <v>1079</v>
      </c>
      <c r="C750" s="509" t="s">
        <v>32</v>
      </c>
      <c r="D750" s="511">
        <v>82241</v>
      </c>
      <c r="E750" s="507" t="s">
        <v>6108</v>
      </c>
    </row>
    <row r="751" spans="1:5" ht="15" x14ac:dyDescent="0.35">
      <c r="A751" s="509">
        <v>4420</v>
      </c>
      <c r="B751" s="510" t="s">
        <v>1080</v>
      </c>
      <c r="C751" s="509" t="s">
        <v>32</v>
      </c>
      <c r="D751" s="511">
        <v>124883</v>
      </c>
      <c r="E751" s="507" t="s">
        <v>331</v>
      </c>
    </row>
    <row r="752" spans="1:5" ht="15" x14ac:dyDescent="0.35">
      <c r="A752" s="509">
        <v>4421</v>
      </c>
      <c r="B752" s="510" t="s">
        <v>1081</v>
      </c>
      <c r="C752" s="509" t="s">
        <v>32</v>
      </c>
      <c r="D752" s="511">
        <v>196781</v>
      </c>
      <c r="E752" s="507" t="s">
        <v>6108</v>
      </c>
    </row>
    <row r="753" spans="1:5" ht="15" x14ac:dyDescent="0.35">
      <c r="A753" s="509">
        <v>4422</v>
      </c>
      <c r="B753" s="510" t="s">
        <v>1082</v>
      </c>
      <c r="C753" s="509" t="s">
        <v>32</v>
      </c>
      <c r="D753" s="511">
        <v>218085</v>
      </c>
      <c r="E753" s="507" t="s">
        <v>6108</v>
      </c>
    </row>
    <row r="754" spans="1:5" ht="15" x14ac:dyDescent="0.35">
      <c r="A754" s="509">
        <v>4423</v>
      </c>
      <c r="B754" s="510" t="s">
        <v>1083</v>
      </c>
      <c r="C754" s="509" t="s">
        <v>32</v>
      </c>
      <c r="D754" s="511">
        <v>444609</v>
      </c>
      <c r="E754" s="507" t="s">
        <v>331</v>
      </c>
    </row>
    <row r="755" spans="1:5" ht="15" x14ac:dyDescent="0.35">
      <c r="A755" s="509">
        <v>4424</v>
      </c>
      <c r="B755" s="510" t="s">
        <v>1084</v>
      </c>
      <c r="C755" s="509" t="s">
        <v>32</v>
      </c>
      <c r="D755" s="511">
        <v>657927</v>
      </c>
      <c r="E755" s="507" t="s">
        <v>331</v>
      </c>
    </row>
    <row r="756" spans="1:5" ht="15" x14ac:dyDescent="0.35">
      <c r="A756" s="509">
        <v>4425</v>
      </c>
      <c r="B756" s="510" t="s">
        <v>1085</v>
      </c>
      <c r="C756" s="509" t="s">
        <v>32</v>
      </c>
      <c r="D756" s="511">
        <v>1074548</v>
      </c>
      <c r="E756" s="507" t="s">
        <v>331</v>
      </c>
    </row>
    <row r="757" spans="1:5" ht="15" x14ac:dyDescent="0.35">
      <c r="A757" s="509">
        <v>4426</v>
      </c>
      <c r="B757" s="510" t="s">
        <v>1086</v>
      </c>
      <c r="C757" s="509" t="s">
        <v>32</v>
      </c>
      <c r="D757" s="511">
        <v>1242929</v>
      </c>
      <c r="E757" s="507" t="s">
        <v>331</v>
      </c>
    </row>
    <row r="758" spans="1:5" ht="15" x14ac:dyDescent="0.35">
      <c r="A758" s="509">
        <v>4428</v>
      </c>
      <c r="B758" s="510" t="s">
        <v>1087</v>
      </c>
      <c r="C758" s="509" t="s">
        <v>328</v>
      </c>
      <c r="D758" s="511">
        <v>52635</v>
      </c>
      <c r="E758" s="507" t="s">
        <v>331</v>
      </c>
    </row>
    <row r="759" spans="1:5" ht="15" x14ac:dyDescent="0.35">
      <c r="A759" s="509">
        <v>4429</v>
      </c>
      <c r="B759" s="510" t="s">
        <v>1088</v>
      </c>
      <c r="C759" s="509" t="s">
        <v>328</v>
      </c>
      <c r="D759" s="511">
        <v>63166</v>
      </c>
      <c r="E759" s="507" t="s">
        <v>331</v>
      </c>
    </row>
    <row r="760" spans="1:5" ht="15" x14ac:dyDescent="0.35">
      <c r="A760" s="509">
        <v>4431</v>
      </c>
      <c r="B760" s="510" t="s">
        <v>1089</v>
      </c>
      <c r="C760" s="509" t="s">
        <v>21</v>
      </c>
      <c r="D760" s="511">
        <v>34234</v>
      </c>
      <c r="E760" s="507" t="s">
        <v>331</v>
      </c>
    </row>
    <row r="761" spans="1:5" ht="15" x14ac:dyDescent="0.35">
      <c r="A761" s="509">
        <v>4433</v>
      </c>
      <c r="B761" s="510" t="s">
        <v>1090</v>
      </c>
      <c r="C761" s="509" t="s">
        <v>328</v>
      </c>
      <c r="D761" s="511">
        <v>1053541</v>
      </c>
      <c r="E761" s="507" t="s">
        <v>6108</v>
      </c>
    </row>
    <row r="762" spans="1:5" ht="15" x14ac:dyDescent="0.35">
      <c r="A762" s="509">
        <v>4434</v>
      </c>
      <c r="B762" s="510" t="s">
        <v>1091</v>
      </c>
      <c r="C762" s="509" t="s">
        <v>328</v>
      </c>
      <c r="D762" s="511">
        <v>1054801</v>
      </c>
      <c r="E762" s="507" t="s">
        <v>6108</v>
      </c>
    </row>
    <row r="763" spans="1:5" ht="15" x14ac:dyDescent="0.35">
      <c r="A763" s="509">
        <v>4435</v>
      </c>
      <c r="B763" s="510" t="s">
        <v>1092</v>
      </c>
      <c r="C763" s="509" t="s">
        <v>328</v>
      </c>
      <c r="D763" s="511">
        <v>1352288</v>
      </c>
      <c r="E763" s="507" t="s">
        <v>6108</v>
      </c>
    </row>
    <row r="764" spans="1:5" ht="15" x14ac:dyDescent="0.35">
      <c r="A764" s="509">
        <v>4436</v>
      </c>
      <c r="B764" s="510" t="s">
        <v>1093</v>
      </c>
      <c r="C764" s="509" t="s">
        <v>328</v>
      </c>
      <c r="D764" s="511">
        <v>1175553</v>
      </c>
      <c r="E764" s="507" t="s">
        <v>6108</v>
      </c>
    </row>
    <row r="765" spans="1:5" ht="15" x14ac:dyDescent="0.35">
      <c r="A765" s="509">
        <v>4437</v>
      </c>
      <c r="B765" s="510" t="s">
        <v>1094</v>
      </c>
      <c r="C765" s="509" t="s">
        <v>328</v>
      </c>
      <c r="D765" s="511">
        <v>1426269</v>
      </c>
      <c r="E765" s="507" t="s">
        <v>6108</v>
      </c>
    </row>
    <row r="766" spans="1:5" ht="15" x14ac:dyDescent="0.35">
      <c r="A766" s="509">
        <v>4438</v>
      </c>
      <c r="B766" s="510" t="s">
        <v>1095</v>
      </c>
      <c r="C766" s="509" t="s">
        <v>328</v>
      </c>
      <c r="D766" s="512">
        <v>1510778</v>
      </c>
      <c r="E766" s="507" t="s">
        <v>6108</v>
      </c>
    </row>
    <row r="767" spans="1:5" ht="15" x14ac:dyDescent="0.35">
      <c r="A767" s="509">
        <v>4439</v>
      </c>
      <c r="B767" s="510" t="s">
        <v>1096</v>
      </c>
      <c r="C767" s="509" t="s">
        <v>328</v>
      </c>
      <c r="D767" s="511">
        <v>1823463</v>
      </c>
      <c r="E767" s="507" t="s">
        <v>6108</v>
      </c>
    </row>
    <row r="768" spans="1:5" ht="15" x14ac:dyDescent="0.35">
      <c r="A768" s="509">
        <v>4440</v>
      </c>
      <c r="B768" s="510" t="s">
        <v>1097</v>
      </c>
      <c r="C768" s="509" t="s">
        <v>328</v>
      </c>
      <c r="D768" s="512">
        <v>1520838</v>
      </c>
      <c r="E768" s="507" t="s">
        <v>331</v>
      </c>
    </row>
    <row r="769" spans="1:5" ht="15" x14ac:dyDescent="0.35">
      <c r="A769" s="509">
        <v>4441</v>
      </c>
      <c r="B769" s="510" t="s">
        <v>1098</v>
      </c>
      <c r="C769" s="509" t="s">
        <v>328</v>
      </c>
      <c r="D769" s="512">
        <v>1965288</v>
      </c>
      <c r="E769" s="507" t="s">
        <v>331</v>
      </c>
    </row>
    <row r="770" spans="1:5" ht="15" x14ac:dyDescent="0.35">
      <c r="A770" s="509">
        <v>4442</v>
      </c>
      <c r="B770" s="510" t="s">
        <v>1099</v>
      </c>
      <c r="C770" s="509" t="s">
        <v>328</v>
      </c>
      <c r="D770" s="512">
        <v>469766</v>
      </c>
      <c r="E770" s="507" t="s">
        <v>6108</v>
      </c>
    </row>
    <row r="771" spans="1:5" ht="15" x14ac:dyDescent="0.35">
      <c r="A771" s="509">
        <v>4447</v>
      </c>
      <c r="B771" s="510" t="s">
        <v>1100</v>
      </c>
      <c r="C771" s="509" t="s">
        <v>328</v>
      </c>
      <c r="D771" s="512">
        <v>672708</v>
      </c>
      <c r="E771" s="507" t="s">
        <v>6108</v>
      </c>
    </row>
    <row r="772" spans="1:5" ht="15" x14ac:dyDescent="0.35">
      <c r="A772" s="509">
        <v>4461</v>
      </c>
      <c r="B772" s="510" t="s">
        <v>1101</v>
      </c>
      <c r="C772" s="509" t="s">
        <v>328</v>
      </c>
      <c r="D772" s="511">
        <v>564672</v>
      </c>
      <c r="E772" s="507" t="s">
        <v>6108</v>
      </c>
    </row>
    <row r="773" spans="1:5" ht="15" x14ac:dyDescent="0.35">
      <c r="A773" s="509">
        <v>4477</v>
      </c>
      <c r="B773" s="510" t="s">
        <v>1102</v>
      </c>
      <c r="C773" s="509" t="s">
        <v>30</v>
      </c>
      <c r="D773" s="511">
        <v>106582</v>
      </c>
      <c r="E773" s="507" t="s">
        <v>6108</v>
      </c>
    </row>
    <row r="774" spans="1:5" ht="15" x14ac:dyDescent="0.35">
      <c r="A774" s="509">
        <v>4478</v>
      </c>
      <c r="B774" s="510" t="s">
        <v>1103</v>
      </c>
      <c r="C774" s="509" t="s">
        <v>692</v>
      </c>
      <c r="D774" s="511">
        <v>194828</v>
      </c>
      <c r="E774" s="507" t="s">
        <v>6108</v>
      </c>
    </row>
    <row r="775" spans="1:5" ht="15" x14ac:dyDescent="0.35">
      <c r="A775" s="509">
        <v>4479</v>
      </c>
      <c r="B775" s="510" t="s">
        <v>1104</v>
      </c>
      <c r="C775" s="509" t="s">
        <v>979</v>
      </c>
      <c r="D775" s="511">
        <v>26568</v>
      </c>
      <c r="E775" s="507" t="s">
        <v>331</v>
      </c>
    </row>
    <row r="776" spans="1:5" ht="15" x14ac:dyDescent="0.35">
      <c r="A776" s="509">
        <v>4485</v>
      </c>
      <c r="B776" s="510" t="s">
        <v>1105</v>
      </c>
      <c r="C776" s="509" t="s">
        <v>30</v>
      </c>
      <c r="D776" s="511">
        <v>1410431</v>
      </c>
      <c r="E776" s="507" t="s">
        <v>6108</v>
      </c>
    </row>
    <row r="777" spans="1:5" ht="15" x14ac:dyDescent="0.35">
      <c r="A777" s="509">
        <v>4486</v>
      </c>
      <c r="B777" s="510" t="s">
        <v>1106</v>
      </c>
      <c r="C777" s="509" t="s">
        <v>30</v>
      </c>
      <c r="D777" s="511">
        <v>1544180</v>
      </c>
      <c r="E777" s="507" t="s">
        <v>6108</v>
      </c>
    </row>
    <row r="778" spans="1:5" ht="15" x14ac:dyDescent="0.35">
      <c r="A778" s="509">
        <v>4487</v>
      </c>
      <c r="B778" s="510" t="s">
        <v>1107</v>
      </c>
      <c r="C778" s="509" t="s">
        <v>30</v>
      </c>
      <c r="D778" s="511">
        <v>203564</v>
      </c>
      <c r="E778" s="507" t="s">
        <v>6108</v>
      </c>
    </row>
    <row r="779" spans="1:5" ht="15" x14ac:dyDescent="0.35">
      <c r="A779" s="509">
        <v>4488</v>
      </c>
      <c r="B779" s="510" t="s">
        <v>1108</v>
      </c>
      <c r="C779" s="509" t="s">
        <v>30</v>
      </c>
      <c r="D779" s="511">
        <v>199495</v>
      </c>
      <c r="E779" s="507" t="s">
        <v>6108</v>
      </c>
    </row>
    <row r="780" spans="1:5" ht="15" x14ac:dyDescent="0.35">
      <c r="A780" s="509">
        <v>4489</v>
      </c>
      <c r="B780" s="510" t="s">
        <v>1109</v>
      </c>
      <c r="C780" s="509" t="s">
        <v>30</v>
      </c>
      <c r="D780" s="511">
        <v>181792</v>
      </c>
      <c r="E780" s="507" t="s">
        <v>6108</v>
      </c>
    </row>
    <row r="781" spans="1:5" ht="15" x14ac:dyDescent="0.35">
      <c r="A781" s="509">
        <v>4490</v>
      </c>
      <c r="B781" s="510" t="s">
        <v>1110</v>
      </c>
      <c r="C781" s="509" t="s">
        <v>21</v>
      </c>
      <c r="D781" s="511">
        <v>271872</v>
      </c>
      <c r="E781" s="507" t="s">
        <v>6108</v>
      </c>
    </row>
    <row r="782" spans="1:5" ht="15" x14ac:dyDescent="0.35">
      <c r="A782" s="509">
        <v>4491</v>
      </c>
      <c r="B782" s="510" t="s">
        <v>1111</v>
      </c>
      <c r="C782" s="509" t="s">
        <v>21</v>
      </c>
      <c r="D782" s="511">
        <v>324290</v>
      </c>
      <c r="E782" s="507" t="s">
        <v>6108</v>
      </c>
    </row>
    <row r="783" spans="1:5" ht="15" x14ac:dyDescent="0.35">
      <c r="A783" s="509">
        <v>4501</v>
      </c>
      <c r="B783" s="510" t="s">
        <v>1112</v>
      </c>
      <c r="C783" s="509" t="s">
        <v>21</v>
      </c>
      <c r="D783" s="511">
        <v>183797</v>
      </c>
      <c r="E783" s="507" t="s">
        <v>6108</v>
      </c>
    </row>
    <row r="784" spans="1:5" ht="15" x14ac:dyDescent="0.35">
      <c r="A784" s="509">
        <v>4502</v>
      </c>
      <c r="B784" s="510" t="s">
        <v>1113</v>
      </c>
      <c r="C784" s="509" t="s">
        <v>21</v>
      </c>
      <c r="D784" s="512">
        <v>305795</v>
      </c>
      <c r="E784" s="507" t="s">
        <v>6108</v>
      </c>
    </row>
    <row r="785" spans="1:5" ht="15" x14ac:dyDescent="0.35">
      <c r="A785" s="509">
        <v>4503</v>
      </c>
      <c r="B785" s="510" t="s">
        <v>1114</v>
      </c>
      <c r="C785" s="509" t="s">
        <v>21</v>
      </c>
      <c r="D785" s="512">
        <v>329860</v>
      </c>
      <c r="E785" s="507" t="s">
        <v>6108</v>
      </c>
    </row>
    <row r="786" spans="1:5" ht="15" x14ac:dyDescent="0.35">
      <c r="A786" s="509">
        <v>4504</v>
      </c>
      <c r="B786" s="510" t="s">
        <v>1115</v>
      </c>
      <c r="C786" s="509" t="s">
        <v>21</v>
      </c>
      <c r="D786" s="512">
        <v>375124</v>
      </c>
      <c r="E786" s="507" t="s">
        <v>6108</v>
      </c>
    </row>
    <row r="787" spans="1:5" ht="15" x14ac:dyDescent="0.35">
      <c r="A787" s="509">
        <v>4505</v>
      </c>
      <c r="B787" s="510" t="s">
        <v>1116</v>
      </c>
      <c r="C787" s="509" t="s">
        <v>21</v>
      </c>
      <c r="D787" s="512">
        <v>177021</v>
      </c>
      <c r="E787" s="507" t="s">
        <v>6108</v>
      </c>
    </row>
    <row r="788" spans="1:5" ht="15" x14ac:dyDescent="0.35">
      <c r="A788" s="509">
        <v>4506</v>
      </c>
      <c r="B788" s="510" t="s">
        <v>1117</v>
      </c>
      <c r="C788" s="509" t="s">
        <v>21</v>
      </c>
      <c r="D788" s="512">
        <v>254651</v>
      </c>
      <c r="E788" s="507" t="s">
        <v>6108</v>
      </c>
    </row>
    <row r="789" spans="1:5" ht="15" x14ac:dyDescent="0.35">
      <c r="A789" s="509">
        <v>4507</v>
      </c>
      <c r="B789" s="510" t="s">
        <v>1118</v>
      </c>
      <c r="C789" s="509" t="s">
        <v>21</v>
      </c>
      <c r="D789" s="512">
        <v>294997</v>
      </c>
      <c r="E789" s="507" t="s">
        <v>6108</v>
      </c>
    </row>
    <row r="790" spans="1:5" ht="15" x14ac:dyDescent="0.35">
      <c r="A790" s="509">
        <v>4508</v>
      </c>
      <c r="B790" s="510" t="s">
        <v>1119</v>
      </c>
      <c r="C790" s="509" t="s">
        <v>21</v>
      </c>
      <c r="D790" s="511">
        <v>284892</v>
      </c>
      <c r="E790" s="507" t="s">
        <v>6108</v>
      </c>
    </row>
    <row r="791" spans="1:5" ht="15" x14ac:dyDescent="0.35">
      <c r="A791" s="509">
        <v>4509</v>
      </c>
      <c r="B791" s="510" t="s">
        <v>1120</v>
      </c>
      <c r="C791" s="509" t="s">
        <v>21</v>
      </c>
      <c r="D791" s="512">
        <v>345068</v>
      </c>
      <c r="E791" s="507" t="s">
        <v>6108</v>
      </c>
    </row>
    <row r="792" spans="1:5" ht="15" x14ac:dyDescent="0.35">
      <c r="A792" s="509">
        <v>4510</v>
      </c>
      <c r="B792" s="510" t="s">
        <v>1121</v>
      </c>
      <c r="C792" s="509" t="s">
        <v>21</v>
      </c>
      <c r="D792" s="512">
        <v>156876</v>
      </c>
      <c r="E792" s="507" t="s">
        <v>6108</v>
      </c>
    </row>
    <row r="793" spans="1:5" ht="15" x14ac:dyDescent="0.35">
      <c r="A793" s="509">
        <v>4511</v>
      </c>
      <c r="B793" s="510" t="s">
        <v>1122</v>
      </c>
      <c r="C793" s="509" t="s">
        <v>21</v>
      </c>
      <c r="D793" s="511">
        <v>347518</v>
      </c>
      <c r="E793" s="507" t="s">
        <v>331</v>
      </c>
    </row>
    <row r="794" spans="1:5" ht="15" x14ac:dyDescent="0.35">
      <c r="A794" s="509">
        <v>4512</v>
      </c>
      <c r="B794" s="510" t="s">
        <v>1123</v>
      </c>
      <c r="C794" s="509" t="s">
        <v>21</v>
      </c>
      <c r="D794" s="511">
        <v>378497</v>
      </c>
      <c r="E794" s="507" t="s">
        <v>331</v>
      </c>
    </row>
    <row r="795" spans="1:5" ht="15" x14ac:dyDescent="0.35">
      <c r="A795" s="509">
        <v>4513</v>
      </c>
      <c r="B795" s="510" t="s">
        <v>1124</v>
      </c>
      <c r="C795" s="509" t="s">
        <v>30</v>
      </c>
      <c r="D795" s="511">
        <v>190300</v>
      </c>
      <c r="E795" s="507" t="s">
        <v>6108</v>
      </c>
    </row>
    <row r="796" spans="1:5" ht="15" x14ac:dyDescent="0.35">
      <c r="A796" s="509">
        <v>4514</v>
      </c>
      <c r="B796" s="510" t="s">
        <v>1125</v>
      </c>
      <c r="C796" s="509" t="s">
        <v>21</v>
      </c>
      <c r="D796" s="511">
        <v>235811</v>
      </c>
      <c r="E796" s="507" t="s">
        <v>6108</v>
      </c>
    </row>
    <row r="797" spans="1:5" ht="15" x14ac:dyDescent="0.35">
      <c r="A797" s="509">
        <v>4515</v>
      </c>
      <c r="B797" s="510" t="s">
        <v>1126</v>
      </c>
      <c r="C797" s="509" t="s">
        <v>21</v>
      </c>
      <c r="D797" s="511">
        <v>303787</v>
      </c>
      <c r="E797" s="507" t="s">
        <v>6108</v>
      </c>
    </row>
    <row r="798" spans="1:5" ht="15" x14ac:dyDescent="0.35">
      <c r="A798" s="509">
        <v>4516</v>
      </c>
      <c r="B798" s="510" t="s">
        <v>1127</v>
      </c>
      <c r="C798" s="509" t="s">
        <v>21</v>
      </c>
      <c r="D798" s="511">
        <v>210719</v>
      </c>
      <c r="E798" s="507" t="s">
        <v>6108</v>
      </c>
    </row>
    <row r="799" spans="1:5" ht="15" x14ac:dyDescent="0.35">
      <c r="A799" s="509">
        <v>4517</v>
      </c>
      <c r="B799" s="510" t="s">
        <v>1128</v>
      </c>
      <c r="C799" s="509" t="s">
        <v>21</v>
      </c>
      <c r="D799" s="511">
        <v>330279</v>
      </c>
      <c r="E799" s="507" t="s">
        <v>6108</v>
      </c>
    </row>
    <row r="800" spans="1:5" ht="15" x14ac:dyDescent="0.35">
      <c r="A800" s="509">
        <v>4518</v>
      </c>
      <c r="B800" s="510" t="s">
        <v>1129</v>
      </c>
      <c r="C800" s="509" t="s">
        <v>21</v>
      </c>
      <c r="D800" s="511">
        <v>65248</v>
      </c>
      <c r="E800" s="507" t="s">
        <v>6108</v>
      </c>
    </row>
    <row r="801" spans="1:5" ht="15" x14ac:dyDescent="0.35">
      <c r="A801" s="509">
        <v>4519</v>
      </c>
      <c r="B801" s="510" t="s">
        <v>1130</v>
      </c>
      <c r="C801" s="509" t="s">
        <v>21</v>
      </c>
      <c r="D801" s="511">
        <v>86901</v>
      </c>
      <c r="E801" s="507" t="s">
        <v>6108</v>
      </c>
    </row>
    <row r="802" spans="1:5" ht="15" x14ac:dyDescent="0.35">
      <c r="A802" s="509">
        <v>4520</v>
      </c>
      <c r="B802" s="510" t="s">
        <v>1131</v>
      </c>
      <c r="C802" s="509" t="s">
        <v>21</v>
      </c>
      <c r="D802" s="511">
        <v>97009</v>
      </c>
      <c r="E802" s="507" t="s">
        <v>6108</v>
      </c>
    </row>
    <row r="803" spans="1:5" ht="15" x14ac:dyDescent="0.35">
      <c r="A803" s="509">
        <v>4522</v>
      </c>
      <c r="B803" s="510" t="s">
        <v>1132</v>
      </c>
      <c r="C803" s="509" t="s">
        <v>21</v>
      </c>
      <c r="D803" s="511">
        <v>280107</v>
      </c>
      <c r="E803" s="507" t="s">
        <v>6108</v>
      </c>
    </row>
    <row r="804" spans="1:5" ht="15" x14ac:dyDescent="0.35">
      <c r="A804" s="509">
        <v>4523</v>
      </c>
      <c r="B804" s="510" t="s">
        <v>1133</v>
      </c>
      <c r="C804" s="509" t="s">
        <v>21</v>
      </c>
      <c r="D804" s="511">
        <v>258941</v>
      </c>
      <c r="E804" s="507" t="s">
        <v>6108</v>
      </c>
    </row>
    <row r="805" spans="1:5" ht="15" x14ac:dyDescent="0.35">
      <c r="A805" s="509">
        <v>4524</v>
      </c>
      <c r="B805" s="510" t="s">
        <v>1134</v>
      </c>
      <c r="C805" s="509" t="s">
        <v>21</v>
      </c>
      <c r="D805" s="511">
        <v>274918</v>
      </c>
      <c r="E805" s="507" t="s">
        <v>6108</v>
      </c>
    </row>
    <row r="806" spans="1:5" ht="15" x14ac:dyDescent="0.35">
      <c r="A806" s="509">
        <v>4525</v>
      </c>
      <c r="B806" s="510" t="s">
        <v>1135</v>
      </c>
      <c r="C806" s="509" t="s">
        <v>328</v>
      </c>
      <c r="D806" s="511">
        <v>7715</v>
      </c>
      <c r="E806" s="507" t="s">
        <v>6108</v>
      </c>
    </row>
    <row r="807" spans="1:5" ht="15" x14ac:dyDescent="0.35">
      <c r="A807" s="509">
        <v>4541</v>
      </c>
      <c r="B807" s="510" t="s">
        <v>1136</v>
      </c>
      <c r="C807" s="509" t="s">
        <v>30</v>
      </c>
      <c r="D807" s="511">
        <v>1618338</v>
      </c>
      <c r="E807" s="507" t="s">
        <v>6108</v>
      </c>
    </row>
    <row r="808" spans="1:5" ht="15" x14ac:dyDescent="0.35">
      <c r="A808" s="509">
        <v>4542</v>
      </c>
      <c r="B808" s="510" t="s">
        <v>1137</v>
      </c>
      <c r="C808" s="509" t="s">
        <v>30</v>
      </c>
      <c r="D808" s="511">
        <v>1618325</v>
      </c>
      <c r="E808" s="507" t="s">
        <v>6108</v>
      </c>
    </row>
    <row r="809" spans="1:5" ht="15" x14ac:dyDescent="0.35">
      <c r="A809" s="509">
        <v>4543</v>
      </c>
      <c r="B809" s="510" t="s">
        <v>1138</v>
      </c>
      <c r="C809" s="509" t="s">
        <v>328</v>
      </c>
      <c r="D809" s="511">
        <v>67175</v>
      </c>
      <c r="E809" s="507" t="s">
        <v>6108</v>
      </c>
    </row>
    <row r="810" spans="1:5" ht="15" x14ac:dyDescent="0.35">
      <c r="A810" s="509">
        <v>4544</v>
      </c>
      <c r="B810" s="510" t="s">
        <v>1139</v>
      </c>
      <c r="C810" s="509" t="s">
        <v>328</v>
      </c>
      <c r="D810" s="511">
        <v>68808</v>
      </c>
      <c r="E810" s="507" t="s">
        <v>6108</v>
      </c>
    </row>
    <row r="811" spans="1:5" ht="15" x14ac:dyDescent="0.35">
      <c r="A811" s="509">
        <v>4545</v>
      </c>
      <c r="B811" s="510" t="s">
        <v>1140</v>
      </c>
      <c r="C811" s="509" t="s">
        <v>328</v>
      </c>
      <c r="D811" s="511">
        <v>64693</v>
      </c>
      <c r="E811" s="507" t="s">
        <v>6108</v>
      </c>
    </row>
    <row r="812" spans="1:5" ht="15" x14ac:dyDescent="0.35">
      <c r="A812" s="509">
        <v>4549</v>
      </c>
      <c r="B812" s="510" t="s">
        <v>1141</v>
      </c>
      <c r="C812" s="509" t="s">
        <v>32</v>
      </c>
      <c r="D812" s="511">
        <v>7844378</v>
      </c>
      <c r="E812" s="507" t="s">
        <v>6108</v>
      </c>
    </row>
    <row r="813" spans="1:5" ht="15" x14ac:dyDescent="0.35">
      <c r="A813" s="509">
        <v>4550</v>
      </c>
      <c r="B813" s="510" t="s">
        <v>1142</v>
      </c>
      <c r="C813" s="509" t="s">
        <v>32</v>
      </c>
      <c r="D813" s="511">
        <v>5612004</v>
      </c>
      <c r="E813" s="507" t="s">
        <v>6108</v>
      </c>
    </row>
    <row r="814" spans="1:5" ht="15" x14ac:dyDescent="0.35">
      <c r="A814" s="509">
        <v>4551</v>
      </c>
      <c r="B814" s="510" t="s">
        <v>1143</v>
      </c>
      <c r="C814" s="509" t="s">
        <v>32</v>
      </c>
      <c r="D814" s="511">
        <v>6178704</v>
      </c>
      <c r="E814" s="507" t="s">
        <v>6108</v>
      </c>
    </row>
    <row r="815" spans="1:5" ht="15" x14ac:dyDescent="0.35">
      <c r="A815" s="509">
        <v>4553</v>
      </c>
      <c r="B815" s="510" t="s">
        <v>1144</v>
      </c>
      <c r="C815" s="509" t="s">
        <v>32</v>
      </c>
      <c r="D815" s="511">
        <v>4050674</v>
      </c>
      <c r="E815" s="507" t="s">
        <v>6108</v>
      </c>
    </row>
    <row r="816" spans="1:5" ht="15" x14ac:dyDescent="0.35">
      <c r="A816" s="509">
        <v>4555</v>
      </c>
      <c r="B816" s="510" t="s">
        <v>1145</v>
      </c>
      <c r="C816" s="509" t="s">
        <v>30</v>
      </c>
      <c r="D816" s="511">
        <v>1057347</v>
      </c>
      <c r="E816" s="507" t="s">
        <v>6108</v>
      </c>
    </row>
    <row r="817" spans="1:5" ht="15" x14ac:dyDescent="0.35">
      <c r="A817" s="509">
        <v>4556</v>
      </c>
      <c r="B817" s="510" t="s">
        <v>1146</v>
      </c>
      <c r="C817" s="509" t="s">
        <v>30</v>
      </c>
      <c r="D817" s="511">
        <v>187515</v>
      </c>
      <c r="E817" s="507" t="s">
        <v>6108</v>
      </c>
    </row>
    <row r="818" spans="1:5" ht="15" x14ac:dyDescent="0.35">
      <c r="A818" s="509">
        <v>4557</v>
      </c>
      <c r="B818" s="510" t="s">
        <v>1147</v>
      </c>
      <c r="C818" s="509" t="s">
        <v>30</v>
      </c>
      <c r="D818" s="512">
        <v>178698</v>
      </c>
      <c r="E818" s="507" t="s">
        <v>6108</v>
      </c>
    </row>
    <row r="819" spans="1:5" ht="15" x14ac:dyDescent="0.35">
      <c r="A819" s="509">
        <v>4558</v>
      </c>
      <c r="B819" s="510" t="s">
        <v>1148</v>
      </c>
      <c r="C819" s="509" t="s">
        <v>32</v>
      </c>
      <c r="D819" s="511">
        <v>7803343</v>
      </c>
      <c r="E819" s="507" t="s">
        <v>6108</v>
      </c>
    </row>
    <row r="820" spans="1:5" ht="15" x14ac:dyDescent="0.35">
      <c r="A820" s="509">
        <v>4559</v>
      </c>
      <c r="B820" s="510" t="s">
        <v>1149</v>
      </c>
      <c r="C820" s="509" t="s">
        <v>30</v>
      </c>
      <c r="D820" s="511">
        <v>445662</v>
      </c>
      <c r="E820" s="507" t="s">
        <v>6108</v>
      </c>
    </row>
    <row r="821" spans="1:5" ht="15" x14ac:dyDescent="0.35">
      <c r="A821" s="509">
        <v>4560</v>
      </c>
      <c r="B821" s="510" t="s">
        <v>1150</v>
      </c>
      <c r="C821" s="509" t="s">
        <v>30</v>
      </c>
      <c r="D821" s="512">
        <v>484367</v>
      </c>
      <c r="E821" s="507" t="s">
        <v>6108</v>
      </c>
    </row>
    <row r="822" spans="1:5" ht="15" x14ac:dyDescent="0.35">
      <c r="A822" s="509">
        <v>4561</v>
      </c>
      <c r="B822" s="510" t="s">
        <v>1151</v>
      </c>
      <c r="C822" s="509" t="s">
        <v>30</v>
      </c>
      <c r="D822" s="512">
        <v>562880</v>
      </c>
      <c r="E822" s="507" t="s">
        <v>6108</v>
      </c>
    </row>
    <row r="823" spans="1:5" ht="15" x14ac:dyDescent="0.35">
      <c r="A823" s="509">
        <v>4562</v>
      </c>
      <c r="B823" s="510" t="s">
        <v>1152</v>
      </c>
      <c r="C823" s="509" t="s">
        <v>30</v>
      </c>
      <c r="D823" s="512">
        <v>151934</v>
      </c>
      <c r="E823" s="507" t="s">
        <v>6108</v>
      </c>
    </row>
    <row r="824" spans="1:5" ht="15" x14ac:dyDescent="0.35">
      <c r="A824" s="509">
        <v>4563</v>
      </c>
      <c r="B824" s="510" t="s">
        <v>1153</v>
      </c>
      <c r="C824" s="509" t="s">
        <v>30</v>
      </c>
      <c r="D824" s="511">
        <v>107071</v>
      </c>
      <c r="E824" s="507" t="s">
        <v>6108</v>
      </c>
    </row>
    <row r="825" spans="1:5" ht="15" x14ac:dyDescent="0.35">
      <c r="A825" s="509">
        <v>4564</v>
      </c>
      <c r="B825" s="510" t="s">
        <v>1154</v>
      </c>
      <c r="C825" s="509" t="s">
        <v>30</v>
      </c>
      <c r="D825" s="511">
        <v>493570</v>
      </c>
      <c r="E825" s="507" t="s">
        <v>6108</v>
      </c>
    </row>
    <row r="826" spans="1:5" ht="15" x14ac:dyDescent="0.35">
      <c r="A826" s="509">
        <v>4565</v>
      </c>
      <c r="B826" s="510" t="s">
        <v>1155</v>
      </c>
      <c r="C826" s="509" t="s">
        <v>30</v>
      </c>
      <c r="D826" s="511">
        <v>562406</v>
      </c>
      <c r="E826" s="507" t="s">
        <v>6108</v>
      </c>
    </row>
    <row r="827" spans="1:5" ht="15" x14ac:dyDescent="0.35">
      <c r="A827" s="509">
        <v>4566</v>
      </c>
      <c r="B827" s="510" t="s">
        <v>1156</v>
      </c>
      <c r="C827" s="509" t="s">
        <v>30</v>
      </c>
      <c r="D827" s="511">
        <v>578999</v>
      </c>
      <c r="E827" s="507" t="s">
        <v>6108</v>
      </c>
    </row>
    <row r="828" spans="1:5" ht="15" x14ac:dyDescent="0.35">
      <c r="A828" s="509">
        <v>4567</v>
      </c>
      <c r="B828" s="510" t="s">
        <v>1157</v>
      </c>
      <c r="C828" s="509" t="s">
        <v>30</v>
      </c>
      <c r="D828" s="511">
        <v>1438302</v>
      </c>
      <c r="E828" s="507" t="s">
        <v>6108</v>
      </c>
    </row>
    <row r="829" spans="1:5" ht="15" x14ac:dyDescent="0.35">
      <c r="A829" s="509">
        <v>4568</v>
      </c>
      <c r="B829" s="510" t="s">
        <v>1158</v>
      </c>
      <c r="C829" s="509" t="s">
        <v>30</v>
      </c>
      <c r="D829" s="511">
        <v>1438302</v>
      </c>
      <c r="E829" s="507" t="s">
        <v>6108</v>
      </c>
    </row>
    <row r="830" spans="1:5" ht="15" x14ac:dyDescent="0.35">
      <c r="A830" s="509">
        <v>4569</v>
      </c>
      <c r="B830" s="510" t="s">
        <v>1159</v>
      </c>
      <c r="C830" s="509" t="s">
        <v>32</v>
      </c>
      <c r="D830" s="511">
        <v>11419</v>
      </c>
      <c r="E830" s="507" t="s">
        <v>6108</v>
      </c>
    </row>
    <row r="831" spans="1:5" ht="15" x14ac:dyDescent="0.35">
      <c r="A831" s="509">
        <v>4577</v>
      </c>
      <c r="B831" s="510" t="s">
        <v>1160</v>
      </c>
      <c r="C831" s="509" t="s">
        <v>21</v>
      </c>
      <c r="D831" s="511">
        <v>192054</v>
      </c>
      <c r="E831" s="507" t="s">
        <v>6108</v>
      </c>
    </row>
    <row r="832" spans="1:5" ht="15" x14ac:dyDescent="0.35">
      <c r="A832" s="509">
        <v>4578</v>
      </c>
      <c r="B832" s="510" t="s">
        <v>1161</v>
      </c>
      <c r="C832" s="509" t="s">
        <v>328</v>
      </c>
      <c r="D832" s="512">
        <v>100283</v>
      </c>
      <c r="E832" s="507" t="s">
        <v>6108</v>
      </c>
    </row>
    <row r="833" spans="1:5" ht="15" x14ac:dyDescent="0.35">
      <c r="A833" s="509">
        <v>4581</v>
      </c>
      <c r="B833" s="510" t="s">
        <v>1162</v>
      </c>
      <c r="C833" s="509" t="s">
        <v>21</v>
      </c>
      <c r="D833" s="512">
        <v>3476</v>
      </c>
      <c r="E833" s="507" t="s">
        <v>6108</v>
      </c>
    </row>
    <row r="834" spans="1:5" ht="15" x14ac:dyDescent="0.35">
      <c r="A834" s="509">
        <v>4585</v>
      </c>
      <c r="B834" s="510" t="s">
        <v>1163</v>
      </c>
      <c r="C834" s="509" t="s">
        <v>21</v>
      </c>
      <c r="D834" s="512">
        <v>270069</v>
      </c>
      <c r="E834" s="507" t="s">
        <v>6108</v>
      </c>
    </row>
    <row r="835" spans="1:5" ht="15" x14ac:dyDescent="0.35">
      <c r="A835" s="509">
        <v>4586</v>
      </c>
      <c r="B835" s="510" t="s">
        <v>1164</v>
      </c>
      <c r="C835" s="509" t="s">
        <v>21</v>
      </c>
      <c r="D835" s="512">
        <v>141544</v>
      </c>
      <c r="E835" s="507" t="s">
        <v>6108</v>
      </c>
    </row>
    <row r="836" spans="1:5" ht="15" x14ac:dyDescent="0.35">
      <c r="A836" s="509">
        <v>4588</v>
      </c>
      <c r="B836" s="510" t="s">
        <v>1165</v>
      </c>
      <c r="C836" s="509" t="s">
        <v>21</v>
      </c>
      <c r="D836" s="512">
        <v>461138</v>
      </c>
      <c r="E836" s="507" t="s">
        <v>6108</v>
      </c>
    </row>
    <row r="837" spans="1:5" ht="15" x14ac:dyDescent="0.35">
      <c r="A837" s="509">
        <v>4592</v>
      </c>
      <c r="B837" s="510" t="s">
        <v>1166</v>
      </c>
      <c r="C837" s="509" t="s">
        <v>21</v>
      </c>
      <c r="D837" s="512">
        <v>2037</v>
      </c>
      <c r="E837" s="507" t="s">
        <v>331</v>
      </c>
    </row>
    <row r="838" spans="1:5" ht="15" x14ac:dyDescent="0.35">
      <c r="A838" s="509">
        <v>4593</v>
      </c>
      <c r="B838" s="510" t="s">
        <v>1167</v>
      </c>
      <c r="C838" s="509" t="s">
        <v>21</v>
      </c>
      <c r="D838" s="512">
        <v>110356</v>
      </c>
      <c r="E838" s="507" t="s">
        <v>6108</v>
      </c>
    </row>
    <row r="839" spans="1:5" ht="15" x14ac:dyDescent="0.35">
      <c r="A839" s="509">
        <v>4598</v>
      </c>
      <c r="B839" s="510" t="s">
        <v>1168</v>
      </c>
      <c r="C839" s="509" t="s">
        <v>328</v>
      </c>
      <c r="D839" s="512">
        <v>12107</v>
      </c>
      <c r="E839" s="507" t="s">
        <v>6108</v>
      </c>
    </row>
    <row r="840" spans="1:5" ht="15" x14ac:dyDescent="0.35">
      <c r="A840" s="509">
        <v>4599</v>
      </c>
      <c r="B840" s="510" t="s">
        <v>1169</v>
      </c>
      <c r="C840" s="509" t="s">
        <v>21</v>
      </c>
      <c r="D840" s="512">
        <v>60159</v>
      </c>
      <c r="E840" s="507" t="s">
        <v>6108</v>
      </c>
    </row>
    <row r="841" spans="1:5" ht="15" x14ac:dyDescent="0.35">
      <c r="A841" s="509">
        <v>4600</v>
      </c>
      <c r="B841" s="510" t="s">
        <v>1170</v>
      </c>
      <c r="C841" s="509" t="s">
        <v>21</v>
      </c>
      <c r="D841" s="512">
        <v>131310</v>
      </c>
      <c r="E841" s="507" t="s">
        <v>6108</v>
      </c>
    </row>
    <row r="842" spans="1:5" ht="15" x14ac:dyDescent="0.35">
      <c r="A842" s="509">
        <v>4601</v>
      </c>
      <c r="B842" s="510" t="s">
        <v>1171</v>
      </c>
      <c r="C842" s="509" t="s">
        <v>21</v>
      </c>
      <c r="D842" s="511">
        <v>73188</v>
      </c>
      <c r="E842" s="507" t="s">
        <v>6108</v>
      </c>
    </row>
    <row r="843" spans="1:5" ht="15" x14ac:dyDescent="0.35">
      <c r="A843" s="509">
        <v>4602</v>
      </c>
      <c r="B843" s="510" t="s">
        <v>1172</v>
      </c>
      <c r="C843" s="509" t="s">
        <v>21</v>
      </c>
      <c r="D843" s="512">
        <v>156016</v>
      </c>
      <c r="E843" s="507" t="s">
        <v>6108</v>
      </c>
    </row>
    <row r="844" spans="1:5" ht="15" x14ac:dyDescent="0.35">
      <c r="A844" s="509">
        <v>4603</v>
      </c>
      <c r="B844" s="510" t="s">
        <v>1173</v>
      </c>
      <c r="C844" s="509" t="s">
        <v>21</v>
      </c>
      <c r="D844" s="511">
        <v>1785</v>
      </c>
      <c r="E844" s="507" t="s">
        <v>6108</v>
      </c>
    </row>
    <row r="845" spans="1:5" ht="15" x14ac:dyDescent="0.35">
      <c r="A845" s="509">
        <v>4604</v>
      </c>
      <c r="B845" s="510" t="s">
        <v>1174</v>
      </c>
      <c r="C845" s="509" t="s">
        <v>21</v>
      </c>
      <c r="D845" s="512">
        <v>6923</v>
      </c>
      <c r="E845" s="507" t="s">
        <v>6108</v>
      </c>
    </row>
    <row r="846" spans="1:5" ht="15" x14ac:dyDescent="0.35">
      <c r="A846" s="509">
        <v>4605</v>
      </c>
      <c r="B846" s="510" t="s">
        <v>1175</v>
      </c>
      <c r="C846" s="509" t="s">
        <v>21</v>
      </c>
      <c r="D846" s="512">
        <v>302474</v>
      </c>
      <c r="E846" s="507" t="s">
        <v>6108</v>
      </c>
    </row>
    <row r="847" spans="1:5" ht="15" x14ac:dyDescent="0.35">
      <c r="A847" s="509">
        <v>4606</v>
      </c>
      <c r="B847" s="510" t="s">
        <v>1176</v>
      </c>
      <c r="C847" s="509" t="s">
        <v>21</v>
      </c>
      <c r="D847" s="512">
        <v>29445</v>
      </c>
      <c r="E847" s="507" t="s">
        <v>6108</v>
      </c>
    </row>
    <row r="848" spans="1:5" ht="15" x14ac:dyDescent="0.35">
      <c r="A848" s="509">
        <v>4607</v>
      </c>
      <c r="B848" s="510" t="s">
        <v>1177</v>
      </c>
      <c r="C848" s="509" t="s">
        <v>21</v>
      </c>
      <c r="D848" s="512">
        <v>69761</v>
      </c>
      <c r="E848" s="507" t="s">
        <v>6108</v>
      </c>
    </row>
    <row r="849" spans="1:5" ht="15" x14ac:dyDescent="0.35">
      <c r="A849" s="509">
        <v>4608</v>
      </c>
      <c r="B849" s="510" t="s">
        <v>1178</v>
      </c>
      <c r="C849" s="509" t="s">
        <v>21</v>
      </c>
      <c r="D849" s="511">
        <v>34881</v>
      </c>
      <c r="E849" s="507" t="s">
        <v>6108</v>
      </c>
    </row>
    <row r="850" spans="1:5" ht="15" x14ac:dyDescent="0.35">
      <c r="A850" s="509">
        <v>4609</v>
      </c>
      <c r="B850" s="510" t="s">
        <v>1179</v>
      </c>
      <c r="C850" s="509" t="s">
        <v>21</v>
      </c>
      <c r="D850" s="511">
        <v>131223</v>
      </c>
      <c r="E850" s="507" t="s">
        <v>331</v>
      </c>
    </row>
    <row r="851" spans="1:5" ht="15" x14ac:dyDescent="0.35">
      <c r="A851" s="509">
        <v>4610</v>
      </c>
      <c r="B851" s="510" t="s">
        <v>1180</v>
      </c>
      <c r="C851" s="509" t="s">
        <v>21</v>
      </c>
      <c r="D851" s="512">
        <v>76494</v>
      </c>
      <c r="E851" s="507" t="s">
        <v>6108</v>
      </c>
    </row>
    <row r="852" spans="1:5" ht="15" x14ac:dyDescent="0.35">
      <c r="A852" s="509">
        <v>4611</v>
      </c>
      <c r="B852" s="510" t="s">
        <v>1181</v>
      </c>
      <c r="C852" s="509" t="s">
        <v>328</v>
      </c>
      <c r="D852" s="511">
        <v>245488</v>
      </c>
      <c r="E852" s="507" t="s">
        <v>6108</v>
      </c>
    </row>
    <row r="853" spans="1:5" ht="15" x14ac:dyDescent="0.35">
      <c r="A853" s="509">
        <v>4612</v>
      </c>
      <c r="B853" s="510" t="s">
        <v>1182</v>
      </c>
      <c r="C853" s="509" t="s">
        <v>328</v>
      </c>
      <c r="D853" s="511">
        <v>245488</v>
      </c>
      <c r="E853" s="507" t="s">
        <v>6108</v>
      </c>
    </row>
    <row r="854" spans="1:5" ht="15" x14ac:dyDescent="0.35">
      <c r="A854" s="509">
        <v>4613</v>
      </c>
      <c r="B854" s="510" t="s">
        <v>1183</v>
      </c>
      <c r="C854" s="509" t="s">
        <v>30</v>
      </c>
      <c r="D854" s="511">
        <v>58200</v>
      </c>
      <c r="E854" s="507" t="s">
        <v>331</v>
      </c>
    </row>
    <row r="855" spans="1:5" ht="15" x14ac:dyDescent="0.35">
      <c r="A855" s="509">
        <v>4614</v>
      </c>
      <c r="B855" s="510" t="s">
        <v>1184</v>
      </c>
      <c r="C855" s="509" t="s">
        <v>328</v>
      </c>
      <c r="D855" s="512">
        <v>247872</v>
      </c>
      <c r="E855" s="507" t="s">
        <v>6108</v>
      </c>
    </row>
    <row r="856" spans="1:5" ht="15" x14ac:dyDescent="0.35">
      <c r="A856" s="509">
        <v>4615</v>
      </c>
      <c r="B856" s="510" t="s">
        <v>1185</v>
      </c>
      <c r="C856" s="509" t="s">
        <v>328</v>
      </c>
      <c r="D856" s="512">
        <v>310102</v>
      </c>
      <c r="E856" s="507" t="s">
        <v>6108</v>
      </c>
    </row>
    <row r="857" spans="1:5" ht="15" x14ac:dyDescent="0.35">
      <c r="A857" s="509">
        <v>4616</v>
      </c>
      <c r="B857" s="510" t="s">
        <v>1186</v>
      </c>
      <c r="C857" s="509" t="s">
        <v>328</v>
      </c>
      <c r="D857" s="512">
        <v>310102</v>
      </c>
      <c r="E857" s="507" t="s">
        <v>6108</v>
      </c>
    </row>
    <row r="858" spans="1:5" ht="15" x14ac:dyDescent="0.35">
      <c r="A858" s="509">
        <v>4617</v>
      </c>
      <c r="B858" s="510" t="s">
        <v>1187</v>
      </c>
      <c r="C858" s="509" t="s">
        <v>328</v>
      </c>
      <c r="D858" s="512">
        <v>321449</v>
      </c>
      <c r="E858" s="507" t="s">
        <v>6108</v>
      </c>
    </row>
    <row r="859" spans="1:5" ht="15" x14ac:dyDescent="0.35">
      <c r="A859" s="509">
        <v>4618</v>
      </c>
      <c r="B859" s="510" t="s">
        <v>1188</v>
      </c>
      <c r="C859" s="509" t="s">
        <v>328</v>
      </c>
      <c r="D859" s="512">
        <v>381923</v>
      </c>
      <c r="E859" s="507" t="s">
        <v>6108</v>
      </c>
    </row>
    <row r="860" spans="1:5" ht="15" x14ac:dyDescent="0.35">
      <c r="A860" s="509">
        <v>4619</v>
      </c>
      <c r="B860" s="510" t="s">
        <v>1189</v>
      </c>
      <c r="C860" s="509" t="s">
        <v>328</v>
      </c>
      <c r="D860" s="512">
        <v>423458</v>
      </c>
      <c r="E860" s="507" t="s">
        <v>6108</v>
      </c>
    </row>
    <row r="861" spans="1:5" ht="15" x14ac:dyDescent="0.35">
      <c r="A861" s="509">
        <v>4620</v>
      </c>
      <c r="B861" s="510" t="s">
        <v>1190</v>
      </c>
      <c r="C861" s="509" t="s">
        <v>328</v>
      </c>
      <c r="D861" s="512">
        <v>488544</v>
      </c>
      <c r="E861" s="507" t="s">
        <v>331</v>
      </c>
    </row>
    <row r="862" spans="1:5" ht="15" x14ac:dyDescent="0.35">
      <c r="A862" s="509">
        <v>4621</v>
      </c>
      <c r="B862" s="510" t="s">
        <v>1191</v>
      </c>
      <c r="C862" s="509" t="s">
        <v>328</v>
      </c>
      <c r="D862" s="511">
        <v>429608</v>
      </c>
      <c r="E862" s="507" t="s">
        <v>6108</v>
      </c>
    </row>
    <row r="863" spans="1:5" ht="15" x14ac:dyDescent="0.35">
      <c r="A863" s="509">
        <v>4622</v>
      </c>
      <c r="B863" s="510" t="s">
        <v>1192</v>
      </c>
      <c r="C863" s="509" t="s">
        <v>328</v>
      </c>
      <c r="D863" s="512">
        <v>542291</v>
      </c>
      <c r="E863" s="507" t="s">
        <v>331</v>
      </c>
    </row>
    <row r="864" spans="1:5" ht="15" x14ac:dyDescent="0.35">
      <c r="A864" s="509">
        <v>4624</v>
      </c>
      <c r="B864" s="510" t="s">
        <v>1193</v>
      </c>
      <c r="C864" s="509" t="s">
        <v>328</v>
      </c>
      <c r="D864" s="512">
        <v>428198</v>
      </c>
      <c r="E864" s="507" t="s">
        <v>331</v>
      </c>
    </row>
    <row r="865" spans="1:5" ht="15" x14ac:dyDescent="0.35">
      <c r="A865" s="509">
        <v>4625</v>
      </c>
      <c r="B865" s="510" t="s">
        <v>1194</v>
      </c>
      <c r="C865" s="509" t="s">
        <v>328</v>
      </c>
      <c r="D865" s="511">
        <v>527492</v>
      </c>
      <c r="E865" s="507" t="s">
        <v>6108</v>
      </c>
    </row>
    <row r="866" spans="1:5" ht="15" x14ac:dyDescent="0.35">
      <c r="A866" s="509">
        <v>4626</v>
      </c>
      <c r="B866" s="510" t="s">
        <v>1195</v>
      </c>
      <c r="C866" s="509" t="s">
        <v>328</v>
      </c>
      <c r="D866" s="512">
        <v>671980</v>
      </c>
      <c r="E866" s="507" t="s">
        <v>6108</v>
      </c>
    </row>
    <row r="867" spans="1:5" ht="15" x14ac:dyDescent="0.35">
      <c r="A867" s="509">
        <v>4627</v>
      </c>
      <c r="B867" s="510" t="s">
        <v>1196</v>
      </c>
      <c r="C867" s="509" t="s">
        <v>328</v>
      </c>
      <c r="D867" s="512">
        <v>738094</v>
      </c>
      <c r="E867" s="507" t="s">
        <v>6108</v>
      </c>
    </row>
    <row r="868" spans="1:5" ht="15" x14ac:dyDescent="0.35">
      <c r="A868" s="509">
        <v>4628</v>
      </c>
      <c r="B868" s="510" t="s">
        <v>1197</v>
      </c>
      <c r="C868" s="509" t="s">
        <v>328</v>
      </c>
      <c r="D868" s="512">
        <v>915949</v>
      </c>
      <c r="E868" s="507" t="s">
        <v>6108</v>
      </c>
    </row>
    <row r="869" spans="1:5" ht="15" x14ac:dyDescent="0.35">
      <c r="A869" s="509">
        <v>4629</v>
      </c>
      <c r="B869" s="510" t="s">
        <v>1198</v>
      </c>
      <c r="C869" s="509" t="s">
        <v>328</v>
      </c>
      <c r="D869" s="511">
        <v>1065742</v>
      </c>
      <c r="E869" s="507" t="s">
        <v>6108</v>
      </c>
    </row>
    <row r="870" spans="1:5" ht="15" x14ac:dyDescent="0.35">
      <c r="A870" s="509">
        <v>4630</v>
      </c>
      <c r="B870" s="510" t="s">
        <v>1199</v>
      </c>
      <c r="C870" s="509" t="s">
        <v>328</v>
      </c>
      <c r="D870" s="512">
        <v>1331624</v>
      </c>
      <c r="E870" s="507" t="s">
        <v>6108</v>
      </c>
    </row>
    <row r="871" spans="1:5" ht="15" x14ac:dyDescent="0.35">
      <c r="A871" s="509">
        <v>4631</v>
      </c>
      <c r="B871" s="510" t="s">
        <v>1200</v>
      </c>
      <c r="C871" s="509" t="s">
        <v>328</v>
      </c>
      <c r="D871" s="511">
        <v>1661659</v>
      </c>
      <c r="E871" s="507" t="s">
        <v>331</v>
      </c>
    </row>
    <row r="872" spans="1:5" ht="15" x14ac:dyDescent="0.35">
      <c r="A872" s="509">
        <v>4632</v>
      </c>
      <c r="B872" s="510" t="s">
        <v>1201</v>
      </c>
      <c r="C872" s="509" t="s">
        <v>328</v>
      </c>
      <c r="D872" s="511">
        <v>1882109</v>
      </c>
      <c r="E872" s="507" t="s">
        <v>331</v>
      </c>
    </row>
    <row r="873" spans="1:5" ht="15" x14ac:dyDescent="0.35">
      <c r="A873" s="509">
        <v>4633</v>
      </c>
      <c r="B873" s="510" t="s">
        <v>1202</v>
      </c>
      <c r="C873" s="509" t="s">
        <v>328</v>
      </c>
      <c r="D873" s="511">
        <v>2066625</v>
      </c>
      <c r="E873" s="507" t="s">
        <v>331</v>
      </c>
    </row>
    <row r="874" spans="1:5" ht="15" x14ac:dyDescent="0.35">
      <c r="A874" s="509">
        <v>4634</v>
      </c>
      <c r="B874" s="510" t="s">
        <v>1203</v>
      </c>
      <c r="C874" s="509" t="s">
        <v>328</v>
      </c>
      <c r="D874" s="511">
        <v>2320232</v>
      </c>
      <c r="E874" s="507" t="s">
        <v>6108</v>
      </c>
    </row>
    <row r="875" spans="1:5" ht="15" x14ac:dyDescent="0.35">
      <c r="A875" s="509">
        <v>4635</v>
      </c>
      <c r="B875" s="510" t="s">
        <v>1204</v>
      </c>
      <c r="C875" s="509" t="s">
        <v>328</v>
      </c>
      <c r="D875" s="511">
        <v>2936790</v>
      </c>
      <c r="E875" s="507" t="s">
        <v>6108</v>
      </c>
    </row>
    <row r="876" spans="1:5" ht="15" x14ac:dyDescent="0.35">
      <c r="A876" s="509">
        <v>4636</v>
      </c>
      <c r="B876" s="510" t="s">
        <v>1205</v>
      </c>
      <c r="C876" s="509" t="s">
        <v>328</v>
      </c>
      <c r="D876" s="511">
        <v>3254894</v>
      </c>
      <c r="E876" s="507" t="s">
        <v>6108</v>
      </c>
    </row>
    <row r="877" spans="1:5" ht="15" x14ac:dyDescent="0.35">
      <c r="A877" s="509">
        <v>4637</v>
      </c>
      <c r="B877" s="510" t="s">
        <v>1206</v>
      </c>
      <c r="C877" s="509" t="s">
        <v>328</v>
      </c>
      <c r="D877" s="512">
        <v>3588571</v>
      </c>
      <c r="E877" s="507" t="s">
        <v>331</v>
      </c>
    </row>
    <row r="878" spans="1:5" ht="15" x14ac:dyDescent="0.35">
      <c r="A878" s="509">
        <v>4638</v>
      </c>
      <c r="B878" s="510" t="s">
        <v>1207</v>
      </c>
      <c r="C878" s="509" t="s">
        <v>328</v>
      </c>
      <c r="D878" s="511">
        <v>3935230</v>
      </c>
      <c r="E878" s="507" t="s">
        <v>6108</v>
      </c>
    </row>
    <row r="879" spans="1:5" ht="15" x14ac:dyDescent="0.35">
      <c r="A879" s="509">
        <v>4639</v>
      </c>
      <c r="B879" s="510" t="s">
        <v>1208</v>
      </c>
      <c r="C879" s="509" t="s">
        <v>21</v>
      </c>
      <c r="D879" s="511">
        <v>488256</v>
      </c>
      <c r="E879" s="507" t="s">
        <v>6108</v>
      </c>
    </row>
    <row r="880" spans="1:5" ht="15" x14ac:dyDescent="0.35">
      <c r="A880" s="509">
        <v>4640</v>
      </c>
      <c r="B880" s="510" t="s">
        <v>1209</v>
      </c>
      <c r="C880" s="509" t="s">
        <v>21</v>
      </c>
      <c r="D880" s="511">
        <v>453259</v>
      </c>
      <c r="E880" s="507" t="s">
        <v>6108</v>
      </c>
    </row>
    <row r="881" spans="1:5" ht="15" x14ac:dyDescent="0.35">
      <c r="A881" s="509">
        <v>4641</v>
      </c>
      <c r="B881" s="510" t="s">
        <v>1210</v>
      </c>
      <c r="C881" s="509" t="s">
        <v>32</v>
      </c>
      <c r="D881" s="511">
        <v>629932</v>
      </c>
      <c r="E881" s="507" t="s">
        <v>6108</v>
      </c>
    </row>
    <row r="882" spans="1:5" ht="15" x14ac:dyDescent="0.35">
      <c r="A882" s="509">
        <v>4642</v>
      </c>
      <c r="B882" s="510" t="s">
        <v>1211</v>
      </c>
      <c r="C882" s="509" t="s">
        <v>32</v>
      </c>
      <c r="D882" s="511">
        <v>653898</v>
      </c>
      <c r="E882" s="507" t="s">
        <v>331</v>
      </c>
    </row>
    <row r="883" spans="1:5" ht="15" x14ac:dyDescent="0.35">
      <c r="A883" s="509">
        <v>4643</v>
      </c>
      <c r="B883" s="510" t="s">
        <v>1212</v>
      </c>
      <c r="C883" s="509" t="s">
        <v>32</v>
      </c>
      <c r="D883" s="511">
        <v>676878</v>
      </c>
      <c r="E883" s="507" t="s">
        <v>331</v>
      </c>
    </row>
    <row r="884" spans="1:5" ht="15" x14ac:dyDescent="0.35">
      <c r="A884" s="509">
        <v>4644</v>
      </c>
      <c r="B884" s="510" t="s">
        <v>1213</v>
      </c>
      <c r="C884" s="509" t="s">
        <v>32</v>
      </c>
      <c r="D884" s="511">
        <v>714166</v>
      </c>
      <c r="E884" s="507" t="s">
        <v>6108</v>
      </c>
    </row>
    <row r="885" spans="1:5" ht="15" x14ac:dyDescent="0.35">
      <c r="A885" s="509">
        <v>4645</v>
      </c>
      <c r="B885" s="510" t="s">
        <v>1214</v>
      </c>
      <c r="C885" s="509" t="s">
        <v>32</v>
      </c>
      <c r="D885" s="511">
        <v>915885</v>
      </c>
      <c r="E885" s="507" t="s">
        <v>6109</v>
      </c>
    </row>
    <row r="886" spans="1:5" ht="15" x14ac:dyDescent="0.35">
      <c r="A886" s="509">
        <v>4646</v>
      </c>
      <c r="B886" s="510" t="s">
        <v>1215</v>
      </c>
      <c r="C886" s="509" t="s">
        <v>32</v>
      </c>
      <c r="D886" s="511">
        <v>978959</v>
      </c>
      <c r="E886" s="507" t="s">
        <v>331</v>
      </c>
    </row>
    <row r="887" spans="1:5" ht="15" x14ac:dyDescent="0.35">
      <c r="A887" s="509">
        <v>4647</v>
      </c>
      <c r="B887" s="510" t="s">
        <v>1216</v>
      </c>
      <c r="C887" s="509" t="s">
        <v>32</v>
      </c>
      <c r="D887" s="512">
        <v>1057117</v>
      </c>
      <c r="E887" s="507" t="s">
        <v>6109</v>
      </c>
    </row>
    <row r="888" spans="1:5" ht="15" x14ac:dyDescent="0.35">
      <c r="A888" s="509">
        <v>4648</v>
      </c>
      <c r="B888" s="510" t="s">
        <v>1217</v>
      </c>
      <c r="C888" s="509" t="s">
        <v>32</v>
      </c>
      <c r="D888" s="512">
        <v>1137209</v>
      </c>
      <c r="E888" s="507" t="s">
        <v>6108</v>
      </c>
    </row>
    <row r="889" spans="1:5" ht="15" x14ac:dyDescent="0.35">
      <c r="A889" s="509">
        <v>4649</v>
      </c>
      <c r="B889" s="510" t="s">
        <v>1218</v>
      </c>
      <c r="C889" s="509" t="s">
        <v>32</v>
      </c>
      <c r="D889" s="512">
        <v>931735</v>
      </c>
      <c r="E889" s="507" t="s">
        <v>331</v>
      </c>
    </row>
    <row r="890" spans="1:5" ht="15" x14ac:dyDescent="0.35">
      <c r="A890" s="509">
        <v>4650</v>
      </c>
      <c r="B890" s="510" t="s">
        <v>1219</v>
      </c>
      <c r="C890" s="509" t="s">
        <v>32</v>
      </c>
      <c r="D890" s="512">
        <v>972946</v>
      </c>
      <c r="E890" s="507" t="s">
        <v>6108</v>
      </c>
    </row>
    <row r="891" spans="1:5" ht="15" x14ac:dyDescent="0.35">
      <c r="A891" s="509">
        <v>4651</v>
      </c>
      <c r="B891" s="510" t="s">
        <v>1220</v>
      </c>
      <c r="C891" s="509" t="s">
        <v>32</v>
      </c>
      <c r="D891" s="512">
        <v>1085731</v>
      </c>
      <c r="E891" s="507" t="s">
        <v>6108</v>
      </c>
    </row>
    <row r="892" spans="1:5" ht="15" x14ac:dyDescent="0.35">
      <c r="A892" s="509">
        <v>4652</v>
      </c>
      <c r="B892" s="510" t="s">
        <v>1221</v>
      </c>
      <c r="C892" s="509" t="s">
        <v>32</v>
      </c>
      <c r="D892" s="512">
        <v>1314180</v>
      </c>
      <c r="E892" s="507" t="s">
        <v>6108</v>
      </c>
    </row>
    <row r="893" spans="1:5" ht="15" x14ac:dyDescent="0.35">
      <c r="A893" s="509">
        <v>4653</v>
      </c>
      <c r="B893" s="510" t="s">
        <v>1222</v>
      </c>
      <c r="C893" s="509" t="s">
        <v>32</v>
      </c>
      <c r="D893" s="512">
        <v>1375997</v>
      </c>
      <c r="E893" s="507" t="s">
        <v>6108</v>
      </c>
    </row>
    <row r="894" spans="1:5" ht="15" x14ac:dyDescent="0.35">
      <c r="A894" s="509">
        <v>4654</v>
      </c>
      <c r="B894" s="510" t="s">
        <v>1223</v>
      </c>
      <c r="C894" s="509" t="s">
        <v>32</v>
      </c>
      <c r="D894" s="512">
        <v>1473963</v>
      </c>
      <c r="E894" s="507" t="s">
        <v>6108</v>
      </c>
    </row>
    <row r="895" spans="1:5" ht="15" x14ac:dyDescent="0.35">
      <c r="A895" s="509">
        <v>4655</v>
      </c>
      <c r="B895" s="510" t="s">
        <v>1224</v>
      </c>
      <c r="C895" s="509" t="s">
        <v>32</v>
      </c>
      <c r="D895" s="512">
        <v>1661201</v>
      </c>
      <c r="E895" s="507" t="s">
        <v>6108</v>
      </c>
    </row>
    <row r="896" spans="1:5" ht="15" x14ac:dyDescent="0.35">
      <c r="A896" s="509">
        <v>4656</v>
      </c>
      <c r="B896" s="510" t="s">
        <v>1225</v>
      </c>
      <c r="C896" s="509" t="s">
        <v>32</v>
      </c>
      <c r="D896" s="512">
        <v>1722291</v>
      </c>
      <c r="E896" s="507" t="s">
        <v>6108</v>
      </c>
    </row>
    <row r="897" spans="1:5" ht="15" x14ac:dyDescent="0.35">
      <c r="A897" s="509">
        <v>4657</v>
      </c>
      <c r="B897" s="510" t="s">
        <v>1226</v>
      </c>
      <c r="C897" s="509" t="s">
        <v>32</v>
      </c>
      <c r="D897" s="512">
        <v>1996648</v>
      </c>
      <c r="E897" s="507" t="s">
        <v>6108</v>
      </c>
    </row>
    <row r="898" spans="1:5" ht="15" x14ac:dyDescent="0.35">
      <c r="A898" s="509">
        <v>4658</v>
      </c>
      <c r="B898" s="510" t="s">
        <v>1227</v>
      </c>
      <c r="C898" s="509" t="s">
        <v>32</v>
      </c>
      <c r="D898" s="512">
        <v>2124612</v>
      </c>
      <c r="E898" s="507" t="s">
        <v>6108</v>
      </c>
    </row>
    <row r="899" spans="1:5" ht="15" x14ac:dyDescent="0.35">
      <c r="A899" s="509">
        <v>4659</v>
      </c>
      <c r="B899" s="510" t="s">
        <v>1228</v>
      </c>
      <c r="C899" s="509" t="s">
        <v>328</v>
      </c>
      <c r="D899" s="512">
        <v>4325595</v>
      </c>
      <c r="E899" s="507" t="s">
        <v>6108</v>
      </c>
    </row>
    <row r="900" spans="1:5" ht="15" x14ac:dyDescent="0.35">
      <c r="A900" s="509">
        <v>4660</v>
      </c>
      <c r="B900" s="510" t="s">
        <v>1229</v>
      </c>
      <c r="C900" s="509" t="s">
        <v>328</v>
      </c>
      <c r="D900" s="512">
        <v>5092815</v>
      </c>
      <c r="E900" s="507" t="s">
        <v>6108</v>
      </c>
    </row>
    <row r="901" spans="1:5" ht="15" x14ac:dyDescent="0.35">
      <c r="A901" s="509">
        <v>4661</v>
      </c>
      <c r="B901" s="510" t="s">
        <v>1230</v>
      </c>
      <c r="C901" s="509" t="s">
        <v>328</v>
      </c>
      <c r="D901" s="512">
        <v>6880276</v>
      </c>
      <c r="E901" s="507" t="s">
        <v>6108</v>
      </c>
    </row>
    <row r="902" spans="1:5" ht="15" x14ac:dyDescent="0.35">
      <c r="A902" s="509">
        <v>4662</v>
      </c>
      <c r="B902" s="510" t="s">
        <v>1231</v>
      </c>
      <c r="C902" s="509" t="s">
        <v>32</v>
      </c>
      <c r="D902" s="511">
        <v>2446333</v>
      </c>
      <c r="E902" s="507" t="s">
        <v>6108</v>
      </c>
    </row>
    <row r="903" spans="1:5" ht="15" x14ac:dyDescent="0.35">
      <c r="A903" s="509">
        <v>4663</v>
      </c>
      <c r="B903" s="510" t="s">
        <v>1232</v>
      </c>
      <c r="C903" s="509" t="s">
        <v>21</v>
      </c>
      <c r="D903" s="511">
        <v>206416</v>
      </c>
      <c r="E903" s="507" t="s">
        <v>6108</v>
      </c>
    </row>
    <row r="904" spans="1:5" ht="15" x14ac:dyDescent="0.35">
      <c r="A904" s="509">
        <v>4664</v>
      </c>
      <c r="B904" s="510" t="s">
        <v>1233</v>
      </c>
      <c r="C904" s="509" t="s">
        <v>21</v>
      </c>
      <c r="D904" s="512">
        <v>384106</v>
      </c>
      <c r="E904" s="507" t="s">
        <v>6108</v>
      </c>
    </row>
    <row r="905" spans="1:5" ht="15" x14ac:dyDescent="0.35">
      <c r="A905" s="509">
        <v>4665</v>
      </c>
      <c r="B905" s="510" t="s">
        <v>1234</v>
      </c>
      <c r="C905" s="509" t="s">
        <v>21</v>
      </c>
      <c r="D905" s="512">
        <v>436185</v>
      </c>
      <c r="E905" s="507" t="s">
        <v>6108</v>
      </c>
    </row>
    <row r="906" spans="1:5" ht="15" x14ac:dyDescent="0.35">
      <c r="A906" s="509">
        <v>4666</v>
      </c>
      <c r="B906" s="510" t="s">
        <v>1235</v>
      </c>
      <c r="C906" s="509" t="s">
        <v>21</v>
      </c>
      <c r="D906" s="512">
        <v>339714</v>
      </c>
      <c r="E906" s="507" t="s">
        <v>6108</v>
      </c>
    </row>
    <row r="907" spans="1:5" ht="15" x14ac:dyDescent="0.35">
      <c r="A907" s="509">
        <v>4667</v>
      </c>
      <c r="B907" s="510" t="s">
        <v>1236</v>
      </c>
      <c r="C907" s="509" t="s">
        <v>21</v>
      </c>
      <c r="D907" s="512">
        <v>394920</v>
      </c>
      <c r="E907" s="507" t="s">
        <v>6108</v>
      </c>
    </row>
    <row r="908" spans="1:5" ht="15" x14ac:dyDescent="0.35">
      <c r="A908" s="509">
        <v>4671</v>
      </c>
      <c r="B908" s="510" t="s">
        <v>1237</v>
      </c>
      <c r="C908" s="509" t="s">
        <v>21</v>
      </c>
      <c r="D908" s="512">
        <v>10194</v>
      </c>
      <c r="E908" s="507" t="s">
        <v>6108</v>
      </c>
    </row>
    <row r="909" spans="1:5" ht="15" x14ac:dyDescent="0.35">
      <c r="A909" s="509">
        <v>4672</v>
      </c>
      <c r="B909" s="510" t="s">
        <v>1238</v>
      </c>
      <c r="C909" s="509" t="s">
        <v>21</v>
      </c>
      <c r="D909" s="512">
        <v>8373</v>
      </c>
      <c r="E909" s="507" t="s">
        <v>331</v>
      </c>
    </row>
    <row r="910" spans="1:5" ht="15" x14ac:dyDescent="0.35">
      <c r="A910" s="509">
        <v>4674</v>
      </c>
      <c r="B910" s="510" t="s">
        <v>1239</v>
      </c>
      <c r="C910" s="509" t="s">
        <v>21</v>
      </c>
      <c r="D910" s="512">
        <v>9337</v>
      </c>
      <c r="E910" s="507" t="s">
        <v>331</v>
      </c>
    </row>
    <row r="911" spans="1:5" ht="15" x14ac:dyDescent="0.35">
      <c r="A911" s="509">
        <v>4675</v>
      </c>
      <c r="B911" s="510" t="s">
        <v>1240</v>
      </c>
      <c r="C911" s="509" t="s">
        <v>32</v>
      </c>
      <c r="D911" s="512">
        <v>466583</v>
      </c>
      <c r="E911" s="507" t="s">
        <v>6108</v>
      </c>
    </row>
    <row r="912" spans="1:5" ht="15" x14ac:dyDescent="0.35">
      <c r="A912" s="509">
        <v>4676</v>
      </c>
      <c r="B912" s="510" t="s">
        <v>1241</v>
      </c>
      <c r="C912" s="509" t="s">
        <v>21</v>
      </c>
      <c r="D912" s="512">
        <v>10194</v>
      </c>
      <c r="E912" s="507" t="s">
        <v>6108</v>
      </c>
    </row>
    <row r="913" spans="1:5" ht="15" x14ac:dyDescent="0.35">
      <c r="A913" s="509">
        <v>4678</v>
      </c>
      <c r="B913" s="510" t="s">
        <v>1242</v>
      </c>
      <c r="C913" s="509" t="s">
        <v>21</v>
      </c>
      <c r="D913" s="512">
        <v>126216</v>
      </c>
      <c r="E913" s="507" t="s">
        <v>6108</v>
      </c>
    </row>
    <row r="914" spans="1:5" ht="15" x14ac:dyDescent="0.35">
      <c r="A914" s="509">
        <v>4686</v>
      </c>
      <c r="B914" s="510" t="s">
        <v>1243</v>
      </c>
      <c r="C914" s="509" t="s">
        <v>32</v>
      </c>
      <c r="D914" s="512">
        <v>302763</v>
      </c>
      <c r="E914" s="507" t="s">
        <v>331</v>
      </c>
    </row>
    <row r="915" spans="1:5" ht="15" x14ac:dyDescent="0.35">
      <c r="A915" s="509">
        <v>4687</v>
      </c>
      <c r="B915" s="510" t="s">
        <v>1244</v>
      </c>
      <c r="C915" s="509" t="s">
        <v>32</v>
      </c>
      <c r="D915" s="512">
        <v>162973</v>
      </c>
      <c r="E915" s="507" t="s">
        <v>331</v>
      </c>
    </row>
    <row r="916" spans="1:5" ht="15" x14ac:dyDescent="0.35">
      <c r="A916" s="509">
        <v>4688</v>
      </c>
      <c r="B916" s="510" t="s">
        <v>1245</v>
      </c>
      <c r="C916" s="509" t="s">
        <v>32</v>
      </c>
      <c r="D916" s="512">
        <v>277440</v>
      </c>
      <c r="E916" s="507" t="s">
        <v>6108</v>
      </c>
    </row>
    <row r="917" spans="1:5" ht="15" x14ac:dyDescent="0.35">
      <c r="A917" s="509">
        <v>4689</v>
      </c>
      <c r="B917" s="510" t="s">
        <v>1246</v>
      </c>
      <c r="C917" s="509" t="s">
        <v>32</v>
      </c>
      <c r="D917" s="512">
        <v>240307</v>
      </c>
      <c r="E917" s="507" t="s">
        <v>6108</v>
      </c>
    </row>
    <row r="918" spans="1:5" ht="15" x14ac:dyDescent="0.35">
      <c r="A918" s="509">
        <v>4690</v>
      </c>
      <c r="B918" s="510" t="s">
        <v>1247</v>
      </c>
      <c r="C918" s="509" t="s">
        <v>32</v>
      </c>
      <c r="D918" s="512">
        <v>241137</v>
      </c>
      <c r="E918" s="507" t="s">
        <v>331</v>
      </c>
    </row>
    <row r="919" spans="1:5" ht="15" x14ac:dyDescent="0.35">
      <c r="A919" s="509">
        <v>4691</v>
      </c>
      <c r="B919" s="510" t="s">
        <v>1248</v>
      </c>
      <c r="C919" s="509" t="s">
        <v>32</v>
      </c>
      <c r="D919" s="512">
        <v>188809</v>
      </c>
      <c r="E919" s="507" t="s">
        <v>6108</v>
      </c>
    </row>
    <row r="920" spans="1:5" ht="15" x14ac:dyDescent="0.35">
      <c r="A920" s="509">
        <v>4692</v>
      </c>
      <c r="B920" s="510" t="s">
        <v>1249</v>
      </c>
      <c r="C920" s="509" t="s">
        <v>32</v>
      </c>
      <c r="D920" s="512">
        <v>211440</v>
      </c>
      <c r="E920" s="507" t="s">
        <v>6108</v>
      </c>
    </row>
    <row r="921" spans="1:5" ht="15" x14ac:dyDescent="0.35">
      <c r="A921" s="509">
        <v>4693</v>
      </c>
      <c r="B921" s="510" t="s">
        <v>1250</v>
      </c>
      <c r="C921" s="509" t="s">
        <v>32</v>
      </c>
      <c r="D921" s="512">
        <v>212270</v>
      </c>
      <c r="E921" s="507" t="s">
        <v>331</v>
      </c>
    </row>
    <row r="922" spans="1:5" ht="15" x14ac:dyDescent="0.35">
      <c r="A922" s="509">
        <v>4694</v>
      </c>
      <c r="B922" s="510" t="s">
        <v>1251</v>
      </c>
      <c r="C922" s="509" t="s">
        <v>32</v>
      </c>
      <c r="D922" s="512">
        <v>168886</v>
      </c>
      <c r="E922" s="507" t="s">
        <v>6108</v>
      </c>
    </row>
    <row r="923" spans="1:5" ht="15" x14ac:dyDescent="0.35">
      <c r="A923" s="509">
        <v>4695</v>
      </c>
      <c r="B923" s="510" t="s">
        <v>1252</v>
      </c>
      <c r="C923" s="509" t="s">
        <v>670</v>
      </c>
      <c r="D923" s="512">
        <v>3421</v>
      </c>
      <c r="E923" s="507" t="s">
        <v>6108</v>
      </c>
    </row>
    <row r="924" spans="1:5" ht="15" x14ac:dyDescent="0.35">
      <c r="A924" s="509">
        <v>4696</v>
      </c>
      <c r="B924" s="510" t="s">
        <v>1253</v>
      </c>
      <c r="C924" s="509" t="s">
        <v>670</v>
      </c>
      <c r="D924" s="512">
        <v>3771</v>
      </c>
      <c r="E924" s="507" t="s">
        <v>6108</v>
      </c>
    </row>
    <row r="925" spans="1:5" ht="15" x14ac:dyDescent="0.35">
      <c r="A925" s="509">
        <v>4697</v>
      </c>
      <c r="B925" s="510" t="s">
        <v>1254</v>
      </c>
      <c r="C925" s="509" t="s">
        <v>32</v>
      </c>
      <c r="D925" s="512">
        <v>282461</v>
      </c>
      <c r="E925" s="507" t="s">
        <v>6108</v>
      </c>
    </row>
    <row r="926" spans="1:5" ht="15" x14ac:dyDescent="0.35">
      <c r="A926" s="509">
        <v>4698</v>
      </c>
      <c r="B926" s="510" t="s">
        <v>1255</v>
      </c>
      <c r="C926" s="509" t="s">
        <v>32</v>
      </c>
      <c r="D926" s="511">
        <v>282238</v>
      </c>
      <c r="E926" s="507" t="s">
        <v>331</v>
      </c>
    </row>
    <row r="927" spans="1:5" ht="15" x14ac:dyDescent="0.35">
      <c r="A927" s="509">
        <v>4699</v>
      </c>
      <c r="B927" s="510" t="s">
        <v>1256</v>
      </c>
      <c r="C927" s="509" t="s">
        <v>32</v>
      </c>
      <c r="D927" s="511">
        <v>289520</v>
      </c>
      <c r="E927" s="507" t="s">
        <v>6108</v>
      </c>
    </row>
    <row r="928" spans="1:5" ht="15" x14ac:dyDescent="0.35">
      <c r="A928" s="509">
        <v>4700</v>
      </c>
      <c r="B928" s="510" t="s">
        <v>1257</v>
      </c>
      <c r="C928" s="509" t="s">
        <v>32</v>
      </c>
      <c r="D928" s="511">
        <v>283459</v>
      </c>
      <c r="E928" s="507" t="s">
        <v>6108</v>
      </c>
    </row>
    <row r="929" spans="1:5" ht="15" x14ac:dyDescent="0.35">
      <c r="A929" s="509">
        <v>4702</v>
      </c>
      <c r="B929" s="510" t="s">
        <v>1258</v>
      </c>
      <c r="C929" s="509" t="s">
        <v>21</v>
      </c>
      <c r="D929" s="511">
        <v>3642</v>
      </c>
      <c r="E929" s="507" t="s">
        <v>6108</v>
      </c>
    </row>
    <row r="930" spans="1:5" ht="15" x14ac:dyDescent="0.35">
      <c r="A930" s="509">
        <v>4703</v>
      </c>
      <c r="B930" s="510" t="s">
        <v>1259</v>
      </c>
      <c r="C930" s="509" t="s">
        <v>21</v>
      </c>
      <c r="D930" s="511">
        <v>2617</v>
      </c>
      <c r="E930" s="507" t="s">
        <v>6108</v>
      </c>
    </row>
    <row r="931" spans="1:5" ht="15" x14ac:dyDescent="0.35">
      <c r="A931" s="509">
        <v>4704</v>
      </c>
      <c r="B931" s="510" t="s">
        <v>1260</v>
      </c>
      <c r="C931" s="509" t="s">
        <v>21</v>
      </c>
      <c r="D931" s="512">
        <v>2862</v>
      </c>
      <c r="E931" s="507" t="s">
        <v>6108</v>
      </c>
    </row>
    <row r="932" spans="1:5" ht="15" x14ac:dyDescent="0.35">
      <c r="A932" s="509">
        <v>4708</v>
      </c>
      <c r="B932" s="510" t="s">
        <v>1261</v>
      </c>
      <c r="C932" s="509" t="s">
        <v>21</v>
      </c>
      <c r="D932" s="512">
        <v>541915</v>
      </c>
      <c r="E932" s="507" t="s">
        <v>6108</v>
      </c>
    </row>
    <row r="933" spans="1:5" ht="15" x14ac:dyDescent="0.35">
      <c r="A933" s="509">
        <v>4709</v>
      </c>
      <c r="B933" s="510" t="s">
        <v>1262</v>
      </c>
      <c r="C933" s="509" t="s">
        <v>21</v>
      </c>
      <c r="D933" s="512">
        <v>175063</v>
      </c>
      <c r="E933" s="507" t="s">
        <v>6108</v>
      </c>
    </row>
    <row r="934" spans="1:5" ht="15" x14ac:dyDescent="0.35">
      <c r="A934" s="509">
        <v>4710</v>
      </c>
      <c r="B934" s="510" t="s">
        <v>1263</v>
      </c>
      <c r="C934" s="509" t="s">
        <v>328</v>
      </c>
      <c r="D934" s="512">
        <v>15316</v>
      </c>
      <c r="E934" s="507" t="s">
        <v>6108</v>
      </c>
    </row>
    <row r="935" spans="1:5" ht="15" x14ac:dyDescent="0.35">
      <c r="A935" s="509">
        <v>4711</v>
      </c>
      <c r="B935" s="510" t="s">
        <v>1264</v>
      </c>
      <c r="C935" s="509" t="s">
        <v>32</v>
      </c>
      <c r="D935" s="512">
        <v>45027</v>
      </c>
      <c r="E935" s="507" t="s">
        <v>6108</v>
      </c>
    </row>
    <row r="936" spans="1:5" ht="15" x14ac:dyDescent="0.35">
      <c r="A936" s="509">
        <v>4712</v>
      </c>
      <c r="B936" s="510" t="s">
        <v>1265</v>
      </c>
      <c r="C936" s="509" t="s">
        <v>30</v>
      </c>
      <c r="D936" s="512">
        <v>1557607</v>
      </c>
      <c r="E936" s="507" t="s">
        <v>331</v>
      </c>
    </row>
    <row r="937" spans="1:5" ht="15" x14ac:dyDescent="0.35">
      <c r="A937" s="509">
        <v>4737</v>
      </c>
      <c r="B937" s="510" t="s">
        <v>1266</v>
      </c>
      <c r="C937" s="509" t="s">
        <v>328</v>
      </c>
      <c r="D937" s="512">
        <v>1027355</v>
      </c>
      <c r="E937" s="507" t="s">
        <v>331</v>
      </c>
    </row>
    <row r="938" spans="1:5" ht="15" x14ac:dyDescent="0.35">
      <c r="A938" s="509">
        <v>4738</v>
      </c>
      <c r="B938" s="510" t="s">
        <v>1267</v>
      </c>
      <c r="C938" s="509" t="s">
        <v>328</v>
      </c>
      <c r="D938" s="512">
        <v>855881</v>
      </c>
      <c r="E938" s="507" t="s">
        <v>6108</v>
      </c>
    </row>
    <row r="939" spans="1:5" ht="15" x14ac:dyDescent="0.35">
      <c r="A939" s="509">
        <v>4739</v>
      </c>
      <c r="B939" s="510" t="s">
        <v>1268</v>
      </c>
      <c r="C939" s="509" t="s">
        <v>328</v>
      </c>
      <c r="D939" s="512">
        <v>1319156</v>
      </c>
      <c r="E939" s="507" t="s">
        <v>6109</v>
      </c>
    </row>
    <row r="940" spans="1:5" ht="15" x14ac:dyDescent="0.35">
      <c r="A940" s="509">
        <v>4740</v>
      </c>
      <c r="B940" s="510" t="s">
        <v>1269</v>
      </c>
      <c r="C940" s="509" t="s">
        <v>328</v>
      </c>
      <c r="D940" s="512">
        <v>1407208</v>
      </c>
      <c r="E940" s="507" t="s">
        <v>331</v>
      </c>
    </row>
    <row r="941" spans="1:5" ht="15" x14ac:dyDescent="0.35">
      <c r="A941" s="509">
        <v>4741</v>
      </c>
      <c r="B941" s="510" t="s">
        <v>1270</v>
      </c>
      <c r="C941" s="509" t="s">
        <v>328</v>
      </c>
      <c r="D941" s="512">
        <v>1615588</v>
      </c>
      <c r="E941" s="507" t="s">
        <v>6108</v>
      </c>
    </row>
    <row r="942" spans="1:5" ht="15" x14ac:dyDescent="0.35">
      <c r="A942" s="509">
        <v>4742</v>
      </c>
      <c r="B942" s="510" t="s">
        <v>1271</v>
      </c>
      <c r="C942" s="509" t="s">
        <v>328</v>
      </c>
      <c r="D942" s="512">
        <v>1836270</v>
      </c>
      <c r="E942" s="507" t="s">
        <v>6108</v>
      </c>
    </row>
    <row r="943" spans="1:5" ht="15" x14ac:dyDescent="0.35">
      <c r="A943" s="509">
        <v>4743</v>
      </c>
      <c r="B943" s="510" t="s">
        <v>1272</v>
      </c>
      <c r="C943" s="509" t="s">
        <v>30</v>
      </c>
      <c r="D943" s="512">
        <v>176303</v>
      </c>
      <c r="E943" s="507" t="s">
        <v>6108</v>
      </c>
    </row>
    <row r="944" spans="1:5" ht="15" x14ac:dyDescent="0.35">
      <c r="A944" s="509">
        <v>4744</v>
      </c>
      <c r="B944" s="510" t="s">
        <v>1273</v>
      </c>
      <c r="C944" s="509" t="s">
        <v>30</v>
      </c>
      <c r="D944" s="512">
        <v>193214</v>
      </c>
      <c r="E944" s="507" t="s">
        <v>6108</v>
      </c>
    </row>
    <row r="945" spans="1:5" ht="15" x14ac:dyDescent="0.35">
      <c r="A945" s="509">
        <v>4745</v>
      </c>
      <c r="B945" s="510" t="s">
        <v>1274</v>
      </c>
      <c r="C945" s="509" t="s">
        <v>30</v>
      </c>
      <c r="D945" s="512">
        <v>168300</v>
      </c>
      <c r="E945" s="507" t="s">
        <v>6108</v>
      </c>
    </row>
    <row r="946" spans="1:5" ht="15" x14ac:dyDescent="0.35">
      <c r="A946" s="509">
        <v>4746</v>
      </c>
      <c r="B946" s="510" t="s">
        <v>1275</v>
      </c>
      <c r="C946" s="509" t="s">
        <v>30</v>
      </c>
      <c r="D946" s="512">
        <v>166676</v>
      </c>
      <c r="E946" s="507" t="s">
        <v>6108</v>
      </c>
    </row>
    <row r="947" spans="1:5" ht="15" x14ac:dyDescent="0.35">
      <c r="A947" s="509">
        <v>4747</v>
      </c>
      <c r="B947" s="510" t="s">
        <v>1276</v>
      </c>
      <c r="C947" s="509" t="s">
        <v>30</v>
      </c>
      <c r="D947" s="512">
        <v>163821</v>
      </c>
      <c r="E947" s="507" t="s">
        <v>6108</v>
      </c>
    </row>
    <row r="948" spans="1:5" ht="15" x14ac:dyDescent="0.35">
      <c r="A948" s="509">
        <v>4748</v>
      </c>
      <c r="B948" s="510" t="s">
        <v>1277</v>
      </c>
      <c r="C948" s="509" t="s">
        <v>30</v>
      </c>
      <c r="D948" s="512">
        <v>156086</v>
      </c>
      <c r="E948" s="507" t="s">
        <v>6108</v>
      </c>
    </row>
    <row r="949" spans="1:5" ht="15" x14ac:dyDescent="0.35">
      <c r="A949" s="509">
        <v>4749</v>
      </c>
      <c r="B949" s="510" t="s">
        <v>1278</v>
      </c>
      <c r="C949" s="509" t="s">
        <v>30</v>
      </c>
      <c r="D949" s="512">
        <v>173818</v>
      </c>
      <c r="E949" s="507" t="s">
        <v>6108</v>
      </c>
    </row>
    <row r="950" spans="1:5" ht="15" x14ac:dyDescent="0.35">
      <c r="A950" s="509">
        <v>4750</v>
      </c>
      <c r="B950" s="510" t="s">
        <v>1279</v>
      </c>
      <c r="C950" s="509" t="s">
        <v>30</v>
      </c>
      <c r="D950" s="512">
        <v>559738</v>
      </c>
      <c r="E950" s="507" t="s">
        <v>6108</v>
      </c>
    </row>
    <row r="951" spans="1:5" ht="15" x14ac:dyDescent="0.35">
      <c r="A951" s="509">
        <v>4751</v>
      </c>
      <c r="B951" s="510" t="s">
        <v>1280</v>
      </c>
      <c r="C951" s="509" t="s">
        <v>328</v>
      </c>
      <c r="D951" s="512">
        <v>15838</v>
      </c>
      <c r="E951" s="507" t="s">
        <v>6108</v>
      </c>
    </row>
    <row r="952" spans="1:5" ht="15" x14ac:dyDescent="0.35">
      <c r="A952" s="509">
        <v>4753</v>
      </c>
      <c r="B952" s="510" t="s">
        <v>1281</v>
      </c>
      <c r="C952" s="509" t="s">
        <v>30</v>
      </c>
      <c r="D952" s="512">
        <v>177994</v>
      </c>
      <c r="E952" s="507" t="s">
        <v>6108</v>
      </c>
    </row>
    <row r="953" spans="1:5" ht="15" x14ac:dyDescent="0.35">
      <c r="A953" s="509">
        <v>4754</v>
      </c>
      <c r="B953" s="510" t="s">
        <v>1282</v>
      </c>
      <c r="C953" s="509" t="s">
        <v>30</v>
      </c>
      <c r="D953" s="512">
        <v>175139</v>
      </c>
      <c r="E953" s="507" t="s">
        <v>6108</v>
      </c>
    </row>
    <row r="954" spans="1:5" ht="15" x14ac:dyDescent="0.35">
      <c r="A954" s="509">
        <v>4755</v>
      </c>
      <c r="B954" s="510" t="s">
        <v>1283</v>
      </c>
      <c r="C954" s="509" t="s">
        <v>30</v>
      </c>
      <c r="D954" s="512">
        <v>167404</v>
      </c>
      <c r="E954" s="507" t="s">
        <v>6108</v>
      </c>
    </row>
    <row r="955" spans="1:5" ht="15" x14ac:dyDescent="0.35">
      <c r="A955" s="509">
        <v>4758</v>
      </c>
      <c r="B955" s="510" t="s">
        <v>1284</v>
      </c>
      <c r="C955" s="509" t="s">
        <v>328</v>
      </c>
      <c r="D955" s="512">
        <v>10548</v>
      </c>
      <c r="E955" s="507" t="s">
        <v>331</v>
      </c>
    </row>
    <row r="956" spans="1:5" ht="15" x14ac:dyDescent="0.35">
      <c r="A956" s="509">
        <v>4759</v>
      </c>
      <c r="B956" s="510" t="s">
        <v>1285</v>
      </c>
      <c r="C956" s="509" t="s">
        <v>328</v>
      </c>
      <c r="D956" s="512">
        <v>62427</v>
      </c>
      <c r="E956" s="507" t="s">
        <v>331</v>
      </c>
    </row>
    <row r="957" spans="1:5" ht="15" x14ac:dyDescent="0.35">
      <c r="A957" s="509">
        <v>4762</v>
      </c>
      <c r="B957" s="510" t="s">
        <v>1286</v>
      </c>
      <c r="C957" s="509" t="s">
        <v>328</v>
      </c>
      <c r="D957" s="512">
        <v>57606</v>
      </c>
      <c r="E957" s="507" t="s">
        <v>331</v>
      </c>
    </row>
    <row r="958" spans="1:5" ht="15" x14ac:dyDescent="0.35">
      <c r="A958" s="509">
        <v>4764</v>
      </c>
      <c r="B958" s="510" t="s">
        <v>1287</v>
      </c>
      <c r="C958" s="509" t="s">
        <v>32</v>
      </c>
      <c r="D958" s="511">
        <v>2394</v>
      </c>
      <c r="E958" s="507" t="s">
        <v>331</v>
      </c>
    </row>
    <row r="959" spans="1:5" ht="15" x14ac:dyDescent="0.35">
      <c r="A959" s="509">
        <v>4765</v>
      </c>
      <c r="B959" s="510" t="s">
        <v>1288</v>
      </c>
      <c r="C959" s="509" t="s">
        <v>32</v>
      </c>
      <c r="D959" s="511">
        <v>2719</v>
      </c>
      <c r="E959" s="507" t="s">
        <v>331</v>
      </c>
    </row>
    <row r="960" spans="1:5" ht="15" x14ac:dyDescent="0.35">
      <c r="A960" s="509">
        <v>4776</v>
      </c>
      <c r="B960" s="510" t="s">
        <v>1289</v>
      </c>
      <c r="C960" s="509" t="s">
        <v>21</v>
      </c>
      <c r="D960" s="512">
        <v>3126</v>
      </c>
      <c r="E960" s="507" t="s">
        <v>331</v>
      </c>
    </row>
    <row r="961" spans="1:5" ht="15" x14ac:dyDescent="0.35">
      <c r="A961" s="509">
        <v>4777</v>
      </c>
      <c r="B961" s="510" t="s">
        <v>1290</v>
      </c>
      <c r="C961" s="509" t="s">
        <v>21</v>
      </c>
      <c r="D961" s="512">
        <v>11087</v>
      </c>
      <c r="E961" s="507" t="s">
        <v>331</v>
      </c>
    </row>
    <row r="962" spans="1:5" ht="15" x14ac:dyDescent="0.35">
      <c r="A962" s="509">
        <v>4778</v>
      </c>
      <c r="B962" s="510" t="s">
        <v>1291</v>
      </c>
      <c r="C962" s="509" t="s">
        <v>32</v>
      </c>
      <c r="D962" s="512">
        <v>93982</v>
      </c>
      <c r="E962" s="507" t="s">
        <v>331</v>
      </c>
    </row>
    <row r="963" spans="1:5" ht="15" x14ac:dyDescent="0.35">
      <c r="A963" s="509">
        <v>4779</v>
      </c>
      <c r="B963" s="510" t="s">
        <v>1292</v>
      </c>
      <c r="C963" s="509" t="s">
        <v>32</v>
      </c>
      <c r="D963" s="512">
        <v>213058</v>
      </c>
      <c r="E963" s="507" t="s">
        <v>331</v>
      </c>
    </row>
    <row r="964" spans="1:5" ht="15" x14ac:dyDescent="0.35">
      <c r="A964" s="509">
        <v>4780</v>
      </c>
      <c r="B964" s="510" t="s">
        <v>1293</v>
      </c>
      <c r="C964" s="509" t="s">
        <v>1294</v>
      </c>
      <c r="D964" s="512">
        <v>504417</v>
      </c>
      <c r="E964" s="507" t="s">
        <v>331</v>
      </c>
    </row>
    <row r="965" spans="1:5" ht="15" x14ac:dyDescent="0.35">
      <c r="A965" s="509">
        <v>4781</v>
      </c>
      <c r="B965" s="510" t="s">
        <v>1295</v>
      </c>
      <c r="C965" s="509" t="s">
        <v>30</v>
      </c>
      <c r="D965" s="512">
        <v>20924</v>
      </c>
      <c r="E965" s="507" t="s">
        <v>331</v>
      </c>
    </row>
    <row r="966" spans="1:5" ht="15" x14ac:dyDescent="0.35">
      <c r="A966" s="509">
        <v>4782</v>
      </c>
      <c r="B966" s="510" t="s">
        <v>1296</v>
      </c>
      <c r="C966" s="509" t="s">
        <v>21</v>
      </c>
      <c r="D966" s="512">
        <v>1229</v>
      </c>
      <c r="E966" s="507" t="s">
        <v>331</v>
      </c>
    </row>
    <row r="967" spans="1:5" ht="15" x14ac:dyDescent="0.35">
      <c r="A967" s="509">
        <v>4783</v>
      </c>
      <c r="B967" s="510" t="s">
        <v>1297</v>
      </c>
      <c r="C967" s="509" t="s">
        <v>30</v>
      </c>
      <c r="D967" s="512">
        <v>781250</v>
      </c>
      <c r="E967" s="507" t="s">
        <v>331</v>
      </c>
    </row>
    <row r="968" spans="1:5" ht="15" x14ac:dyDescent="0.35">
      <c r="A968" s="509">
        <v>4784</v>
      </c>
      <c r="B968" s="510" t="s">
        <v>1298</v>
      </c>
      <c r="C968" s="509" t="s">
        <v>30</v>
      </c>
      <c r="D968" s="512">
        <v>23870</v>
      </c>
      <c r="E968" s="507" t="s">
        <v>331</v>
      </c>
    </row>
    <row r="969" spans="1:5" ht="15" x14ac:dyDescent="0.35">
      <c r="A969" s="509">
        <v>4786</v>
      </c>
      <c r="B969" s="510" t="s">
        <v>1299</v>
      </c>
      <c r="C969" s="509" t="s">
        <v>328</v>
      </c>
      <c r="D969" s="511">
        <v>363334</v>
      </c>
      <c r="E969" s="507" t="s">
        <v>331</v>
      </c>
    </row>
    <row r="970" spans="1:5" ht="15" x14ac:dyDescent="0.35">
      <c r="A970" s="509">
        <v>4787</v>
      </c>
      <c r="B970" s="510" t="s">
        <v>1300</v>
      </c>
      <c r="C970" s="509" t="s">
        <v>32</v>
      </c>
      <c r="D970" s="511">
        <v>19741</v>
      </c>
      <c r="E970" s="507" t="s">
        <v>331</v>
      </c>
    </row>
    <row r="971" spans="1:5" ht="15" x14ac:dyDescent="0.35">
      <c r="A971" s="509">
        <v>4788</v>
      </c>
      <c r="B971" s="510" t="s">
        <v>1301</v>
      </c>
      <c r="C971" s="509" t="s">
        <v>328</v>
      </c>
      <c r="D971" s="511">
        <v>56957</v>
      </c>
      <c r="E971" s="507" t="s">
        <v>331</v>
      </c>
    </row>
    <row r="972" spans="1:5" ht="15" x14ac:dyDescent="0.35">
      <c r="A972" s="509">
        <v>4789</v>
      </c>
      <c r="B972" s="510" t="s">
        <v>1302</v>
      </c>
      <c r="C972" s="509" t="s">
        <v>328</v>
      </c>
      <c r="D972" s="511">
        <v>14147</v>
      </c>
      <c r="E972" s="507" t="s">
        <v>331</v>
      </c>
    </row>
    <row r="973" spans="1:5" ht="15" x14ac:dyDescent="0.35">
      <c r="A973" s="509">
        <v>4790</v>
      </c>
      <c r="B973" s="510" t="s">
        <v>1303</v>
      </c>
      <c r="C973" s="509" t="s">
        <v>328</v>
      </c>
      <c r="D973" s="512">
        <v>14259</v>
      </c>
      <c r="E973" s="507" t="s">
        <v>331</v>
      </c>
    </row>
    <row r="974" spans="1:5" ht="15" x14ac:dyDescent="0.35">
      <c r="A974" s="509">
        <v>4791</v>
      </c>
      <c r="B974" s="510" t="s">
        <v>1304</v>
      </c>
      <c r="C974" s="509" t="s">
        <v>328</v>
      </c>
      <c r="D974" s="512">
        <v>33376</v>
      </c>
      <c r="E974" s="507" t="s">
        <v>331</v>
      </c>
    </row>
    <row r="975" spans="1:5" ht="15" x14ac:dyDescent="0.35">
      <c r="A975" s="509">
        <v>4792</v>
      </c>
      <c r="B975" s="510" t="s">
        <v>1305</v>
      </c>
      <c r="C975" s="509" t="s">
        <v>30</v>
      </c>
      <c r="D975" s="512">
        <v>105511</v>
      </c>
      <c r="E975" s="507" t="s">
        <v>331</v>
      </c>
    </row>
    <row r="976" spans="1:5" ht="15" x14ac:dyDescent="0.35">
      <c r="A976" s="509">
        <v>4794</v>
      </c>
      <c r="B976" s="510" t="s">
        <v>1306</v>
      </c>
      <c r="C976" s="509" t="s">
        <v>21</v>
      </c>
      <c r="D976" s="512">
        <v>73547</v>
      </c>
      <c r="E976" s="507" t="s">
        <v>331</v>
      </c>
    </row>
    <row r="977" spans="1:5" ht="15" x14ac:dyDescent="0.35">
      <c r="A977" s="509">
        <v>4795</v>
      </c>
      <c r="B977" s="510" t="s">
        <v>1307</v>
      </c>
      <c r="C977" s="509" t="s">
        <v>21</v>
      </c>
      <c r="D977" s="512">
        <v>67406</v>
      </c>
      <c r="E977" s="507" t="s">
        <v>331</v>
      </c>
    </row>
    <row r="978" spans="1:5" ht="15" x14ac:dyDescent="0.35">
      <c r="A978" s="509">
        <v>4797</v>
      </c>
      <c r="B978" s="510" t="s">
        <v>1308</v>
      </c>
      <c r="C978" s="509" t="s">
        <v>32</v>
      </c>
      <c r="D978" s="512">
        <v>244921</v>
      </c>
      <c r="E978" s="507" t="s">
        <v>331</v>
      </c>
    </row>
    <row r="979" spans="1:5" ht="15" x14ac:dyDescent="0.35">
      <c r="A979" s="509">
        <v>4798</v>
      </c>
      <c r="B979" s="510" t="s">
        <v>1309</v>
      </c>
      <c r="C979" s="509" t="s">
        <v>32</v>
      </c>
      <c r="D979" s="512">
        <v>183533</v>
      </c>
      <c r="E979" s="507" t="s">
        <v>331</v>
      </c>
    </row>
    <row r="980" spans="1:5" ht="15" x14ac:dyDescent="0.35">
      <c r="A980" s="509">
        <v>4800</v>
      </c>
      <c r="B980" s="510" t="s">
        <v>1310</v>
      </c>
      <c r="C980" s="509" t="s">
        <v>32</v>
      </c>
      <c r="D980" s="512">
        <v>244843</v>
      </c>
      <c r="E980" s="507" t="s">
        <v>331</v>
      </c>
    </row>
    <row r="981" spans="1:5" ht="15" x14ac:dyDescent="0.35">
      <c r="A981" s="509">
        <v>4801</v>
      </c>
      <c r="B981" s="510" t="s">
        <v>1311</v>
      </c>
      <c r="C981" s="509" t="s">
        <v>328</v>
      </c>
      <c r="D981" s="512">
        <v>20521</v>
      </c>
      <c r="E981" s="507" t="s">
        <v>331</v>
      </c>
    </row>
    <row r="982" spans="1:5" ht="15" x14ac:dyDescent="0.35">
      <c r="A982" s="509">
        <v>4802</v>
      </c>
      <c r="B982" s="510" t="s">
        <v>1312</v>
      </c>
      <c r="C982" s="509" t="s">
        <v>32</v>
      </c>
      <c r="D982" s="512">
        <v>1052900</v>
      </c>
      <c r="E982" s="507" t="s">
        <v>331</v>
      </c>
    </row>
    <row r="983" spans="1:5" ht="15" x14ac:dyDescent="0.35">
      <c r="A983" s="509">
        <v>4803</v>
      </c>
      <c r="B983" s="510" t="s">
        <v>1313</v>
      </c>
      <c r="C983" s="509" t="s">
        <v>32</v>
      </c>
      <c r="D983" s="512">
        <v>1579350</v>
      </c>
      <c r="E983" s="507" t="s">
        <v>331</v>
      </c>
    </row>
    <row r="984" spans="1:5" ht="15" x14ac:dyDescent="0.35">
      <c r="A984" s="509">
        <v>4804</v>
      </c>
      <c r="B984" s="510" t="s">
        <v>1314</v>
      </c>
      <c r="C984" s="509" t="s">
        <v>32</v>
      </c>
      <c r="D984" s="512">
        <v>2105800</v>
      </c>
      <c r="E984" s="507" t="s">
        <v>331</v>
      </c>
    </row>
    <row r="985" spans="1:5" ht="15" x14ac:dyDescent="0.35">
      <c r="A985" s="509">
        <v>4805</v>
      </c>
      <c r="B985" s="510" t="s">
        <v>1315</v>
      </c>
      <c r="C985" s="509" t="s">
        <v>328</v>
      </c>
      <c r="D985" s="512">
        <v>157088</v>
      </c>
      <c r="E985" s="507" t="s">
        <v>331</v>
      </c>
    </row>
    <row r="986" spans="1:5" ht="15" x14ac:dyDescent="0.35">
      <c r="A986" s="509">
        <v>4806</v>
      </c>
      <c r="B986" s="510" t="s">
        <v>1316</v>
      </c>
      <c r="C986" s="509" t="s">
        <v>692</v>
      </c>
      <c r="D986" s="512">
        <v>528918</v>
      </c>
      <c r="E986" s="507" t="s">
        <v>331</v>
      </c>
    </row>
    <row r="987" spans="1:5" ht="15" x14ac:dyDescent="0.35">
      <c r="A987" s="509">
        <v>4807</v>
      </c>
      <c r="B987" s="510" t="s">
        <v>1317</v>
      </c>
      <c r="C987" s="509" t="s">
        <v>979</v>
      </c>
      <c r="D987" s="512">
        <v>72122</v>
      </c>
      <c r="E987" s="507" t="s">
        <v>331</v>
      </c>
    </row>
    <row r="988" spans="1:5" ht="15" x14ac:dyDescent="0.35">
      <c r="A988" s="509">
        <v>4809</v>
      </c>
      <c r="B988" s="510" t="s">
        <v>1319</v>
      </c>
      <c r="C988" s="509" t="s">
        <v>328</v>
      </c>
      <c r="D988" s="512">
        <v>384421</v>
      </c>
      <c r="E988" s="507" t="s">
        <v>331</v>
      </c>
    </row>
    <row r="989" spans="1:5" ht="15" x14ac:dyDescent="0.35">
      <c r="A989" s="509">
        <v>4810</v>
      </c>
      <c r="B989" s="510" t="s">
        <v>1320</v>
      </c>
      <c r="C989" s="509" t="s">
        <v>328</v>
      </c>
      <c r="D989" s="512">
        <v>646028</v>
      </c>
      <c r="E989" s="507" t="s">
        <v>6108</v>
      </c>
    </row>
    <row r="990" spans="1:5" ht="15" x14ac:dyDescent="0.35">
      <c r="A990" s="509">
        <v>4812</v>
      </c>
      <c r="B990" s="510" t="s">
        <v>1321</v>
      </c>
      <c r="C990" s="509" t="s">
        <v>328</v>
      </c>
      <c r="D990" s="512">
        <v>156564</v>
      </c>
      <c r="E990" s="507" t="s">
        <v>6108</v>
      </c>
    </row>
    <row r="991" spans="1:5" ht="15" x14ac:dyDescent="0.35">
      <c r="A991" s="509">
        <v>4813</v>
      </c>
      <c r="B991" s="510" t="s">
        <v>1322</v>
      </c>
      <c r="C991" s="509" t="s">
        <v>32</v>
      </c>
      <c r="D991" s="512">
        <v>36333</v>
      </c>
      <c r="E991" s="507" t="s">
        <v>6108</v>
      </c>
    </row>
    <row r="992" spans="1:5" ht="15" x14ac:dyDescent="0.35">
      <c r="A992" s="509">
        <v>4814</v>
      </c>
      <c r="B992" s="510" t="s">
        <v>1323</v>
      </c>
      <c r="C992" s="509" t="s">
        <v>328</v>
      </c>
      <c r="D992" s="512">
        <v>13307</v>
      </c>
      <c r="E992" s="507" t="s">
        <v>6108</v>
      </c>
    </row>
    <row r="993" spans="1:5" ht="15" x14ac:dyDescent="0.35">
      <c r="A993" s="509">
        <v>4826</v>
      </c>
      <c r="B993" s="510" t="s">
        <v>1324</v>
      </c>
      <c r="C993" s="509" t="s">
        <v>32</v>
      </c>
      <c r="D993" s="512">
        <v>147026</v>
      </c>
      <c r="E993" s="507" t="s">
        <v>6108</v>
      </c>
    </row>
    <row r="994" spans="1:5" ht="15" x14ac:dyDescent="0.35">
      <c r="A994" s="509">
        <v>4827</v>
      </c>
      <c r="B994" s="510" t="s">
        <v>1325</v>
      </c>
      <c r="C994" s="509" t="s">
        <v>32</v>
      </c>
      <c r="D994" s="511">
        <v>6532</v>
      </c>
      <c r="E994" s="507" t="s">
        <v>6108</v>
      </c>
    </row>
    <row r="995" spans="1:5" ht="15" x14ac:dyDescent="0.35">
      <c r="A995" s="509">
        <v>4828</v>
      </c>
      <c r="B995" s="510" t="s">
        <v>1326</v>
      </c>
      <c r="C995" s="509" t="s">
        <v>328</v>
      </c>
      <c r="D995" s="512">
        <v>38006</v>
      </c>
      <c r="E995" s="507" t="s">
        <v>6108</v>
      </c>
    </row>
    <row r="996" spans="1:5" ht="15" x14ac:dyDescent="0.35">
      <c r="A996" s="509">
        <v>4829</v>
      </c>
      <c r="B996" s="510" t="s">
        <v>1327</v>
      </c>
      <c r="C996" s="509" t="s">
        <v>30</v>
      </c>
      <c r="D996" s="511">
        <v>1185559</v>
      </c>
      <c r="E996" s="507" t="s">
        <v>6108</v>
      </c>
    </row>
    <row r="997" spans="1:5" ht="15" x14ac:dyDescent="0.35">
      <c r="A997" s="509">
        <v>4830</v>
      </c>
      <c r="B997" s="510" t="s">
        <v>1328</v>
      </c>
      <c r="C997" s="509" t="s">
        <v>21</v>
      </c>
      <c r="D997" s="512">
        <v>11739</v>
      </c>
      <c r="E997" s="507" t="s">
        <v>6108</v>
      </c>
    </row>
    <row r="998" spans="1:5" ht="15" x14ac:dyDescent="0.35">
      <c r="A998" s="509">
        <v>4831</v>
      </c>
      <c r="B998" s="510" t="s">
        <v>1329</v>
      </c>
      <c r="C998" s="509" t="s">
        <v>21</v>
      </c>
      <c r="D998" s="512">
        <v>198696</v>
      </c>
      <c r="E998" s="507" t="s">
        <v>6108</v>
      </c>
    </row>
    <row r="999" spans="1:5" ht="15" x14ac:dyDescent="0.35">
      <c r="A999" s="509">
        <v>4832</v>
      </c>
      <c r="B999" s="510" t="s">
        <v>1330</v>
      </c>
      <c r="C999" s="509" t="s">
        <v>32</v>
      </c>
      <c r="D999" s="512">
        <v>73970</v>
      </c>
      <c r="E999" s="507" t="s">
        <v>6108</v>
      </c>
    </row>
    <row r="1000" spans="1:5" ht="15" x14ac:dyDescent="0.35">
      <c r="A1000" s="509">
        <v>4833</v>
      </c>
      <c r="B1000" s="510" t="s">
        <v>1331</v>
      </c>
      <c r="C1000" s="509" t="s">
        <v>32</v>
      </c>
      <c r="D1000" s="512">
        <v>16564</v>
      </c>
      <c r="E1000" s="507" t="s">
        <v>6108</v>
      </c>
    </row>
    <row r="1001" spans="1:5" ht="15" x14ac:dyDescent="0.35">
      <c r="A1001" s="509">
        <v>4834</v>
      </c>
      <c r="B1001" s="510" t="s">
        <v>1332</v>
      </c>
      <c r="C1001" s="509" t="s">
        <v>32</v>
      </c>
      <c r="D1001" s="511">
        <v>161968</v>
      </c>
      <c r="E1001" s="507" t="s">
        <v>6108</v>
      </c>
    </row>
    <row r="1002" spans="1:5" ht="15" x14ac:dyDescent="0.35">
      <c r="A1002" s="509">
        <v>4835</v>
      </c>
      <c r="B1002" s="510" t="s">
        <v>1333</v>
      </c>
      <c r="C1002" s="509" t="s">
        <v>30</v>
      </c>
      <c r="D1002" s="512">
        <v>314721</v>
      </c>
      <c r="E1002" s="507" t="s">
        <v>6108</v>
      </c>
    </row>
    <row r="1003" spans="1:5" ht="15" x14ac:dyDescent="0.35">
      <c r="A1003" s="509">
        <v>4836</v>
      </c>
      <c r="B1003" s="510" t="s">
        <v>1334</v>
      </c>
      <c r="C1003" s="509" t="s">
        <v>30</v>
      </c>
      <c r="D1003" s="512">
        <v>471726</v>
      </c>
      <c r="E1003" s="507" t="s">
        <v>6108</v>
      </c>
    </row>
    <row r="1004" spans="1:5" ht="15" x14ac:dyDescent="0.35">
      <c r="A1004" s="509">
        <v>4837</v>
      </c>
      <c r="B1004" s="510" t="s">
        <v>1335</v>
      </c>
      <c r="C1004" s="509" t="s">
        <v>30</v>
      </c>
      <c r="D1004" s="512">
        <v>215999</v>
      </c>
      <c r="E1004" s="507" t="s">
        <v>6108</v>
      </c>
    </row>
    <row r="1005" spans="1:5" ht="15" x14ac:dyDescent="0.35">
      <c r="A1005" s="509">
        <v>4838</v>
      </c>
      <c r="B1005" s="510" t="s">
        <v>1336</v>
      </c>
      <c r="C1005" s="509" t="s">
        <v>30</v>
      </c>
      <c r="D1005" s="512">
        <v>190711</v>
      </c>
      <c r="E1005" s="507" t="s">
        <v>6108</v>
      </c>
    </row>
    <row r="1006" spans="1:5" ht="15" x14ac:dyDescent="0.35">
      <c r="A1006" s="509">
        <v>4839</v>
      </c>
      <c r="B1006" s="510" t="s">
        <v>1337</v>
      </c>
      <c r="C1006" s="509" t="s">
        <v>32</v>
      </c>
      <c r="D1006" s="512">
        <v>661495</v>
      </c>
      <c r="E1006" s="507" t="s">
        <v>6108</v>
      </c>
    </row>
    <row r="1007" spans="1:5" ht="15" x14ac:dyDescent="0.35">
      <c r="A1007" s="509">
        <v>4840</v>
      </c>
      <c r="B1007" s="510" t="s">
        <v>1338</v>
      </c>
      <c r="C1007" s="509" t="s">
        <v>32</v>
      </c>
      <c r="D1007" s="511">
        <v>204991</v>
      </c>
      <c r="E1007" s="507" t="s">
        <v>6108</v>
      </c>
    </row>
    <row r="1008" spans="1:5" ht="15" x14ac:dyDescent="0.35">
      <c r="A1008" s="509">
        <v>4841</v>
      </c>
      <c r="B1008" s="510" t="s">
        <v>1339</v>
      </c>
      <c r="C1008" s="509" t="s">
        <v>32</v>
      </c>
      <c r="D1008" s="512">
        <v>291478</v>
      </c>
      <c r="E1008" s="507" t="s">
        <v>6108</v>
      </c>
    </row>
    <row r="1009" spans="1:5" ht="15" x14ac:dyDescent="0.35">
      <c r="A1009" s="509">
        <v>4842</v>
      </c>
      <c r="B1009" s="510" t="s">
        <v>1340</v>
      </c>
      <c r="C1009" s="509" t="s">
        <v>32</v>
      </c>
      <c r="D1009" s="511">
        <v>443856</v>
      </c>
      <c r="E1009" s="507" t="s">
        <v>6108</v>
      </c>
    </row>
    <row r="1010" spans="1:5" ht="15" x14ac:dyDescent="0.35">
      <c r="A1010" s="509">
        <v>4843</v>
      </c>
      <c r="B1010" s="510" t="s">
        <v>1341</v>
      </c>
      <c r="C1010" s="509" t="s">
        <v>32</v>
      </c>
      <c r="D1010" s="511">
        <v>329708</v>
      </c>
      <c r="E1010" s="507" t="s">
        <v>6108</v>
      </c>
    </row>
    <row r="1011" spans="1:5" ht="15" x14ac:dyDescent="0.35">
      <c r="A1011" s="509">
        <v>4844</v>
      </c>
      <c r="B1011" s="510" t="s">
        <v>1342</v>
      </c>
      <c r="C1011" s="509" t="s">
        <v>32</v>
      </c>
      <c r="D1011" s="512">
        <v>3381241</v>
      </c>
      <c r="E1011" s="507" t="s">
        <v>6108</v>
      </c>
    </row>
    <row r="1012" spans="1:5" ht="15" x14ac:dyDescent="0.35">
      <c r="A1012" s="509">
        <v>4845</v>
      </c>
      <c r="B1012" s="510" t="s">
        <v>1343</v>
      </c>
      <c r="C1012" s="509" t="s">
        <v>32</v>
      </c>
      <c r="D1012" s="511">
        <v>1201786</v>
      </c>
      <c r="E1012" s="507" t="s">
        <v>6108</v>
      </c>
    </row>
    <row r="1013" spans="1:5" ht="15" x14ac:dyDescent="0.35">
      <c r="A1013" s="509">
        <v>4846</v>
      </c>
      <c r="B1013" s="510" t="s">
        <v>1344</v>
      </c>
      <c r="C1013" s="509" t="s">
        <v>32</v>
      </c>
      <c r="D1013" s="511">
        <v>215460</v>
      </c>
      <c r="E1013" s="507" t="s">
        <v>6108</v>
      </c>
    </row>
    <row r="1014" spans="1:5" ht="15" x14ac:dyDescent="0.35">
      <c r="A1014" s="509">
        <v>4848</v>
      </c>
      <c r="B1014" s="510" t="s">
        <v>1345</v>
      </c>
      <c r="C1014" s="509" t="s">
        <v>328</v>
      </c>
      <c r="D1014" s="511">
        <v>13155</v>
      </c>
      <c r="E1014" s="507" t="s">
        <v>6108</v>
      </c>
    </row>
    <row r="1015" spans="1:5" ht="15" x14ac:dyDescent="0.35">
      <c r="A1015" s="509">
        <v>4849</v>
      </c>
      <c r="B1015" s="510" t="s">
        <v>1346</v>
      </c>
      <c r="C1015" s="509" t="s">
        <v>328</v>
      </c>
      <c r="D1015" s="512">
        <v>4311</v>
      </c>
      <c r="E1015" s="507" t="s">
        <v>6108</v>
      </c>
    </row>
    <row r="1016" spans="1:5" ht="15" x14ac:dyDescent="0.35">
      <c r="A1016" s="509">
        <v>4850</v>
      </c>
      <c r="B1016" s="510" t="s">
        <v>1347</v>
      </c>
      <c r="C1016" s="509" t="s">
        <v>30</v>
      </c>
      <c r="D1016" s="511">
        <v>368778</v>
      </c>
      <c r="E1016" s="507" t="s">
        <v>6108</v>
      </c>
    </row>
    <row r="1017" spans="1:5" ht="15" x14ac:dyDescent="0.35">
      <c r="A1017" s="509">
        <v>4851</v>
      </c>
      <c r="B1017" s="510" t="s">
        <v>1348</v>
      </c>
      <c r="C1017" s="509" t="s">
        <v>32</v>
      </c>
      <c r="D1017" s="511">
        <v>35369</v>
      </c>
      <c r="E1017" s="507" t="s">
        <v>6108</v>
      </c>
    </row>
    <row r="1018" spans="1:5" ht="15" x14ac:dyDescent="0.35">
      <c r="A1018" s="509">
        <v>4853</v>
      </c>
      <c r="B1018" s="510" t="s">
        <v>1349</v>
      </c>
      <c r="C1018" s="509" t="s">
        <v>30</v>
      </c>
      <c r="D1018" s="511">
        <v>740949</v>
      </c>
      <c r="E1018" s="507" t="s">
        <v>6108</v>
      </c>
    </row>
    <row r="1019" spans="1:5" ht="15" x14ac:dyDescent="0.35">
      <c r="A1019" s="509">
        <v>4854</v>
      </c>
      <c r="B1019" s="510" t="s">
        <v>1350</v>
      </c>
      <c r="C1019" s="509" t="s">
        <v>30</v>
      </c>
      <c r="D1019" s="511">
        <v>763087</v>
      </c>
      <c r="E1019" s="507" t="s">
        <v>6108</v>
      </c>
    </row>
    <row r="1020" spans="1:5" ht="15" x14ac:dyDescent="0.35">
      <c r="A1020" s="509">
        <v>4855</v>
      </c>
      <c r="B1020" s="510" t="s">
        <v>1351</v>
      </c>
      <c r="C1020" s="509" t="s">
        <v>21</v>
      </c>
      <c r="D1020" s="511">
        <v>61529</v>
      </c>
      <c r="E1020" s="507" t="s">
        <v>6108</v>
      </c>
    </row>
    <row r="1021" spans="1:5" ht="15" x14ac:dyDescent="0.35">
      <c r="A1021" s="509">
        <v>4856</v>
      </c>
      <c r="B1021" s="510" t="s">
        <v>1352</v>
      </c>
      <c r="C1021" s="509" t="s">
        <v>21</v>
      </c>
      <c r="D1021" s="511">
        <v>118885</v>
      </c>
      <c r="E1021" s="507" t="s">
        <v>6108</v>
      </c>
    </row>
    <row r="1022" spans="1:5" ht="15" x14ac:dyDescent="0.35">
      <c r="A1022" s="509">
        <v>4857</v>
      </c>
      <c r="B1022" s="510" t="s">
        <v>1353</v>
      </c>
      <c r="C1022" s="509" t="s">
        <v>21</v>
      </c>
      <c r="D1022" s="512">
        <v>3532</v>
      </c>
      <c r="E1022" s="507" t="s">
        <v>6108</v>
      </c>
    </row>
    <row r="1023" spans="1:5" ht="15" x14ac:dyDescent="0.35">
      <c r="A1023" s="509">
        <v>4858</v>
      </c>
      <c r="B1023" s="510" t="s">
        <v>1354</v>
      </c>
      <c r="C1023" s="509" t="s">
        <v>32</v>
      </c>
      <c r="D1023" s="512">
        <v>1433789</v>
      </c>
      <c r="E1023" s="507" t="s">
        <v>6108</v>
      </c>
    </row>
    <row r="1024" spans="1:5" ht="15" x14ac:dyDescent="0.35">
      <c r="A1024" s="509">
        <v>4859</v>
      </c>
      <c r="B1024" s="510" t="s">
        <v>1355</v>
      </c>
      <c r="C1024" s="509" t="s">
        <v>328</v>
      </c>
      <c r="D1024" s="512">
        <v>48572</v>
      </c>
      <c r="E1024" s="507" t="s">
        <v>6108</v>
      </c>
    </row>
    <row r="1025" spans="1:5" ht="15" x14ac:dyDescent="0.35">
      <c r="A1025" s="509">
        <v>4860</v>
      </c>
      <c r="B1025" s="510" t="s">
        <v>1356</v>
      </c>
      <c r="C1025" s="509" t="s">
        <v>32</v>
      </c>
      <c r="D1025" s="511">
        <v>219620</v>
      </c>
      <c r="E1025" s="507" t="s">
        <v>6108</v>
      </c>
    </row>
    <row r="1026" spans="1:5" ht="15" x14ac:dyDescent="0.35">
      <c r="A1026" s="509">
        <v>4861</v>
      </c>
      <c r="B1026" s="510" t="s">
        <v>1357</v>
      </c>
      <c r="C1026" s="509" t="s">
        <v>21</v>
      </c>
      <c r="D1026" s="512">
        <v>149451</v>
      </c>
      <c r="E1026" s="507" t="s">
        <v>6108</v>
      </c>
    </row>
    <row r="1027" spans="1:5" ht="15" x14ac:dyDescent="0.35">
      <c r="A1027" s="509">
        <v>4862</v>
      </c>
      <c r="B1027" s="510" t="s">
        <v>1358</v>
      </c>
      <c r="C1027" s="509" t="s">
        <v>328</v>
      </c>
      <c r="D1027" s="512">
        <v>1288010</v>
      </c>
      <c r="E1027" s="507" t="s">
        <v>6108</v>
      </c>
    </row>
    <row r="1028" spans="1:5" ht="15" x14ac:dyDescent="0.35">
      <c r="A1028" s="509">
        <v>4863</v>
      </c>
      <c r="B1028" s="510" t="s">
        <v>1359</v>
      </c>
      <c r="C1028" s="509" t="s">
        <v>328</v>
      </c>
      <c r="D1028" s="511">
        <v>45946</v>
      </c>
      <c r="E1028" s="507" t="s">
        <v>6108</v>
      </c>
    </row>
    <row r="1029" spans="1:5" ht="15" x14ac:dyDescent="0.35">
      <c r="A1029" s="509">
        <v>4864</v>
      </c>
      <c r="B1029" s="510" t="s">
        <v>1360</v>
      </c>
      <c r="C1029" s="509" t="s">
        <v>328</v>
      </c>
      <c r="D1029" s="511">
        <v>61261</v>
      </c>
      <c r="E1029" s="507" t="s">
        <v>6109</v>
      </c>
    </row>
    <row r="1030" spans="1:5" ht="15" x14ac:dyDescent="0.35">
      <c r="A1030" s="509">
        <v>4865</v>
      </c>
      <c r="B1030" s="510" t="s">
        <v>1361</v>
      </c>
      <c r="C1030" s="509" t="s">
        <v>328</v>
      </c>
      <c r="D1030" s="511">
        <v>30631</v>
      </c>
      <c r="E1030" s="507" t="s">
        <v>6108</v>
      </c>
    </row>
    <row r="1031" spans="1:5" ht="15" x14ac:dyDescent="0.35">
      <c r="A1031" s="509">
        <v>4866</v>
      </c>
      <c r="B1031" s="510" t="s">
        <v>1362</v>
      </c>
      <c r="C1031" s="509" t="s">
        <v>328</v>
      </c>
      <c r="D1031" s="512">
        <v>61261</v>
      </c>
      <c r="E1031" s="507" t="s">
        <v>331</v>
      </c>
    </row>
    <row r="1032" spans="1:5" ht="15" x14ac:dyDescent="0.35">
      <c r="A1032" s="509">
        <v>4867</v>
      </c>
      <c r="B1032" s="510" t="s">
        <v>1363</v>
      </c>
      <c r="C1032" s="509" t="s">
        <v>328</v>
      </c>
      <c r="D1032" s="512">
        <v>91892</v>
      </c>
      <c r="E1032" s="507" t="s">
        <v>331</v>
      </c>
    </row>
    <row r="1033" spans="1:5" ht="15" x14ac:dyDescent="0.35">
      <c r="A1033" s="509">
        <v>4869</v>
      </c>
      <c r="B1033" s="510" t="s">
        <v>1364</v>
      </c>
      <c r="C1033" s="509" t="s">
        <v>32</v>
      </c>
      <c r="D1033" s="512">
        <v>107731</v>
      </c>
      <c r="E1033" s="507" t="s">
        <v>6108</v>
      </c>
    </row>
    <row r="1034" spans="1:5" ht="15" x14ac:dyDescent="0.35">
      <c r="A1034" s="509">
        <v>4870</v>
      </c>
      <c r="B1034" s="510" t="s">
        <v>1365</v>
      </c>
      <c r="C1034" s="509" t="s">
        <v>32</v>
      </c>
      <c r="D1034" s="512">
        <v>107731</v>
      </c>
      <c r="E1034" s="507" t="s">
        <v>6108</v>
      </c>
    </row>
    <row r="1035" spans="1:5" ht="15" x14ac:dyDescent="0.35">
      <c r="A1035" s="509">
        <v>4871</v>
      </c>
      <c r="B1035" s="510" t="s">
        <v>1366</v>
      </c>
      <c r="C1035" s="509" t="s">
        <v>32</v>
      </c>
      <c r="D1035" s="512">
        <v>53866</v>
      </c>
      <c r="E1035" s="507" t="s">
        <v>6108</v>
      </c>
    </row>
    <row r="1036" spans="1:5" ht="15" x14ac:dyDescent="0.35">
      <c r="A1036" s="509">
        <v>4872</v>
      </c>
      <c r="B1036" s="510" t="s">
        <v>1367</v>
      </c>
      <c r="C1036" s="509" t="s">
        <v>32</v>
      </c>
      <c r="D1036" s="512">
        <v>216303</v>
      </c>
      <c r="E1036" s="507" t="s">
        <v>6108</v>
      </c>
    </row>
    <row r="1037" spans="1:5" ht="15" x14ac:dyDescent="0.35">
      <c r="A1037" s="509">
        <v>4873</v>
      </c>
      <c r="B1037" s="510" t="s">
        <v>1368</v>
      </c>
      <c r="C1037" s="509" t="s">
        <v>32</v>
      </c>
      <c r="D1037" s="511">
        <v>703668</v>
      </c>
      <c r="E1037" s="507" t="s">
        <v>6108</v>
      </c>
    </row>
    <row r="1038" spans="1:5" ht="15" x14ac:dyDescent="0.35">
      <c r="A1038" s="509">
        <v>4874</v>
      </c>
      <c r="B1038" s="510" t="s">
        <v>1369</v>
      </c>
      <c r="C1038" s="509" t="s">
        <v>32</v>
      </c>
      <c r="D1038" s="511">
        <v>490309</v>
      </c>
      <c r="E1038" s="507" t="s">
        <v>6108</v>
      </c>
    </row>
    <row r="1039" spans="1:5" ht="15" x14ac:dyDescent="0.35">
      <c r="A1039" s="509">
        <v>4875</v>
      </c>
      <c r="B1039" s="510" t="s">
        <v>1370</v>
      </c>
      <c r="C1039" s="509" t="s">
        <v>32</v>
      </c>
      <c r="D1039" s="512">
        <v>183277</v>
      </c>
      <c r="E1039" s="507" t="s">
        <v>331</v>
      </c>
    </row>
    <row r="1040" spans="1:5" ht="15" x14ac:dyDescent="0.35">
      <c r="A1040" s="509">
        <v>4876</v>
      </c>
      <c r="B1040" s="510" t="s">
        <v>1371</v>
      </c>
      <c r="C1040" s="509" t="s">
        <v>32</v>
      </c>
      <c r="D1040" s="512">
        <v>460371</v>
      </c>
      <c r="E1040" s="507" t="s">
        <v>331</v>
      </c>
    </row>
    <row r="1041" spans="1:5" ht="15" x14ac:dyDescent="0.35">
      <c r="A1041" s="509">
        <v>4877</v>
      </c>
      <c r="B1041" s="510" t="s">
        <v>1372</v>
      </c>
      <c r="C1041" s="509" t="s">
        <v>32</v>
      </c>
      <c r="D1041" s="512">
        <v>412905</v>
      </c>
      <c r="E1041" s="507" t="s">
        <v>6109</v>
      </c>
    </row>
    <row r="1042" spans="1:5" ht="15" x14ac:dyDescent="0.35">
      <c r="A1042" s="509">
        <v>4878</v>
      </c>
      <c r="B1042" s="510" t="s">
        <v>1373</v>
      </c>
      <c r="C1042" s="509" t="s">
        <v>32</v>
      </c>
      <c r="D1042" s="512">
        <v>222745</v>
      </c>
      <c r="E1042" s="507" t="s">
        <v>331</v>
      </c>
    </row>
    <row r="1043" spans="1:5" ht="15" x14ac:dyDescent="0.35">
      <c r="A1043" s="509">
        <v>4879</v>
      </c>
      <c r="B1043" s="510" t="s">
        <v>1374</v>
      </c>
      <c r="C1043" s="509" t="s">
        <v>32</v>
      </c>
      <c r="D1043" s="511">
        <v>375234</v>
      </c>
      <c r="E1043" s="507" t="s">
        <v>6109</v>
      </c>
    </row>
    <row r="1044" spans="1:5" ht="15" x14ac:dyDescent="0.35">
      <c r="A1044" s="509">
        <v>4880</v>
      </c>
      <c r="B1044" s="510" t="s">
        <v>1375</v>
      </c>
      <c r="C1044" s="509" t="s">
        <v>328</v>
      </c>
      <c r="D1044" s="511">
        <v>811043</v>
      </c>
      <c r="E1044" s="507" t="s">
        <v>6109</v>
      </c>
    </row>
    <row r="1045" spans="1:5" ht="15" x14ac:dyDescent="0.35">
      <c r="A1045" s="509">
        <v>4882</v>
      </c>
      <c r="B1045" s="510" t="s">
        <v>1376</v>
      </c>
      <c r="C1045" s="509" t="s">
        <v>32</v>
      </c>
      <c r="D1045" s="511">
        <v>261301</v>
      </c>
      <c r="E1045" s="507" t="s">
        <v>6108</v>
      </c>
    </row>
    <row r="1046" spans="1:5" ht="15" x14ac:dyDescent="0.35">
      <c r="A1046" s="509">
        <v>4883</v>
      </c>
      <c r="B1046" s="510" t="s">
        <v>1377</v>
      </c>
      <c r="C1046" s="509" t="s">
        <v>21</v>
      </c>
      <c r="D1046" s="511">
        <v>11617</v>
      </c>
      <c r="E1046" s="507" t="s">
        <v>6108</v>
      </c>
    </row>
    <row r="1047" spans="1:5" ht="15" x14ac:dyDescent="0.35">
      <c r="A1047" s="509">
        <v>4884</v>
      </c>
      <c r="B1047" s="510" t="s">
        <v>1378</v>
      </c>
      <c r="C1047" s="509" t="s">
        <v>32</v>
      </c>
      <c r="D1047" s="512">
        <v>218273</v>
      </c>
      <c r="E1047" s="507" t="s">
        <v>6108</v>
      </c>
    </row>
    <row r="1048" spans="1:5" ht="15" x14ac:dyDescent="0.35">
      <c r="A1048" s="509">
        <v>4885</v>
      </c>
      <c r="B1048" s="510" t="s">
        <v>1379</v>
      </c>
      <c r="C1048" s="509" t="s">
        <v>32</v>
      </c>
      <c r="D1048" s="511">
        <v>225575</v>
      </c>
      <c r="E1048" s="507" t="s">
        <v>6108</v>
      </c>
    </row>
    <row r="1049" spans="1:5" ht="15" x14ac:dyDescent="0.35">
      <c r="A1049" s="509">
        <v>4886</v>
      </c>
      <c r="B1049" s="510" t="s">
        <v>1380</v>
      </c>
      <c r="C1049" s="509" t="s">
        <v>32</v>
      </c>
      <c r="D1049" s="511">
        <v>257351</v>
      </c>
      <c r="E1049" s="507" t="s">
        <v>6108</v>
      </c>
    </row>
    <row r="1050" spans="1:5" ht="15" x14ac:dyDescent="0.35">
      <c r="A1050" s="509">
        <v>4887</v>
      </c>
      <c r="B1050" s="510" t="s">
        <v>1381</v>
      </c>
      <c r="C1050" s="509" t="s">
        <v>32</v>
      </c>
      <c r="D1050" s="511">
        <v>545875</v>
      </c>
      <c r="E1050" s="507" t="s">
        <v>6108</v>
      </c>
    </row>
    <row r="1051" spans="1:5" ht="15" x14ac:dyDescent="0.35">
      <c r="A1051" s="509">
        <v>4888</v>
      </c>
      <c r="B1051" s="510" t="s">
        <v>1382</v>
      </c>
      <c r="C1051" s="509" t="s">
        <v>32</v>
      </c>
      <c r="D1051" s="511">
        <v>247476</v>
      </c>
      <c r="E1051" s="507" t="s">
        <v>6108</v>
      </c>
    </row>
    <row r="1052" spans="1:5" ht="15" x14ac:dyDescent="0.35">
      <c r="A1052" s="509">
        <v>4889</v>
      </c>
      <c r="B1052" s="510" t="s">
        <v>1383</v>
      </c>
      <c r="C1052" s="509" t="s">
        <v>32</v>
      </c>
      <c r="D1052" s="512">
        <v>1657737</v>
      </c>
      <c r="E1052" s="507" t="s">
        <v>6109</v>
      </c>
    </row>
    <row r="1053" spans="1:5" ht="15" x14ac:dyDescent="0.35">
      <c r="A1053" s="509">
        <v>4890</v>
      </c>
      <c r="B1053" s="510" t="s">
        <v>1384</v>
      </c>
      <c r="C1053" s="509" t="s">
        <v>32</v>
      </c>
      <c r="D1053" s="511">
        <v>656501</v>
      </c>
      <c r="E1053" s="507" t="s">
        <v>6109</v>
      </c>
    </row>
    <row r="1054" spans="1:5" ht="15" x14ac:dyDescent="0.35">
      <c r="A1054" s="509">
        <v>4891</v>
      </c>
      <c r="B1054" s="510" t="s">
        <v>1385</v>
      </c>
      <c r="C1054" s="509" t="s">
        <v>32</v>
      </c>
      <c r="D1054" s="511">
        <v>850049</v>
      </c>
      <c r="E1054" s="507" t="s">
        <v>6108</v>
      </c>
    </row>
    <row r="1055" spans="1:5" ht="15" x14ac:dyDescent="0.35">
      <c r="A1055" s="509">
        <v>4892</v>
      </c>
      <c r="B1055" s="510" t="s">
        <v>1386</v>
      </c>
      <c r="C1055" s="509" t="s">
        <v>328</v>
      </c>
      <c r="D1055" s="511">
        <v>363772</v>
      </c>
      <c r="E1055" s="507" t="s">
        <v>6109</v>
      </c>
    </row>
    <row r="1056" spans="1:5" ht="15" x14ac:dyDescent="0.35">
      <c r="A1056" s="509">
        <v>4894</v>
      </c>
      <c r="B1056" s="510" t="s">
        <v>1387</v>
      </c>
      <c r="C1056" s="509" t="s">
        <v>692</v>
      </c>
      <c r="D1056" s="512">
        <v>431504</v>
      </c>
      <c r="E1056" s="507" t="s">
        <v>3594</v>
      </c>
    </row>
    <row r="1057" spans="1:5" ht="15" x14ac:dyDescent="0.35">
      <c r="A1057" s="509">
        <v>4895</v>
      </c>
      <c r="B1057" s="510" t="s">
        <v>1388</v>
      </c>
      <c r="C1057" s="509" t="s">
        <v>979</v>
      </c>
      <c r="D1057" s="512">
        <v>58842</v>
      </c>
      <c r="E1057" s="507" t="s">
        <v>6108</v>
      </c>
    </row>
    <row r="1058" spans="1:5" ht="15" x14ac:dyDescent="0.35">
      <c r="A1058" s="509">
        <v>4896</v>
      </c>
      <c r="B1058" s="510" t="s">
        <v>1389</v>
      </c>
      <c r="C1058" s="509" t="s">
        <v>328</v>
      </c>
      <c r="D1058" s="511">
        <v>452578</v>
      </c>
      <c r="E1058" s="507" t="s">
        <v>6108</v>
      </c>
    </row>
    <row r="1059" spans="1:5" ht="15" x14ac:dyDescent="0.35">
      <c r="A1059" s="509">
        <v>4898</v>
      </c>
      <c r="B1059" s="510" t="s">
        <v>1390</v>
      </c>
      <c r="C1059" s="509" t="s">
        <v>32</v>
      </c>
      <c r="D1059" s="511">
        <v>174656</v>
      </c>
      <c r="E1059" s="507" t="s">
        <v>6108</v>
      </c>
    </row>
    <row r="1060" spans="1:5" ht="15" x14ac:dyDescent="0.35">
      <c r="A1060" s="509">
        <v>4899</v>
      </c>
      <c r="B1060" s="510" t="s">
        <v>1391</v>
      </c>
      <c r="C1060" s="509" t="s">
        <v>32</v>
      </c>
      <c r="D1060" s="511">
        <v>199646</v>
      </c>
      <c r="E1060" s="507" t="s">
        <v>6108</v>
      </c>
    </row>
    <row r="1061" spans="1:5" ht="15" x14ac:dyDescent="0.35">
      <c r="A1061" s="509">
        <v>4900</v>
      </c>
      <c r="B1061" s="510" t="s">
        <v>1392</v>
      </c>
      <c r="C1061" s="509" t="s">
        <v>32</v>
      </c>
      <c r="D1061" s="511">
        <v>609006</v>
      </c>
      <c r="E1061" s="507" t="s">
        <v>331</v>
      </c>
    </row>
    <row r="1062" spans="1:5" ht="15" x14ac:dyDescent="0.35">
      <c r="A1062" s="509">
        <v>4901</v>
      </c>
      <c r="B1062" s="510" t="s">
        <v>1393</v>
      </c>
      <c r="C1062" s="509" t="s">
        <v>32</v>
      </c>
      <c r="D1062" s="511">
        <v>1291789</v>
      </c>
      <c r="E1062" s="507" t="s">
        <v>6108</v>
      </c>
    </row>
    <row r="1063" spans="1:5" ht="15" x14ac:dyDescent="0.35">
      <c r="A1063" s="509">
        <v>4902</v>
      </c>
      <c r="B1063" s="510" t="s">
        <v>1394</v>
      </c>
      <c r="C1063" s="509" t="s">
        <v>32</v>
      </c>
      <c r="D1063" s="511">
        <v>1312052</v>
      </c>
      <c r="E1063" s="507" t="s">
        <v>6108</v>
      </c>
    </row>
    <row r="1064" spans="1:5" ht="15" x14ac:dyDescent="0.35">
      <c r="A1064" s="509">
        <v>4903</v>
      </c>
      <c r="B1064" s="510" t="s">
        <v>1395</v>
      </c>
      <c r="C1064" s="509" t="s">
        <v>32</v>
      </c>
      <c r="D1064" s="511">
        <v>145303</v>
      </c>
      <c r="E1064" s="507" t="s">
        <v>331</v>
      </c>
    </row>
    <row r="1065" spans="1:5" ht="15" x14ac:dyDescent="0.35">
      <c r="A1065" s="509">
        <v>4905</v>
      </c>
      <c r="B1065" s="510" t="s">
        <v>1396</v>
      </c>
      <c r="C1065" s="509" t="s">
        <v>328</v>
      </c>
      <c r="D1065" s="512">
        <v>141842</v>
      </c>
      <c r="E1065" s="507" t="s">
        <v>331</v>
      </c>
    </row>
    <row r="1066" spans="1:5" ht="15" x14ac:dyDescent="0.35">
      <c r="A1066" s="509">
        <v>4907</v>
      </c>
      <c r="B1066" s="510" t="s">
        <v>1397</v>
      </c>
      <c r="C1066" s="509" t="s">
        <v>30</v>
      </c>
      <c r="D1066" s="512">
        <v>172045</v>
      </c>
      <c r="E1066" s="507" t="s">
        <v>6108</v>
      </c>
    </row>
    <row r="1067" spans="1:5" ht="15" x14ac:dyDescent="0.35">
      <c r="A1067" s="509">
        <v>4908</v>
      </c>
      <c r="B1067" s="510" t="s">
        <v>1398</v>
      </c>
      <c r="C1067" s="509" t="s">
        <v>30</v>
      </c>
      <c r="D1067" s="512">
        <v>119019</v>
      </c>
      <c r="E1067" s="507" t="s">
        <v>6108</v>
      </c>
    </row>
    <row r="1068" spans="1:5" ht="15" x14ac:dyDescent="0.35">
      <c r="A1068" s="509">
        <v>4909</v>
      </c>
      <c r="B1068" s="510" t="s">
        <v>1399</v>
      </c>
      <c r="C1068" s="509" t="s">
        <v>21</v>
      </c>
      <c r="D1068" s="512">
        <v>205989</v>
      </c>
      <c r="E1068" s="507" t="s">
        <v>6108</v>
      </c>
    </row>
    <row r="1069" spans="1:5" ht="15" x14ac:dyDescent="0.35">
      <c r="A1069" s="509">
        <v>4910</v>
      </c>
      <c r="B1069" s="510" t="s">
        <v>1400</v>
      </c>
      <c r="C1069" s="509" t="s">
        <v>21</v>
      </c>
      <c r="D1069" s="511">
        <v>171176</v>
      </c>
      <c r="E1069" s="507" t="s">
        <v>6108</v>
      </c>
    </row>
    <row r="1070" spans="1:5" ht="15" x14ac:dyDescent="0.35">
      <c r="A1070" s="509">
        <v>4911</v>
      </c>
      <c r="B1070" s="510" t="s">
        <v>1401</v>
      </c>
      <c r="C1070" s="509" t="s">
        <v>328</v>
      </c>
      <c r="D1070" s="511">
        <v>69391</v>
      </c>
      <c r="E1070" s="507" t="s">
        <v>6108</v>
      </c>
    </row>
    <row r="1071" spans="1:5" ht="15" x14ac:dyDescent="0.35">
      <c r="A1071" s="509">
        <v>4912</v>
      </c>
      <c r="B1071" s="510" t="s">
        <v>1402</v>
      </c>
      <c r="C1071" s="509" t="s">
        <v>32</v>
      </c>
      <c r="D1071" s="511">
        <v>2666485</v>
      </c>
      <c r="E1071" s="507" t="s">
        <v>6108</v>
      </c>
    </row>
    <row r="1072" spans="1:5" ht="15" x14ac:dyDescent="0.35">
      <c r="A1072" s="509">
        <v>4914</v>
      </c>
      <c r="B1072" s="510" t="s">
        <v>1403</v>
      </c>
      <c r="C1072" s="509" t="s">
        <v>32</v>
      </c>
      <c r="D1072" s="512">
        <v>1237551</v>
      </c>
      <c r="E1072" s="507" t="s">
        <v>6108</v>
      </c>
    </row>
    <row r="1073" spans="1:5" ht="15" x14ac:dyDescent="0.35">
      <c r="A1073" s="509">
        <v>4915</v>
      </c>
      <c r="B1073" s="510" t="s">
        <v>1404</v>
      </c>
      <c r="C1073" s="509" t="s">
        <v>328</v>
      </c>
      <c r="D1073" s="512">
        <v>63249</v>
      </c>
      <c r="E1073" s="507" t="s">
        <v>6108</v>
      </c>
    </row>
    <row r="1074" spans="1:5" ht="15" x14ac:dyDescent="0.35">
      <c r="A1074" s="509">
        <v>4919</v>
      </c>
      <c r="B1074" s="510" t="s">
        <v>1405</v>
      </c>
      <c r="C1074" s="509" t="s">
        <v>21</v>
      </c>
      <c r="D1074" s="512">
        <v>132671</v>
      </c>
      <c r="E1074" s="507" t="s">
        <v>6108</v>
      </c>
    </row>
    <row r="1075" spans="1:5" ht="15" x14ac:dyDescent="0.35">
      <c r="A1075" s="509">
        <v>4920</v>
      </c>
      <c r="B1075" s="510" t="s">
        <v>1406</v>
      </c>
      <c r="C1075" s="509" t="s">
        <v>32</v>
      </c>
      <c r="D1075" s="511">
        <v>869780</v>
      </c>
      <c r="E1075" s="507" t="s">
        <v>6108</v>
      </c>
    </row>
    <row r="1076" spans="1:5" ht="15" x14ac:dyDescent="0.35">
      <c r="A1076" s="509">
        <v>4921</v>
      </c>
      <c r="B1076" s="510" t="s">
        <v>1407</v>
      </c>
      <c r="C1076" s="509" t="s">
        <v>32</v>
      </c>
      <c r="D1076" s="512">
        <v>155486</v>
      </c>
      <c r="E1076" s="507" t="s">
        <v>6108</v>
      </c>
    </row>
    <row r="1077" spans="1:5" ht="15" x14ac:dyDescent="0.35">
      <c r="A1077" s="509">
        <v>4922</v>
      </c>
      <c r="B1077" s="510" t="s">
        <v>1408</v>
      </c>
      <c r="C1077" s="509" t="s">
        <v>692</v>
      </c>
      <c r="D1077" s="511">
        <v>292242</v>
      </c>
      <c r="E1077" s="507" t="s">
        <v>6108</v>
      </c>
    </row>
    <row r="1078" spans="1:5" ht="15" x14ac:dyDescent="0.35">
      <c r="A1078" s="509">
        <v>4923</v>
      </c>
      <c r="B1078" s="510" t="s">
        <v>1409</v>
      </c>
      <c r="C1078" s="509" t="s">
        <v>979</v>
      </c>
      <c r="D1078" s="512">
        <v>39852</v>
      </c>
      <c r="E1078" s="507" t="s">
        <v>6108</v>
      </c>
    </row>
    <row r="1079" spans="1:5" ht="15" x14ac:dyDescent="0.35">
      <c r="A1079" s="509">
        <v>4925</v>
      </c>
      <c r="B1079" s="510" t="s">
        <v>1410</v>
      </c>
      <c r="C1079" s="509" t="s">
        <v>30</v>
      </c>
      <c r="D1079" s="512">
        <v>326529</v>
      </c>
      <c r="E1079" s="507" t="s">
        <v>6108</v>
      </c>
    </row>
    <row r="1080" spans="1:5" ht="15" x14ac:dyDescent="0.35">
      <c r="A1080" s="509">
        <v>4926</v>
      </c>
      <c r="B1080" s="510" t="s">
        <v>1411</v>
      </c>
      <c r="C1080" s="509" t="s">
        <v>30</v>
      </c>
      <c r="D1080" s="511">
        <v>272529</v>
      </c>
      <c r="E1080" s="507" t="s">
        <v>6108</v>
      </c>
    </row>
    <row r="1081" spans="1:5" ht="15" x14ac:dyDescent="0.35">
      <c r="A1081" s="509">
        <v>4928</v>
      </c>
      <c r="B1081" s="510" t="s">
        <v>306</v>
      </c>
      <c r="C1081" s="509" t="s">
        <v>307</v>
      </c>
      <c r="D1081" s="511">
        <v>9545</v>
      </c>
      <c r="E1081" s="507" t="s">
        <v>6108</v>
      </c>
    </row>
    <row r="1082" spans="1:5" ht="15" x14ac:dyDescent="0.35">
      <c r="A1082" s="509">
        <v>4930</v>
      </c>
      <c r="B1082" s="510" t="s">
        <v>1412</v>
      </c>
      <c r="C1082" s="509" t="s">
        <v>1413</v>
      </c>
      <c r="D1082" s="511">
        <v>3181162</v>
      </c>
      <c r="E1082" s="507" t="s">
        <v>6108</v>
      </c>
    </row>
    <row r="1083" spans="1:5" ht="15" x14ac:dyDescent="0.35">
      <c r="A1083" s="509">
        <v>4931</v>
      </c>
      <c r="B1083" s="510" t="s">
        <v>6598</v>
      </c>
      <c r="C1083" s="509" t="s">
        <v>307</v>
      </c>
      <c r="D1083" s="511">
        <v>31529</v>
      </c>
      <c r="E1083" s="507" t="s">
        <v>6108</v>
      </c>
    </row>
    <row r="1084" spans="1:5" ht="15" x14ac:dyDescent="0.35">
      <c r="A1084" s="509">
        <v>4934</v>
      </c>
      <c r="B1084" s="510" t="s">
        <v>1415</v>
      </c>
      <c r="C1084" s="509" t="s">
        <v>307</v>
      </c>
      <c r="D1084" s="511">
        <v>170207</v>
      </c>
      <c r="E1084" s="507" t="s">
        <v>6108</v>
      </c>
    </row>
    <row r="1085" spans="1:5" ht="15" x14ac:dyDescent="0.35">
      <c r="A1085" s="509">
        <v>4936</v>
      </c>
      <c r="B1085" s="510" t="s">
        <v>1417</v>
      </c>
      <c r="C1085" s="509" t="s">
        <v>32</v>
      </c>
      <c r="D1085" s="512">
        <v>43915</v>
      </c>
      <c r="E1085" s="507" t="s">
        <v>6108</v>
      </c>
    </row>
    <row r="1086" spans="1:5" ht="15" x14ac:dyDescent="0.35">
      <c r="A1086" s="509">
        <v>4937</v>
      </c>
      <c r="B1086" s="510" t="s">
        <v>1418</v>
      </c>
      <c r="C1086" s="509" t="s">
        <v>21</v>
      </c>
      <c r="D1086" s="512">
        <v>12990</v>
      </c>
      <c r="E1086" s="507" t="s">
        <v>6108</v>
      </c>
    </row>
    <row r="1087" spans="1:5" ht="15" x14ac:dyDescent="0.35">
      <c r="A1087" s="509">
        <v>4945</v>
      </c>
      <c r="B1087" s="510" t="s">
        <v>1419</v>
      </c>
      <c r="C1087" s="509" t="s">
        <v>1420</v>
      </c>
      <c r="D1087" s="512">
        <v>12538</v>
      </c>
      <c r="E1087" s="507" t="s">
        <v>6108</v>
      </c>
    </row>
    <row r="1088" spans="1:5" ht="15" x14ac:dyDescent="0.35">
      <c r="A1088" s="509">
        <v>4946</v>
      </c>
      <c r="B1088" s="510" t="s">
        <v>1421</v>
      </c>
      <c r="C1088" s="509" t="s">
        <v>1420</v>
      </c>
      <c r="D1088" s="511">
        <v>33864</v>
      </c>
      <c r="E1088" s="507" t="s">
        <v>6108</v>
      </c>
    </row>
    <row r="1089" spans="1:5" ht="15" x14ac:dyDescent="0.35">
      <c r="A1089" s="509">
        <v>4949</v>
      </c>
      <c r="B1089" s="510" t="s">
        <v>1422</v>
      </c>
      <c r="C1089" s="509" t="s">
        <v>32</v>
      </c>
      <c r="D1089" s="511">
        <v>1067389</v>
      </c>
      <c r="E1089" s="507" t="s">
        <v>6108</v>
      </c>
    </row>
    <row r="1090" spans="1:5" ht="15" x14ac:dyDescent="0.35">
      <c r="A1090" s="509">
        <v>4951</v>
      </c>
      <c r="B1090" s="510" t="s">
        <v>1423</v>
      </c>
      <c r="C1090" s="509" t="s">
        <v>32</v>
      </c>
      <c r="D1090" s="511">
        <v>3163370</v>
      </c>
      <c r="E1090" s="507" t="s">
        <v>6108</v>
      </c>
    </row>
    <row r="1091" spans="1:5" ht="15" x14ac:dyDescent="0.35">
      <c r="A1091" s="509">
        <v>4952</v>
      </c>
      <c r="B1091" s="510" t="s">
        <v>1424</v>
      </c>
      <c r="C1091" s="509" t="s">
        <v>32</v>
      </c>
      <c r="D1091" s="511">
        <v>3469618</v>
      </c>
      <c r="E1091" s="507" t="s">
        <v>6108</v>
      </c>
    </row>
    <row r="1092" spans="1:5" ht="15" x14ac:dyDescent="0.35">
      <c r="A1092" s="509">
        <v>4953</v>
      </c>
      <c r="B1092" s="510" t="s">
        <v>1425</v>
      </c>
      <c r="C1092" s="509" t="s">
        <v>32</v>
      </c>
      <c r="D1092" s="511">
        <v>7712628</v>
      </c>
      <c r="E1092" s="507" t="s">
        <v>6108</v>
      </c>
    </row>
    <row r="1093" spans="1:5" ht="15" x14ac:dyDescent="0.35">
      <c r="A1093" s="509">
        <v>4959</v>
      </c>
      <c r="B1093" s="510" t="s">
        <v>1426</v>
      </c>
      <c r="C1093" s="509" t="s">
        <v>670</v>
      </c>
      <c r="D1093" s="511">
        <v>8636</v>
      </c>
      <c r="E1093" s="507" t="s">
        <v>6108</v>
      </c>
    </row>
    <row r="1094" spans="1:5" ht="15" x14ac:dyDescent="0.35">
      <c r="A1094" s="509">
        <v>4960</v>
      </c>
      <c r="B1094" s="510" t="s">
        <v>1427</v>
      </c>
      <c r="C1094" s="509" t="s">
        <v>32</v>
      </c>
      <c r="D1094" s="511">
        <v>333872</v>
      </c>
      <c r="E1094" s="507" t="s">
        <v>6108</v>
      </c>
    </row>
    <row r="1095" spans="1:5" ht="15" x14ac:dyDescent="0.35">
      <c r="A1095" s="509">
        <v>4961</v>
      </c>
      <c r="B1095" s="510" t="s">
        <v>1428</v>
      </c>
      <c r="C1095" s="509" t="s">
        <v>328</v>
      </c>
      <c r="D1095" s="511">
        <v>61261</v>
      </c>
      <c r="E1095" s="507" t="s">
        <v>6108</v>
      </c>
    </row>
    <row r="1096" spans="1:5" ht="15" x14ac:dyDescent="0.35">
      <c r="A1096" s="509">
        <v>4962</v>
      </c>
      <c r="B1096" s="510" t="s">
        <v>1429</v>
      </c>
      <c r="C1096" s="509" t="s">
        <v>328</v>
      </c>
      <c r="D1096" s="511">
        <v>15316</v>
      </c>
      <c r="E1096" s="507" t="s">
        <v>6108</v>
      </c>
    </row>
    <row r="1097" spans="1:5" ht="15" x14ac:dyDescent="0.35">
      <c r="A1097" s="509">
        <v>4963</v>
      </c>
      <c r="B1097" s="510" t="s">
        <v>1430</v>
      </c>
      <c r="C1097" s="509" t="s">
        <v>328</v>
      </c>
      <c r="D1097" s="511">
        <v>15316</v>
      </c>
      <c r="E1097" s="507" t="s">
        <v>6108</v>
      </c>
    </row>
    <row r="1098" spans="1:5" ht="15" x14ac:dyDescent="0.35">
      <c r="A1098" s="509">
        <v>4964</v>
      </c>
      <c r="B1098" s="510" t="s">
        <v>1431</v>
      </c>
      <c r="C1098" s="509" t="s">
        <v>328</v>
      </c>
      <c r="D1098" s="511">
        <v>15316</v>
      </c>
      <c r="E1098" s="507" t="s">
        <v>6108</v>
      </c>
    </row>
    <row r="1099" spans="1:5" ht="15" x14ac:dyDescent="0.35">
      <c r="A1099" s="509">
        <v>4966</v>
      </c>
      <c r="B1099" s="510" t="s">
        <v>1433</v>
      </c>
      <c r="C1099" s="509" t="s">
        <v>32</v>
      </c>
      <c r="D1099" s="511">
        <v>6555</v>
      </c>
      <c r="E1099" s="507" t="s">
        <v>6108</v>
      </c>
    </row>
    <row r="1100" spans="1:5" ht="15" x14ac:dyDescent="0.35">
      <c r="A1100" s="509">
        <v>4967</v>
      </c>
      <c r="B1100" s="510" t="s">
        <v>1434</v>
      </c>
      <c r="C1100" s="509" t="s">
        <v>32</v>
      </c>
      <c r="D1100" s="511">
        <v>1266068</v>
      </c>
      <c r="E1100" s="507" t="s">
        <v>6108</v>
      </c>
    </row>
    <row r="1101" spans="1:5" ht="15" x14ac:dyDescent="0.35">
      <c r="A1101" s="509">
        <v>4968</v>
      </c>
      <c r="B1101" s="510" t="s">
        <v>1435</v>
      </c>
      <c r="C1101" s="509" t="s">
        <v>32</v>
      </c>
      <c r="D1101" s="511">
        <v>413341</v>
      </c>
      <c r="E1101" s="507" t="s">
        <v>6108</v>
      </c>
    </row>
    <row r="1102" spans="1:5" ht="15" x14ac:dyDescent="0.35">
      <c r="A1102" s="509">
        <v>4969</v>
      </c>
      <c r="B1102" s="510" t="s">
        <v>1436</v>
      </c>
      <c r="C1102" s="509" t="s">
        <v>32</v>
      </c>
      <c r="D1102" s="511">
        <v>337219</v>
      </c>
      <c r="E1102" s="507" t="s">
        <v>6108</v>
      </c>
    </row>
    <row r="1103" spans="1:5" ht="15" x14ac:dyDescent="0.35">
      <c r="A1103" s="509">
        <v>4970</v>
      </c>
      <c r="B1103" s="510" t="s">
        <v>1437</v>
      </c>
      <c r="C1103" s="509" t="s">
        <v>32</v>
      </c>
      <c r="D1103" s="511">
        <v>760399</v>
      </c>
      <c r="E1103" s="507" t="s">
        <v>331</v>
      </c>
    </row>
    <row r="1104" spans="1:5" ht="15" x14ac:dyDescent="0.35">
      <c r="A1104" s="509">
        <v>4971</v>
      </c>
      <c r="B1104" s="510" t="s">
        <v>1438</v>
      </c>
      <c r="C1104" s="509" t="s">
        <v>32</v>
      </c>
      <c r="D1104" s="511">
        <v>3257499</v>
      </c>
      <c r="E1104" s="507" t="s">
        <v>331</v>
      </c>
    </row>
    <row r="1105" spans="1:5" ht="15" x14ac:dyDescent="0.35">
      <c r="A1105" s="509">
        <v>4972</v>
      </c>
      <c r="B1105" s="510" t="s">
        <v>1439</v>
      </c>
      <c r="C1105" s="509" t="s">
        <v>32</v>
      </c>
      <c r="D1105" s="511">
        <v>1387732</v>
      </c>
      <c r="E1105" s="507" t="s">
        <v>331</v>
      </c>
    </row>
    <row r="1106" spans="1:5" ht="15" x14ac:dyDescent="0.35">
      <c r="A1106" s="509">
        <v>4973</v>
      </c>
      <c r="B1106" s="510" t="s">
        <v>1440</v>
      </c>
      <c r="C1106" s="509" t="s">
        <v>32</v>
      </c>
      <c r="D1106" s="511">
        <v>2139479</v>
      </c>
      <c r="E1106" s="507" t="s">
        <v>6108</v>
      </c>
    </row>
    <row r="1107" spans="1:5" ht="15" x14ac:dyDescent="0.35">
      <c r="A1107" s="509">
        <v>4974</v>
      </c>
      <c r="B1107" s="510" t="s">
        <v>1441</v>
      </c>
      <c r="C1107" s="509" t="s">
        <v>32</v>
      </c>
      <c r="D1107" s="512">
        <v>5413523</v>
      </c>
      <c r="E1107" s="507" t="s">
        <v>6108</v>
      </c>
    </row>
    <row r="1108" spans="1:5" ht="15" x14ac:dyDescent="0.35">
      <c r="A1108" s="509">
        <v>4975</v>
      </c>
      <c r="B1108" s="510" t="s">
        <v>1442</v>
      </c>
      <c r="C1108" s="509" t="s">
        <v>32</v>
      </c>
      <c r="D1108" s="512">
        <v>460736</v>
      </c>
      <c r="E1108" s="507" t="s">
        <v>6108</v>
      </c>
    </row>
    <row r="1109" spans="1:5" ht="15" x14ac:dyDescent="0.35">
      <c r="A1109" s="509">
        <v>4976</v>
      </c>
      <c r="B1109" s="510" t="s">
        <v>1443</v>
      </c>
      <c r="C1109" s="509" t="s">
        <v>32</v>
      </c>
      <c r="D1109" s="512">
        <v>954690</v>
      </c>
      <c r="E1109" s="507" t="s">
        <v>6108</v>
      </c>
    </row>
    <row r="1110" spans="1:5" ht="15" x14ac:dyDescent="0.35">
      <c r="A1110" s="509">
        <v>4977</v>
      </c>
      <c r="B1110" s="510" t="s">
        <v>1444</v>
      </c>
      <c r="C1110" s="509" t="s">
        <v>32</v>
      </c>
      <c r="D1110" s="512">
        <v>460736</v>
      </c>
      <c r="E1110" s="507" t="s">
        <v>6108</v>
      </c>
    </row>
    <row r="1111" spans="1:5" ht="15" x14ac:dyDescent="0.35">
      <c r="A1111" s="509">
        <v>4978</v>
      </c>
      <c r="B1111" s="510" t="s">
        <v>1445</v>
      </c>
      <c r="C1111" s="509" t="s">
        <v>32</v>
      </c>
      <c r="D1111" s="512">
        <v>747136</v>
      </c>
      <c r="E1111" s="507" t="s">
        <v>6108</v>
      </c>
    </row>
    <row r="1112" spans="1:5" ht="15" x14ac:dyDescent="0.35">
      <c r="A1112" s="509">
        <v>4979</v>
      </c>
      <c r="B1112" s="510" t="s">
        <v>1446</v>
      </c>
      <c r="C1112" s="509" t="s">
        <v>32</v>
      </c>
      <c r="D1112" s="512">
        <v>1061499</v>
      </c>
      <c r="E1112" s="507" t="s">
        <v>6108</v>
      </c>
    </row>
    <row r="1113" spans="1:5" ht="15" x14ac:dyDescent="0.35">
      <c r="A1113" s="509">
        <v>4980</v>
      </c>
      <c r="B1113" s="510" t="s">
        <v>1447</v>
      </c>
      <c r="C1113" s="509" t="s">
        <v>328</v>
      </c>
      <c r="D1113" s="512">
        <v>671297</v>
      </c>
      <c r="E1113" s="507" t="s">
        <v>6108</v>
      </c>
    </row>
    <row r="1114" spans="1:5" ht="15" x14ac:dyDescent="0.35">
      <c r="A1114" s="509">
        <v>4981</v>
      </c>
      <c r="B1114" s="510" t="s">
        <v>1448</v>
      </c>
      <c r="C1114" s="509" t="s">
        <v>21</v>
      </c>
      <c r="D1114" s="511">
        <v>93167</v>
      </c>
      <c r="E1114" s="507" t="s">
        <v>331</v>
      </c>
    </row>
    <row r="1115" spans="1:5" ht="15" x14ac:dyDescent="0.35">
      <c r="A1115" s="509">
        <v>4982</v>
      </c>
      <c r="B1115" s="510" t="s">
        <v>1449</v>
      </c>
      <c r="C1115" s="509" t="s">
        <v>32</v>
      </c>
      <c r="D1115" s="511">
        <v>194132</v>
      </c>
      <c r="E1115" s="507" t="s">
        <v>6108</v>
      </c>
    </row>
    <row r="1116" spans="1:5" ht="15" x14ac:dyDescent="0.35">
      <c r="A1116" s="509">
        <v>4983</v>
      </c>
      <c r="B1116" s="510" t="s">
        <v>1450</v>
      </c>
      <c r="C1116" s="509" t="s">
        <v>32</v>
      </c>
      <c r="D1116" s="511">
        <v>68601</v>
      </c>
      <c r="E1116" s="507" t="s">
        <v>6108</v>
      </c>
    </row>
    <row r="1117" spans="1:5" ht="15" x14ac:dyDescent="0.35">
      <c r="A1117" s="509">
        <v>4984</v>
      </c>
      <c r="B1117" s="510" t="s">
        <v>1451</v>
      </c>
      <c r="C1117" s="509" t="s">
        <v>32</v>
      </c>
      <c r="D1117" s="512">
        <v>400116</v>
      </c>
      <c r="E1117" s="507" t="s">
        <v>6108</v>
      </c>
    </row>
    <row r="1118" spans="1:5" ht="15" x14ac:dyDescent="0.35">
      <c r="A1118" s="509">
        <v>4985</v>
      </c>
      <c r="B1118" s="510" t="s">
        <v>1452</v>
      </c>
      <c r="C1118" s="509" t="s">
        <v>30</v>
      </c>
      <c r="D1118" s="512">
        <v>807031</v>
      </c>
      <c r="E1118" s="507" t="s">
        <v>6108</v>
      </c>
    </row>
    <row r="1119" spans="1:5" ht="15" x14ac:dyDescent="0.35">
      <c r="A1119" s="509">
        <v>4987</v>
      </c>
      <c r="B1119" s="510" t="s">
        <v>1453</v>
      </c>
      <c r="C1119" s="509" t="s">
        <v>32</v>
      </c>
      <c r="D1119" s="512">
        <v>1881199</v>
      </c>
      <c r="E1119" s="507" t="s">
        <v>6108</v>
      </c>
    </row>
    <row r="1120" spans="1:5" ht="15" x14ac:dyDescent="0.35">
      <c r="A1120" s="509">
        <v>4988</v>
      </c>
      <c r="B1120" s="510" t="s">
        <v>1454</v>
      </c>
      <c r="C1120" s="509" t="s">
        <v>1455</v>
      </c>
      <c r="D1120" s="511">
        <v>1840000</v>
      </c>
      <c r="E1120" s="507" t="s">
        <v>331</v>
      </c>
    </row>
    <row r="1121" spans="1:5" ht="15" x14ac:dyDescent="0.35">
      <c r="A1121" s="509">
        <v>4989</v>
      </c>
      <c r="B1121" s="510" t="s">
        <v>1456</v>
      </c>
      <c r="C1121" s="509" t="s">
        <v>328</v>
      </c>
      <c r="D1121" s="511">
        <v>159830</v>
      </c>
      <c r="E1121" s="507" t="s">
        <v>331</v>
      </c>
    </row>
    <row r="1122" spans="1:5" ht="15" x14ac:dyDescent="0.35">
      <c r="A1122" s="509">
        <v>4990</v>
      </c>
      <c r="B1122" s="510" t="s">
        <v>1457</v>
      </c>
      <c r="C1122" s="509" t="s">
        <v>32</v>
      </c>
      <c r="D1122" s="511">
        <v>479490</v>
      </c>
      <c r="E1122" s="507" t="s">
        <v>6108</v>
      </c>
    </row>
    <row r="1123" spans="1:5" ht="15" x14ac:dyDescent="0.35">
      <c r="A1123" s="509">
        <v>4991</v>
      </c>
      <c r="B1123" s="510" t="s">
        <v>1458</v>
      </c>
      <c r="C1123" s="509" t="s">
        <v>328</v>
      </c>
      <c r="D1123" s="511">
        <v>151600</v>
      </c>
      <c r="E1123" s="507" t="s">
        <v>6108</v>
      </c>
    </row>
    <row r="1124" spans="1:5" ht="15" x14ac:dyDescent="0.35">
      <c r="A1124" s="509">
        <v>4992</v>
      </c>
      <c r="B1124" s="510" t="s">
        <v>1459</v>
      </c>
      <c r="C1124" s="509" t="s">
        <v>32</v>
      </c>
      <c r="D1124" s="511">
        <v>469692</v>
      </c>
      <c r="E1124" s="507" t="s">
        <v>6108</v>
      </c>
    </row>
    <row r="1125" spans="1:5" ht="15" x14ac:dyDescent="0.35">
      <c r="A1125" s="509">
        <v>4993</v>
      </c>
      <c r="B1125" s="510" t="s">
        <v>1460</v>
      </c>
      <c r="C1125" s="509" t="s">
        <v>32</v>
      </c>
      <c r="D1125" s="511">
        <v>454800</v>
      </c>
      <c r="E1125" s="507" t="s">
        <v>6108</v>
      </c>
    </row>
    <row r="1126" spans="1:5" ht="15" x14ac:dyDescent="0.35">
      <c r="A1126" s="509">
        <v>4994</v>
      </c>
      <c r="B1126" s="510" t="s">
        <v>1461</v>
      </c>
      <c r="C1126" s="509" t="s">
        <v>30</v>
      </c>
      <c r="D1126" s="511">
        <v>176197</v>
      </c>
      <c r="E1126" s="507" t="s">
        <v>6108</v>
      </c>
    </row>
    <row r="1127" spans="1:5" ht="15" x14ac:dyDescent="0.35">
      <c r="A1127" s="509">
        <v>4995</v>
      </c>
      <c r="B1127" s="510" t="s">
        <v>1462</v>
      </c>
      <c r="C1127" s="509" t="s">
        <v>30</v>
      </c>
      <c r="D1127" s="511">
        <v>258182</v>
      </c>
      <c r="E1127" s="507" t="s">
        <v>6108</v>
      </c>
    </row>
    <row r="1128" spans="1:5" ht="15" x14ac:dyDescent="0.35">
      <c r="A1128" s="509">
        <v>4996</v>
      </c>
      <c r="B1128" s="510" t="s">
        <v>1463</v>
      </c>
      <c r="C1128" s="509" t="s">
        <v>32</v>
      </c>
      <c r="D1128" s="512">
        <v>668697</v>
      </c>
      <c r="E1128" s="507" t="s">
        <v>331</v>
      </c>
    </row>
    <row r="1129" spans="1:5" ht="15" x14ac:dyDescent="0.35">
      <c r="A1129" s="509">
        <v>4997</v>
      </c>
      <c r="B1129" s="510" t="s">
        <v>1464</v>
      </c>
      <c r="C1129" s="509" t="s">
        <v>328</v>
      </c>
      <c r="D1129" s="512">
        <v>39975</v>
      </c>
      <c r="E1129" s="507" t="s">
        <v>6108</v>
      </c>
    </row>
    <row r="1130" spans="1:5" ht="15" x14ac:dyDescent="0.35">
      <c r="A1130" s="509">
        <v>5000</v>
      </c>
      <c r="B1130" s="510" t="s">
        <v>1465</v>
      </c>
      <c r="C1130" s="509" t="s">
        <v>328</v>
      </c>
      <c r="D1130" s="511">
        <v>157466</v>
      </c>
      <c r="E1130" s="507" t="s">
        <v>6108</v>
      </c>
    </row>
    <row r="1131" spans="1:5" ht="15" x14ac:dyDescent="0.35">
      <c r="A1131" s="509">
        <v>5001</v>
      </c>
      <c r="B1131" s="510" t="s">
        <v>1466</v>
      </c>
      <c r="C1131" s="509" t="s">
        <v>32</v>
      </c>
      <c r="D1131" s="512">
        <v>1278315</v>
      </c>
      <c r="E1131" s="507" t="s">
        <v>6108</v>
      </c>
    </row>
    <row r="1132" spans="1:5" ht="15" x14ac:dyDescent="0.35">
      <c r="A1132" s="509">
        <v>5002</v>
      </c>
      <c r="B1132" s="510" t="s">
        <v>1467</v>
      </c>
      <c r="C1132" s="509" t="s">
        <v>328</v>
      </c>
      <c r="D1132" s="512">
        <v>126056</v>
      </c>
      <c r="E1132" s="507" t="s">
        <v>6108</v>
      </c>
    </row>
    <row r="1133" spans="1:5" ht="15" x14ac:dyDescent="0.35">
      <c r="A1133" s="509">
        <v>5003</v>
      </c>
      <c r="B1133" s="510" t="s">
        <v>1468</v>
      </c>
      <c r="C1133" s="509" t="s">
        <v>32</v>
      </c>
      <c r="D1133" s="512">
        <v>62995</v>
      </c>
      <c r="E1133" s="507" t="s">
        <v>6108</v>
      </c>
    </row>
    <row r="1134" spans="1:5" ht="15" x14ac:dyDescent="0.35">
      <c r="A1134" s="509">
        <v>5004</v>
      </c>
      <c r="B1134" s="510" t="s">
        <v>1469</v>
      </c>
      <c r="C1134" s="509" t="s">
        <v>979</v>
      </c>
      <c r="D1134" s="512">
        <v>149358</v>
      </c>
      <c r="E1134" s="507" t="s">
        <v>6108</v>
      </c>
    </row>
    <row r="1135" spans="1:5" ht="15" x14ac:dyDescent="0.35">
      <c r="A1135" s="509">
        <v>5005</v>
      </c>
      <c r="B1135" s="510" t="s">
        <v>1470</v>
      </c>
      <c r="C1135" s="509" t="s">
        <v>692</v>
      </c>
      <c r="D1135" s="511">
        <v>1095344</v>
      </c>
      <c r="E1135" s="507" t="s">
        <v>6108</v>
      </c>
    </row>
    <row r="1136" spans="1:5" ht="15" x14ac:dyDescent="0.35">
      <c r="A1136" s="509">
        <v>5010</v>
      </c>
      <c r="B1136" s="510" t="s">
        <v>1471</v>
      </c>
      <c r="C1136" s="509" t="s">
        <v>32</v>
      </c>
      <c r="D1136" s="511">
        <v>471503</v>
      </c>
      <c r="E1136" s="507" t="s">
        <v>331</v>
      </c>
    </row>
    <row r="1137" spans="1:5" ht="15" x14ac:dyDescent="0.35">
      <c r="A1137" s="509">
        <v>5015</v>
      </c>
      <c r="B1137" s="510" t="s">
        <v>1472</v>
      </c>
      <c r="C1137" s="509" t="s">
        <v>32</v>
      </c>
      <c r="D1137" s="511">
        <v>653960</v>
      </c>
      <c r="E1137" s="507" t="s">
        <v>331</v>
      </c>
    </row>
    <row r="1138" spans="1:5" ht="15" x14ac:dyDescent="0.35">
      <c r="A1138" s="509">
        <v>5017</v>
      </c>
      <c r="B1138" s="510" t="s">
        <v>1473</v>
      </c>
      <c r="C1138" s="509" t="s">
        <v>32</v>
      </c>
      <c r="D1138" s="512">
        <v>546909</v>
      </c>
      <c r="E1138" s="507" t="s">
        <v>331</v>
      </c>
    </row>
    <row r="1139" spans="1:5" ht="15" x14ac:dyDescent="0.35">
      <c r="A1139" s="509">
        <v>5019</v>
      </c>
      <c r="B1139" s="510" t="s">
        <v>1474</v>
      </c>
      <c r="C1139" s="509" t="s">
        <v>32</v>
      </c>
      <c r="D1139" s="512">
        <v>299560</v>
      </c>
      <c r="E1139" s="507" t="s">
        <v>331</v>
      </c>
    </row>
    <row r="1140" spans="1:5" ht="15" x14ac:dyDescent="0.35">
      <c r="A1140" s="509">
        <v>5023</v>
      </c>
      <c r="B1140" s="510" t="s">
        <v>1476</v>
      </c>
      <c r="C1140" s="509" t="s">
        <v>328</v>
      </c>
      <c r="D1140" s="512">
        <v>29614</v>
      </c>
      <c r="E1140" s="507" t="s">
        <v>331</v>
      </c>
    </row>
    <row r="1141" spans="1:5" ht="15" x14ac:dyDescent="0.35">
      <c r="A1141" s="509">
        <v>5024</v>
      </c>
      <c r="B1141" s="510" t="s">
        <v>1477</v>
      </c>
      <c r="C1141" s="509" t="s">
        <v>32</v>
      </c>
      <c r="D1141" s="511">
        <v>1768733</v>
      </c>
      <c r="E1141" s="507" t="s">
        <v>331</v>
      </c>
    </row>
    <row r="1142" spans="1:5" ht="15" x14ac:dyDescent="0.35">
      <c r="A1142" s="509">
        <v>5025</v>
      </c>
      <c r="B1142" s="510" t="s">
        <v>1478</v>
      </c>
      <c r="C1142" s="509" t="s">
        <v>21</v>
      </c>
      <c r="D1142" s="511">
        <v>294890</v>
      </c>
      <c r="E1142" s="507" t="s">
        <v>6108</v>
      </c>
    </row>
    <row r="1143" spans="1:5" ht="15" x14ac:dyDescent="0.35">
      <c r="A1143" s="509">
        <v>5026</v>
      </c>
      <c r="B1143" s="510" t="s">
        <v>1479</v>
      </c>
      <c r="C1143" s="509" t="s">
        <v>32</v>
      </c>
      <c r="D1143" s="511">
        <v>6773003</v>
      </c>
      <c r="E1143" s="507" t="s">
        <v>331</v>
      </c>
    </row>
    <row r="1144" spans="1:5" ht="15" x14ac:dyDescent="0.35">
      <c r="A1144" s="509">
        <v>5028</v>
      </c>
      <c r="B1144" s="510" t="s">
        <v>1480</v>
      </c>
      <c r="C1144" s="509" t="s">
        <v>32</v>
      </c>
      <c r="D1144" s="511">
        <v>5864955</v>
      </c>
      <c r="E1144" s="507" t="s">
        <v>331</v>
      </c>
    </row>
    <row r="1145" spans="1:5" ht="15" x14ac:dyDescent="0.35">
      <c r="A1145" s="509">
        <v>5032</v>
      </c>
      <c r="B1145" s="510" t="s">
        <v>1481</v>
      </c>
      <c r="C1145" s="509" t="s">
        <v>32</v>
      </c>
      <c r="D1145" s="511">
        <v>217277</v>
      </c>
      <c r="E1145" s="507" t="s">
        <v>6108</v>
      </c>
    </row>
    <row r="1146" spans="1:5" ht="15" x14ac:dyDescent="0.35">
      <c r="A1146" s="509">
        <v>5033</v>
      </c>
      <c r="B1146" s="510" t="s">
        <v>1482</v>
      </c>
      <c r="C1146" s="509" t="s">
        <v>32</v>
      </c>
      <c r="D1146" s="512">
        <v>239405</v>
      </c>
      <c r="E1146" s="507" t="s">
        <v>6108</v>
      </c>
    </row>
    <row r="1147" spans="1:5" ht="15" x14ac:dyDescent="0.35">
      <c r="A1147" s="509">
        <v>5036</v>
      </c>
      <c r="B1147" s="510" t="s">
        <v>1483</v>
      </c>
      <c r="C1147" s="509" t="s">
        <v>32</v>
      </c>
      <c r="D1147" s="512">
        <v>229448</v>
      </c>
      <c r="E1147" s="507" t="s">
        <v>331</v>
      </c>
    </row>
    <row r="1148" spans="1:5" ht="15" x14ac:dyDescent="0.35">
      <c r="A1148" s="509">
        <v>5037</v>
      </c>
      <c r="B1148" s="510" t="s">
        <v>1484</v>
      </c>
      <c r="C1148" s="509" t="s">
        <v>32</v>
      </c>
      <c r="D1148" s="512">
        <v>166384</v>
      </c>
      <c r="E1148" s="507" t="s">
        <v>6108</v>
      </c>
    </row>
    <row r="1149" spans="1:5" ht="15" x14ac:dyDescent="0.35">
      <c r="A1149" s="509">
        <v>5038</v>
      </c>
      <c r="B1149" s="510" t="s">
        <v>1485</v>
      </c>
      <c r="C1149" s="509" t="s">
        <v>32</v>
      </c>
      <c r="D1149" s="512">
        <v>221704</v>
      </c>
      <c r="E1149" s="507" t="s">
        <v>6108</v>
      </c>
    </row>
    <row r="1150" spans="1:5" ht="15" x14ac:dyDescent="0.35">
      <c r="A1150" s="509">
        <v>5044</v>
      </c>
      <c r="B1150" s="510" t="s">
        <v>1486</v>
      </c>
      <c r="C1150" s="509" t="s">
        <v>21</v>
      </c>
      <c r="D1150" s="512">
        <v>78813</v>
      </c>
      <c r="E1150" s="507" t="s">
        <v>6108</v>
      </c>
    </row>
    <row r="1151" spans="1:5" ht="15" x14ac:dyDescent="0.35">
      <c r="A1151" s="509">
        <v>5045</v>
      </c>
      <c r="B1151" s="510" t="s">
        <v>1487</v>
      </c>
      <c r="C1151" s="509" t="s">
        <v>32</v>
      </c>
      <c r="D1151" s="511">
        <v>217831</v>
      </c>
      <c r="E1151" s="507" t="s">
        <v>6108</v>
      </c>
    </row>
    <row r="1152" spans="1:5" ht="15" x14ac:dyDescent="0.35">
      <c r="A1152" s="509">
        <v>5046</v>
      </c>
      <c r="B1152" s="510" t="s">
        <v>1488</v>
      </c>
      <c r="C1152" s="509" t="s">
        <v>21</v>
      </c>
      <c r="D1152" s="511">
        <v>78813</v>
      </c>
      <c r="E1152" s="507" t="s">
        <v>6108</v>
      </c>
    </row>
    <row r="1153" spans="1:5" ht="15" x14ac:dyDescent="0.35">
      <c r="A1153" s="509">
        <v>5047</v>
      </c>
      <c r="B1153" s="510" t="s">
        <v>1489</v>
      </c>
      <c r="C1153" s="509" t="s">
        <v>21</v>
      </c>
      <c r="D1153" s="511">
        <v>148139</v>
      </c>
      <c r="E1153" s="507" t="s">
        <v>3594</v>
      </c>
    </row>
    <row r="1154" spans="1:5" ht="15" x14ac:dyDescent="0.35">
      <c r="A1154" s="509">
        <v>5048</v>
      </c>
      <c r="B1154" s="510" t="s">
        <v>1490</v>
      </c>
      <c r="C1154" s="509" t="s">
        <v>21</v>
      </c>
      <c r="D1154" s="511">
        <v>141743</v>
      </c>
      <c r="E1154" s="507" t="s">
        <v>6109</v>
      </c>
    </row>
    <row r="1155" spans="1:5" ht="15" x14ac:dyDescent="0.35">
      <c r="A1155" s="509">
        <v>5049</v>
      </c>
      <c r="B1155" s="510" t="s">
        <v>1491</v>
      </c>
      <c r="C1155" s="509" t="s">
        <v>21</v>
      </c>
      <c r="D1155" s="511">
        <v>407525</v>
      </c>
      <c r="E1155" s="507" t="s">
        <v>6109</v>
      </c>
    </row>
    <row r="1156" spans="1:5" ht="15" x14ac:dyDescent="0.35">
      <c r="A1156" s="509">
        <v>5050</v>
      </c>
      <c r="B1156" s="510" t="s">
        <v>1492</v>
      </c>
      <c r="C1156" s="509" t="s">
        <v>32</v>
      </c>
      <c r="D1156" s="511">
        <v>215460</v>
      </c>
      <c r="E1156" s="507" t="s">
        <v>6108</v>
      </c>
    </row>
    <row r="1157" spans="1:5" ht="15" x14ac:dyDescent="0.35">
      <c r="A1157" s="509">
        <v>5051</v>
      </c>
      <c r="B1157" s="510" t="s">
        <v>1493</v>
      </c>
      <c r="C1157" s="509" t="s">
        <v>30</v>
      </c>
      <c r="D1157" s="512">
        <v>1927826</v>
      </c>
      <c r="E1157" s="507" t="s">
        <v>6108</v>
      </c>
    </row>
    <row r="1158" spans="1:5" ht="15" x14ac:dyDescent="0.35">
      <c r="A1158" s="509">
        <v>5052</v>
      </c>
      <c r="B1158" s="510" t="s">
        <v>1494</v>
      </c>
      <c r="C1158" s="509" t="s">
        <v>30</v>
      </c>
      <c r="D1158" s="511">
        <v>994630</v>
      </c>
      <c r="E1158" s="507" t="s">
        <v>6108</v>
      </c>
    </row>
    <row r="1159" spans="1:5" ht="15" x14ac:dyDescent="0.35">
      <c r="A1159" s="509">
        <v>5053</v>
      </c>
      <c r="B1159" s="510" t="s">
        <v>1495</v>
      </c>
      <c r="C1159" s="509" t="s">
        <v>32</v>
      </c>
      <c r="D1159" s="511">
        <v>7889619</v>
      </c>
      <c r="E1159" s="507" t="s">
        <v>6108</v>
      </c>
    </row>
    <row r="1160" spans="1:5" ht="15" x14ac:dyDescent="0.35">
      <c r="A1160" s="509">
        <v>5054</v>
      </c>
      <c r="B1160" s="510" t="s">
        <v>1496</v>
      </c>
      <c r="C1160" s="509" t="s">
        <v>692</v>
      </c>
      <c r="D1160" s="511">
        <v>632080</v>
      </c>
      <c r="E1160" s="507" t="s">
        <v>6108</v>
      </c>
    </row>
    <row r="1161" spans="1:5" ht="15" x14ac:dyDescent="0.35">
      <c r="A1161" s="509">
        <v>5055</v>
      </c>
      <c r="B1161" s="510" t="s">
        <v>1497</v>
      </c>
      <c r="C1161" s="509" t="s">
        <v>30</v>
      </c>
      <c r="D1161" s="511">
        <v>355305</v>
      </c>
      <c r="E1161" s="507" t="s">
        <v>6108</v>
      </c>
    </row>
    <row r="1162" spans="1:5" ht="15" x14ac:dyDescent="0.35">
      <c r="A1162" s="509">
        <v>5056</v>
      </c>
      <c r="B1162" s="510" t="s">
        <v>1498</v>
      </c>
      <c r="C1162" s="509" t="s">
        <v>21</v>
      </c>
      <c r="D1162" s="511">
        <v>332252</v>
      </c>
      <c r="E1162" s="507" t="s">
        <v>6108</v>
      </c>
    </row>
    <row r="1163" spans="1:5" ht="15" x14ac:dyDescent="0.35">
      <c r="A1163" s="509">
        <v>5058</v>
      </c>
      <c r="B1163" s="510" t="s">
        <v>1499</v>
      </c>
      <c r="C1163" s="509" t="s">
        <v>328</v>
      </c>
      <c r="D1163" s="511">
        <v>11654</v>
      </c>
      <c r="E1163" s="507" t="s">
        <v>6108</v>
      </c>
    </row>
    <row r="1164" spans="1:5" ht="15" x14ac:dyDescent="0.35">
      <c r="A1164" s="509">
        <v>5060</v>
      </c>
      <c r="B1164" s="510" t="s">
        <v>1500</v>
      </c>
      <c r="C1164" s="509" t="s">
        <v>21</v>
      </c>
      <c r="D1164" s="511">
        <v>12602</v>
      </c>
      <c r="E1164" s="507" t="s">
        <v>6108</v>
      </c>
    </row>
    <row r="1165" spans="1:5" ht="15" x14ac:dyDescent="0.35">
      <c r="A1165" s="509">
        <v>5061</v>
      </c>
      <c r="B1165" s="510" t="s">
        <v>1501</v>
      </c>
      <c r="C1165" s="509" t="s">
        <v>21</v>
      </c>
      <c r="D1165" s="511">
        <v>111091</v>
      </c>
      <c r="E1165" s="507" t="s">
        <v>6108</v>
      </c>
    </row>
    <row r="1166" spans="1:5" ht="15" x14ac:dyDescent="0.35">
      <c r="A1166" s="509">
        <v>5062</v>
      </c>
      <c r="B1166" s="510" t="s">
        <v>1502</v>
      </c>
      <c r="C1166" s="509" t="s">
        <v>328</v>
      </c>
      <c r="D1166" s="511">
        <v>41177</v>
      </c>
      <c r="E1166" s="507" t="s">
        <v>6108</v>
      </c>
    </row>
    <row r="1167" spans="1:5" ht="15" x14ac:dyDescent="0.35">
      <c r="A1167" s="509">
        <v>5063</v>
      </c>
      <c r="B1167" s="510" t="s">
        <v>1503</v>
      </c>
      <c r="C1167" s="509" t="s">
        <v>21</v>
      </c>
      <c r="D1167" s="511">
        <v>90221</v>
      </c>
      <c r="E1167" s="507" t="s">
        <v>6108</v>
      </c>
    </row>
    <row r="1168" spans="1:5" ht="15" x14ac:dyDescent="0.35">
      <c r="A1168" s="509">
        <v>5064</v>
      </c>
      <c r="B1168" s="510" t="s">
        <v>1504</v>
      </c>
      <c r="C1168" s="509" t="s">
        <v>328</v>
      </c>
      <c r="D1168" s="511">
        <v>15002</v>
      </c>
      <c r="E1168" s="507" t="s">
        <v>6108</v>
      </c>
    </row>
    <row r="1169" spans="1:5" ht="15" x14ac:dyDescent="0.35">
      <c r="A1169" s="509">
        <v>5066</v>
      </c>
      <c r="B1169" s="510" t="s">
        <v>1505</v>
      </c>
      <c r="C1169" s="509" t="s">
        <v>328</v>
      </c>
      <c r="D1169" s="511">
        <v>48552</v>
      </c>
      <c r="E1169" s="507" t="s">
        <v>6108</v>
      </c>
    </row>
    <row r="1170" spans="1:5" ht="15" x14ac:dyDescent="0.35">
      <c r="A1170" s="509">
        <v>5067</v>
      </c>
      <c r="B1170" s="510" t="s">
        <v>1506</v>
      </c>
      <c r="C1170" s="509" t="s">
        <v>328</v>
      </c>
      <c r="D1170" s="512">
        <v>36885</v>
      </c>
      <c r="E1170" s="507" t="s">
        <v>6108</v>
      </c>
    </row>
    <row r="1171" spans="1:5" ht="15" x14ac:dyDescent="0.35">
      <c r="A1171" s="509">
        <v>5068</v>
      </c>
      <c r="B1171" s="510" t="s">
        <v>1507</v>
      </c>
      <c r="C1171" s="509" t="s">
        <v>32</v>
      </c>
      <c r="D1171" s="511">
        <v>116459</v>
      </c>
      <c r="E1171" s="507" t="s">
        <v>6108</v>
      </c>
    </row>
    <row r="1172" spans="1:5" ht="15" x14ac:dyDescent="0.35">
      <c r="A1172" s="509">
        <v>5070</v>
      </c>
      <c r="B1172" s="510" t="s">
        <v>1508</v>
      </c>
      <c r="C1172" s="509" t="s">
        <v>32</v>
      </c>
      <c r="D1172" s="511">
        <v>212027</v>
      </c>
      <c r="E1172" s="507" t="s">
        <v>6108</v>
      </c>
    </row>
    <row r="1173" spans="1:5" ht="15" x14ac:dyDescent="0.35">
      <c r="A1173" s="509">
        <v>5071</v>
      </c>
      <c r="B1173" s="510" t="s">
        <v>1509</v>
      </c>
      <c r="C1173" s="509" t="s">
        <v>30</v>
      </c>
      <c r="D1173" s="511">
        <v>1145411</v>
      </c>
      <c r="E1173" s="507" t="s">
        <v>6108</v>
      </c>
    </row>
    <row r="1174" spans="1:5" ht="15" x14ac:dyDescent="0.35">
      <c r="A1174" s="509">
        <v>5073</v>
      </c>
      <c r="B1174" s="510" t="s">
        <v>1510</v>
      </c>
      <c r="C1174" s="509" t="s">
        <v>328</v>
      </c>
      <c r="D1174" s="511">
        <v>22937</v>
      </c>
      <c r="E1174" s="507" t="s">
        <v>6108</v>
      </c>
    </row>
    <row r="1175" spans="1:5" ht="15" x14ac:dyDescent="0.35">
      <c r="A1175" s="509">
        <v>5074</v>
      </c>
      <c r="B1175" s="510" t="s">
        <v>1511</v>
      </c>
      <c r="C1175" s="509" t="s">
        <v>32</v>
      </c>
      <c r="D1175" s="511">
        <v>5908</v>
      </c>
      <c r="E1175" s="507" t="s">
        <v>6108</v>
      </c>
    </row>
    <row r="1176" spans="1:5" ht="15" x14ac:dyDescent="0.35">
      <c r="A1176" s="509">
        <v>5075</v>
      </c>
      <c r="B1176" s="510" t="s">
        <v>1512</v>
      </c>
      <c r="C1176" s="509" t="s">
        <v>32</v>
      </c>
      <c r="D1176" s="511">
        <v>10024</v>
      </c>
      <c r="E1176" s="507" t="s">
        <v>6108</v>
      </c>
    </row>
    <row r="1177" spans="1:5" ht="15" x14ac:dyDescent="0.35">
      <c r="A1177" s="509">
        <v>5076</v>
      </c>
      <c r="B1177" s="510" t="s">
        <v>1513</v>
      </c>
      <c r="C1177" s="509" t="s">
        <v>32</v>
      </c>
      <c r="D1177" s="511">
        <v>27572</v>
      </c>
      <c r="E1177" s="507" t="s">
        <v>6108</v>
      </c>
    </row>
    <row r="1178" spans="1:5" ht="15" x14ac:dyDescent="0.35">
      <c r="A1178" s="509">
        <v>5077</v>
      </c>
      <c r="B1178" s="510" t="s">
        <v>1514</v>
      </c>
      <c r="C1178" s="509" t="s">
        <v>32</v>
      </c>
      <c r="D1178" s="511">
        <v>9936</v>
      </c>
      <c r="E1178" s="507" t="s">
        <v>6108</v>
      </c>
    </row>
    <row r="1179" spans="1:5" ht="15" x14ac:dyDescent="0.35">
      <c r="A1179" s="509">
        <v>5078</v>
      </c>
      <c r="B1179" s="510" t="s">
        <v>1515</v>
      </c>
      <c r="C1179" s="509" t="s">
        <v>32</v>
      </c>
      <c r="D1179" s="512">
        <v>29688</v>
      </c>
      <c r="E1179" s="507" t="s">
        <v>6108</v>
      </c>
    </row>
    <row r="1180" spans="1:5" ht="15" x14ac:dyDescent="0.35">
      <c r="A1180" s="509">
        <v>5079</v>
      </c>
      <c r="B1180" s="510" t="s">
        <v>1516</v>
      </c>
      <c r="C1180" s="509" t="s">
        <v>32</v>
      </c>
      <c r="D1180" s="512">
        <v>15285</v>
      </c>
      <c r="E1180" s="507" t="s">
        <v>6108</v>
      </c>
    </row>
    <row r="1181" spans="1:5" ht="15" x14ac:dyDescent="0.35">
      <c r="A1181" s="509">
        <v>5080</v>
      </c>
      <c r="B1181" s="510" t="s">
        <v>1517</v>
      </c>
      <c r="C1181" s="509" t="s">
        <v>32</v>
      </c>
      <c r="D1181" s="512">
        <v>45469</v>
      </c>
      <c r="E1181" s="507" t="s">
        <v>6108</v>
      </c>
    </row>
    <row r="1182" spans="1:5" ht="15" x14ac:dyDescent="0.35">
      <c r="A1182" s="509">
        <v>5081</v>
      </c>
      <c r="B1182" s="510" t="s">
        <v>1518</v>
      </c>
      <c r="C1182" s="509" t="s">
        <v>32</v>
      </c>
      <c r="D1182" s="512">
        <v>75953</v>
      </c>
      <c r="E1182" s="507" t="s">
        <v>6108</v>
      </c>
    </row>
    <row r="1183" spans="1:5" ht="15" x14ac:dyDescent="0.35">
      <c r="A1183" s="509">
        <v>5082</v>
      </c>
      <c r="B1183" s="510" t="s">
        <v>1519</v>
      </c>
      <c r="C1183" s="509" t="s">
        <v>32</v>
      </c>
      <c r="D1183" s="512">
        <v>127488</v>
      </c>
      <c r="E1183" s="507" t="s">
        <v>6108</v>
      </c>
    </row>
    <row r="1184" spans="1:5" ht="15" x14ac:dyDescent="0.35">
      <c r="A1184" s="509">
        <v>5083</v>
      </c>
      <c r="B1184" s="510" t="s">
        <v>1520</v>
      </c>
      <c r="C1184" s="509" t="s">
        <v>328</v>
      </c>
      <c r="D1184" s="512">
        <v>18675</v>
      </c>
      <c r="E1184" s="507" t="s">
        <v>6108</v>
      </c>
    </row>
    <row r="1185" spans="1:5" ht="15" x14ac:dyDescent="0.35">
      <c r="A1185" s="509">
        <v>5084</v>
      </c>
      <c r="B1185" s="510" t="s">
        <v>1521</v>
      </c>
      <c r="C1185" s="509" t="s">
        <v>328</v>
      </c>
      <c r="D1185" s="511">
        <v>15913</v>
      </c>
      <c r="E1185" s="507" t="s">
        <v>6108</v>
      </c>
    </row>
    <row r="1186" spans="1:5" ht="15" x14ac:dyDescent="0.35">
      <c r="A1186" s="509">
        <v>5085</v>
      </c>
      <c r="B1186" s="510" t="s">
        <v>1522</v>
      </c>
      <c r="C1186" s="509" t="s">
        <v>32</v>
      </c>
      <c r="D1186" s="511">
        <v>20583</v>
      </c>
      <c r="E1186" s="507" t="s">
        <v>6108</v>
      </c>
    </row>
    <row r="1187" spans="1:5" ht="15" x14ac:dyDescent="0.35">
      <c r="A1187" s="509">
        <v>5086</v>
      </c>
      <c r="B1187" s="510" t="s">
        <v>1523</v>
      </c>
      <c r="C1187" s="509" t="s">
        <v>32</v>
      </c>
      <c r="D1187" s="511">
        <v>16199</v>
      </c>
      <c r="E1187" s="507" t="s">
        <v>6109</v>
      </c>
    </row>
    <row r="1188" spans="1:5" ht="15" x14ac:dyDescent="0.35">
      <c r="A1188" s="509">
        <v>5087</v>
      </c>
      <c r="B1188" s="510" t="s">
        <v>1524</v>
      </c>
      <c r="C1188" s="509" t="s">
        <v>32</v>
      </c>
      <c r="D1188" s="512">
        <v>9441</v>
      </c>
      <c r="E1188" s="507" t="s">
        <v>6108</v>
      </c>
    </row>
    <row r="1189" spans="1:5" ht="15" x14ac:dyDescent="0.35">
      <c r="A1189" s="509">
        <v>5088</v>
      </c>
      <c r="B1189" s="510" t="s">
        <v>1525</v>
      </c>
      <c r="C1189" s="509" t="s">
        <v>32</v>
      </c>
      <c r="D1189" s="511">
        <v>11198</v>
      </c>
      <c r="E1189" s="507" t="s">
        <v>6108</v>
      </c>
    </row>
    <row r="1190" spans="1:5" ht="15" x14ac:dyDescent="0.35">
      <c r="A1190" s="509">
        <v>5089</v>
      </c>
      <c r="B1190" s="510" t="s">
        <v>1526</v>
      </c>
      <c r="C1190" s="509" t="s">
        <v>32</v>
      </c>
      <c r="D1190" s="512">
        <v>8285</v>
      </c>
      <c r="E1190" s="507" t="s">
        <v>6108</v>
      </c>
    </row>
    <row r="1191" spans="1:5" ht="15" x14ac:dyDescent="0.35">
      <c r="A1191" s="509">
        <v>5090</v>
      </c>
      <c r="B1191" s="510" t="s">
        <v>1527</v>
      </c>
      <c r="C1191" s="509" t="s">
        <v>32</v>
      </c>
      <c r="D1191" s="511">
        <v>17158</v>
      </c>
      <c r="E1191" s="507" t="s">
        <v>6108</v>
      </c>
    </row>
    <row r="1192" spans="1:5" ht="15" x14ac:dyDescent="0.35">
      <c r="A1192" s="509">
        <v>5091</v>
      </c>
      <c r="B1192" s="510" t="s">
        <v>1528</v>
      </c>
      <c r="C1192" s="509" t="s">
        <v>32</v>
      </c>
      <c r="D1192" s="512">
        <v>11936</v>
      </c>
      <c r="E1192" s="507" t="s">
        <v>6108</v>
      </c>
    </row>
    <row r="1193" spans="1:5" ht="15" x14ac:dyDescent="0.35">
      <c r="A1193" s="509">
        <v>5092</v>
      </c>
      <c r="B1193" s="510" t="s">
        <v>1529</v>
      </c>
      <c r="C1193" s="509" t="s">
        <v>32</v>
      </c>
      <c r="D1193" s="512">
        <v>9009</v>
      </c>
      <c r="E1193" s="507" t="s">
        <v>6108</v>
      </c>
    </row>
    <row r="1194" spans="1:5" ht="15" x14ac:dyDescent="0.35">
      <c r="A1194" s="509">
        <v>5093</v>
      </c>
      <c r="B1194" s="510" t="s">
        <v>1530</v>
      </c>
      <c r="C1194" s="509" t="s">
        <v>32</v>
      </c>
      <c r="D1194" s="512">
        <v>7145</v>
      </c>
      <c r="E1194" s="507" t="s">
        <v>6108</v>
      </c>
    </row>
    <row r="1195" spans="1:5" ht="15" x14ac:dyDescent="0.35">
      <c r="A1195" s="509">
        <v>5094</v>
      </c>
      <c r="B1195" s="510" t="s">
        <v>1531</v>
      </c>
      <c r="C1195" s="509" t="s">
        <v>32</v>
      </c>
      <c r="D1195" s="512">
        <v>6112</v>
      </c>
      <c r="E1195" s="507" t="s">
        <v>6108</v>
      </c>
    </row>
    <row r="1196" spans="1:5" ht="15" x14ac:dyDescent="0.35">
      <c r="A1196" s="509">
        <v>5095</v>
      </c>
      <c r="B1196" s="510" t="s">
        <v>1532</v>
      </c>
      <c r="C1196" s="509" t="s">
        <v>32</v>
      </c>
      <c r="D1196" s="511">
        <v>43178</v>
      </c>
      <c r="E1196" s="507" t="s">
        <v>6108</v>
      </c>
    </row>
    <row r="1197" spans="1:5" ht="15" x14ac:dyDescent="0.35">
      <c r="A1197" s="509">
        <v>5096</v>
      </c>
      <c r="B1197" s="510" t="s">
        <v>1533</v>
      </c>
      <c r="C1197" s="509" t="s">
        <v>32</v>
      </c>
      <c r="D1197" s="511">
        <v>41758</v>
      </c>
      <c r="E1197" s="507" t="s">
        <v>6108</v>
      </c>
    </row>
    <row r="1198" spans="1:5" ht="15" x14ac:dyDescent="0.35">
      <c r="A1198" s="509">
        <v>5097</v>
      </c>
      <c r="B1198" s="510" t="s">
        <v>1534</v>
      </c>
      <c r="C1198" s="509" t="s">
        <v>32</v>
      </c>
      <c r="D1198" s="511">
        <v>51339</v>
      </c>
      <c r="E1198" s="507" t="s">
        <v>6108</v>
      </c>
    </row>
    <row r="1199" spans="1:5" ht="15" x14ac:dyDescent="0.35">
      <c r="A1199" s="509">
        <v>5098</v>
      </c>
      <c r="B1199" s="510" t="s">
        <v>1535</v>
      </c>
      <c r="C1199" s="509" t="s">
        <v>32</v>
      </c>
      <c r="D1199" s="512">
        <v>74352</v>
      </c>
      <c r="E1199" s="507" t="s">
        <v>6108</v>
      </c>
    </row>
    <row r="1200" spans="1:5" ht="15" x14ac:dyDescent="0.35">
      <c r="A1200" s="509">
        <v>5099</v>
      </c>
      <c r="B1200" s="510" t="s">
        <v>1536</v>
      </c>
      <c r="C1200" s="509" t="s">
        <v>32</v>
      </c>
      <c r="D1200" s="511">
        <v>70154</v>
      </c>
      <c r="E1200" s="507" t="s">
        <v>6108</v>
      </c>
    </row>
    <row r="1201" spans="1:5" ht="15" x14ac:dyDescent="0.35">
      <c r="A1201" s="509">
        <v>5101</v>
      </c>
      <c r="B1201" s="510" t="s">
        <v>1537</v>
      </c>
      <c r="C1201" s="509" t="s">
        <v>328</v>
      </c>
      <c r="D1201" s="511">
        <v>201489</v>
      </c>
      <c r="E1201" s="507" t="s">
        <v>6108</v>
      </c>
    </row>
    <row r="1202" spans="1:5" ht="15" x14ac:dyDescent="0.35">
      <c r="A1202" s="509">
        <v>5102</v>
      </c>
      <c r="B1202" s="510" t="s">
        <v>1538</v>
      </c>
      <c r="C1202" s="509" t="s">
        <v>328</v>
      </c>
      <c r="D1202" s="511">
        <v>63286</v>
      </c>
      <c r="E1202" s="507" t="s">
        <v>6108</v>
      </c>
    </row>
    <row r="1203" spans="1:5" ht="15" x14ac:dyDescent="0.35">
      <c r="A1203" s="509">
        <v>5103</v>
      </c>
      <c r="B1203" s="510" t="s">
        <v>1539</v>
      </c>
      <c r="C1203" s="509" t="s">
        <v>328</v>
      </c>
      <c r="D1203" s="511">
        <v>238129</v>
      </c>
      <c r="E1203" s="507" t="s">
        <v>6108</v>
      </c>
    </row>
    <row r="1204" spans="1:5" ht="15" x14ac:dyDescent="0.35">
      <c r="A1204" s="509">
        <v>5105</v>
      </c>
      <c r="B1204" s="510" t="s">
        <v>1540</v>
      </c>
      <c r="C1204" s="509" t="s">
        <v>32</v>
      </c>
      <c r="D1204" s="511">
        <v>125159</v>
      </c>
      <c r="E1204" s="507" t="s">
        <v>331</v>
      </c>
    </row>
    <row r="1205" spans="1:5" ht="15" x14ac:dyDescent="0.35">
      <c r="A1205" s="509">
        <v>5106</v>
      </c>
      <c r="B1205" s="510" t="s">
        <v>1541</v>
      </c>
      <c r="C1205" s="509" t="s">
        <v>32</v>
      </c>
      <c r="D1205" s="511">
        <v>388922</v>
      </c>
      <c r="E1205" s="507" t="s">
        <v>6108</v>
      </c>
    </row>
    <row r="1206" spans="1:5" ht="15" x14ac:dyDescent="0.35">
      <c r="A1206" s="509">
        <v>5107</v>
      </c>
      <c r="B1206" s="510" t="s">
        <v>1542</v>
      </c>
      <c r="C1206" s="509" t="s">
        <v>328</v>
      </c>
      <c r="D1206" s="511">
        <v>54655</v>
      </c>
      <c r="E1206" s="507" t="s">
        <v>6108</v>
      </c>
    </row>
    <row r="1207" spans="1:5" ht="15" x14ac:dyDescent="0.35">
      <c r="A1207" s="509">
        <v>5108</v>
      </c>
      <c r="B1207" s="510" t="s">
        <v>1543</v>
      </c>
      <c r="C1207" s="509" t="s">
        <v>32</v>
      </c>
      <c r="D1207" s="511">
        <v>443868</v>
      </c>
      <c r="E1207" s="507" t="s">
        <v>6108</v>
      </c>
    </row>
    <row r="1208" spans="1:5" ht="15" x14ac:dyDescent="0.35">
      <c r="A1208" s="509">
        <v>5109</v>
      </c>
      <c r="B1208" s="510" t="s">
        <v>1544</v>
      </c>
      <c r="C1208" s="509" t="s">
        <v>32</v>
      </c>
      <c r="D1208" s="511">
        <v>200067</v>
      </c>
      <c r="E1208" s="507" t="s">
        <v>6108</v>
      </c>
    </row>
    <row r="1209" spans="1:5" ht="15" x14ac:dyDescent="0.35">
      <c r="A1209" s="509">
        <v>5110</v>
      </c>
      <c r="B1209" s="510" t="s">
        <v>1545</v>
      </c>
      <c r="C1209" s="509" t="s">
        <v>328</v>
      </c>
      <c r="D1209" s="511">
        <v>58590</v>
      </c>
      <c r="E1209" s="507" t="s">
        <v>6108</v>
      </c>
    </row>
    <row r="1210" spans="1:5" ht="15" x14ac:dyDescent="0.35">
      <c r="A1210" s="509">
        <v>5111</v>
      </c>
      <c r="B1210" s="510" t="s">
        <v>1546</v>
      </c>
      <c r="C1210" s="509" t="s">
        <v>328</v>
      </c>
      <c r="D1210" s="511">
        <v>17574</v>
      </c>
      <c r="E1210" s="507" t="s">
        <v>6108</v>
      </c>
    </row>
    <row r="1211" spans="1:5" ht="15" x14ac:dyDescent="0.35">
      <c r="A1211" s="509">
        <v>5112</v>
      </c>
      <c r="B1211" s="510" t="s">
        <v>1547</v>
      </c>
      <c r="C1211" s="509" t="s">
        <v>328</v>
      </c>
      <c r="D1211" s="511">
        <v>31050</v>
      </c>
      <c r="E1211" s="507" t="s">
        <v>6108</v>
      </c>
    </row>
    <row r="1212" spans="1:5" ht="15" x14ac:dyDescent="0.35">
      <c r="A1212" s="509">
        <v>5113</v>
      </c>
      <c r="B1212" s="510" t="s">
        <v>1548</v>
      </c>
      <c r="C1212" s="509" t="s">
        <v>32</v>
      </c>
      <c r="D1212" s="511">
        <v>290364</v>
      </c>
      <c r="E1212" s="507" t="s">
        <v>6108</v>
      </c>
    </row>
    <row r="1213" spans="1:5" ht="15" x14ac:dyDescent="0.35">
      <c r="A1213" s="509">
        <v>5122</v>
      </c>
      <c r="B1213" s="510" t="s">
        <v>1549</v>
      </c>
      <c r="C1213" s="509" t="s">
        <v>32</v>
      </c>
      <c r="D1213" s="512">
        <v>443398</v>
      </c>
      <c r="E1213" s="507" t="s">
        <v>6108</v>
      </c>
    </row>
    <row r="1214" spans="1:5" ht="15" x14ac:dyDescent="0.35">
      <c r="A1214" s="509">
        <v>5123</v>
      </c>
      <c r="B1214" s="510" t="s">
        <v>1550</v>
      </c>
      <c r="C1214" s="509" t="s">
        <v>32</v>
      </c>
      <c r="D1214" s="511">
        <v>1114694</v>
      </c>
      <c r="E1214" s="507" t="s">
        <v>6108</v>
      </c>
    </row>
    <row r="1215" spans="1:5" ht="15" x14ac:dyDescent="0.35">
      <c r="A1215" s="509">
        <v>5124</v>
      </c>
      <c r="B1215" s="510" t="s">
        <v>1551</v>
      </c>
      <c r="C1215" s="509" t="s">
        <v>32</v>
      </c>
      <c r="D1215" s="511">
        <v>372786</v>
      </c>
      <c r="E1215" s="507" t="s">
        <v>6108</v>
      </c>
    </row>
    <row r="1216" spans="1:5" ht="15" x14ac:dyDescent="0.35">
      <c r="A1216" s="509">
        <v>5125</v>
      </c>
      <c r="B1216" s="510" t="s">
        <v>1552</v>
      </c>
      <c r="C1216" s="509" t="s">
        <v>32</v>
      </c>
      <c r="D1216" s="512">
        <v>91724</v>
      </c>
      <c r="E1216" s="507" t="s">
        <v>6109</v>
      </c>
    </row>
    <row r="1217" spans="1:5" ht="15" x14ac:dyDescent="0.35">
      <c r="A1217" s="509">
        <v>5126</v>
      </c>
      <c r="B1217" s="510" t="s">
        <v>1553</v>
      </c>
      <c r="C1217" s="509" t="s">
        <v>32</v>
      </c>
      <c r="D1217" s="512">
        <v>294029</v>
      </c>
      <c r="E1217" s="507" t="s">
        <v>6108</v>
      </c>
    </row>
    <row r="1218" spans="1:5" ht="15" x14ac:dyDescent="0.35">
      <c r="A1218" s="509">
        <v>5127</v>
      </c>
      <c r="B1218" s="510" t="s">
        <v>1554</v>
      </c>
      <c r="C1218" s="509" t="s">
        <v>32</v>
      </c>
      <c r="D1218" s="511">
        <v>570927</v>
      </c>
      <c r="E1218" s="507" t="s">
        <v>331</v>
      </c>
    </row>
    <row r="1219" spans="1:5" ht="15" x14ac:dyDescent="0.35">
      <c r="A1219" s="509">
        <v>5128</v>
      </c>
      <c r="B1219" s="510" t="s">
        <v>1555</v>
      </c>
      <c r="C1219" s="509" t="s">
        <v>32</v>
      </c>
      <c r="D1219" s="512">
        <v>463245</v>
      </c>
      <c r="E1219" s="507" t="s">
        <v>6108</v>
      </c>
    </row>
    <row r="1220" spans="1:5" ht="15" x14ac:dyDescent="0.35">
      <c r="A1220" s="509">
        <v>5129</v>
      </c>
      <c r="B1220" s="510" t="s">
        <v>1556</v>
      </c>
      <c r="C1220" s="509" t="s">
        <v>328</v>
      </c>
      <c r="D1220" s="512">
        <v>318362</v>
      </c>
      <c r="E1220" s="507" t="s">
        <v>6108</v>
      </c>
    </row>
    <row r="1221" spans="1:5" ht="15" x14ac:dyDescent="0.35">
      <c r="A1221" s="509">
        <v>5131</v>
      </c>
      <c r="B1221" s="510" t="s">
        <v>1557</v>
      </c>
      <c r="C1221" s="509" t="s">
        <v>328</v>
      </c>
      <c r="D1221" s="512">
        <v>234021</v>
      </c>
      <c r="E1221" s="507" t="s">
        <v>6108</v>
      </c>
    </row>
    <row r="1222" spans="1:5" ht="15" x14ac:dyDescent="0.35">
      <c r="A1222" s="509">
        <v>5132</v>
      </c>
      <c r="B1222" s="510" t="s">
        <v>1558</v>
      </c>
      <c r="C1222" s="509" t="s">
        <v>328</v>
      </c>
      <c r="D1222" s="511">
        <v>70261</v>
      </c>
      <c r="E1222" s="507" t="s">
        <v>6108</v>
      </c>
    </row>
    <row r="1223" spans="1:5" ht="15" x14ac:dyDescent="0.35">
      <c r="A1223" s="509">
        <v>5135</v>
      </c>
      <c r="B1223" s="510" t="s">
        <v>1559</v>
      </c>
      <c r="C1223" s="509" t="s">
        <v>328</v>
      </c>
      <c r="D1223" s="512">
        <v>8246</v>
      </c>
      <c r="E1223" s="507" t="s">
        <v>6108</v>
      </c>
    </row>
    <row r="1224" spans="1:5" ht="15" x14ac:dyDescent="0.35">
      <c r="A1224" s="509">
        <v>5136</v>
      </c>
      <c r="B1224" s="510" t="s">
        <v>1560</v>
      </c>
      <c r="C1224" s="509" t="s">
        <v>21</v>
      </c>
      <c r="D1224" s="511">
        <v>11484</v>
      </c>
      <c r="E1224" s="507" t="s">
        <v>6108</v>
      </c>
    </row>
    <row r="1225" spans="1:5" ht="15" x14ac:dyDescent="0.35">
      <c r="A1225" s="509">
        <v>5143</v>
      </c>
      <c r="B1225" s="510" t="s">
        <v>1561</v>
      </c>
      <c r="C1225" s="509" t="s">
        <v>32</v>
      </c>
      <c r="D1225" s="511">
        <v>87406</v>
      </c>
      <c r="E1225" s="507" t="s">
        <v>6108</v>
      </c>
    </row>
    <row r="1226" spans="1:5" ht="15" x14ac:dyDescent="0.35">
      <c r="A1226" s="509">
        <v>5144</v>
      </c>
      <c r="B1226" s="510" t="s">
        <v>1562</v>
      </c>
      <c r="C1226" s="509" t="s">
        <v>32</v>
      </c>
      <c r="D1226" s="511">
        <v>25158</v>
      </c>
      <c r="E1226" s="507" t="s">
        <v>6108</v>
      </c>
    </row>
    <row r="1227" spans="1:5" ht="15" x14ac:dyDescent="0.35">
      <c r="A1227" s="509">
        <v>5145</v>
      </c>
      <c r="B1227" s="510" t="s">
        <v>1563</v>
      </c>
      <c r="C1227" s="509" t="s">
        <v>32</v>
      </c>
      <c r="D1227" s="511">
        <v>20171</v>
      </c>
      <c r="E1227" s="507" t="s">
        <v>6108</v>
      </c>
    </row>
    <row r="1228" spans="1:5" ht="15" x14ac:dyDescent="0.35">
      <c r="A1228" s="509">
        <v>5159</v>
      </c>
      <c r="B1228" s="510" t="s">
        <v>1564</v>
      </c>
      <c r="C1228" s="509" t="s">
        <v>32</v>
      </c>
      <c r="D1228" s="511">
        <v>39801</v>
      </c>
      <c r="E1228" s="507" t="s">
        <v>331</v>
      </c>
    </row>
    <row r="1229" spans="1:5" ht="15" x14ac:dyDescent="0.35">
      <c r="A1229" s="509">
        <v>5160</v>
      </c>
      <c r="B1229" s="510" t="s">
        <v>1565</v>
      </c>
      <c r="C1229" s="509" t="s">
        <v>32</v>
      </c>
      <c r="D1229" s="511">
        <v>90042</v>
      </c>
      <c r="E1229" s="507" t="s">
        <v>331</v>
      </c>
    </row>
    <row r="1230" spans="1:5" ht="15" x14ac:dyDescent="0.35">
      <c r="A1230" s="509">
        <v>5161</v>
      </c>
      <c r="B1230" s="510" t="s">
        <v>1566</v>
      </c>
      <c r="C1230" s="509" t="s">
        <v>21</v>
      </c>
      <c r="D1230" s="511">
        <v>270</v>
      </c>
      <c r="E1230" s="507" t="s">
        <v>331</v>
      </c>
    </row>
    <row r="1231" spans="1:5" ht="15" x14ac:dyDescent="0.35">
      <c r="A1231" s="509">
        <v>5162</v>
      </c>
      <c r="B1231" s="510" t="s">
        <v>1567</v>
      </c>
      <c r="C1231" s="509" t="s">
        <v>30</v>
      </c>
      <c r="D1231" s="511">
        <v>358274</v>
      </c>
      <c r="E1231" s="507" t="s">
        <v>6108</v>
      </c>
    </row>
    <row r="1232" spans="1:5" ht="15" x14ac:dyDescent="0.35">
      <c r="A1232" s="509">
        <v>5163</v>
      </c>
      <c r="B1232" s="510" t="s">
        <v>1568</v>
      </c>
      <c r="C1232" s="509" t="s">
        <v>30</v>
      </c>
      <c r="D1232" s="511">
        <v>381673</v>
      </c>
      <c r="E1232" s="507" t="s">
        <v>331</v>
      </c>
    </row>
    <row r="1233" spans="1:5" ht="15" x14ac:dyDescent="0.35">
      <c r="A1233" s="509">
        <v>5164</v>
      </c>
      <c r="B1233" s="510" t="s">
        <v>1569</v>
      </c>
      <c r="C1233" s="509" t="s">
        <v>30</v>
      </c>
      <c r="D1233" s="511">
        <v>192452</v>
      </c>
      <c r="E1233" s="507" t="s">
        <v>331</v>
      </c>
    </row>
    <row r="1234" spans="1:5" ht="15" x14ac:dyDescent="0.35">
      <c r="A1234" s="509">
        <v>5165</v>
      </c>
      <c r="B1234" s="510" t="s">
        <v>1570</v>
      </c>
      <c r="C1234" s="509" t="s">
        <v>30</v>
      </c>
      <c r="D1234" s="511">
        <v>278137</v>
      </c>
      <c r="E1234" s="507" t="s">
        <v>331</v>
      </c>
    </row>
    <row r="1235" spans="1:5" ht="15" x14ac:dyDescent="0.35">
      <c r="A1235" s="509">
        <v>5166</v>
      </c>
      <c r="B1235" s="510" t="s">
        <v>1571</v>
      </c>
      <c r="C1235" s="509" t="s">
        <v>1572</v>
      </c>
      <c r="D1235" s="511">
        <v>6549</v>
      </c>
      <c r="E1235" s="507" t="s">
        <v>331</v>
      </c>
    </row>
    <row r="1236" spans="1:5" ht="15" x14ac:dyDescent="0.35">
      <c r="A1236" s="509">
        <v>5167</v>
      </c>
      <c r="B1236" s="510" t="s">
        <v>1573</v>
      </c>
      <c r="C1236" s="509" t="s">
        <v>1413</v>
      </c>
      <c r="D1236" s="511">
        <v>3193374</v>
      </c>
      <c r="E1236" s="507" t="s">
        <v>331</v>
      </c>
    </row>
    <row r="1237" spans="1:5" ht="15" x14ac:dyDescent="0.35">
      <c r="A1237" s="509">
        <v>5168</v>
      </c>
      <c r="B1237" s="510" t="s">
        <v>1574</v>
      </c>
      <c r="C1237" s="509" t="s">
        <v>307</v>
      </c>
      <c r="D1237" s="511">
        <v>20762</v>
      </c>
      <c r="E1237" s="507" t="s">
        <v>331</v>
      </c>
    </row>
    <row r="1238" spans="1:5" ht="15" x14ac:dyDescent="0.35">
      <c r="A1238" s="509">
        <v>5169</v>
      </c>
      <c r="B1238" s="510" t="s">
        <v>1575</v>
      </c>
      <c r="C1238" s="509" t="s">
        <v>32</v>
      </c>
      <c r="D1238" s="511">
        <v>210107</v>
      </c>
      <c r="E1238" s="507" t="s">
        <v>6108</v>
      </c>
    </row>
    <row r="1239" spans="1:5" ht="15" x14ac:dyDescent="0.35">
      <c r="A1239" s="509">
        <v>5170</v>
      </c>
      <c r="B1239" s="510" t="s">
        <v>1576</v>
      </c>
      <c r="C1239" s="509" t="s">
        <v>307</v>
      </c>
      <c r="D1239" s="511">
        <v>440446</v>
      </c>
      <c r="E1239" s="507" t="s">
        <v>6108</v>
      </c>
    </row>
    <row r="1240" spans="1:5" ht="15" x14ac:dyDescent="0.35">
      <c r="A1240" s="509">
        <v>5171</v>
      </c>
      <c r="B1240" s="510" t="s">
        <v>1577</v>
      </c>
      <c r="C1240" s="509" t="s">
        <v>32</v>
      </c>
      <c r="D1240" s="511">
        <v>522197</v>
      </c>
      <c r="E1240" s="507" t="s">
        <v>6108</v>
      </c>
    </row>
    <row r="1241" spans="1:5" ht="15" x14ac:dyDescent="0.35">
      <c r="A1241" s="509">
        <v>5172</v>
      </c>
      <c r="B1241" s="510" t="s">
        <v>1578</v>
      </c>
      <c r="C1241" s="509" t="s">
        <v>32</v>
      </c>
      <c r="D1241" s="511">
        <v>487892</v>
      </c>
      <c r="E1241" s="507" t="s">
        <v>6108</v>
      </c>
    </row>
    <row r="1242" spans="1:5" ht="15" x14ac:dyDescent="0.35">
      <c r="A1242" s="509">
        <v>5173</v>
      </c>
      <c r="B1242" s="510" t="s">
        <v>1579</v>
      </c>
      <c r="C1242" s="509" t="s">
        <v>32</v>
      </c>
      <c r="D1242" s="511">
        <v>495996</v>
      </c>
      <c r="E1242" s="507" t="s">
        <v>6108</v>
      </c>
    </row>
    <row r="1243" spans="1:5" ht="15" x14ac:dyDescent="0.35">
      <c r="A1243" s="509">
        <v>5175</v>
      </c>
      <c r="B1243" s="510" t="s">
        <v>1580</v>
      </c>
      <c r="C1243" s="509" t="s">
        <v>328</v>
      </c>
      <c r="D1243" s="511">
        <v>238028</v>
      </c>
      <c r="E1243" s="507" t="s">
        <v>6108</v>
      </c>
    </row>
    <row r="1244" spans="1:5" ht="15" x14ac:dyDescent="0.35">
      <c r="A1244" s="509">
        <v>5176</v>
      </c>
      <c r="B1244" s="510" t="s">
        <v>1581</v>
      </c>
      <c r="C1244" s="509" t="s">
        <v>328</v>
      </c>
      <c r="D1244" s="511">
        <v>191064</v>
      </c>
      <c r="E1244" s="507" t="s">
        <v>6108</v>
      </c>
    </row>
    <row r="1245" spans="1:5" ht="15" x14ac:dyDescent="0.35">
      <c r="A1245" s="509">
        <v>5177</v>
      </c>
      <c r="B1245" s="510" t="s">
        <v>1582</v>
      </c>
      <c r="C1245" s="509" t="s">
        <v>30</v>
      </c>
      <c r="D1245" s="511">
        <v>2022771</v>
      </c>
      <c r="E1245" s="507" t="s">
        <v>6108</v>
      </c>
    </row>
    <row r="1246" spans="1:5" ht="15" x14ac:dyDescent="0.35">
      <c r="A1246" s="509">
        <v>5178</v>
      </c>
      <c r="B1246" s="510" t="s">
        <v>1583</v>
      </c>
      <c r="C1246" s="509" t="s">
        <v>692</v>
      </c>
      <c r="D1246" s="511">
        <v>952689</v>
      </c>
      <c r="E1246" s="507" t="s">
        <v>6108</v>
      </c>
    </row>
    <row r="1247" spans="1:5" ht="15" x14ac:dyDescent="0.35">
      <c r="A1247" s="509">
        <v>5180</v>
      </c>
      <c r="B1247" s="510" t="s">
        <v>1584</v>
      </c>
      <c r="C1247" s="509" t="s">
        <v>328</v>
      </c>
      <c r="D1247" s="511">
        <v>339350</v>
      </c>
      <c r="E1247" s="507" t="s">
        <v>6108</v>
      </c>
    </row>
    <row r="1248" spans="1:5" ht="15" x14ac:dyDescent="0.35">
      <c r="A1248" s="509">
        <v>5181</v>
      </c>
      <c r="B1248" s="510" t="s">
        <v>1585</v>
      </c>
      <c r="C1248" s="509" t="s">
        <v>328</v>
      </c>
      <c r="D1248" s="511">
        <v>63257</v>
      </c>
      <c r="E1248" s="507" t="s">
        <v>6108</v>
      </c>
    </row>
    <row r="1249" spans="1:5" ht="15" x14ac:dyDescent="0.35">
      <c r="A1249" s="509">
        <v>5182</v>
      </c>
      <c r="B1249" s="510" t="s">
        <v>1586</v>
      </c>
      <c r="C1249" s="509" t="s">
        <v>328</v>
      </c>
      <c r="D1249" s="511">
        <v>462202</v>
      </c>
      <c r="E1249" s="507" t="s">
        <v>6108</v>
      </c>
    </row>
    <row r="1250" spans="1:5" ht="15" x14ac:dyDescent="0.35">
      <c r="A1250" s="509">
        <v>5183</v>
      </c>
      <c r="B1250" s="510" t="s">
        <v>1587</v>
      </c>
      <c r="C1250" s="509" t="s">
        <v>328</v>
      </c>
      <c r="D1250" s="511">
        <v>220399</v>
      </c>
      <c r="E1250" s="507" t="s">
        <v>6108</v>
      </c>
    </row>
    <row r="1251" spans="1:5" ht="15" x14ac:dyDescent="0.35">
      <c r="A1251" s="509">
        <v>5184</v>
      </c>
      <c r="B1251" s="510" t="s">
        <v>1588</v>
      </c>
      <c r="C1251" s="509" t="s">
        <v>328</v>
      </c>
      <c r="D1251" s="511">
        <v>80088</v>
      </c>
      <c r="E1251" s="507" t="s">
        <v>331</v>
      </c>
    </row>
    <row r="1252" spans="1:5" ht="15" x14ac:dyDescent="0.35">
      <c r="A1252" s="509">
        <v>5186</v>
      </c>
      <c r="B1252" s="510" t="s">
        <v>1590</v>
      </c>
      <c r="C1252" s="509" t="s">
        <v>32</v>
      </c>
      <c r="D1252" s="511">
        <v>468675</v>
      </c>
      <c r="E1252" s="507" t="s">
        <v>331</v>
      </c>
    </row>
    <row r="1253" spans="1:5" ht="15" x14ac:dyDescent="0.35">
      <c r="A1253" s="509">
        <v>5187</v>
      </c>
      <c r="B1253" s="510" t="s">
        <v>1591</v>
      </c>
      <c r="C1253" s="509" t="s">
        <v>32</v>
      </c>
      <c r="D1253" s="511">
        <v>506038</v>
      </c>
      <c r="E1253" s="507" t="s">
        <v>331</v>
      </c>
    </row>
    <row r="1254" spans="1:5" ht="15" x14ac:dyDescent="0.35">
      <c r="A1254" s="509">
        <v>5188</v>
      </c>
      <c r="B1254" s="510" t="s">
        <v>1592</v>
      </c>
      <c r="C1254" s="509" t="s">
        <v>32</v>
      </c>
      <c r="D1254" s="511">
        <v>59540</v>
      </c>
      <c r="E1254" s="507" t="s">
        <v>331</v>
      </c>
    </row>
    <row r="1255" spans="1:5" ht="15" x14ac:dyDescent="0.35">
      <c r="A1255" s="509">
        <v>5189</v>
      </c>
      <c r="B1255" s="510" t="s">
        <v>1593</v>
      </c>
      <c r="C1255" s="509" t="s">
        <v>32</v>
      </c>
      <c r="D1255" s="511">
        <v>92358</v>
      </c>
      <c r="E1255" s="507" t="s">
        <v>6108</v>
      </c>
    </row>
    <row r="1256" spans="1:5" ht="15" x14ac:dyDescent="0.35">
      <c r="A1256" s="509">
        <v>5190</v>
      </c>
      <c r="B1256" s="510" t="s">
        <v>1594</v>
      </c>
      <c r="C1256" s="509" t="s">
        <v>328</v>
      </c>
      <c r="D1256" s="511">
        <v>13166</v>
      </c>
      <c r="E1256" s="507" t="s">
        <v>6108</v>
      </c>
    </row>
    <row r="1257" spans="1:5" ht="15" x14ac:dyDescent="0.35">
      <c r="A1257" s="509">
        <v>5191</v>
      </c>
      <c r="B1257" s="510" t="s">
        <v>1595</v>
      </c>
      <c r="C1257" s="509" t="s">
        <v>32</v>
      </c>
      <c r="D1257" s="511">
        <v>306304</v>
      </c>
      <c r="E1257" s="507" t="s">
        <v>6108</v>
      </c>
    </row>
    <row r="1258" spans="1:5" ht="15" x14ac:dyDescent="0.35">
      <c r="A1258" s="509">
        <v>5195</v>
      </c>
      <c r="B1258" s="510" t="s">
        <v>1596</v>
      </c>
      <c r="C1258" s="509" t="s">
        <v>328</v>
      </c>
      <c r="D1258" s="511">
        <v>54450</v>
      </c>
      <c r="E1258" s="507" t="s">
        <v>331</v>
      </c>
    </row>
    <row r="1259" spans="1:5" ht="15" x14ac:dyDescent="0.35">
      <c r="A1259" s="509">
        <v>5196</v>
      </c>
      <c r="B1259" s="510" t="s">
        <v>1597</v>
      </c>
      <c r="C1259" s="509" t="s">
        <v>30</v>
      </c>
      <c r="D1259" s="511">
        <v>122687</v>
      </c>
      <c r="E1259" s="507" t="s">
        <v>6108</v>
      </c>
    </row>
    <row r="1260" spans="1:5" ht="15" x14ac:dyDescent="0.35">
      <c r="A1260" s="509">
        <v>5197</v>
      </c>
      <c r="B1260" s="510" t="s">
        <v>1598</v>
      </c>
      <c r="C1260" s="509" t="s">
        <v>30</v>
      </c>
      <c r="D1260" s="511">
        <v>130352</v>
      </c>
      <c r="E1260" s="507" t="s">
        <v>6108</v>
      </c>
    </row>
    <row r="1261" spans="1:5" ht="15" x14ac:dyDescent="0.35">
      <c r="A1261" s="509">
        <v>5202</v>
      </c>
      <c r="B1261" s="510" t="s">
        <v>1599</v>
      </c>
      <c r="C1261" s="509" t="s">
        <v>328</v>
      </c>
      <c r="D1261" s="511">
        <v>99028</v>
      </c>
      <c r="E1261" s="507" t="s">
        <v>6108</v>
      </c>
    </row>
    <row r="1262" spans="1:5" ht="15" x14ac:dyDescent="0.35">
      <c r="A1262" s="509">
        <v>5204</v>
      </c>
      <c r="B1262" s="510" t="s">
        <v>1600</v>
      </c>
      <c r="C1262" s="509" t="s">
        <v>328</v>
      </c>
      <c r="D1262" s="512">
        <v>11430</v>
      </c>
      <c r="E1262" s="507" t="s">
        <v>6108</v>
      </c>
    </row>
    <row r="1263" spans="1:5" ht="15" x14ac:dyDescent="0.35">
      <c r="A1263" s="509">
        <v>5205</v>
      </c>
      <c r="B1263" s="510" t="s">
        <v>1601</v>
      </c>
      <c r="C1263" s="509" t="s">
        <v>328</v>
      </c>
      <c r="D1263" s="511">
        <v>49027</v>
      </c>
      <c r="E1263" s="507" t="s">
        <v>6108</v>
      </c>
    </row>
    <row r="1264" spans="1:5" ht="15" x14ac:dyDescent="0.35">
      <c r="A1264" s="509">
        <v>5207</v>
      </c>
      <c r="B1264" s="510" t="s">
        <v>1602</v>
      </c>
      <c r="C1264" s="509" t="s">
        <v>21</v>
      </c>
      <c r="D1264" s="511">
        <v>254193</v>
      </c>
      <c r="E1264" s="507" t="s">
        <v>6108</v>
      </c>
    </row>
    <row r="1265" spans="1:5" ht="15" x14ac:dyDescent="0.35">
      <c r="A1265" s="509">
        <v>5208</v>
      </c>
      <c r="B1265" s="510" t="s">
        <v>1603</v>
      </c>
      <c r="C1265" s="509" t="s">
        <v>328</v>
      </c>
      <c r="D1265" s="512">
        <v>117605</v>
      </c>
      <c r="E1265" s="507" t="s">
        <v>6108</v>
      </c>
    </row>
    <row r="1266" spans="1:5" ht="15" x14ac:dyDescent="0.35">
      <c r="A1266" s="509">
        <v>5209</v>
      </c>
      <c r="B1266" s="510" t="s">
        <v>1604</v>
      </c>
      <c r="C1266" s="509" t="s">
        <v>21</v>
      </c>
      <c r="D1266" s="511">
        <v>81108</v>
      </c>
      <c r="E1266" s="507" t="s">
        <v>6108</v>
      </c>
    </row>
    <row r="1267" spans="1:5" ht="15" x14ac:dyDescent="0.35">
      <c r="A1267" s="509">
        <v>5210</v>
      </c>
      <c r="B1267" s="510" t="s">
        <v>1605</v>
      </c>
      <c r="C1267" s="509" t="s">
        <v>21</v>
      </c>
      <c r="D1267" s="511">
        <v>86915</v>
      </c>
      <c r="E1267" s="507" t="s">
        <v>331</v>
      </c>
    </row>
    <row r="1268" spans="1:5" ht="15" x14ac:dyDescent="0.35">
      <c r="A1268" s="509">
        <v>5211</v>
      </c>
      <c r="B1268" s="510" t="s">
        <v>1606</v>
      </c>
      <c r="C1268" s="509" t="s">
        <v>21</v>
      </c>
      <c r="D1268" s="511">
        <v>59365</v>
      </c>
      <c r="E1268" s="507" t="s">
        <v>6108</v>
      </c>
    </row>
    <row r="1269" spans="1:5" ht="15" x14ac:dyDescent="0.35">
      <c r="A1269" s="509">
        <v>5212</v>
      </c>
      <c r="B1269" s="510" t="s">
        <v>1607</v>
      </c>
      <c r="C1269" s="509" t="s">
        <v>328</v>
      </c>
      <c r="D1269" s="511">
        <v>24885</v>
      </c>
      <c r="E1269" s="507" t="s">
        <v>6109</v>
      </c>
    </row>
    <row r="1270" spans="1:5" ht="15" x14ac:dyDescent="0.35">
      <c r="A1270" s="509">
        <v>5214</v>
      </c>
      <c r="B1270" s="510" t="s">
        <v>1608</v>
      </c>
      <c r="C1270" s="509" t="s">
        <v>21</v>
      </c>
      <c r="D1270" s="512">
        <v>310996</v>
      </c>
      <c r="E1270" s="507" t="s">
        <v>6109</v>
      </c>
    </row>
    <row r="1271" spans="1:5" ht="15" x14ac:dyDescent="0.35">
      <c r="A1271" s="509">
        <v>5216</v>
      </c>
      <c r="B1271" s="510" t="s">
        <v>1609</v>
      </c>
      <c r="C1271" s="509" t="s">
        <v>21</v>
      </c>
      <c r="D1271" s="511">
        <v>26572</v>
      </c>
      <c r="E1271" s="507" t="s">
        <v>6109</v>
      </c>
    </row>
    <row r="1272" spans="1:5" ht="15" x14ac:dyDescent="0.35">
      <c r="A1272" s="509">
        <v>5217</v>
      </c>
      <c r="B1272" s="510" t="s">
        <v>1610</v>
      </c>
      <c r="C1272" s="509" t="s">
        <v>328</v>
      </c>
      <c r="D1272" s="511">
        <v>3917</v>
      </c>
      <c r="E1272" s="507" t="s">
        <v>6109</v>
      </c>
    </row>
    <row r="1273" spans="1:5" ht="15" x14ac:dyDescent="0.35">
      <c r="A1273" s="509">
        <v>5218</v>
      </c>
      <c r="B1273" s="510" t="s">
        <v>1611</v>
      </c>
      <c r="C1273" s="509" t="s">
        <v>328</v>
      </c>
      <c r="D1273" s="511">
        <v>4138</v>
      </c>
      <c r="E1273" s="507" t="s">
        <v>6109</v>
      </c>
    </row>
    <row r="1274" spans="1:5" ht="15" x14ac:dyDescent="0.35">
      <c r="A1274" s="509">
        <v>5220</v>
      </c>
      <c r="B1274" s="510" t="s">
        <v>1612</v>
      </c>
      <c r="C1274" s="509" t="s">
        <v>328</v>
      </c>
      <c r="D1274" s="511">
        <v>19113</v>
      </c>
      <c r="E1274" s="507" t="s">
        <v>6109</v>
      </c>
    </row>
    <row r="1275" spans="1:5" ht="15" x14ac:dyDescent="0.35">
      <c r="A1275" s="509">
        <v>5221</v>
      </c>
      <c r="B1275" s="510" t="s">
        <v>1613</v>
      </c>
      <c r="C1275" s="509" t="s">
        <v>328</v>
      </c>
      <c r="D1275" s="511">
        <v>21984</v>
      </c>
      <c r="E1275" s="507" t="s">
        <v>6109</v>
      </c>
    </row>
    <row r="1276" spans="1:5" ht="15" x14ac:dyDescent="0.35">
      <c r="A1276" s="509">
        <v>5225</v>
      </c>
      <c r="B1276" s="510" t="s">
        <v>1614</v>
      </c>
      <c r="C1276" s="509" t="s">
        <v>328</v>
      </c>
      <c r="D1276" s="511">
        <v>4608</v>
      </c>
      <c r="E1276" s="507" t="s">
        <v>6109</v>
      </c>
    </row>
    <row r="1277" spans="1:5" ht="15" x14ac:dyDescent="0.35">
      <c r="A1277" s="509">
        <v>5226</v>
      </c>
      <c r="B1277" s="510" t="s">
        <v>1615</v>
      </c>
      <c r="C1277" s="509" t="s">
        <v>328</v>
      </c>
      <c r="D1277" s="511">
        <v>6300</v>
      </c>
      <c r="E1277" s="507" t="s">
        <v>6109</v>
      </c>
    </row>
    <row r="1278" spans="1:5" ht="15" x14ac:dyDescent="0.35">
      <c r="A1278" s="509">
        <v>5227</v>
      </c>
      <c r="B1278" s="510" t="s">
        <v>1616</v>
      </c>
      <c r="C1278" s="509" t="s">
        <v>21</v>
      </c>
      <c r="D1278" s="511">
        <v>26586</v>
      </c>
      <c r="E1278" s="507" t="s">
        <v>6109</v>
      </c>
    </row>
    <row r="1279" spans="1:5" ht="15" x14ac:dyDescent="0.35">
      <c r="A1279" s="509">
        <v>5228</v>
      </c>
      <c r="B1279" s="510" t="s">
        <v>1617</v>
      </c>
      <c r="C1279" s="509" t="s">
        <v>328</v>
      </c>
      <c r="D1279" s="511">
        <v>9970</v>
      </c>
      <c r="E1279" s="507" t="s">
        <v>6109</v>
      </c>
    </row>
    <row r="1280" spans="1:5" ht="15" x14ac:dyDescent="0.35">
      <c r="A1280" s="509">
        <v>5229</v>
      </c>
      <c r="B1280" s="510" t="s">
        <v>1618</v>
      </c>
      <c r="C1280" s="509" t="s">
        <v>328</v>
      </c>
      <c r="D1280" s="511">
        <v>12463</v>
      </c>
      <c r="E1280" s="507" t="s">
        <v>6109</v>
      </c>
    </row>
    <row r="1281" spans="1:5" ht="15" x14ac:dyDescent="0.35">
      <c r="A1281" s="509">
        <v>5230</v>
      </c>
      <c r="B1281" s="510" t="s">
        <v>1619</v>
      </c>
      <c r="C1281" s="509" t="s">
        <v>328</v>
      </c>
      <c r="D1281" s="511">
        <v>16650</v>
      </c>
      <c r="E1281" s="507" t="s">
        <v>6109</v>
      </c>
    </row>
    <row r="1282" spans="1:5" ht="15" x14ac:dyDescent="0.35">
      <c r="A1282" s="509">
        <v>5241</v>
      </c>
      <c r="B1282" s="510" t="s">
        <v>1620</v>
      </c>
      <c r="C1282" s="509" t="s">
        <v>32</v>
      </c>
      <c r="D1282" s="511">
        <v>19717</v>
      </c>
      <c r="E1282" s="507" t="s">
        <v>6109</v>
      </c>
    </row>
    <row r="1283" spans="1:5" ht="15" x14ac:dyDescent="0.35">
      <c r="A1283" s="509">
        <v>5242</v>
      </c>
      <c r="B1283" s="510" t="s">
        <v>1621</v>
      </c>
      <c r="C1283" s="509" t="s">
        <v>32</v>
      </c>
      <c r="D1283" s="511">
        <v>253801</v>
      </c>
      <c r="E1283" s="507" t="s">
        <v>6109</v>
      </c>
    </row>
    <row r="1284" spans="1:5" ht="15" x14ac:dyDescent="0.35">
      <c r="A1284" s="509">
        <v>5244</v>
      </c>
      <c r="B1284" s="510" t="s">
        <v>1622</v>
      </c>
      <c r="C1284" s="509" t="s">
        <v>21</v>
      </c>
      <c r="D1284" s="511">
        <v>72479</v>
      </c>
      <c r="E1284" s="507" t="s">
        <v>6109</v>
      </c>
    </row>
    <row r="1285" spans="1:5" ht="15" x14ac:dyDescent="0.35">
      <c r="A1285" s="509">
        <v>5245</v>
      </c>
      <c r="B1285" s="510" t="s">
        <v>1623</v>
      </c>
      <c r="C1285" s="509" t="s">
        <v>32</v>
      </c>
      <c r="D1285" s="512">
        <v>760515</v>
      </c>
      <c r="E1285" s="507" t="s">
        <v>6109</v>
      </c>
    </row>
    <row r="1286" spans="1:5" ht="15" x14ac:dyDescent="0.35">
      <c r="A1286" s="509">
        <v>5246</v>
      </c>
      <c r="B1286" s="510" t="s">
        <v>1624</v>
      </c>
      <c r="C1286" s="509" t="s">
        <v>32</v>
      </c>
      <c r="D1286" s="512">
        <v>3114897</v>
      </c>
      <c r="E1286" s="507" t="s">
        <v>6109</v>
      </c>
    </row>
    <row r="1287" spans="1:5" ht="15" x14ac:dyDescent="0.35">
      <c r="A1287" s="509">
        <v>5247</v>
      </c>
      <c r="B1287" s="510" t="s">
        <v>1625</v>
      </c>
      <c r="C1287" s="509" t="s">
        <v>32</v>
      </c>
      <c r="D1287" s="512">
        <v>816434</v>
      </c>
      <c r="E1287" s="507" t="s">
        <v>6109</v>
      </c>
    </row>
    <row r="1288" spans="1:5" ht="15" x14ac:dyDescent="0.35">
      <c r="A1288" s="509">
        <v>5248</v>
      </c>
      <c r="B1288" s="510" t="s">
        <v>1626</v>
      </c>
      <c r="C1288" s="509" t="s">
        <v>328</v>
      </c>
      <c r="D1288" s="511">
        <v>6508</v>
      </c>
      <c r="E1288" s="507" t="s">
        <v>6109</v>
      </c>
    </row>
    <row r="1289" spans="1:5" ht="15" x14ac:dyDescent="0.35">
      <c r="A1289" s="509">
        <v>5249</v>
      </c>
      <c r="B1289" s="510" t="s">
        <v>1627</v>
      </c>
      <c r="C1289" s="509" t="s">
        <v>328</v>
      </c>
      <c r="D1289" s="511">
        <v>71206</v>
      </c>
      <c r="E1289" s="507" t="s">
        <v>6109</v>
      </c>
    </row>
    <row r="1290" spans="1:5" ht="15" x14ac:dyDescent="0.35">
      <c r="A1290" s="509">
        <v>5252</v>
      </c>
      <c r="B1290" s="510" t="s">
        <v>1628</v>
      </c>
      <c r="C1290" s="509" t="s">
        <v>32</v>
      </c>
      <c r="D1290" s="511">
        <v>4091093</v>
      </c>
      <c r="E1290" s="507" t="s">
        <v>6109</v>
      </c>
    </row>
    <row r="1291" spans="1:5" ht="15" x14ac:dyDescent="0.35">
      <c r="A1291" s="509">
        <v>5253</v>
      </c>
      <c r="B1291" s="510" t="s">
        <v>1629</v>
      </c>
      <c r="C1291" s="509" t="s">
        <v>32</v>
      </c>
      <c r="D1291" s="512">
        <v>16155046</v>
      </c>
      <c r="E1291" s="507" t="s">
        <v>6109</v>
      </c>
    </row>
    <row r="1292" spans="1:5" ht="15" x14ac:dyDescent="0.35">
      <c r="A1292" s="509">
        <v>5254</v>
      </c>
      <c r="B1292" s="510" t="s">
        <v>1630</v>
      </c>
      <c r="C1292" s="509" t="s">
        <v>328</v>
      </c>
      <c r="D1292" s="512">
        <v>2173822</v>
      </c>
      <c r="E1292" s="507" t="s">
        <v>6109</v>
      </c>
    </row>
    <row r="1293" spans="1:5" ht="15" x14ac:dyDescent="0.35">
      <c r="A1293" s="509">
        <v>5271</v>
      </c>
      <c r="B1293" s="510" t="s">
        <v>1631</v>
      </c>
      <c r="C1293" s="509" t="s">
        <v>30</v>
      </c>
      <c r="D1293" s="512">
        <v>717724</v>
      </c>
      <c r="E1293" s="507" t="s">
        <v>6109</v>
      </c>
    </row>
    <row r="1294" spans="1:5" ht="15" x14ac:dyDescent="0.35">
      <c r="A1294" s="509">
        <v>5272</v>
      </c>
      <c r="B1294" s="510" t="s">
        <v>1632</v>
      </c>
      <c r="C1294" s="509" t="s">
        <v>328</v>
      </c>
      <c r="D1294" s="512">
        <v>131959</v>
      </c>
      <c r="E1294" s="507" t="s">
        <v>6109</v>
      </c>
    </row>
    <row r="1295" spans="1:5" ht="15" x14ac:dyDescent="0.35">
      <c r="A1295" s="509">
        <v>5273</v>
      </c>
      <c r="B1295" s="510" t="s">
        <v>1633</v>
      </c>
      <c r="C1295" s="509" t="s">
        <v>328</v>
      </c>
      <c r="D1295" s="511">
        <v>197939</v>
      </c>
      <c r="E1295" s="507" t="s">
        <v>6109</v>
      </c>
    </row>
    <row r="1296" spans="1:5" ht="15" x14ac:dyDescent="0.35">
      <c r="A1296" s="509">
        <v>5274</v>
      </c>
      <c r="B1296" s="510" t="s">
        <v>1634</v>
      </c>
      <c r="C1296" s="509" t="s">
        <v>328</v>
      </c>
      <c r="D1296" s="512">
        <v>329900</v>
      </c>
      <c r="E1296" s="507" t="s">
        <v>6109</v>
      </c>
    </row>
    <row r="1297" spans="1:5" ht="15" x14ac:dyDescent="0.35">
      <c r="A1297" s="509">
        <v>5275</v>
      </c>
      <c r="B1297" s="510" t="s">
        <v>1635</v>
      </c>
      <c r="C1297" s="509" t="s">
        <v>328</v>
      </c>
      <c r="D1297" s="511">
        <v>659796</v>
      </c>
      <c r="E1297" s="507" t="s">
        <v>6109</v>
      </c>
    </row>
    <row r="1298" spans="1:5" ht="15" x14ac:dyDescent="0.35">
      <c r="A1298" s="509">
        <v>5276</v>
      </c>
      <c r="B1298" s="510" t="s">
        <v>1636</v>
      </c>
      <c r="C1298" s="509" t="s">
        <v>328</v>
      </c>
      <c r="D1298" s="511">
        <v>725774</v>
      </c>
      <c r="E1298" s="507" t="s">
        <v>6109</v>
      </c>
    </row>
    <row r="1299" spans="1:5" ht="15" x14ac:dyDescent="0.35">
      <c r="A1299" s="509">
        <v>5277</v>
      </c>
      <c r="B1299" s="510" t="s">
        <v>1637</v>
      </c>
      <c r="C1299" s="509" t="s">
        <v>328</v>
      </c>
      <c r="D1299" s="512">
        <v>631431</v>
      </c>
      <c r="E1299" s="507" t="s">
        <v>6109</v>
      </c>
    </row>
    <row r="1300" spans="1:5" ht="15" x14ac:dyDescent="0.35">
      <c r="A1300" s="509">
        <v>5278</v>
      </c>
      <c r="B1300" s="510" t="s">
        <v>1638</v>
      </c>
      <c r="C1300" s="509" t="s">
        <v>328</v>
      </c>
      <c r="D1300" s="511">
        <v>884505</v>
      </c>
      <c r="E1300" s="507" t="s">
        <v>6109</v>
      </c>
    </row>
    <row r="1301" spans="1:5" ht="15" x14ac:dyDescent="0.35">
      <c r="A1301" s="509">
        <v>5279</v>
      </c>
      <c r="B1301" s="510" t="s">
        <v>1639</v>
      </c>
      <c r="C1301" s="509" t="s">
        <v>328</v>
      </c>
      <c r="D1301" s="511">
        <v>157860</v>
      </c>
      <c r="E1301" s="507" t="s">
        <v>6109</v>
      </c>
    </row>
    <row r="1302" spans="1:5" ht="15" x14ac:dyDescent="0.35">
      <c r="A1302" s="509">
        <v>5286</v>
      </c>
      <c r="B1302" s="510" t="s">
        <v>1640</v>
      </c>
      <c r="C1302" s="509" t="s">
        <v>21</v>
      </c>
      <c r="D1302" s="511">
        <v>14965</v>
      </c>
      <c r="E1302" s="507" t="s">
        <v>6109</v>
      </c>
    </row>
    <row r="1303" spans="1:5" ht="15" x14ac:dyDescent="0.35">
      <c r="A1303" s="509">
        <v>5312</v>
      </c>
      <c r="B1303" s="510" t="s">
        <v>1641</v>
      </c>
      <c r="C1303" s="509" t="s">
        <v>30</v>
      </c>
      <c r="D1303" s="512">
        <v>763062</v>
      </c>
      <c r="E1303" s="507" t="s">
        <v>6109</v>
      </c>
    </row>
    <row r="1304" spans="1:5" ht="15" x14ac:dyDescent="0.35">
      <c r="A1304" s="509">
        <v>5313</v>
      </c>
      <c r="B1304" s="510" t="s">
        <v>1642</v>
      </c>
      <c r="C1304" s="509" t="s">
        <v>30</v>
      </c>
      <c r="D1304" s="511">
        <v>740925</v>
      </c>
      <c r="E1304" s="507" t="s">
        <v>6109</v>
      </c>
    </row>
    <row r="1305" spans="1:5" ht="15" x14ac:dyDescent="0.35">
      <c r="A1305" s="509">
        <v>5314</v>
      </c>
      <c r="B1305" s="510" t="s">
        <v>1643</v>
      </c>
      <c r="C1305" s="509" t="s">
        <v>328</v>
      </c>
      <c r="D1305" s="511">
        <v>712886</v>
      </c>
      <c r="E1305" s="507" t="s">
        <v>6109</v>
      </c>
    </row>
    <row r="1306" spans="1:5" ht="15" x14ac:dyDescent="0.35">
      <c r="A1306" s="509">
        <v>5315</v>
      </c>
      <c r="B1306" s="510" t="s">
        <v>1644</v>
      </c>
      <c r="C1306" s="509" t="s">
        <v>30</v>
      </c>
      <c r="D1306" s="512">
        <v>1145100</v>
      </c>
      <c r="E1306" s="507" t="s">
        <v>6108</v>
      </c>
    </row>
    <row r="1307" spans="1:5" ht="15" x14ac:dyDescent="0.35">
      <c r="A1307" s="509">
        <v>5316</v>
      </c>
      <c r="B1307" s="510" t="s">
        <v>1645</v>
      </c>
      <c r="C1307" s="509" t="s">
        <v>32</v>
      </c>
      <c r="D1307" s="511">
        <v>1605714</v>
      </c>
      <c r="E1307" s="507" t="s">
        <v>6108</v>
      </c>
    </row>
    <row r="1308" spans="1:5" ht="15" x14ac:dyDescent="0.35">
      <c r="A1308" s="509">
        <v>5317</v>
      </c>
      <c r="B1308" s="510" t="s">
        <v>1646</v>
      </c>
      <c r="C1308" s="509" t="s">
        <v>30</v>
      </c>
      <c r="D1308" s="511">
        <v>1053108</v>
      </c>
      <c r="E1308" s="507" t="s">
        <v>6108</v>
      </c>
    </row>
    <row r="1309" spans="1:5" ht="15" x14ac:dyDescent="0.35">
      <c r="A1309" s="509">
        <v>5318</v>
      </c>
      <c r="B1309" s="510" t="s">
        <v>1647</v>
      </c>
      <c r="C1309" s="509" t="s">
        <v>32</v>
      </c>
      <c r="D1309" s="511">
        <v>102151017</v>
      </c>
      <c r="E1309" s="507" t="s">
        <v>6108</v>
      </c>
    </row>
    <row r="1310" spans="1:5" ht="15" x14ac:dyDescent="0.35">
      <c r="A1310" s="509">
        <v>5319</v>
      </c>
      <c r="B1310" s="510" t="s">
        <v>1648</v>
      </c>
      <c r="C1310" s="509" t="s">
        <v>32</v>
      </c>
      <c r="D1310" s="511">
        <v>108788377</v>
      </c>
      <c r="E1310" s="507" t="s">
        <v>6108</v>
      </c>
    </row>
    <row r="1311" spans="1:5" ht="15" x14ac:dyDescent="0.35">
      <c r="A1311" s="509">
        <v>5320</v>
      </c>
      <c r="B1311" s="510" t="s">
        <v>1649</v>
      </c>
      <c r="C1311" s="509" t="s">
        <v>328</v>
      </c>
      <c r="D1311" s="511">
        <v>572710</v>
      </c>
      <c r="E1311" s="507" t="s">
        <v>331</v>
      </c>
    </row>
    <row r="1312" spans="1:5" ht="15" x14ac:dyDescent="0.35">
      <c r="A1312" s="509">
        <v>5321</v>
      </c>
      <c r="B1312" s="510" t="s">
        <v>1650</v>
      </c>
      <c r="C1312" s="509" t="s">
        <v>328</v>
      </c>
      <c r="D1312" s="511">
        <v>687874</v>
      </c>
      <c r="E1312" s="507" t="s">
        <v>6108</v>
      </c>
    </row>
    <row r="1313" spans="1:5" ht="15" x14ac:dyDescent="0.35">
      <c r="A1313" s="509">
        <v>5322</v>
      </c>
      <c r="B1313" s="510" t="s">
        <v>1651</v>
      </c>
      <c r="C1313" s="509" t="s">
        <v>328</v>
      </c>
      <c r="D1313" s="511">
        <v>839369</v>
      </c>
      <c r="E1313" s="507" t="s">
        <v>6109</v>
      </c>
    </row>
    <row r="1314" spans="1:5" ht="15" x14ac:dyDescent="0.35">
      <c r="A1314" s="509">
        <v>5324</v>
      </c>
      <c r="B1314" s="510" t="s">
        <v>1652</v>
      </c>
      <c r="C1314" s="509" t="s">
        <v>328</v>
      </c>
      <c r="D1314" s="511">
        <v>1129871</v>
      </c>
      <c r="E1314" s="507" t="s">
        <v>6109</v>
      </c>
    </row>
    <row r="1315" spans="1:5" ht="15" x14ac:dyDescent="0.35">
      <c r="A1315" s="509">
        <v>5325</v>
      </c>
      <c r="B1315" s="510" t="s">
        <v>1653</v>
      </c>
      <c r="C1315" s="509" t="s">
        <v>328</v>
      </c>
      <c r="D1315" s="511">
        <v>1351518</v>
      </c>
      <c r="E1315" s="507" t="s">
        <v>6109</v>
      </c>
    </row>
    <row r="1316" spans="1:5" ht="15" x14ac:dyDescent="0.35">
      <c r="A1316" s="509">
        <v>5326</v>
      </c>
      <c r="B1316" s="510" t="s">
        <v>1654</v>
      </c>
      <c r="C1316" s="509" t="s">
        <v>328</v>
      </c>
      <c r="D1316" s="511">
        <v>7588350</v>
      </c>
      <c r="E1316" s="507" t="s">
        <v>6109</v>
      </c>
    </row>
    <row r="1317" spans="1:5" ht="15" x14ac:dyDescent="0.35">
      <c r="A1317" s="509">
        <v>5327</v>
      </c>
      <c r="B1317" s="510" t="s">
        <v>1655</v>
      </c>
      <c r="C1317" s="509" t="s">
        <v>328</v>
      </c>
      <c r="D1317" s="512">
        <v>8152100</v>
      </c>
      <c r="E1317" s="507" t="s">
        <v>6109</v>
      </c>
    </row>
    <row r="1318" spans="1:5" ht="15" x14ac:dyDescent="0.35">
      <c r="A1318" s="509">
        <v>5328</v>
      </c>
      <c r="B1318" s="510" t="s">
        <v>1656</v>
      </c>
      <c r="C1318" s="509" t="s">
        <v>32</v>
      </c>
      <c r="D1318" s="511">
        <v>29061297</v>
      </c>
      <c r="E1318" s="507" t="s">
        <v>6108</v>
      </c>
    </row>
    <row r="1319" spans="1:5" ht="15" x14ac:dyDescent="0.35">
      <c r="A1319" s="509">
        <v>5329</v>
      </c>
      <c r="B1319" s="510" t="s">
        <v>1657</v>
      </c>
      <c r="C1319" s="509" t="s">
        <v>32</v>
      </c>
      <c r="D1319" s="512">
        <v>29061297</v>
      </c>
      <c r="E1319" s="507" t="s">
        <v>331</v>
      </c>
    </row>
    <row r="1320" spans="1:5" ht="15" x14ac:dyDescent="0.35">
      <c r="A1320" s="509">
        <v>5330</v>
      </c>
      <c r="B1320" s="510" t="s">
        <v>1658</v>
      </c>
      <c r="C1320" s="509" t="s">
        <v>32</v>
      </c>
      <c r="D1320" s="512">
        <v>30943921</v>
      </c>
      <c r="E1320" s="507" t="s">
        <v>331</v>
      </c>
    </row>
    <row r="1321" spans="1:5" ht="15" x14ac:dyDescent="0.35">
      <c r="A1321" s="509">
        <v>5331</v>
      </c>
      <c r="B1321" s="510" t="s">
        <v>1659</v>
      </c>
      <c r="C1321" s="509" t="s">
        <v>32</v>
      </c>
      <c r="D1321" s="512">
        <v>33892364</v>
      </c>
      <c r="E1321" s="507" t="s">
        <v>331</v>
      </c>
    </row>
    <row r="1322" spans="1:5" ht="15" x14ac:dyDescent="0.35">
      <c r="A1322" s="509">
        <v>5332</v>
      </c>
      <c r="B1322" s="510" t="s">
        <v>1660</v>
      </c>
      <c r="C1322" s="509" t="s">
        <v>32</v>
      </c>
      <c r="D1322" s="511">
        <v>41082336</v>
      </c>
      <c r="E1322" s="507" t="s">
        <v>6108</v>
      </c>
    </row>
    <row r="1323" spans="1:5" ht="15" x14ac:dyDescent="0.35">
      <c r="A1323" s="509">
        <v>5333</v>
      </c>
      <c r="B1323" s="510" t="s">
        <v>1661</v>
      </c>
      <c r="C1323" s="509" t="s">
        <v>32</v>
      </c>
      <c r="D1323" s="512">
        <v>49596279</v>
      </c>
      <c r="E1323" s="507" t="s">
        <v>6108</v>
      </c>
    </row>
    <row r="1324" spans="1:5" ht="15" x14ac:dyDescent="0.35">
      <c r="A1324" s="509">
        <v>5334</v>
      </c>
      <c r="B1324" s="510" t="s">
        <v>1662</v>
      </c>
      <c r="C1324" s="509" t="s">
        <v>32</v>
      </c>
      <c r="D1324" s="512">
        <v>58802054</v>
      </c>
      <c r="E1324" s="507" t="s">
        <v>6108</v>
      </c>
    </row>
    <row r="1325" spans="1:5" ht="15" x14ac:dyDescent="0.35">
      <c r="A1325" s="509">
        <v>5335</v>
      </c>
      <c r="B1325" s="510" t="s">
        <v>1663</v>
      </c>
      <c r="C1325" s="509" t="s">
        <v>32</v>
      </c>
      <c r="D1325" s="511">
        <v>65305345</v>
      </c>
      <c r="E1325" s="507" t="s">
        <v>6108</v>
      </c>
    </row>
    <row r="1326" spans="1:5" ht="15" x14ac:dyDescent="0.35">
      <c r="A1326" s="509">
        <v>5336</v>
      </c>
      <c r="B1326" s="510" t="s">
        <v>1664</v>
      </c>
      <c r="C1326" s="509" t="s">
        <v>32</v>
      </c>
      <c r="D1326" s="511">
        <v>72658739</v>
      </c>
      <c r="E1326" s="507" t="s">
        <v>6108</v>
      </c>
    </row>
    <row r="1327" spans="1:5" ht="15" x14ac:dyDescent="0.35">
      <c r="A1327" s="509">
        <v>5338</v>
      </c>
      <c r="B1327" s="510" t="s">
        <v>1665</v>
      </c>
      <c r="C1327" s="509" t="s">
        <v>32</v>
      </c>
      <c r="D1327" s="511">
        <v>1516027</v>
      </c>
      <c r="E1327" s="507" t="s">
        <v>6108</v>
      </c>
    </row>
    <row r="1328" spans="1:5" ht="15" x14ac:dyDescent="0.35">
      <c r="A1328" s="509">
        <v>5339</v>
      </c>
      <c r="B1328" s="510" t="s">
        <v>1666</v>
      </c>
      <c r="C1328" s="509" t="s">
        <v>32</v>
      </c>
      <c r="D1328" s="511">
        <v>447636</v>
      </c>
      <c r="E1328" s="507" t="s">
        <v>6108</v>
      </c>
    </row>
    <row r="1329" spans="1:5" ht="15" x14ac:dyDescent="0.35">
      <c r="A1329" s="509">
        <v>5340</v>
      </c>
      <c r="B1329" s="510" t="s">
        <v>1667</v>
      </c>
      <c r="C1329" s="509" t="s">
        <v>32</v>
      </c>
      <c r="D1329" s="511">
        <v>2898710</v>
      </c>
      <c r="E1329" s="507" t="s">
        <v>6108</v>
      </c>
    </row>
    <row r="1330" spans="1:5" ht="15" x14ac:dyDescent="0.35">
      <c r="A1330" s="509">
        <v>5341</v>
      </c>
      <c r="B1330" s="510" t="s">
        <v>1668</v>
      </c>
      <c r="C1330" s="509" t="s">
        <v>32</v>
      </c>
      <c r="D1330" s="511">
        <v>867460</v>
      </c>
      <c r="E1330" s="507" t="s">
        <v>6108</v>
      </c>
    </row>
    <row r="1331" spans="1:5" ht="15" x14ac:dyDescent="0.35">
      <c r="A1331" s="509">
        <v>5342</v>
      </c>
      <c r="B1331" s="510" t="s">
        <v>1669</v>
      </c>
      <c r="C1331" s="509" t="s">
        <v>32</v>
      </c>
      <c r="D1331" s="512">
        <v>424811</v>
      </c>
      <c r="E1331" s="507" t="s">
        <v>6108</v>
      </c>
    </row>
    <row r="1332" spans="1:5" ht="15" x14ac:dyDescent="0.35">
      <c r="A1332" s="509">
        <v>5343</v>
      </c>
      <c r="B1332" s="510" t="s">
        <v>1670</v>
      </c>
      <c r="C1332" s="509" t="s">
        <v>32</v>
      </c>
      <c r="D1332" s="511">
        <v>763205</v>
      </c>
      <c r="E1332" s="507" t="s">
        <v>6108</v>
      </c>
    </row>
    <row r="1333" spans="1:5" ht="15" x14ac:dyDescent="0.35">
      <c r="A1333" s="509">
        <v>5345</v>
      </c>
      <c r="B1333" s="510" t="s">
        <v>1671</v>
      </c>
      <c r="C1333" s="509" t="s">
        <v>30</v>
      </c>
      <c r="D1333" s="512">
        <v>179906</v>
      </c>
      <c r="E1333" s="507" t="s">
        <v>6108</v>
      </c>
    </row>
    <row r="1334" spans="1:5" ht="15" x14ac:dyDescent="0.35">
      <c r="A1334" s="509">
        <v>5346</v>
      </c>
      <c r="B1334" s="510" t="s">
        <v>1672</v>
      </c>
      <c r="C1334" s="509" t="s">
        <v>30</v>
      </c>
      <c r="D1334" s="511">
        <v>206407</v>
      </c>
      <c r="E1334" s="507" t="s">
        <v>331</v>
      </c>
    </row>
    <row r="1335" spans="1:5" ht="15" x14ac:dyDescent="0.35">
      <c r="A1335" s="509">
        <v>5347</v>
      </c>
      <c r="B1335" s="510" t="s">
        <v>1673</v>
      </c>
      <c r="C1335" s="509" t="s">
        <v>30</v>
      </c>
      <c r="D1335" s="511">
        <v>306857</v>
      </c>
      <c r="E1335" s="507" t="s">
        <v>331</v>
      </c>
    </row>
    <row r="1336" spans="1:5" ht="15" x14ac:dyDescent="0.35">
      <c r="A1336" s="509">
        <v>5348</v>
      </c>
      <c r="B1336" s="510" t="s">
        <v>1674</v>
      </c>
      <c r="C1336" s="509" t="s">
        <v>30</v>
      </c>
      <c r="D1336" s="511">
        <v>315351</v>
      </c>
      <c r="E1336" s="507" t="s">
        <v>6108</v>
      </c>
    </row>
    <row r="1337" spans="1:5" ht="15" x14ac:dyDescent="0.35">
      <c r="A1337" s="509">
        <v>5349</v>
      </c>
      <c r="B1337" s="510" t="s">
        <v>1675</v>
      </c>
      <c r="C1337" s="509" t="s">
        <v>30</v>
      </c>
      <c r="D1337" s="511">
        <v>323882</v>
      </c>
      <c r="E1337" s="507" t="s">
        <v>6108</v>
      </c>
    </row>
    <row r="1338" spans="1:5" ht="15" x14ac:dyDescent="0.35">
      <c r="A1338" s="509">
        <v>5350</v>
      </c>
      <c r="B1338" s="510" t="s">
        <v>1676</v>
      </c>
      <c r="C1338" s="509" t="s">
        <v>30</v>
      </c>
      <c r="D1338" s="511">
        <v>369295</v>
      </c>
      <c r="E1338" s="507" t="s">
        <v>6108</v>
      </c>
    </row>
    <row r="1339" spans="1:5" ht="15" x14ac:dyDescent="0.35">
      <c r="A1339" s="509">
        <v>5351</v>
      </c>
      <c r="B1339" s="510" t="s">
        <v>1677</v>
      </c>
      <c r="C1339" s="509" t="s">
        <v>30</v>
      </c>
      <c r="D1339" s="511">
        <v>377826</v>
      </c>
      <c r="E1339" s="507" t="s">
        <v>6108</v>
      </c>
    </row>
    <row r="1340" spans="1:5" ht="15" x14ac:dyDescent="0.35">
      <c r="A1340" s="509">
        <v>5352</v>
      </c>
      <c r="B1340" s="510" t="s">
        <v>1678</v>
      </c>
      <c r="C1340" s="509" t="s">
        <v>30</v>
      </c>
      <c r="D1340" s="511">
        <v>386357</v>
      </c>
      <c r="E1340" s="507" t="s">
        <v>6108</v>
      </c>
    </row>
    <row r="1341" spans="1:5" ht="15" x14ac:dyDescent="0.35">
      <c r="A1341" s="509">
        <v>5353</v>
      </c>
      <c r="B1341" s="510" t="s">
        <v>1679</v>
      </c>
      <c r="C1341" s="509" t="s">
        <v>30</v>
      </c>
      <c r="D1341" s="511">
        <v>431770</v>
      </c>
      <c r="E1341" s="507" t="s">
        <v>6108</v>
      </c>
    </row>
    <row r="1342" spans="1:5" ht="15" x14ac:dyDescent="0.35">
      <c r="A1342" s="509">
        <v>5354</v>
      </c>
      <c r="B1342" s="510" t="s">
        <v>1680</v>
      </c>
      <c r="C1342" s="509" t="s">
        <v>30</v>
      </c>
      <c r="D1342" s="511">
        <v>440837</v>
      </c>
      <c r="E1342" s="507" t="s">
        <v>331</v>
      </c>
    </row>
    <row r="1343" spans="1:5" ht="15" x14ac:dyDescent="0.35">
      <c r="A1343" s="509">
        <v>5355</v>
      </c>
      <c r="B1343" s="510" t="s">
        <v>1681</v>
      </c>
      <c r="C1343" s="509" t="s">
        <v>30</v>
      </c>
      <c r="D1343" s="511">
        <v>448832</v>
      </c>
      <c r="E1343" s="507" t="s">
        <v>6108</v>
      </c>
    </row>
    <row r="1344" spans="1:5" ht="15" x14ac:dyDescent="0.35">
      <c r="A1344" s="509">
        <v>5356</v>
      </c>
      <c r="B1344" s="510" t="s">
        <v>1682</v>
      </c>
      <c r="C1344" s="509" t="s">
        <v>30</v>
      </c>
      <c r="D1344" s="511">
        <v>157310</v>
      </c>
      <c r="E1344" s="507" t="s">
        <v>6108</v>
      </c>
    </row>
    <row r="1345" spans="1:5" ht="15" x14ac:dyDescent="0.35">
      <c r="A1345" s="509">
        <v>5357</v>
      </c>
      <c r="B1345" s="510" t="s">
        <v>1683</v>
      </c>
      <c r="C1345" s="509" t="s">
        <v>30</v>
      </c>
      <c r="D1345" s="512">
        <v>176801</v>
      </c>
      <c r="E1345" s="507" t="s">
        <v>6108</v>
      </c>
    </row>
    <row r="1346" spans="1:5" ht="15" x14ac:dyDescent="0.35">
      <c r="A1346" s="509">
        <v>5358</v>
      </c>
      <c r="B1346" s="510" t="s">
        <v>1684</v>
      </c>
      <c r="C1346" s="509" t="s">
        <v>30</v>
      </c>
      <c r="D1346" s="512">
        <v>191864</v>
      </c>
      <c r="E1346" s="507" t="s">
        <v>331</v>
      </c>
    </row>
    <row r="1347" spans="1:5" ht="15" x14ac:dyDescent="0.35">
      <c r="A1347" s="509">
        <v>5359</v>
      </c>
      <c r="B1347" s="510" t="s">
        <v>1685</v>
      </c>
      <c r="C1347" s="509" t="s">
        <v>30</v>
      </c>
      <c r="D1347" s="511">
        <v>208498</v>
      </c>
      <c r="E1347" s="507" t="s">
        <v>6108</v>
      </c>
    </row>
    <row r="1348" spans="1:5" ht="15" x14ac:dyDescent="0.35">
      <c r="A1348" s="509">
        <v>5360</v>
      </c>
      <c r="B1348" s="510" t="s">
        <v>1686</v>
      </c>
      <c r="C1348" s="509" t="s">
        <v>979</v>
      </c>
      <c r="D1348" s="511">
        <v>178474</v>
      </c>
      <c r="E1348" s="507" t="s">
        <v>6108</v>
      </c>
    </row>
    <row r="1349" spans="1:5" ht="15" x14ac:dyDescent="0.35">
      <c r="A1349" s="509">
        <v>5361</v>
      </c>
      <c r="B1349" s="510" t="s">
        <v>1687</v>
      </c>
      <c r="C1349" s="509" t="s">
        <v>30</v>
      </c>
      <c r="D1349" s="511">
        <v>12510</v>
      </c>
      <c r="E1349" s="507" t="s">
        <v>6109</v>
      </c>
    </row>
    <row r="1350" spans="1:5" ht="15" x14ac:dyDescent="0.35">
      <c r="A1350" s="509">
        <v>5362</v>
      </c>
      <c r="B1350" s="510" t="s">
        <v>1688</v>
      </c>
      <c r="C1350" s="509" t="s">
        <v>30</v>
      </c>
      <c r="D1350" s="511">
        <v>374121</v>
      </c>
      <c r="E1350" s="507" t="s">
        <v>331</v>
      </c>
    </row>
    <row r="1351" spans="1:5" ht="15" x14ac:dyDescent="0.35">
      <c r="A1351" s="509">
        <v>5363</v>
      </c>
      <c r="B1351" s="510" t="s">
        <v>1689</v>
      </c>
      <c r="C1351" s="509" t="s">
        <v>30</v>
      </c>
      <c r="D1351" s="512">
        <v>363276</v>
      </c>
      <c r="E1351" s="507" t="s">
        <v>331</v>
      </c>
    </row>
    <row r="1352" spans="1:5" ht="15" x14ac:dyDescent="0.35">
      <c r="A1352" s="509">
        <v>5364</v>
      </c>
      <c r="B1352" s="510" t="s">
        <v>1690</v>
      </c>
      <c r="C1352" s="509" t="s">
        <v>30</v>
      </c>
      <c r="D1352" s="511">
        <v>361243</v>
      </c>
      <c r="E1352" s="507" t="s">
        <v>331</v>
      </c>
    </row>
    <row r="1353" spans="1:5" ht="15" x14ac:dyDescent="0.35">
      <c r="A1353" s="509">
        <v>5365</v>
      </c>
      <c r="B1353" s="510" t="s">
        <v>1691</v>
      </c>
      <c r="C1353" s="509" t="s">
        <v>21</v>
      </c>
      <c r="D1353" s="511">
        <v>50678</v>
      </c>
      <c r="E1353" s="507" t="s">
        <v>331</v>
      </c>
    </row>
    <row r="1354" spans="1:5" ht="15" x14ac:dyDescent="0.35">
      <c r="A1354" s="509">
        <v>5368</v>
      </c>
      <c r="B1354" s="510" t="s">
        <v>1692</v>
      </c>
      <c r="C1354" s="509" t="s">
        <v>21</v>
      </c>
      <c r="D1354" s="512">
        <v>28770</v>
      </c>
      <c r="E1354" s="507" t="s">
        <v>6108</v>
      </c>
    </row>
    <row r="1355" spans="1:5" ht="15" x14ac:dyDescent="0.35">
      <c r="A1355" s="509">
        <v>5369</v>
      </c>
      <c r="B1355" s="510" t="s">
        <v>1693</v>
      </c>
      <c r="C1355" s="509" t="s">
        <v>32</v>
      </c>
      <c r="D1355" s="511">
        <v>5556</v>
      </c>
      <c r="E1355" s="507" t="s">
        <v>6108</v>
      </c>
    </row>
    <row r="1356" spans="1:5" ht="15" x14ac:dyDescent="0.35">
      <c r="A1356" s="509">
        <v>5370</v>
      </c>
      <c r="B1356" s="510" t="s">
        <v>1694</v>
      </c>
      <c r="C1356" s="509" t="s">
        <v>21</v>
      </c>
      <c r="D1356" s="511">
        <v>15183</v>
      </c>
      <c r="E1356" s="507" t="s">
        <v>6108</v>
      </c>
    </row>
    <row r="1357" spans="1:5" ht="15" x14ac:dyDescent="0.35">
      <c r="A1357" s="509">
        <v>5371</v>
      </c>
      <c r="B1357" s="510" t="s">
        <v>1695</v>
      </c>
      <c r="C1357" s="509" t="s">
        <v>21</v>
      </c>
      <c r="D1357" s="511">
        <v>78579</v>
      </c>
      <c r="E1357" s="507" t="s">
        <v>6108</v>
      </c>
    </row>
    <row r="1358" spans="1:5" ht="15" x14ac:dyDescent="0.35">
      <c r="A1358" s="509">
        <v>5372</v>
      </c>
      <c r="B1358" s="510" t="s">
        <v>1696</v>
      </c>
      <c r="C1358" s="509" t="s">
        <v>32</v>
      </c>
      <c r="D1358" s="511">
        <v>292252</v>
      </c>
      <c r="E1358" s="507" t="s">
        <v>6108</v>
      </c>
    </row>
    <row r="1359" spans="1:5" ht="15" x14ac:dyDescent="0.35">
      <c r="A1359" s="509">
        <v>5373</v>
      </c>
      <c r="B1359" s="510" t="s">
        <v>1697</v>
      </c>
      <c r="C1359" s="509" t="s">
        <v>32</v>
      </c>
      <c r="D1359" s="511">
        <v>47630600</v>
      </c>
      <c r="E1359" s="507" t="s">
        <v>6108</v>
      </c>
    </row>
    <row r="1360" spans="1:5" ht="15" x14ac:dyDescent="0.35">
      <c r="A1360" s="509">
        <v>5374</v>
      </c>
      <c r="B1360" s="510" t="s">
        <v>1698</v>
      </c>
      <c r="C1360" s="509" t="s">
        <v>30</v>
      </c>
      <c r="D1360" s="511">
        <v>306623</v>
      </c>
      <c r="E1360" s="507" t="s">
        <v>6108</v>
      </c>
    </row>
    <row r="1361" spans="1:5" ht="15" x14ac:dyDescent="0.35">
      <c r="A1361" s="509">
        <v>5375</v>
      </c>
      <c r="B1361" s="510" t="s">
        <v>1699</v>
      </c>
      <c r="C1361" s="509" t="s">
        <v>30</v>
      </c>
      <c r="D1361" s="511">
        <v>371059</v>
      </c>
      <c r="E1361" s="507" t="s">
        <v>6108</v>
      </c>
    </row>
    <row r="1362" spans="1:5" ht="15" x14ac:dyDescent="0.35">
      <c r="A1362" s="509">
        <v>5376</v>
      </c>
      <c r="B1362" s="510" t="s">
        <v>1700</v>
      </c>
      <c r="C1362" s="509" t="s">
        <v>692</v>
      </c>
      <c r="D1362" s="511">
        <v>689673</v>
      </c>
      <c r="E1362" s="507" t="s">
        <v>6108</v>
      </c>
    </row>
    <row r="1363" spans="1:5" ht="15" x14ac:dyDescent="0.35">
      <c r="A1363" s="509">
        <v>5377</v>
      </c>
      <c r="B1363" s="510" t="s">
        <v>1701</v>
      </c>
      <c r="C1363" s="509" t="s">
        <v>30</v>
      </c>
      <c r="D1363" s="511">
        <v>407049</v>
      </c>
      <c r="E1363" s="507" t="s">
        <v>6108</v>
      </c>
    </row>
    <row r="1364" spans="1:5" ht="15" x14ac:dyDescent="0.35">
      <c r="A1364" s="509">
        <v>5378</v>
      </c>
      <c r="B1364" s="510" t="s">
        <v>1702</v>
      </c>
      <c r="C1364" s="509" t="s">
        <v>30</v>
      </c>
      <c r="D1364" s="511">
        <v>445834</v>
      </c>
      <c r="E1364" s="507" t="s">
        <v>6108</v>
      </c>
    </row>
    <row r="1365" spans="1:5" ht="15" x14ac:dyDescent="0.35">
      <c r="A1365" s="509">
        <v>5380</v>
      </c>
      <c r="B1365" s="510" t="s">
        <v>1703</v>
      </c>
      <c r="C1365" s="509" t="s">
        <v>30</v>
      </c>
      <c r="D1365" s="512">
        <v>45413</v>
      </c>
      <c r="E1365" s="507" t="s">
        <v>6108</v>
      </c>
    </row>
    <row r="1366" spans="1:5" ht="15" x14ac:dyDescent="0.35">
      <c r="A1366" s="509">
        <v>5381</v>
      </c>
      <c r="B1366" s="510" t="s">
        <v>1704</v>
      </c>
      <c r="C1366" s="509" t="s">
        <v>328</v>
      </c>
      <c r="D1366" s="511">
        <v>627768</v>
      </c>
      <c r="E1366" s="507" t="s">
        <v>6108</v>
      </c>
    </row>
    <row r="1367" spans="1:5" ht="15" x14ac:dyDescent="0.35">
      <c r="A1367" s="509">
        <v>5382</v>
      </c>
      <c r="B1367" s="510" t="s">
        <v>1705</v>
      </c>
      <c r="C1367" s="509" t="s">
        <v>328</v>
      </c>
      <c r="D1367" s="511">
        <v>114235</v>
      </c>
      <c r="E1367" s="507" t="s">
        <v>331</v>
      </c>
    </row>
    <row r="1368" spans="1:5" ht="15" x14ac:dyDescent="0.35">
      <c r="A1368" s="509">
        <v>5383</v>
      </c>
      <c r="B1368" s="510" t="s">
        <v>1706</v>
      </c>
      <c r="C1368" s="509" t="s">
        <v>328</v>
      </c>
      <c r="D1368" s="511">
        <v>11751</v>
      </c>
      <c r="E1368" s="507" t="s">
        <v>6108</v>
      </c>
    </row>
    <row r="1369" spans="1:5" ht="15" x14ac:dyDescent="0.35">
      <c r="A1369" s="509">
        <v>5384</v>
      </c>
      <c r="B1369" s="510" t="s">
        <v>1707</v>
      </c>
      <c r="C1369" s="509" t="s">
        <v>32</v>
      </c>
      <c r="D1369" s="511">
        <v>18787693</v>
      </c>
      <c r="E1369" s="507" t="s">
        <v>6108</v>
      </c>
    </row>
    <row r="1370" spans="1:5" ht="15" x14ac:dyDescent="0.35">
      <c r="A1370" s="509">
        <v>5385</v>
      </c>
      <c r="B1370" s="510" t="s">
        <v>1708</v>
      </c>
      <c r="C1370" s="509" t="s">
        <v>32</v>
      </c>
      <c r="D1370" s="511">
        <v>15930232</v>
      </c>
      <c r="E1370" s="507" t="s">
        <v>6108</v>
      </c>
    </row>
    <row r="1371" spans="1:5" ht="15" x14ac:dyDescent="0.35">
      <c r="A1371" s="509">
        <v>5387</v>
      </c>
      <c r="B1371" s="510" t="s">
        <v>1709</v>
      </c>
      <c r="C1371" s="509" t="s">
        <v>32</v>
      </c>
      <c r="D1371" s="511">
        <v>606962</v>
      </c>
      <c r="E1371" s="507" t="s">
        <v>6108</v>
      </c>
    </row>
    <row r="1372" spans="1:5" ht="15" x14ac:dyDescent="0.35">
      <c r="A1372" s="509">
        <v>5391</v>
      </c>
      <c r="B1372" s="510" t="s">
        <v>1710</v>
      </c>
      <c r="C1372" s="509" t="s">
        <v>979</v>
      </c>
      <c r="D1372" s="512">
        <v>53136</v>
      </c>
      <c r="E1372" s="507" t="s">
        <v>6108</v>
      </c>
    </row>
    <row r="1373" spans="1:5" ht="15" x14ac:dyDescent="0.35">
      <c r="A1373" s="509">
        <v>5392</v>
      </c>
      <c r="B1373" s="510" t="s">
        <v>1711</v>
      </c>
      <c r="C1373" s="509" t="s">
        <v>692</v>
      </c>
      <c r="D1373" s="512">
        <v>389656</v>
      </c>
      <c r="E1373" s="507" t="s">
        <v>6108</v>
      </c>
    </row>
    <row r="1374" spans="1:5" ht="15" x14ac:dyDescent="0.35">
      <c r="A1374" s="509">
        <v>5394</v>
      </c>
      <c r="B1374" s="510" t="s">
        <v>1712</v>
      </c>
      <c r="C1374" s="509" t="s">
        <v>328</v>
      </c>
      <c r="D1374" s="512">
        <v>334076</v>
      </c>
      <c r="E1374" s="507" t="s">
        <v>6109</v>
      </c>
    </row>
    <row r="1375" spans="1:5" ht="15" x14ac:dyDescent="0.35">
      <c r="A1375" s="509">
        <v>5395</v>
      </c>
      <c r="B1375" s="510" t="s">
        <v>1713</v>
      </c>
      <c r="C1375" s="509" t="s">
        <v>328</v>
      </c>
      <c r="D1375" s="512">
        <v>60592</v>
      </c>
      <c r="E1375" s="507" t="s">
        <v>6109</v>
      </c>
    </row>
    <row r="1376" spans="1:5" ht="15" x14ac:dyDescent="0.35">
      <c r="A1376" s="509">
        <v>5396</v>
      </c>
      <c r="B1376" s="510" t="s">
        <v>1714</v>
      </c>
      <c r="C1376" s="509" t="s">
        <v>30</v>
      </c>
      <c r="D1376" s="512">
        <v>1307162</v>
      </c>
      <c r="E1376" s="507" t="s">
        <v>6109</v>
      </c>
    </row>
    <row r="1377" spans="1:5" ht="15" x14ac:dyDescent="0.35">
      <c r="A1377" s="509">
        <v>5397</v>
      </c>
      <c r="B1377" s="510" t="s">
        <v>1715</v>
      </c>
      <c r="C1377" s="509" t="s">
        <v>328</v>
      </c>
      <c r="D1377" s="512">
        <v>38288</v>
      </c>
      <c r="E1377" s="507" t="s">
        <v>6109</v>
      </c>
    </row>
    <row r="1378" spans="1:5" ht="15" x14ac:dyDescent="0.35">
      <c r="A1378" s="509">
        <v>5398</v>
      </c>
      <c r="B1378" s="510" t="s">
        <v>1716</v>
      </c>
      <c r="C1378" s="509" t="s">
        <v>328</v>
      </c>
      <c r="D1378" s="512">
        <v>1867808</v>
      </c>
      <c r="E1378" s="507" t="s">
        <v>6109</v>
      </c>
    </row>
    <row r="1379" spans="1:5" ht="15" x14ac:dyDescent="0.35">
      <c r="A1379" s="509">
        <v>5404</v>
      </c>
      <c r="B1379" s="510" t="s">
        <v>1717</v>
      </c>
      <c r="C1379" s="509" t="s">
        <v>670</v>
      </c>
      <c r="D1379" s="512">
        <v>10669</v>
      </c>
      <c r="E1379" s="507" t="s">
        <v>6109</v>
      </c>
    </row>
    <row r="1380" spans="1:5" ht="15" x14ac:dyDescent="0.35">
      <c r="A1380" s="509">
        <v>5409</v>
      </c>
      <c r="B1380" s="510" t="s">
        <v>1718</v>
      </c>
      <c r="C1380" s="509" t="s">
        <v>32</v>
      </c>
      <c r="D1380" s="512">
        <v>491618</v>
      </c>
      <c r="E1380" s="507" t="s">
        <v>6109</v>
      </c>
    </row>
    <row r="1381" spans="1:5" ht="15" x14ac:dyDescent="0.35">
      <c r="A1381" s="509">
        <v>5412</v>
      </c>
      <c r="B1381" s="510" t="s">
        <v>1719</v>
      </c>
      <c r="C1381" s="509" t="s">
        <v>30</v>
      </c>
      <c r="D1381" s="512">
        <v>169145</v>
      </c>
      <c r="E1381" s="507" t="s">
        <v>6109</v>
      </c>
    </row>
    <row r="1382" spans="1:5" ht="15" x14ac:dyDescent="0.35">
      <c r="A1382" s="509">
        <v>5413</v>
      </c>
      <c r="B1382" s="510" t="s">
        <v>1720</v>
      </c>
      <c r="C1382" s="509" t="s">
        <v>30</v>
      </c>
      <c r="D1382" s="512">
        <v>123456</v>
      </c>
      <c r="E1382" s="507" t="s">
        <v>331</v>
      </c>
    </row>
    <row r="1383" spans="1:5" ht="15" x14ac:dyDescent="0.35">
      <c r="A1383" s="509">
        <v>5415</v>
      </c>
      <c r="B1383" s="510" t="s">
        <v>1721</v>
      </c>
      <c r="C1383" s="509" t="s">
        <v>30</v>
      </c>
      <c r="D1383" s="512">
        <v>105110</v>
      </c>
      <c r="E1383" s="507" t="s">
        <v>6108</v>
      </c>
    </row>
    <row r="1384" spans="1:5" ht="15" x14ac:dyDescent="0.35">
      <c r="A1384" s="509">
        <v>5416</v>
      </c>
      <c r="B1384" s="510" t="s">
        <v>1722</v>
      </c>
      <c r="C1384" s="509" t="s">
        <v>30</v>
      </c>
      <c r="D1384" s="512">
        <v>53073</v>
      </c>
      <c r="E1384" s="507" t="s">
        <v>6108</v>
      </c>
    </row>
    <row r="1385" spans="1:5" ht="15" x14ac:dyDescent="0.35">
      <c r="A1385" s="509">
        <v>5418</v>
      </c>
      <c r="B1385" s="510" t="s">
        <v>1723</v>
      </c>
      <c r="C1385" s="509" t="s">
        <v>30</v>
      </c>
      <c r="D1385" s="512">
        <v>90634</v>
      </c>
      <c r="E1385" s="507" t="s">
        <v>6108</v>
      </c>
    </row>
    <row r="1386" spans="1:5" ht="15" x14ac:dyDescent="0.35">
      <c r="A1386" s="509">
        <v>5421</v>
      </c>
      <c r="B1386" s="510" t="s">
        <v>1724</v>
      </c>
      <c r="C1386" s="509" t="s">
        <v>30</v>
      </c>
      <c r="D1386" s="512">
        <v>1158829</v>
      </c>
      <c r="E1386" s="507" t="s">
        <v>6108</v>
      </c>
    </row>
    <row r="1387" spans="1:5" ht="15" x14ac:dyDescent="0.35">
      <c r="A1387" s="509">
        <v>5422</v>
      </c>
      <c r="B1387" s="510" t="s">
        <v>1725</v>
      </c>
      <c r="C1387" s="509" t="s">
        <v>30</v>
      </c>
      <c r="D1387" s="512">
        <v>1184458</v>
      </c>
      <c r="E1387" s="507" t="s">
        <v>6108</v>
      </c>
    </row>
    <row r="1388" spans="1:5" ht="15" x14ac:dyDescent="0.35">
      <c r="A1388" s="509">
        <v>5426</v>
      </c>
      <c r="B1388" s="510" t="s">
        <v>1726</v>
      </c>
      <c r="C1388" s="509" t="s">
        <v>30</v>
      </c>
      <c r="D1388" s="512">
        <v>994434</v>
      </c>
      <c r="E1388" s="507" t="s">
        <v>6108</v>
      </c>
    </row>
    <row r="1389" spans="1:5" ht="15" x14ac:dyDescent="0.35">
      <c r="A1389" s="509">
        <v>5431</v>
      </c>
      <c r="B1389" s="510" t="s">
        <v>1727</v>
      </c>
      <c r="C1389" s="509" t="s">
        <v>328</v>
      </c>
      <c r="D1389" s="512">
        <v>91394</v>
      </c>
      <c r="E1389" s="507" t="s">
        <v>6108</v>
      </c>
    </row>
    <row r="1390" spans="1:5" ht="15" x14ac:dyDescent="0.35">
      <c r="A1390" s="509">
        <v>5432</v>
      </c>
      <c r="B1390" s="510" t="s">
        <v>1728</v>
      </c>
      <c r="C1390" s="509" t="s">
        <v>328</v>
      </c>
      <c r="D1390" s="512">
        <v>103184</v>
      </c>
      <c r="E1390" s="507" t="s">
        <v>6108</v>
      </c>
    </row>
    <row r="1391" spans="1:5" ht="15" x14ac:dyDescent="0.35">
      <c r="A1391" s="509">
        <v>5433</v>
      </c>
      <c r="B1391" s="510" t="s">
        <v>1729</v>
      </c>
      <c r="C1391" s="509" t="s">
        <v>328</v>
      </c>
      <c r="D1391" s="511">
        <v>94467</v>
      </c>
      <c r="E1391" s="507" t="s">
        <v>6108</v>
      </c>
    </row>
    <row r="1392" spans="1:5" ht="15" x14ac:dyDescent="0.35">
      <c r="A1392" s="509">
        <v>5442</v>
      </c>
      <c r="B1392" s="510" t="s">
        <v>1730</v>
      </c>
      <c r="C1392" s="509" t="s">
        <v>21</v>
      </c>
      <c r="D1392" s="511">
        <v>121546</v>
      </c>
      <c r="E1392" s="507" t="s">
        <v>6108</v>
      </c>
    </row>
    <row r="1393" spans="1:5" ht="15" x14ac:dyDescent="0.35">
      <c r="A1393" s="509">
        <v>5443</v>
      </c>
      <c r="B1393" s="510" t="s">
        <v>1731</v>
      </c>
      <c r="C1393" s="509" t="s">
        <v>328</v>
      </c>
      <c r="D1393" s="511">
        <v>43494</v>
      </c>
      <c r="E1393" s="507" t="s">
        <v>6108</v>
      </c>
    </row>
    <row r="1394" spans="1:5" ht="15" x14ac:dyDescent="0.35">
      <c r="A1394" s="509">
        <v>5452</v>
      </c>
      <c r="B1394" s="510" t="s">
        <v>1732</v>
      </c>
      <c r="C1394" s="509" t="s">
        <v>21</v>
      </c>
      <c r="D1394" s="511">
        <v>94260</v>
      </c>
      <c r="E1394" s="507" t="s">
        <v>6108</v>
      </c>
    </row>
    <row r="1395" spans="1:5" ht="15" x14ac:dyDescent="0.35">
      <c r="A1395" s="509">
        <v>5455</v>
      </c>
      <c r="B1395" s="510" t="s">
        <v>1733</v>
      </c>
      <c r="C1395" s="509" t="s">
        <v>21</v>
      </c>
      <c r="D1395" s="512">
        <v>197212</v>
      </c>
      <c r="E1395" s="507" t="s">
        <v>6108</v>
      </c>
    </row>
    <row r="1396" spans="1:5" ht="15" x14ac:dyDescent="0.35">
      <c r="A1396" s="509">
        <v>5456</v>
      </c>
      <c r="B1396" s="510" t="s">
        <v>1734</v>
      </c>
      <c r="C1396" s="509" t="s">
        <v>328</v>
      </c>
      <c r="D1396" s="512">
        <v>49079</v>
      </c>
      <c r="E1396" s="507" t="s">
        <v>6108</v>
      </c>
    </row>
    <row r="1397" spans="1:5" ht="15" x14ac:dyDescent="0.35">
      <c r="A1397" s="509">
        <v>5459</v>
      </c>
      <c r="B1397" s="510" t="s">
        <v>1735</v>
      </c>
      <c r="C1397" s="509" t="s">
        <v>21</v>
      </c>
      <c r="D1397" s="512">
        <v>81066</v>
      </c>
      <c r="E1397" s="507" t="s">
        <v>6108</v>
      </c>
    </row>
    <row r="1398" spans="1:5" ht="15" x14ac:dyDescent="0.35">
      <c r="A1398" s="509">
        <v>5461</v>
      </c>
      <c r="B1398" s="510" t="s">
        <v>1736</v>
      </c>
      <c r="C1398" s="509" t="s">
        <v>328</v>
      </c>
      <c r="D1398" s="512">
        <v>31802</v>
      </c>
      <c r="E1398" s="507" t="s">
        <v>6108</v>
      </c>
    </row>
    <row r="1399" spans="1:5" ht="15" x14ac:dyDescent="0.35">
      <c r="A1399" s="509">
        <v>5462</v>
      </c>
      <c r="B1399" s="510" t="s">
        <v>1737</v>
      </c>
      <c r="C1399" s="509" t="s">
        <v>32</v>
      </c>
      <c r="D1399" s="511">
        <v>168146</v>
      </c>
      <c r="E1399" s="507" t="s">
        <v>6108</v>
      </c>
    </row>
    <row r="1400" spans="1:5" ht="15" x14ac:dyDescent="0.35">
      <c r="A1400" s="509">
        <v>5463</v>
      </c>
      <c r="B1400" s="510" t="s">
        <v>1738</v>
      </c>
      <c r="C1400" s="509" t="s">
        <v>32</v>
      </c>
      <c r="D1400" s="511">
        <v>251218</v>
      </c>
      <c r="E1400" s="507" t="s">
        <v>6108</v>
      </c>
    </row>
    <row r="1401" spans="1:5" ht="15" x14ac:dyDescent="0.35">
      <c r="A1401" s="509">
        <v>5466</v>
      </c>
      <c r="B1401" s="510" t="s">
        <v>1739</v>
      </c>
      <c r="C1401" s="509" t="s">
        <v>328</v>
      </c>
      <c r="D1401" s="511">
        <v>18555</v>
      </c>
      <c r="E1401" s="507" t="s">
        <v>6108</v>
      </c>
    </row>
    <row r="1402" spans="1:5" ht="15" x14ac:dyDescent="0.35">
      <c r="A1402" s="509">
        <v>5467</v>
      </c>
      <c r="B1402" s="510" t="s">
        <v>1740</v>
      </c>
      <c r="C1402" s="509" t="s">
        <v>328</v>
      </c>
      <c r="D1402" s="511">
        <v>160258</v>
      </c>
      <c r="E1402" s="507" t="s">
        <v>6108</v>
      </c>
    </row>
    <row r="1403" spans="1:5" ht="15" x14ac:dyDescent="0.35">
      <c r="A1403" s="509">
        <v>5469</v>
      </c>
      <c r="B1403" s="510" t="s">
        <v>1741</v>
      </c>
      <c r="C1403" s="509" t="s">
        <v>328</v>
      </c>
      <c r="D1403" s="511">
        <v>20566</v>
      </c>
      <c r="E1403" s="507" t="s">
        <v>6108</v>
      </c>
    </row>
    <row r="1404" spans="1:5" ht="15" x14ac:dyDescent="0.35">
      <c r="A1404" s="509">
        <v>5471</v>
      </c>
      <c r="B1404" s="510" t="s">
        <v>1742</v>
      </c>
      <c r="C1404" s="509" t="s">
        <v>328</v>
      </c>
      <c r="D1404" s="511">
        <v>12523</v>
      </c>
      <c r="E1404" s="507" t="s">
        <v>6108</v>
      </c>
    </row>
    <row r="1405" spans="1:5" ht="15" x14ac:dyDescent="0.35">
      <c r="A1405" s="509">
        <v>5472</v>
      </c>
      <c r="B1405" s="510" t="s">
        <v>1743</v>
      </c>
      <c r="C1405" s="509" t="s">
        <v>328</v>
      </c>
      <c r="D1405" s="511">
        <v>9523</v>
      </c>
      <c r="E1405" s="507" t="s">
        <v>6108</v>
      </c>
    </row>
    <row r="1406" spans="1:5" ht="15" x14ac:dyDescent="0.35">
      <c r="A1406" s="509">
        <v>5494</v>
      </c>
      <c r="B1406" s="510" t="s">
        <v>1744</v>
      </c>
      <c r="C1406" s="509" t="s">
        <v>32</v>
      </c>
      <c r="D1406" s="511">
        <v>616420</v>
      </c>
      <c r="E1406" s="507" t="s">
        <v>6108</v>
      </c>
    </row>
    <row r="1407" spans="1:5" ht="15" x14ac:dyDescent="0.35">
      <c r="A1407" s="509">
        <v>5501</v>
      </c>
      <c r="B1407" s="510" t="s">
        <v>1745</v>
      </c>
      <c r="C1407" s="509" t="s">
        <v>32</v>
      </c>
      <c r="D1407" s="511">
        <v>599506</v>
      </c>
      <c r="E1407" s="507" t="s">
        <v>6108</v>
      </c>
    </row>
    <row r="1408" spans="1:5" ht="15" x14ac:dyDescent="0.35">
      <c r="A1408" s="509">
        <v>5502</v>
      </c>
      <c r="B1408" s="510" t="s">
        <v>1746</v>
      </c>
      <c r="C1408" s="509" t="s">
        <v>32</v>
      </c>
      <c r="D1408" s="511">
        <v>902937</v>
      </c>
      <c r="E1408" s="507" t="s">
        <v>6108</v>
      </c>
    </row>
    <row r="1409" spans="1:5" ht="15" x14ac:dyDescent="0.35">
      <c r="A1409" s="509">
        <v>5523</v>
      </c>
      <c r="B1409" s="510" t="s">
        <v>1747</v>
      </c>
      <c r="C1409" s="509" t="s">
        <v>32</v>
      </c>
      <c r="D1409" s="511">
        <v>28922</v>
      </c>
      <c r="E1409" s="507" t="s">
        <v>6108</v>
      </c>
    </row>
    <row r="1410" spans="1:5" ht="15" x14ac:dyDescent="0.35">
      <c r="A1410" s="509">
        <v>5524</v>
      </c>
      <c r="B1410" s="510" t="s">
        <v>1748</v>
      </c>
      <c r="C1410" s="509" t="s">
        <v>32</v>
      </c>
      <c r="D1410" s="511">
        <v>62876</v>
      </c>
      <c r="E1410" s="507" t="s">
        <v>6108</v>
      </c>
    </row>
    <row r="1411" spans="1:5" ht="15" x14ac:dyDescent="0.35">
      <c r="A1411" s="509">
        <v>5525</v>
      </c>
      <c r="B1411" s="510" t="s">
        <v>1749</v>
      </c>
      <c r="C1411" s="509" t="s">
        <v>32</v>
      </c>
      <c r="D1411" s="511">
        <v>82964</v>
      </c>
      <c r="E1411" s="507" t="s">
        <v>6108</v>
      </c>
    </row>
    <row r="1412" spans="1:5" ht="15" x14ac:dyDescent="0.35">
      <c r="A1412" s="509">
        <v>5527</v>
      </c>
      <c r="B1412" s="510" t="s">
        <v>1750</v>
      </c>
      <c r="C1412" s="509" t="s">
        <v>328</v>
      </c>
      <c r="D1412" s="512">
        <v>31372</v>
      </c>
      <c r="E1412" s="507" t="s">
        <v>6108</v>
      </c>
    </row>
    <row r="1413" spans="1:5" ht="15" x14ac:dyDescent="0.35">
      <c r="A1413" s="509">
        <v>5528</v>
      </c>
      <c r="B1413" s="510" t="s">
        <v>1751</v>
      </c>
      <c r="C1413" s="509" t="s">
        <v>328</v>
      </c>
      <c r="D1413" s="511">
        <v>23392</v>
      </c>
      <c r="E1413" s="507" t="s">
        <v>6108</v>
      </c>
    </row>
    <row r="1414" spans="1:5" ht="15" x14ac:dyDescent="0.35">
      <c r="A1414" s="509">
        <v>5535</v>
      </c>
      <c r="B1414" s="510" t="s">
        <v>1752</v>
      </c>
      <c r="C1414" s="509" t="s">
        <v>692</v>
      </c>
      <c r="D1414" s="512">
        <v>242424</v>
      </c>
      <c r="E1414" s="507" t="s">
        <v>6108</v>
      </c>
    </row>
    <row r="1415" spans="1:5" ht="15" x14ac:dyDescent="0.35">
      <c r="A1415" s="509">
        <v>5536</v>
      </c>
      <c r="B1415" s="510" t="s">
        <v>1753</v>
      </c>
      <c r="C1415" s="509" t="s">
        <v>979</v>
      </c>
      <c r="D1415" s="512">
        <v>33058</v>
      </c>
      <c r="E1415" s="507" t="s">
        <v>6108</v>
      </c>
    </row>
    <row r="1416" spans="1:5" ht="15" x14ac:dyDescent="0.35">
      <c r="A1416" s="509">
        <v>5540</v>
      </c>
      <c r="B1416" s="510" t="s">
        <v>1754</v>
      </c>
      <c r="C1416" s="509" t="s">
        <v>328</v>
      </c>
      <c r="D1416" s="511">
        <v>3807</v>
      </c>
      <c r="E1416" s="507" t="s">
        <v>6108</v>
      </c>
    </row>
    <row r="1417" spans="1:5" ht="15" x14ac:dyDescent="0.35">
      <c r="A1417" s="509">
        <v>5541</v>
      </c>
      <c r="B1417" s="510" t="s">
        <v>1755</v>
      </c>
      <c r="C1417" s="509" t="s">
        <v>328</v>
      </c>
      <c r="D1417" s="512">
        <v>4965</v>
      </c>
      <c r="E1417" s="507" t="s">
        <v>6108</v>
      </c>
    </row>
    <row r="1418" spans="1:5" ht="15" x14ac:dyDescent="0.35">
      <c r="A1418" s="509">
        <v>5542</v>
      </c>
      <c r="B1418" s="510" t="s">
        <v>1756</v>
      </c>
      <c r="C1418" s="509" t="s">
        <v>328</v>
      </c>
      <c r="D1418" s="511">
        <v>7795</v>
      </c>
      <c r="E1418" s="507" t="s">
        <v>6108</v>
      </c>
    </row>
    <row r="1419" spans="1:5" ht="15" x14ac:dyDescent="0.35">
      <c r="A1419" s="509">
        <v>5543</v>
      </c>
      <c r="B1419" s="510" t="s">
        <v>1757</v>
      </c>
      <c r="C1419" s="509" t="s">
        <v>328</v>
      </c>
      <c r="D1419" s="511">
        <v>11365</v>
      </c>
      <c r="E1419" s="507" t="s">
        <v>6108</v>
      </c>
    </row>
    <row r="1420" spans="1:5" ht="15" x14ac:dyDescent="0.35">
      <c r="A1420" s="509">
        <v>5545</v>
      </c>
      <c r="B1420" s="510" t="s">
        <v>1758</v>
      </c>
      <c r="C1420" s="509" t="s">
        <v>328</v>
      </c>
      <c r="D1420" s="511">
        <v>88759</v>
      </c>
      <c r="E1420" s="507" t="s">
        <v>6108</v>
      </c>
    </row>
    <row r="1421" spans="1:5" ht="15" x14ac:dyDescent="0.35">
      <c r="A1421" s="509">
        <v>5546</v>
      </c>
      <c r="B1421" s="510" t="s">
        <v>1759</v>
      </c>
      <c r="C1421" s="509" t="s">
        <v>328</v>
      </c>
      <c r="D1421" s="512">
        <v>114755</v>
      </c>
      <c r="E1421" s="507" t="s">
        <v>6108</v>
      </c>
    </row>
    <row r="1422" spans="1:5" ht="15" x14ac:dyDescent="0.35">
      <c r="A1422" s="509">
        <v>5547</v>
      </c>
      <c r="B1422" s="510" t="s">
        <v>1760</v>
      </c>
      <c r="C1422" s="509" t="s">
        <v>328</v>
      </c>
      <c r="D1422" s="511">
        <v>87112</v>
      </c>
      <c r="E1422" s="507" t="s">
        <v>6108</v>
      </c>
    </row>
    <row r="1423" spans="1:5" ht="15" x14ac:dyDescent="0.35">
      <c r="A1423" s="509">
        <v>5548</v>
      </c>
      <c r="B1423" s="510" t="s">
        <v>1761</v>
      </c>
      <c r="C1423" s="509" t="s">
        <v>328</v>
      </c>
      <c r="D1423" s="512">
        <v>30268</v>
      </c>
      <c r="E1423" s="507" t="s">
        <v>6108</v>
      </c>
    </row>
    <row r="1424" spans="1:5" ht="15" x14ac:dyDescent="0.35">
      <c r="A1424" s="509">
        <v>5549</v>
      </c>
      <c r="B1424" s="510" t="s">
        <v>1762</v>
      </c>
      <c r="C1424" s="509" t="s">
        <v>328</v>
      </c>
      <c r="D1424" s="512">
        <v>214802</v>
      </c>
      <c r="E1424" s="507" t="s">
        <v>6108</v>
      </c>
    </row>
    <row r="1425" spans="1:5" ht="15" x14ac:dyDescent="0.35">
      <c r="A1425" s="509">
        <v>5550</v>
      </c>
      <c r="B1425" s="510" t="s">
        <v>1763</v>
      </c>
      <c r="C1425" s="509" t="s">
        <v>328</v>
      </c>
      <c r="D1425" s="512">
        <v>188586</v>
      </c>
      <c r="E1425" s="507" t="s">
        <v>6108</v>
      </c>
    </row>
    <row r="1426" spans="1:5" ht="15" x14ac:dyDescent="0.35">
      <c r="A1426" s="509">
        <v>5551</v>
      </c>
      <c r="B1426" s="510" t="s">
        <v>1764</v>
      </c>
      <c r="C1426" s="509" t="s">
        <v>328</v>
      </c>
      <c r="D1426" s="512">
        <v>43392</v>
      </c>
      <c r="E1426" s="507" t="s">
        <v>6108</v>
      </c>
    </row>
    <row r="1427" spans="1:5" ht="15" x14ac:dyDescent="0.35">
      <c r="A1427" s="509">
        <v>5552</v>
      </c>
      <c r="B1427" s="510" t="s">
        <v>1765</v>
      </c>
      <c r="C1427" s="509" t="s">
        <v>32</v>
      </c>
      <c r="D1427" s="511">
        <v>19758</v>
      </c>
      <c r="E1427" s="507" t="s">
        <v>6108</v>
      </c>
    </row>
    <row r="1428" spans="1:5" ht="15" x14ac:dyDescent="0.35">
      <c r="A1428" s="509">
        <v>5556</v>
      </c>
      <c r="B1428" s="510" t="s">
        <v>1766</v>
      </c>
      <c r="C1428" s="509" t="s">
        <v>328</v>
      </c>
      <c r="D1428" s="511">
        <v>33450</v>
      </c>
      <c r="E1428" s="507" t="s">
        <v>6108</v>
      </c>
    </row>
    <row r="1429" spans="1:5" ht="15" x14ac:dyDescent="0.35">
      <c r="A1429" s="509">
        <v>5557</v>
      </c>
      <c r="B1429" s="510" t="s">
        <v>1767</v>
      </c>
      <c r="C1429" s="509" t="s">
        <v>328</v>
      </c>
      <c r="D1429" s="512">
        <v>84550</v>
      </c>
      <c r="E1429" s="507" t="s">
        <v>6108</v>
      </c>
    </row>
    <row r="1430" spans="1:5" ht="15" x14ac:dyDescent="0.35">
      <c r="A1430" s="509">
        <v>5558</v>
      </c>
      <c r="B1430" s="510" t="s">
        <v>1768</v>
      </c>
      <c r="C1430" s="509" t="s">
        <v>328</v>
      </c>
      <c r="D1430" s="511">
        <v>127195</v>
      </c>
      <c r="E1430" s="507" t="s">
        <v>6108</v>
      </c>
    </row>
    <row r="1431" spans="1:5" ht="15" x14ac:dyDescent="0.35">
      <c r="A1431" s="509">
        <v>5561</v>
      </c>
      <c r="B1431" s="510" t="s">
        <v>1769</v>
      </c>
      <c r="C1431" s="509" t="s">
        <v>328</v>
      </c>
      <c r="D1431" s="511">
        <v>194114</v>
      </c>
      <c r="E1431" s="507" t="s">
        <v>6108</v>
      </c>
    </row>
    <row r="1432" spans="1:5" ht="15" x14ac:dyDescent="0.35">
      <c r="A1432" s="509">
        <v>5562</v>
      </c>
      <c r="B1432" s="510" t="s">
        <v>1770</v>
      </c>
      <c r="C1432" s="509" t="s">
        <v>328</v>
      </c>
      <c r="D1432" s="511">
        <v>93320</v>
      </c>
      <c r="E1432" s="507" t="s">
        <v>6108</v>
      </c>
    </row>
    <row r="1433" spans="1:5" ht="15" x14ac:dyDescent="0.35">
      <c r="A1433" s="509">
        <v>5567</v>
      </c>
      <c r="B1433" s="510" t="s">
        <v>1771</v>
      </c>
      <c r="C1433" s="509" t="s">
        <v>328</v>
      </c>
      <c r="D1433" s="511">
        <v>19667</v>
      </c>
      <c r="E1433" s="507" t="s">
        <v>6108</v>
      </c>
    </row>
    <row r="1434" spans="1:5" ht="15" x14ac:dyDescent="0.35">
      <c r="A1434" s="509">
        <v>5570</v>
      </c>
      <c r="B1434" s="510" t="s">
        <v>1772</v>
      </c>
      <c r="C1434" s="509" t="s">
        <v>328</v>
      </c>
      <c r="D1434" s="511">
        <v>318422</v>
      </c>
      <c r="E1434" s="507" t="s">
        <v>6108</v>
      </c>
    </row>
    <row r="1435" spans="1:5" ht="15" x14ac:dyDescent="0.35">
      <c r="A1435" s="509">
        <v>5571</v>
      </c>
      <c r="B1435" s="510" t="s">
        <v>1773</v>
      </c>
      <c r="C1435" s="509" t="s">
        <v>328</v>
      </c>
      <c r="D1435" s="512">
        <v>65150</v>
      </c>
      <c r="E1435" s="507" t="s">
        <v>331</v>
      </c>
    </row>
    <row r="1436" spans="1:5" ht="15" x14ac:dyDescent="0.35">
      <c r="A1436" s="509">
        <v>5572</v>
      </c>
      <c r="B1436" s="510" t="s">
        <v>1774</v>
      </c>
      <c r="C1436" s="509" t="s">
        <v>328</v>
      </c>
      <c r="D1436" s="512">
        <v>33194</v>
      </c>
      <c r="E1436" s="507" t="s">
        <v>6108</v>
      </c>
    </row>
    <row r="1437" spans="1:5" ht="15" x14ac:dyDescent="0.35">
      <c r="A1437" s="509">
        <v>5573</v>
      </c>
      <c r="B1437" s="510" t="s">
        <v>1775</v>
      </c>
      <c r="C1437" s="509" t="s">
        <v>328</v>
      </c>
      <c r="D1437" s="512">
        <v>23310</v>
      </c>
      <c r="E1437" s="507" t="s">
        <v>6109</v>
      </c>
    </row>
    <row r="1438" spans="1:5" ht="15" x14ac:dyDescent="0.35">
      <c r="A1438" s="509">
        <v>5574</v>
      </c>
      <c r="B1438" s="510" t="s">
        <v>1776</v>
      </c>
      <c r="C1438" s="509" t="s">
        <v>328</v>
      </c>
      <c r="D1438" s="511">
        <v>16200</v>
      </c>
      <c r="E1438" s="507" t="s">
        <v>6109</v>
      </c>
    </row>
    <row r="1439" spans="1:5" ht="15" x14ac:dyDescent="0.35">
      <c r="A1439" s="509">
        <v>5575</v>
      </c>
      <c r="B1439" s="510" t="s">
        <v>1777</v>
      </c>
      <c r="C1439" s="509" t="s">
        <v>328</v>
      </c>
      <c r="D1439" s="512">
        <v>55500</v>
      </c>
      <c r="E1439" s="507" t="s">
        <v>6109</v>
      </c>
    </row>
    <row r="1440" spans="1:5" ht="15" x14ac:dyDescent="0.35">
      <c r="A1440" s="509">
        <v>5576</v>
      </c>
      <c r="B1440" s="510" t="s">
        <v>1778</v>
      </c>
      <c r="C1440" s="509" t="s">
        <v>328</v>
      </c>
      <c r="D1440" s="511">
        <v>19755</v>
      </c>
      <c r="E1440" s="507" t="s">
        <v>6109</v>
      </c>
    </row>
    <row r="1441" spans="1:5" ht="15" x14ac:dyDescent="0.35">
      <c r="A1441" s="509">
        <v>5577</v>
      </c>
      <c r="B1441" s="510" t="s">
        <v>1779</v>
      </c>
      <c r="C1441" s="509" t="s">
        <v>328</v>
      </c>
      <c r="D1441" s="511">
        <v>251897</v>
      </c>
      <c r="E1441" s="507" t="s">
        <v>6108</v>
      </c>
    </row>
    <row r="1442" spans="1:5" ht="15" x14ac:dyDescent="0.35">
      <c r="A1442" s="509">
        <v>5581</v>
      </c>
      <c r="B1442" s="510" t="s">
        <v>1780</v>
      </c>
      <c r="C1442" s="509" t="s">
        <v>328</v>
      </c>
      <c r="D1442" s="512">
        <v>475908</v>
      </c>
      <c r="E1442" s="507" t="s">
        <v>6108</v>
      </c>
    </row>
    <row r="1443" spans="1:5" ht="15" x14ac:dyDescent="0.35">
      <c r="A1443" s="509">
        <v>5582</v>
      </c>
      <c r="B1443" s="510" t="s">
        <v>1781</v>
      </c>
      <c r="C1443" s="509" t="s">
        <v>328</v>
      </c>
      <c r="D1443" s="512">
        <v>56993</v>
      </c>
      <c r="E1443" s="507" t="s">
        <v>331</v>
      </c>
    </row>
    <row r="1444" spans="1:5" ht="15" x14ac:dyDescent="0.35">
      <c r="A1444" s="509">
        <v>5585</v>
      </c>
      <c r="B1444" s="510" t="s">
        <v>1782</v>
      </c>
      <c r="C1444" s="509" t="s">
        <v>32</v>
      </c>
      <c r="D1444" s="511">
        <v>65972</v>
      </c>
      <c r="E1444" s="507" t="s">
        <v>6108</v>
      </c>
    </row>
    <row r="1445" spans="1:5" ht="15" x14ac:dyDescent="0.35">
      <c r="A1445" s="509">
        <v>5586</v>
      </c>
      <c r="B1445" s="510" t="s">
        <v>1783</v>
      </c>
      <c r="C1445" s="509" t="s">
        <v>328</v>
      </c>
      <c r="D1445" s="512">
        <v>39386</v>
      </c>
      <c r="E1445" s="507" t="s">
        <v>6108</v>
      </c>
    </row>
    <row r="1446" spans="1:5" ht="15" x14ac:dyDescent="0.35">
      <c r="A1446" s="509">
        <v>5587</v>
      </c>
      <c r="B1446" s="510" t="s">
        <v>1784</v>
      </c>
      <c r="C1446" s="509" t="s">
        <v>328</v>
      </c>
      <c r="D1446" s="512">
        <v>68827</v>
      </c>
      <c r="E1446" s="507" t="s">
        <v>6108</v>
      </c>
    </row>
    <row r="1447" spans="1:5" ht="15" x14ac:dyDescent="0.35">
      <c r="A1447" s="509">
        <v>5588</v>
      </c>
      <c r="B1447" s="510" t="s">
        <v>1785</v>
      </c>
      <c r="C1447" s="509" t="s">
        <v>328</v>
      </c>
      <c r="D1447" s="512">
        <v>194845</v>
      </c>
      <c r="E1447" s="507" t="s">
        <v>6108</v>
      </c>
    </row>
    <row r="1448" spans="1:5" ht="15" x14ac:dyDescent="0.35">
      <c r="A1448" s="509">
        <v>5591</v>
      </c>
      <c r="B1448" s="510" t="s">
        <v>1786</v>
      </c>
      <c r="C1448" s="509" t="s">
        <v>328</v>
      </c>
      <c r="D1448" s="512">
        <v>248806</v>
      </c>
      <c r="E1448" s="507" t="s">
        <v>6108</v>
      </c>
    </row>
    <row r="1449" spans="1:5" ht="15" x14ac:dyDescent="0.35">
      <c r="A1449" s="509">
        <v>5595</v>
      </c>
      <c r="B1449" s="510" t="s">
        <v>1787</v>
      </c>
      <c r="C1449" s="509" t="s">
        <v>328</v>
      </c>
      <c r="D1449" s="511">
        <v>161232</v>
      </c>
      <c r="E1449" s="507" t="s">
        <v>6108</v>
      </c>
    </row>
    <row r="1450" spans="1:5" ht="15" x14ac:dyDescent="0.35">
      <c r="A1450" s="509">
        <v>5599</v>
      </c>
      <c r="B1450" s="510" t="s">
        <v>1788</v>
      </c>
      <c r="C1450" s="509" t="s">
        <v>328</v>
      </c>
      <c r="D1450" s="511">
        <v>240307</v>
      </c>
      <c r="E1450" s="507" t="s">
        <v>6108</v>
      </c>
    </row>
    <row r="1451" spans="1:5" ht="15" x14ac:dyDescent="0.35">
      <c r="A1451" s="509">
        <v>5602</v>
      </c>
      <c r="B1451" s="510" t="s">
        <v>1789</v>
      </c>
      <c r="C1451" s="509" t="s">
        <v>328</v>
      </c>
      <c r="D1451" s="511">
        <v>3500575</v>
      </c>
      <c r="E1451" s="507" t="s">
        <v>6108</v>
      </c>
    </row>
    <row r="1452" spans="1:5" ht="15" x14ac:dyDescent="0.35">
      <c r="A1452" s="509">
        <v>5603</v>
      </c>
      <c r="B1452" s="510" t="s">
        <v>1790</v>
      </c>
      <c r="C1452" s="509" t="s">
        <v>328</v>
      </c>
      <c r="D1452" s="511">
        <v>131191</v>
      </c>
      <c r="E1452" s="507" t="s">
        <v>6108</v>
      </c>
    </row>
    <row r="1453" spans="1:5" ht="15" x14ac:dyDescent="0.35">
      <c r="A1453" s="509">
        <v>5604</v>
      </c>
      <c r="B1453" s="510" t="s">
        <v>1791</v>
      </c>
      <c r="C1453" s="509" t="s">
        <v>328</v>
      </c>
      <c r="D1453" s="511">
        <v>112874</v>
      </c>
      <c r="E1453" s="507" t="s">
        <v>6108</v>
      </c>
    </row>
    <row r="1454" spans="1:5" ht="15" x14ac:dyDescent="0.35">
      <c r="A1454" s="509">
        <v>5606</v>
      </c>
      <c r="B1454" s="510" t="s">
        <v>1792</v>
      </c>
      <c r="C1454" s="509" t="s">
        <v>328</v>
      </c>
      <c r="D1454" s="511">
        <v>215050</v>
      </c>
      <c r="E1454" s="507" t="s">
        <v>6108</v>
      </c>
    </row>
    <row r="1455" spans="1:5" ht="15" x14ac:dyDescent="0.35">
      <c r="A1455" s="509">
        <v>5610</v>
      </c>
      <c r="B1455" s="510" t="s">
        <v>1793</v>
      </c>
      <c r="C1455" s="509" t="s">
        <v>328</v>
      </c>
      <c r="D1455" s="511">
        <v>208763</v>
      </c>
      <c r="E1455" s="507" t="s">
        <v>6108</v>
      </c>
    </row>
    <row r="1456" spans="1:5" ht="15" x14ac:dyDescent="0.35">
      <c r="A1456" s="509">
        <v>5611</v>
      </c>
      <c r="B1456" s="510" t="s">
        <v>1794</v>
      </c>
      <c r="C1456" s="509" t="s">
        <v>328</v>
      </c>
      <c r="D1456" s="511">
        <v>117517</v>
      </c>
      <c r="E1456" s="507" t="s">
        <v>6108</v>
      </c>
    </row>
    <row r="1457" spans="1:5" ht="15" x14ac:dyDescent="0.35">
      <c r="A1457" s="509">
        <v>5616</v>
      </c>
      <c r="B1457" s="510" t="s">
        <v>1795</v>
      </c>
      <c r="C1457" s="509" t="s">
        <v>328</v>
      </c>
      <c r="D1457" s="512">
        <v>13081</v>
      </c>
      <c r="E1457" s="507" t="s">
        <v>6109</v>
      </c>
    </row>
    <row r="1458" spans="1:5" ht="15" x14ac:dyDescent="0.35">
      <c r="A1458" s="509">
        <v>5621</v>
      </c>
      <c r="B1458" s="510" t="s">
        <v>1796</v>
      </c>
      <c r="C1458" s="509" t="s">
        <v>328</v>
      </c>
      <c r="D1458" s="511">
        <v>40132</v>
      </c>
      <c r="E1458" s="507" t="s">
        <v>6109</v>
      </c>
    </row>
    <row r="1459" spans="1:5" ht="15" x14ac:dyDescent="0.35">
      <c r="A1459" s="509">
        <v>5626</v>
      </c>
      <c r="B1459" s="510" t="s">
        <v>1797</v>
      </c>
      <c r="C1459" s="509" t="s">
        <v>32</v>
      </c>
      <c r="D1459" s="511">
        <v>13474</v>
      </c>
      <c r="E1459" s="507" t="s">
        <v>6109</v>
      </c>
    </row>
    <row r="1460" spans="1:5" ht="15" x14ac:dyDescent="0.35">
      <c r="A1460" s="509">
        <v>5628</v>
      </c>
      <c r="B1460" s="510" t="s">
        <v>1798</v>
      </c>
      <c r="C1460" s="509" t="s">
        <v>328</v>
      </c>
      <c r="D1460" s="511">
        <v>12750</v>
      </c>
      <c r="E1460" s="507" t="s">
        <v>6109</v>
      </c>
    </row>
    <row r="1461" spans="1:5" ht="15" x14ac:dyDescent="0.35">
      <c r="A1461" s="509">
        <v>5629</v>
      </c>
      <c r="B1461" s="510" t="s">
        <v>1799</v>
      </c>
      <c r="C1461" s="509" t="s">
        <v>328</v>
      </c>
      <c r="D1461" s="511">
        <v>55324</v>
      </c>
      <c r="E1461" s="507" t="s">
        <v>6109</v>
      </c>
    </row>
    <row r="1462" spans="1:5" ht="15" x14ac:dyDescent="0.35">
      <c r="A1462" s="509">
        <v>5630</v>
      </c>
      <c r="B1462" s="510" t="s">
        <v>1800</v>
      </c>
      <c r="C1462" s="509" t="s">
        <v>328</v>
      </c>
      <c r="D1462" s="511">
        <v>53978</v>
      </c>
      <c r="E1462" s="507" t="s">
        <v>6109</v>
      </c>
    </row>
    <row r="1463" spans="1:5" ht="15" x14ac:dyDescent="0.35">
      <c r="A1463" s="509">
        <v>5634</v>
      </c>
      <c r="B1463" s="510" t="s">
        <v>1801</v>
      </c>
      <c r="C1463" s="509" t="s">
        <v>328</v>
      </c>
      <c r="D1463" s="511">
        <v>5479</v>
      </c>
      <c r="E1463" s="507" t="s">
        <v>6109</v>
      </c>
    </row>
    <row r="1464" spans="1:5" ht="15" x14ac:dyDescent="0.35">
      <c r="A1464" s="509">
        <v>5641</v>
      </c>
      <c r="B1464" s="510" t="s">
        <v>1802</v>
      </c>
      <c r="C1464" s="509" t="s">
        <v>21</v>
      </c>
      <c r="D1464" s="511">
        <v>126176</v>
      </c>
      <c r="E1464" s="507" t="s">
        <v>6109</v>
      </c>
    </row>
    <row r="1465" spans="1:5" ht="15" x14ac:dyDescent="0.35">
      <c r="A1465" s="509">
        <v>5642</v>
      </c>
      <c r="B1465" s="510" t="s">
        <v>1803</v>
      </c>
      <c r="C1465" s="509" t="s">
        <v>21</v>
      </c>
      <c r="D1465" s="511">
        <v>25703</v>
      </c>
      <c r="E1465" s="507" t="s">
        <v>6109</v>
      </c>
    </row>
    <row r="1466" spans="1:5" ht="15" x14ac:dyDescent="0.35">
      <c r="A1466" s="509">
        <v>5644</v>
      </c>
      <c r="B1466" s="510" t="s">
        <v>1804</v>
      </c>
      <c r="C1466" s="509" t="s">
        <v>21</v>
      </c>
      <c r="D1466" s="511">
        <v>19021</v>
      </c>
      <c r="E1466" s="507" t="s">
        <v>6109</v>
      </c>
    </row>
    <row r="1467" spans="1:5" ht="15" x14ac:dyDescent="0.35">
      <c r="A1467" s="509">
        <v>5645</v>
      </c>
      <c r="B1467" s="510" t="s">
        <v>1805</v>
      </c>
      <c r="C1467" s="509" t="s">
        <v>21</v>
      </c>
      <c r="D1467" s="511">
        <v>13344</v>
      </c>
      <c r="E1467" s="507" t="s">
        <v>6109</v>
      </c>
    </row>
    <row r="1468" spans="1:5" ht="15" x14ac:dyDescent="0.35">
      <c r="A1468" s="509">
        <v>5646</v>
      </c>
      <c r="B1468" s="510" t="s">
        <v>1806</v>
      </c>
      <c r="C1468" s="509" t="s">
        <v>328</v>
      </c>
      <c r="D1468" s="511">
        <v>10130</v>
      </c>
      <c r="E1468" s="507" t="s">
        <v>6109</v>
      </c>
    </row>
    <row r="1469" spans="1:5" ht="15" x14ac:dyDescent="0.35">
      <c r="A1469" s="509">
        <v>5647</v>
      </c>
      <c r="B1469" s="510" t="s">
        <v>1807</v>
      </c>
      <c r="C1469" s="509" t="s">
        <v>21</v>
      </c>
      <c r="D1469" s="511">
        <v>15897</v>
      </c>
      <c r="E1469" s="507" t="s">
        <v>6109</v>
      </c>
    </row>
    <row r="1470" spans="1:5" ht="15" x14ac:dyDescent="0.35">
      <c r="A1470" s="509">
        <v>5683</v>
      </c>
      <c r="B1470" s="510" t="s">
        <v>1808</v>
      </c>
      <c r="C1470" s="509" t="s">
        <v>32</v>
      </c>
      <c r="D1470" s="511">
        <v>285460</v>
      </c>
      <c r="E1470" s="507" t="s">
        <v>6109</v>
      </c>
    </row>
    <row r="1471" spans="1:5" ht="15" x14ac:dyDescent="0.35">
      <c r="A1471" s="509">
        <v>5684</v>
      </c>
      <c r="B1471" s="510" t="s">
        <v>1809</v>
      </c>
      <c r="C1471" s="509" t="s">
        <v>32</v>
      </c>
      <c r="D1471" s="511">
        <v>596387</v>
      </c>
      <c r="E1471" s="507" t="s">
        <v>6109</v>
      </c>
    </row>
    <row r="1472" spans="1:5" ht="15" x14ac:dyDescent="0.35">
      <c r="A1472" s="509">
        <v>5686</v>
      </c>
      <c r="B1472" s="510" t="s">
        <v>1810</v>
      </c>
      <c r="C1472" s="509" t="s">
        <v>30</v>
      </c>
      <c r="D1472" s="511">
        <v>1252859</v>
      </c>
      <c r="E1472" s="507" t="s">
        <v>6109</v>
      </c>
    </row>
    <row r="1473" spans="1:5" ht="15" x14ac:dyDescent="0.35">
      <c r="A1473" s="509">
        <v>5688</v>
      </c>
      <c r="B1473" s="510" t="s">
        <v>1811</v>
      </c>
      <c r="C1473" s="509" t="s">
        <v>32</v>
      </c>
      <c r="D1473" s="511">
        <v>4177142</v>
      </c>
      <c r="E1473" s="507" t="s">
        <v>6109</v>
      </c>
    </row>
    <row r="1474" spans="1:5" ht="15" x14ac:dyDescent="0.35">
      <c r="A1474" s="509">
        <v>5690</v>
      </c>
      <c r="B1474" s="510" t="s">
        <v>1812</v>
      </c>
      <c r="C1474" s="509" t="s">
        <v>32</v>
      </c>
      <c r="D1474" s="511">
        <v>556550</v>
      </c>
      <c r="E1474" s="507" t="s">
        <v>6109</v>
      </c>
    </row>
    <row r="1475" spans="1:5" ht="15" x14ac:dyDescent="0.35">
      <c r="A1475" s="509">
        <v>5691</v>
      </c>
      <c r="B1475" s="510" t="s">
        <v>1813</v>
      </c>
      <c r="C1475" s="509" t="s">
        <v>32</v>
      </c>
      <c r="D1475" s="511">
        <v>1016760</v>
      </c>
      <c r="E1475" s="507" t="s">
        <v>6109</v>
      </c>
    </row>
    <row r="1476" spans="1:5" ht="15" x14ac:dyDescent="0.35">
      <c r="A1476" s="509">
        <v>5692</v>
      </c>
      <c r="B1476" s="510" t="s">
        <v>1814</v>
      </c>
      <c r="C1476" s="509" t="s">
        <v>32</v>
      </c>
      <c r="D1476" s="512">
        <v>1788047</v>
      </c>
      <c r="E1476" s="507" t="s">
        <v>6109</v>
      </c>
    </row>
    <row r="1477" spans="1:5" ht="15" x14ac:dyDescent="0.35">
      <c r="A1477" s="509">
        <v>5693</v>
      </c>
      <c r="B1477" s="510" t="s">
        <v>1815</v>
      </c>
      <c r="C1477" s="509" t="s">
        <v>32</v>
      </c>
      <c r="D1477" s="512">
        <v>1305373</v>
      </c>
      <c r="E1477" s="507" t="s">
        <v>6109</v>
      </c>
    </row>
    <row r="1478" spans="1:5" ht="15" x14ac:dyDescent="0.35">
      <c r="A1478" s="509">
        <v>5696</v>
      </c>
      <c r="B1478" s="510" t="s">
        <v>1816</v>
      </c>
      <c r="C1478" s="509" t="s">
        <v>32</v>
      </c>
      <c r="D1478" s="512">
        <v>685004</v>
      </c>
      <c r="E1478" s="507" t="s">
        <v>6109</v>
      </c>
    </row>
    <row r="1479" spans="1:5" ht="15" x14ac:dyDescent="0.35">
      <c r="A1479" s="509">
        <v>5697</v>
      </c>
      <c r="B1479" s="510" t="s">
        <v>1817</v>
      </c>
      <c r="C1479" s="509" t="s">
        <v>32</v>
      </c>
      <c r="D1479" s="512">
        <v>822139</v>
      </c>
      <c r="E1479" s="507" t="s">
        <v>6109</v>
      </c>
    </row>
    <row r="1480" spans="1:5" ht="15" x14ac:dyDescent="0.35">
      <c r="A1480" s="509">
        <v>5698</v>
      </c>
      <c r="B1480" s="510" t="s">
        <v>1818</v>
      </c>
      <c r="C1480" s="509" t="s">
        <v>32</v>
      </c>
      <c r="D1480" s="511">
        <v>366412</v>
      </c>
      <c r="E1480" s="507" t="s">
        <v>6109</v>
      </c>
    </row>
    <row r="1481" spans="1:5" ht="15" x14ac:dyDescent="0.35">
      <c r="A1481" s="509">
        <v>5699</v>
      </c>
      <c r="B1481" s="510" t="s">
        <v>1819</v>
      </c>
      <c r="C1481" s="509" t="s">
        <v>32</v>
      </c>
      <c r="D1481" s="511">
        <v>351072</v>
      </c>
      <c r="E1481" s="507" t="s">
        <v>6109</v>
      </c>
    </row>
    <row r="1482" spans="1:5" ht="15" x14ac:dyDescent="0.35">
      <c r="A1482" s="509">
        <v>5700</v>
      </c>
      <c r="B1482" s="510" t="s">
        <v>1820</v>
      </c>
      <c r="C1482" s="509" t="s">
        <v>32</v>
      </c>
      <c r="D1482" s="512">
        <v>199572</v>
      </c>
      <c r="E1482" s="507" t="s">
        <v>6109</v>
      </c>
    </row>
    <row r="1483" spans="1:5" ht="15" x14ac:dyDescent="0.35">
      <c r="A1483" s="509">
        <v>5701</v>
      </c>
      <c r="B1483" s="510" t="s">
        <v>1821</v>
      </c>
      <c r="C1483" s="509" t="s">
        <v>328</v>
      </c>
      <c r="D1483" s="512">
        <v>164652</v>
      </c>
      <c r="E1483" s="507" t="s">
        <v>6109</v>
      </c>
    </row>
    <row r="1484" spans="1:5" ht="15" x14ac:dyDescent="0.35">
      <c r="A1484" s="509">
        <v>5702</v>
      </c>
      <c r="B1484" s="510" t="s">
        <v>1822</v>
      </c>
      <c r="C1484" s="509" t="s">
        <v>32</v>
      </c>
      <c r="D1484" s="511">
        <v>712270</v>
      </c>
      <c r="E1484" s="507" t="s">
        <v>6109</v>
      </c>
    </row>
    <row r="1485" spans="1:5" ht="15" x14ac:dyDescent="0.35">
      <c r="A1485" s="509">
        <v>5708</v>
      </c>
      <c r="B1485" s="510" t="s">
        <v>1824</v>
      </c>
      <c r="C1485" s="509" t="s">
        <v>30</v>
      </c>
      <c r="D1485" s="511">
        <v>190456</v>
      </c>
      <c r="E1485" s="507" t="s">
        <v>6109</v>
      </c>
    </row>
    <row r="1486" spans="1:5" ht="15" x14ac:dyDescent="0.35">
      <c r="A1486" s="509">
        <v>5710</v>
      </c>
      <c r="B1486" s="510" t="s">
        <v>1825</v>
      </c>
      <c r="C1486" s="509" t="s">
        <v>30</v>
      </c>
      <c r="D1486" s="511">
        <v>102718</v>
      </c>
      <c r="E1486" s="507" t="s">
        <v>6109</v>
      </c>
    </row>
    <row r="1487" spans="1:5" ht="15" x14ac:dyDescent="0.35">
      <c r="A1487" s="509">
        <v>5727</v>
      </c>
      <c r="B1487" s="510" t="s">
        <v>1826</v>
      </c>
      <c r="C1487" s="509" t="s">
        <v>328</v>
      </c>
      <c r="D1487" s="511">
        <v>197690</v>
      </c>
      <c r="E1487" s="507" t="s">
        <v>6109</v>
      </c>
    </row>
    <row r="1488" spans="1:5" ht="15" x14ac:dyDescent="0.35">
      <c r="A1488" s="509">
        <v>5728</v>
      </c>
      <c r="B1488" s="510" t="s">
        <v>1827</v>
      </c>
      <c r="C1488" s="509" t="s">
        <v>328</v>
      </c>
      <c r="D1488" s="511">
        <v>227513</v>
      </c>
      <c r="E1488" s="507" t="s">
        <v>6109</v>
      </c>
    </row>
    <row r="1489" spans="1:5" ht="15" x14ac:dyDescent="0.35">
      <c r="A1489" s="509">
        <v>5729</v>
      </c>
      <c r="B1489" s="510" t="s">
        <v>1828</v>
      </c>
      <c r="C1489" s="509" t="s">
        <v>32</v>
      </c>
      <c r="D1489" s="512">
        <v>1654042</v>
      </c>
      <c r="E1489" s="507" t="s">
        <v>6109</v>
      </c>
    </row>
    <row r="1490" spans="1:5" ht="15" x14ac:dyDescent="0.35">
      <c r="A1490" s="509">
        <v>5730</v>
      </c>
      <c r="B1490" s="510" t="s">
        <v>1829</v>
      </c>
      <c r="C1490" s="509" t="s">
        <v>328</v>
      </c>
      <c r="D1490" s="511">
        <v>7736</v>
      </c>
      <c r="E1490" s="507" t="s">
        <v>6109</v>
      </c>
    </row>
    <row r="1491" spans="1:5" ht="15" x14ac:dyDescent="0.35">
      <c r="A1491" s="509">
        <v>5731</v>
      </c>
      <c r="B1491" s="510" t="s">
        <v>1830</v>
      </c>
      <c r="C1491" s="509" t="s">
        <v>692</v>
      </c>
      <c r="D1491" s="511">
        <v>394524</v>
      </c>
      <c r="E1491" s="507" t="s">
        <v>6109</v>
      </c>
    </row>
    <row r="1492" spans="1:5" ht="15" x14ac:dyDescent="0.35">
      <c r="A1492" s="509">
        <v>5732</v>
      </c>
      <c r="B1492" s="510" t="s">
        <v>1831</v>
      </c>
      <c r="C1492" s="509" t="s">
        <v>692</v>
      </c>
      <c r="D1492" s="511">
        <v>526032</v>
      </c>
      <c r="E1492" s="507" t="s">
        <v>6109</v>
      </c>
    </row>
    <row r="1493" spans="1:5" ht="15" x14ac:dyDescent="0.35">
      <c r="A1493" s="509">
        <v>5733</v>
      </c>
      <c r="B1493" s="510" t="s">
        <v>1832</v>
      </c>
      <c r="C1493" s="509" t="s">
        <v>21</v>
      </c>
      <c r="D1493" s="511">
        <v>67504</v>
      </c>
      <c r="E1493" s="507" t="s">
        <v>6109</v>
      </c>
    </row>
    <row r="1494" spans="1:5" ht="15" x14ac:dyDescent="0.35">
      <c r="A1494" s="509">
        <v>5734</v>
      </c>
      <c r="B1494" s="510" t="s">
        <v>1833</v>
      </c>
      <c r="C1494" s="509" t="s">
        <v>21</v>
      </c>
      <c r="D1494" s="512">
        <v>71800</v>
      </c>
      <c r="E1494" s="507" t="s">
        <v>6109</v>
      </c>
    </row>
    <row r="1495" spans="1:5" ht="15" x14ac:dyDescent="0.35">
      <c r="A1495" s="509">
        <v>5735</v>
      </c>
      <c r="B1495" s="510" t="s">
        <v>1834</v>
      </c>
      <c r="C1495" s="509" t="s">
        <v>21</v>
      </c>
      <c r="D1495" s="511">
        <v>65813</v>
      </c>
      <c r="E1495" s="507" t="s">
        <v>331</v>
      </c>
    </row>
    <row r="1496" spans="1:5" ht="15" x14ac:dyDescent="0.35">
      <c r="A1496" s="509">
        <v>5736</v>
      </c>
      <c r="B1496" s="510" t="s">
        <v>1835</v>
      </c>
      <c r="C1496" s="509" t="s">
        <v>328</v>
      </c>
      <c r="D1496" s="511">
        <v>11333</v>
      </c>
      <c r="E1496" s="507" t="s">
        <v>331</v>
      </c>
    </row>
    <row r="1497" spans="1:5" ht="15" x14ac:dyDescent="0.35">
      <c r="A1497" s="509">
        <v>5746</v>
      </c>
      <c r="B1497" s="510" t="s">
        <v>1836</v>
      </c>
      <c r="C1497" s="509" t="s">
        <v>32</v>
      </c>
      <c r="D1497" s="511">
        <v>117309</v>
      </c>
      <c r="E1497" s="507" t="s">
        <v>6109</v>
      </c>
    </row>
    <row r="1498" spans="1:5" ht="15" x14ac:dyDescent="0.35">
      <c r="A1498" s="509">
        <v>5747</v>
      </c>
      <c r="B1498" s="510" t="s">
        <v>1837</v>
      </c>
      <c r="C1498" s="509" t="s">
        <v>32</v>
      </c>
      <c r="D1498" s="511">
        <v>8626294</v>
      </c>
      <c r="E1498" s="507" t="s">
        <v>331</v>
      </c>
    </row>
    <row r="1499" spans="1:5" ht="15" x14ac:dyDescent="0.35">
      <c r="A1499" s="509">
        <v>5748</v>
      </c>
      <c r="B1499" s="510" t="s">
        <v>1838</v>
      </c>
      <c r="C1499" s="509" t="s">
        <v>32</v>
      </c>
      <c r="D1499" s="512">
        <v>327819</v>
      </c>
      <c r="E1499" s="507" t="s">
        <v>331</v>
      </c>
    </row>
    <row r="1500" spans="1:5" ht="15" x14ac:dyDescent="0.35">
      <c r="A1500" s="509">
        <v>5749</v>
      </c>
      <c r="B1500" s="510" t="s">
        <v>1839</v>
      </c>
      <c r="C1500" s="509" t="s">
        <v>32</v>
      </c>
      <c r="D1500" s="511">
        <v>208287</v>
      </c>
      <c r="E1500" s="507" t="s">
        <v>331</v>
      </c>
    </row>
    <row r="1501" spans="1:5" ht="15" x14ac:dyDescent="0.35">
      <c r="A1501" s="509">
        <v>5750</v>
      </c>
      <c r="B1501" s="510" t="s">
        <v>1840</v>
      </c>
      <c r="C1501" s="509" t="s">
        <v>32</v>
      </c>
      <c r="D1501" s="511">
        <v>481376</v>
      </c>
      <c r="E1501" s="507" t="s">
        <v>6109</v>
      </c>
    </row>
    <row r="1502" spans="1:5" ht="15" x14ac:dyDescent="0.35">
      <c r="A1502" s="509">
        <v>5751</v>
      </c>
      <c r="B1502" s="510" t="s">
        <v>1841</v>
      </c>
      <c r="C1502" s="509" t="s">
        <v>32</v>
      </c>
      <c r="D1502" s="511">
        <v>2363366</v>
      </c>
      <c r="E1502" s="507" t="s">
        <v>6109</v>
      </c>
    </row>
    <row r="1503" spans="1:5" ht="15" x14ac:dyDescent="0.35">
      <c r="A1503" s="509">
        <v>5752</v>
      </c>
      <c r="B1503" s="510" t="s">
        <v>1842</v>
      </c>
      <c r="C1503" s="509" t="s">
        <v>32</v>
      </c>
      <c r="D1503" s="512">
        <v>771604</v>
      </c>
      <c r="E1503" s="507" t="s">
        <v>6109</v>
      </c>
    </row>
    <row r="1504" spans="1:5" ht="15" x14ac:dyDescent="0.35">
      <c r="A1504" s="509">
        <v>5753</v>
      </c>
      <c r="B1504" s="510" t="s">
        <v>1843</v>
      </c>
      <c r="C1504" s="509" t="s">
        <v>32</v>
      </c>
      <c r="D1504" s="511">
        <v>428065</v>
      </c>
      <c r="E1504" s="507" t="s">
        <v>6109</v>
      </c>
    </row>
    <row r="1505" spans="1:5" ht="15" x14ac:dyDescent="0.35">
      <c r="A1505" s="509">
        <v>5754</v>
      </c>
      <c r="B1505" s="510" t="s">
        <v>1844</v>
      </c>
      <c r="C1505" s="509" t="s">
        <v>32</v>
      </c>
      <c r="D1505" s="511">
        <v>719214</v>
      </c>
      <c r="E1505" s="507" t="s">
        <v>6109</v>
      </c>
    </row>
    <row r="1506" spans="1:5" ht="15" x14ac:dyDescent="0.35">
      <c r="A1506" s="509">
        <v>5759</v>
      </c>
      <c r="B1506" s="510" t="s">
        <v>1845</v>
      </c>
      <c r="C1506" s="509" t="s">
        <v>32</v>
      </c>
      <c r="D1506" s="511">
        <v>17255</v>
      </c>
      <c r="E1506" s="507" t="s">
        <v>6109</v>
      </c>
    </row>
    <row r="1507" spans="1:5" ht="15" x14ac:dyDescent="0.35">
      <c r="A1507" s="509">
        <v>5760</v>
      </c>
      <c r="B1507" s="510" t="s">
        <v>1846</v>
      </c>
      <c r="C1507" s="509" t="s">
        <v>328</v>
      </c>
      <c r="D1507" s="511">
        <v>24777</v>
      </c>
      <c r="E1507" s="507" t="s">
        <v>6109</v>
      </c>
    </row>
    <row r="1508" spans="1:5" ht="15" x14ac:dyDescent="0.35">
      <c r="A1508" s="509">
        <v>5761</v>
      </c>
      <c r="B1508" s="510" t="s">
        <v>1847</v>
      </c>
      <c r="C1508" s="509" t="s">
        <v>328</v>
      </c>
      <c r="D1508" s="511">
        <v>7775</v>
      </c>
      <c r="E1508" s="507" t="s">
        <v>6109</v>
      </c>
    </row>
    <row r="1509" spans="1:5" ht="15" x14ac:dyDescent="0.35">
      <c r="A1509" s="509">
        <v>5762</v>
      </c>
      <c r="B1509" s="510" t="s">
        <v>1848</v>
      </c>
      <c r="C1509" s="509" t="s">
        <v>32</v>
      </c>
      <c r="D1509" s="512">
        <v>49485</v>
      </c>
      <c r="E1509" s="507" t="s">
        <v>6109</v>
      </c>
    </row>
    <row r="1510" spans="1:5" ht="15" x14ac:dyDescent="0.35">
      <c r="A1510" s="509">
        <v>5763</v>
      </c>
      <c r="B1510" s="510" t="s">
        <v>1849</v>
      </c>
      <c r="C1510" s="509" t="s">
        <v>328</v>
      </c>
      <c r="D1510" s="512">
        <v>25975</v>
      </c>
      <c r="E1510" s="507" t="s">
        <v>6109</v>
      </c>
    </row>
    <row r="1511" spans="1:5" ht="15" x14ac:dyDescent="0.35">
      <c r="A1511" s="509">
        <v>5764</v>
      </c>
      <c r="B1511" s="510" t="s">
        <v>1850</v>
      </c>
      <c r="C1511" s="509" t="s">
        <v>328</v>
      </c>
      <c r="D1511" s="511">
        <v>6036</v>
      </c>
      <c r="E1511" s="507" t="s">
        <v>6109</v>
      </c>
    </row>
    <row r="1512" spans="1:5" ht="15" x14ac:dyDescent="0.35">
      <c r="A1512" s="509">
        <v>5765</v>
      </c>
      <c r="B1512" s="510" t="s">
        <v>1851</v>
      </c>
      <c r="C1512" s="509" t="s">
        <v>328</v>
      </c>
      <c r="D1512" s="511">
        <v>6332</v>
      </c>
      <c r="E1512" s="507" t="s">
        <v>6109</v>
      </c>
    </row>
    <row r="1513" spans="1:5" ht="15" x14ac:dyDescent="0.35">
      <c r="A1513" s="509">
        <v>5766</v>
      </c>
      <c r="B1513" s="510" t="s">
        <v>1852</v>
      </c>
      <c r="C1513" s="509" t="s">
        <v>32</v>
      </c>
      <c r="D1513" s="511">
        <v>17255</v>
      </c>
      <c r="E1513" s="507" t="s">
        <v>6109</v>
      </c>
    </row>
    <row r="1514" spans="1:5" ht="15" x14ac:dyDescent="0.35">
      <c r="A1514" s="509">
        <v>5767</v>
      </c>
      <c r="B1514" s="510" t="s">
        <v>1853</v>
      </c>
      <c r="C1514" s="509" t="s">
        <v>328</v>
      </c>
      <c r="D1514" s="511">
        <v>16146</v>
      </c>
      <c r="E1514" s="507" t="s">
        <v>6109</v>
      </c>
    </row>
    <row r="1515" spans="1:5" ht="15" x14ac:dyDescent="0.35">
      <c r="A1515" s="509">
        <v>5768</v>
      </c>
      <c r="B1515" s="510" t="s">
        <v>1854</v>
      </c>
      <c r="C1515" s="509" t="s">
        <v>32</v>
      </c>
      <c r="D1515" s="511">
        <v>23905</v>
      </c>
      <c r="E1515" s="507" t="s">
        <v>6109</v>
      </c>
    </row>
    <row r="1516" spans="1:5" ht="15" x14ac:dyDescent="0.35">
      <c r="A1516" s="509">
        <v>5769</v>
      </c>
      <c r="B1516" s="510" t="s">
        <v>1855</v>
      </c>
      <c r="C1516" s="509" t="s">
        <v>32</v>
      </c>
      <c r="D1516" s="511">
        <v>17255</v>
      </c>
      <c r="E1516" s="507" t="s">
        <v>6109</v>
      </c>
    </row>
    <row r="1517" spans="1:5" ht="15" x14ac:dyDescent="0.35">
      <c r="A1517" s="509">
        <v>5770</v>
      </c>
      <c r="B1517" s="510" t="s">
        <v>1856</v>
      </c>
      <c r="C1517" s="509" t="s">
        <v>32</v>
      </c>
      <c r="D1517" s="511">
        <v>42829</v>
      </c>
      <c r="E1517" s="507" t="s">
        <v>6109</v>
      </c>
    </row>
    <row r="1518" spans="1:5" ht="15" x14ac:dyDescent="0.35">
      <c r="A1518" s="509">
        <v>5771</v>
      </c>
      <c r="B1518" s="510" t="s">
        <v>1857</v>
      </c>
      <c r="C1518" s="509" t="s">
        <v>328</v>
      </c>
      <c r="D1518" s="511">
        <v>11359</v>
      </c>
      <c r="E1518" s="507" t="s">
        <v>6109</v>
      </c>
    </row>
    <row r="1519" spans="1:5" ht="15" x14ac:dyDescent="0.35">
      <c r="A1519" s="509">
        <v>5772</v>
      </c>
      <c r="B1519" s="510" t="s">
        <v>1858</v>
      </c>
      <c r="C1519" s="509" t="s">
        <v>32</v>
      </c>
      <c r="D1519" s="512">
        <v>17255</v>
      </c>
      <c r="E1519" s="507" t="s">
        <v>6109</v>
      </c>
    </row>
    <row r="1520" spans="1:5" ht="15" x14ac:dyDescent="0.35">
      <c r="A1520" s="509">
        <v>5773</v>
      </c>
      <c r="B1520" s="510" t="s">
        <v>1859</v>
      </c>
      <c r="C1520" s="509" t="s">
        <v>32</v>
      </c>
      <c r="D1520" s="512">
        <v>62849</v>
      </c>
      <c r="E1520" s="507" t="s">
        <v>6109</v>
      </c>
    </row>
    <row r="1521" spans="1:5" ht="15" x14ac:dyDescent="0.35">
      <c r="A1521" s="509">
        <v>5774</v>
      </c>
      <c r="B1521" s="510" t="s">
        <v>1860</v>
      </c>
      <c r="C1521" s="509" t="s">
        <v>328</v>
      </c>
      <c r="D1521" s="511">
        <v>12967</v>
      </c>
      <c r="E1521" s="507" t="s">
        <v>6109</v>
      </c>
    </row>
    <row r="1522" spans="1:5" ht="15" x14ac:dyDescent="0.35">
      <c r="A1522" s="509">
        <v>5775</v>
      </c>
      <c r="B1522" s="510" t="s">
        <v>1861</v>
      </c>
      <c r="C1522" s="509" t="s">
        <v>32</v>
      </c>
      <c r="D1522" s="512">
        <v>29566</v>
      </c>
      <c r="E1522" s="507" t="s">
        <v>6109</v>
      </c>
    </row>
    <row r="1523" spans="1:5" ht="15" x14ac:dyDescent="0.35">
      <c r="A1523" s="509">
        <v>5776</v>
      </c>
      <c r="B1523" s="510" t="s">
        <v>1862</v>
      </c>
      <c r="C1523" s="509" t="s">
        <v>328</v>
      </c>
      <c r="D1523" s="511">
        <v>11354</v>
      </c>
      <c r="E1523" s="507" t="s">
        <v>6109</v>
      </c>
    </row>
    <row r="1524" spans="1:5" ht="15" x14ac:dyDescent="0.35">
      <c r="A1524" s="509">
        <v>5777</v>
      </c>
      <c r="B1524" s="510" t="s">
        <v>1863</v>
      </c>
      <c r="C1524" s="509" t="s">
        <v>32</v>
      </c>
      <c r="D1524" s="511">
        <v>26554</v>
      </c>
      <c r="E1524" s="507" t="s">
        <v>6109</v>
      </c>
    </row>
    <row r="1525" spans="1:5" ht="15" x14ac:dyDescent="0.35">
      <c r="A1525" s="509">
        <v>5778</v>
      </c>
      <c r="B1525" s="510" t="s">
        <v>1864</v>
      </c>
      <c r="C1525" s="509" t="s">
        <v>32</v>
      </c>
      <c r="D1525" s="511">
        <v>389475</v>
      </c>
      <c r="E1525" s="507" t="s">
        <v>6109</v>
      </c>
    </row>
    <row r="1526" spans="1:5" ht="15" x14ac:dyDescent="0.35">
      <c r="A1526" s="509">
        <v>5779</v>
      </c>
      <c r="B1526" s="510" t="s">
        <v>1865</v>
      </c>
      <c r="C1526" s="509" t="s">
        <v>328</v>
      </c>
      <c r="D1526" s="511">
        <v>113316</v>
      </c>
      <c r="E1526" s="507" t="s">
        <v>6109</v>
      </c>
    </row>
    <row r="1527" spans="1:5" ht="15" x14ac:dyDescent="0.35">
      <c r="A1527" s="509">
        <v>5780</v>
      </c>
      <c r="B1527" s="510" t="s">
        <v>1866</v>
      </c>
      <c r="C1527" s="509" t="s">
        <v>328</v>
      </c>
      <c r="D1527" s="511">
        <v>81815</v>
      </c>
      <c r="E1527" s="507" t="s">
        <v>6109</v>
      </c>
    </row>
    <row r="1528" spans="1:5" ht="15" x14ac:dyDescent="0.35">
      <c r="A1528" s="509">
        <v>5781</v>
      </c>
      <c r="B1528" s="510" t="s">
        <v>1867</v>
      </c>
      <c r="C1528" s="509" t="s">
        <v>328</v>
      </c>
      <c r="D1528" s="512">
        <v>51560</v>
      </c>
      <c r="E1528" s="507" t="s">
        <v>6109</v>
      </c>
    </row>
    <row r="1529" spans="1:5" ht="15" x14ac:dyDescent="0.35">
      <c r="A1529" s="509">
        <v>5782</v>
      </c>
      <c r="B1529" s="510" t="s">
        <v>1868</v>
      </c>
      <c r="C1529" s="509" t="s">
        <v>328</v>
      </c>
      <c r="D1529" s="511">
        <v>51288</v>
      </c>
      <c r="E1529" s="507" t="s">
        <v>6109</v>
      </c>
    </row>
    <row r="1530" spans="1:5" ht="15" x14ac:dyDescent="0.35">
      <c r="A1530" s="509">
        <v>5783</v>
      </c>
      <c r="B1530" s="510" t="s">
        <v>1869</v>
      </c>
      <c r="C1530" s="509" t="s">
        <v>328</v>
      </c>
      <c r="D1530" s="511">
        <v>37492</v>
      </c>
      <c r="E1530" s="507" t="s">
        <v>6109</v>
      </c>
    </row>
    <row r="1531" spans="1:5" ht="15" x14ac:dyDescent="0.35">
      <c r="A1531" s="509">
        <v>5784</v>
      </c>
      <c r="B1531" s="510" t="s">
        <v>1870</v>
      </c>
      <c r="C1531" s="509" t="s">
        <v>328</v>
      </c>
      <c r="D1531" s="511">
        <v>42077</v>
      </c>
      <c r="E1531" s="507" t="s">
        <v>6109</v>
      </c>
    </row>
    <row r="1532" spans="1:5" ht="15" x14ac:dyDescent="0.35">
      <c r="A1532" s="509">
        <v>5785</v>
      </c>
      <c r="B1532" s="510" t="s">
        <v>1871</v>
      </c>
      <c r="C1532" s="509" t="s">
        <v>328</v>
      </c>
      <c r="D1532" s="511">
        <v>140551</v>
      </c>
      <c r="E1532" s="507" t="s">
        <v>6109</v>
      </c>
    </row>
    <row r="1533" spans="1:5" ht="15" x14ac:dyDescent="0.35">
      <c r="A1533" s="509">
        <v>5786</v>
      </c>
      <c r="B1533" s="510" t="s">
        <v>1872</v>
      </c>
      <c r="C1533" s="509" t="s">
        <v>328</v>
      </c>
      <c r="D1533" s="511">
        <v>254923</v>
      </c>
      <c r="E1533" s="507" t="s">
        <v>6109</v>
      </c>
    </row>
    <row r="1534" spans="1:5" ht="15" x14ac:dyDescent="0.35">
      <c r="A1534" s="509">
        <v>5788</v>
      </c>
      <c r="B1534" s="510" t="s">
        <v>1873</v>
      </c>
      <c r="C1534" s="509" t="s">
        <v>32</v>
      </c>
      <c r="D1534" s="511">
        <v>335847</v>
      </c>
      <c r="E1534" s="507" t="s">
        <v>6109</v>
      </c>
    </row>
    <row r="1535" spans="1:5" ht="15" x14ac:dyDescent="0.35">
      <c r="A1535" s="509">
        <v>5789</v>
      </c>
      <c r="B1535" s="510" t="s">
        <v>1874</v>
      </c>
      <c r="C1535" s="509" t="s">
        <v>32</v>
      </c>
      <c r="D1535" s="512">
        <v>319822</v>
      </c>
      <c r="E1535" s="507" t="s">
        <v>6109</v>
      </c>
    </row>
    <row r="1536" spans="1:5" ht="15" x14ac:dyDescent="0.35">
      <c r="A1536" s="509">
        <v>5790</v>
      </c>
      <c r="B1536" s="510" t="s">
        <v>1875</v>
      </c>
      <c r="C1536" s="509" t="s">
        <v>32</v>
      </c>
      <c r="D1536" s="511">
        <v>200597</v>
      </c>
      <c r="E1536" s="507" t="s">
        <v>6109</v>
      </c>
    </row>
    <row r="1537" spans="1:5" ht="15" x14ac:dyDescent="0.35">
      <c r="A1537" s="509">
        <v>5791</v>
      </c>
      <c r="B1537" s="510" t="s">
        <v>1876</v>
      </c>
      <c r="C1537" s="509" t="s">
        <v>32</v>
      </c>
      <c r="D1537" s="512">
        <v>106425</v>
      </c>
      <c r="E1537" s="507" t="s">
        <v>6109</v>
      </c>
    </row>
    <row r="1538" spans="1:5" ht="15" x14ac:dyDescent="0.35">
      <c r="A1538" s="509">
        <v>5792</v>
      </c>
      <c r="B1538" s="510" t="s">
        <v>1877</v>
      </c>
      <c r="C1538" s="509" t="s">
        <v>328</v>
      </c>
      <c r="D1538" s="511">
        <v>56594</v>
      </c>
      <c r="E1538" s="507" t="s">
        <v>6109</v>
      </c>
    </row>
    <row r="1539" spans="1:5" ht="15" x14ac:dyDescent="0.35">
      <c r="A1539" s="509">
        <v>5793</v>
      </c>
      <c r="B1539" s="510" t="s">
        <v>1878</v>
      </c>
      <c r="C1539" s="509" t="s">
        <v>328</v>
      </c>
      <c r="D1539" s="511">
        <v>87718</v>
      </c>
      <c r="E1539" s="507" t="s">
        <v>6109</v>
      </c>
    </row>
    <row r="1540" spans="1:5" ht="15" x14ac:dyDescent="0.35">
      <c r="A1540" s="509">
        <v>5794</v>
      </c>
      <c r="B1540" s="510" t="s">
        <v>1879</v>
      </c>
      <c r="C1540" s="509" t="s">
        <v>328</v>
      </c>
      <c r="D1540" s="511">
        <v>176059</v>
      </c>
      <c r="E1540" s="507" t="s">
        <v>6109</v>
      </c>
    </row>
    <row r="1541" spans="1:5" ht="15" x14ac:dyDescent="0.35">
      <c r="A1541" s="509">
        <v>5798</v>
      </c>
      <c r="B1541" s="510" t="s">
        <v>1880</v>
      </c>
      <c r="C1541" s="509" t="s">
        <v>21</v>
      </c>
      <c r="D1541" s="511">
        <v>551815</v>
      </c>
      <c r="E1541" s="507" t="s">
        <v>6109</v>
      </c>
    </row>
    <row r="1542" spans="1:5" ht="15" x14ac:dyDescent="0.35">
      <c r="A1542" s="509">
        <v>5799</v>
      </c>
      <c r="B1542" s="510" t="s">
        <v>1881</v>
      </c>
      <c r="C1542" s="509" t="s">
        <v>21</v>
      </c>
      <c r="D1542" s="511">
        <v>125684</v>
      </c>
      <c r="E1542" s="507" t="s">
        <v>6109</v>
      </c>
    </row>
    <row r="1543" spans="1:5" ht="15" x14ac:dyDescent="0.35">
      <c r="A1543" s="509">
        <v>5800</v>
      </c>
      <c r="B1543" s="510" t="s">
        <v>1882</v>
      </c>
      <c r="C1543" s="509" t="s">
        <v>21</v>
      </c>
      <c r="D1543" s="512">
        <v>427661</v>
      </c>
      <c r="E1543" s="507" t="s">
        <v>6109</v>
      </c>
    </row>
    <row r="1544" spans="1:5" ht="15" x14ac:dyDescent="0.35">
      <c r="A1544" s="509">
        <v>5801</v>
      </c>
      <c r="B1544" s="510" t="s">
        <v>1883</v>
      </c>
      <c r="C1544" s="509" t="s">
        <v>21</v>
      </c>
      <c r="D1544" s="512">
        <v>290195</v>
      </c>
      <c r="E1544" s="507" t="s">
        <v>6109</v>
      </c>
    </row>
    <row r="1545" spans="1:5" ht="15" x14ac:dyDescent="0.35">
      <c r="A1545" s="509">
        <v>5802</v>
      </c>
      <c r="B1545" s="510" t="s">
        <v>1884</v>
      </c>
      <c r="C1545" s="509" t="s">
        <v>21</v>
      </c>
      <c r="D1545" s="511">
        <v>262656</v>
      </c>
      <c r="E1545" s="507" t="s">
        <v>6109</v>
      </c>
    </row>
    <row r="1546" spans="1:5" ht="15" x14ac:dyDescent="0.35">
      <c r="A1546" s="509">
        <v>5825</v>
      </c>
      <c r="B1546" s="510" t="s">
        <v>1885</v>
      </c>
      <c r="C1546" s="509" t="s">
        <v>32</v>
      </c>
      <c r="D1546" s="512">
        <v>1087107</v>
      </c>
      <c r="E1546" s="507" t="s">
        <v>6109</v>
      </c>
    </row>
    <row r="1547" spans="1:5" ht="15" x14ac:dyDescent="0.35">
      <c r="A1547" s="509">
        <v>5826</v>
      </c>
      <c r="B1547" s="510" t="s">
        <v>1886</v>
      </c>
      <c r="C1547" s="509" t="s">
        <v>32</v>
      </c>
      <c r="D1547" s="511">
        <v>1188665</v>
      </c>
      <c r="E1547" s="507" t="s">
        <v>6109</v>
      </c>
    </row>
    <row r="1548" spans="1:5" ht="15" x14ac:dyDescent="0.35">
      <c r="A1548" s="509">
        <v>5827</v>
      </c>
      <c r="B1548" s="510" t="s">
        <v>1887</v>
      </c>
      <c r="C1548" s="509" t="s">
        <v>32</v>
      </c>
      <c r="D1548" s="511">
        <v>285588</v>
      </c>
      <c r="E1548" s="507" t="s">
        <v>6109</v>
      </c>
    </row>
    <row r="1549" spans="1:5" ht="15" x14ac:dyDescent="0.35">
      <c r="A1549" s="509">
        <v>5831</v>
      </c>
      <c r="B1549" s="510" t="s">
        <v>1888</v>
      </c>
      <c r="C1549" s="509" t="s">
        <v>328</v>
      </c>
      <c r="D1549" s="511">
        <v>53075</v>
      </c>
      <c r="E1549" s="507" t="s">
        <v>6109</v>
      </c>
    </row>
    <row r="1550" spans="1:5" ht="15" x14ac:dyDescent="0.35">
      <c r="A1550" s="509">
        <v>5832</v>
      </c>
      <c r="B1550" s="510" t="s">
        <v>1889</v>
      </c>
      <c r="C1550" s="509" t="s">
        <v>328</v>
      </c>
      <c r="D1550" s="512">
        <v>47828</v>
      </c>
      <c r="E1550" s="507" t="s">
        <v>6109</v>
      </c>
    </row>
    <row r="1551" spans="1:5" ht="15" x14ac:dyDescent="0.35">
      <c r="A1551" s="509">
        <v>5833</v>
      </c>
      <c r="B1551" s="510" t="s">
        <v>1890</v>
      </c>
      <c r="C1551" s="509" t="s">
        <v>328</v>
      </c>
      <c r="D1551" s="512">
        <v>96009</v>
      </c>
      <c r="E1551" s="507" t="s">
        <v>6109</v>
      </c>
    </row>
    <row r="1552" spans="1:5" ht="15" x14ac:dyDescent="0.35">
      <c r="A1552" s="509">
        <v>5834</v>
      </c>
      <c r="B1552" s="510" t="s">
        <v>1891</v>
      </c>
      <c r="C1552" s="509" t="s">
        <v>328</v>
      </c>
      <c r="D1552" s="512">
        <v>36693</v>
      </c>
      <c r="E1552" s="507" t="s">
        <v>6109</v>
      </c>
    </row>
    <row r="1553" spans="1:5" ht="15" x14ac:dyDescent="0.35">
      <c r="A1553" s="509">
        <v>5835</v>
      </c>
      <c r="B1553" s="510" t="s">
        <v>1892</v>
      </c>
      <c r="C1553" s="509" t="s">
        <v>328</v>
      </c>
      <c r="D1553" s="512">
        <v>72719</v>
      </c>
      <c r="E1553" s="507" t="s">
        <v>6109</v>
      </c>
    </row>
    <row r="1554" spans="1:5" ht="15" x14ac:dyDescent="0.35">
      <c r="A1554" s="509">
        <v>5836</v>
      </c>
      <c r="B1554" s="510" t="s">
        <v>1893</v>
      </c>
      <c r="C1554" s="509" t="s">
        <v>328</v>
      </c>
      <c r="D1554" s="512">
        <v>100083</v>
      </c>
      <c r="E1554" s="507" t="s">
        <v>6109</v>
      </c>
    </row>
    <row r="1555" spans="1:5" ht="15" x14ac:dyDescent="0.35">
      <c r="A1555" s="509">
        <v>5837</v>
      </c>
      <c r="B1555" s="510" t="s">
        <v>1894</v>
      </c>
      <c r="C1555" s="509" t="s">
        <v>328</v>
      </c>
      <c r="D1555" s="511">
        <v>65284</v>
      </c>
      <c r="E1555" s="507" t="s">
        <v>6109</v>
      </c>
    </row>
    <row r="1556" spans="1:5" ht="15" x14ac:dyDescent="0.35">
      <c r="A1556" s="509">
        <v>5838</v>
      </c>
      <c r="B1556" s="510" t="s">
        <v>1895</v>
      </c>
      <c r="C1556" s="509" t="s">
        <v>328</v>
      </c>
      <c r="D1556" s="511">
        <v>181620</v>
      </c>
      <c r="E1556" s="507" t="s">
        <v>6108</v>
      </c>
    </row>
    <row r="1557" spans="1:5" ht="15" x14ac:dyDescent="0.35">
      <c r="A1557" s="509">
        <v>5839</v>
      </c>
      <c r="B1557" s="510" t="s">
        <v>1896</v>
      </c>
      <c r="C1557" s="509" t="s">
        <v>328</v>
      </c>
      <c r="D1557" s="512">
        <v>144310</v>
      </c>
      <c r="E1557" s="507" t="s">
        <v>6108</v>
      </c>
    </row>
    <row r="1558" spans="1:5" ht="15" x14ac:dyDescent="0.35">
      <c r="A1558" s="509">
        <v>5840</v>
      </c>
      <c r="B1558" s="510" t="s">
        <v>1897</v>
      </c>
      <c r="C1558" s="509" t="s">
        <v>328</v>
      </c>
      <c r="D1558" s="512">
        <v>30105</v>
      </c>
      <c r="E1558" s="507" t="s">
        <v>6108</v>
      </c>
    </row>
    <row r="1559" spans="1:5" ht="15" x14ac:dyDescent="0.35">
      <c r="A1559" s="509">
        <v>5841</v>
      </c>
      <c r="B1559" s="510" t="s">
        <v>1898</v>
      </c>
      <c r="C1559" s="509" t="s">
        <v>328</v>
      </c>
      <c r="D1559" s="511">
        <v>183201</v>
      </c>
      <c r="E1559" s="507" t="s">
        <v>6108</v>
      </c>
    </row>
    <row r="1560" spans="1:5" ht="15" x14ac:dyDescent="0.35">
      <c r="A1560" s="509">
        <v>5842</v>
      </c>
      <c r="B1560" s="510" t="s">
        <v>1899</v>
      </c>
      <c r="C1560" s="509" t="s">
        <v>30</v>
      </c>
      <c r="D1560" s="511">
        <v>27597</v>
      </c>
      <c r="E1560" s="507" t="s">
        <v>6108</v>
      </c>
    </row>
    <row r="1561" spans="1:5" ht="15" x14ac:dyDescent="0.35">
      <c r="A1561" s="509">
        <v>5843</v>
      </c>
      <c r="B1561" s="510" t="s">
        <v>1900</v>
      </c>
      <c r="C1561" s="509" t="s">
        <v>21</v>
      </c>
      <c r="D1561" s="511">
        <v>33653</v>
      </c>
      <c r="E1561" s="507" t="s">
        <v>6109</v>
      </c>
    </row>
    <row r="1562" spans="1:5" ht="15" x14ac:dyDescent="0.35">
      <c r="A1562" s="509">
        <v>5844</v>
      </c>
      <c r="B1562" s="510" t="s">
        <v>1901</v>
      </c>
      <c r="C1562" s="509" t="s">
        <v>21</v>
      </c>
      <c r="D1562" s="511">
        <v>28481</v>
      </c>
      <c r="E1562" s="507" t="s">
        <v>6109</v>
      </c>
    </row>
    <row r="1563" spans="1:5" ht="15" x14ac:dyDescent="0.35">
      <c r="A1563" s="509">
        <v>5845</v>
      </c>
      <c r="B1563" s="510" t="s">
        <v>1902</v>
      </c>
      <c r="C1563" s="509" t="s">
        <v>328</v>
      </c>
      <c r="D1563" s="511">
        <v>141367</v>
      </c>
      <c r="E1563" s="507" t="s">
        <v>6109</v>
      </c>
    </row>
    <row r="1564" spans="1:5" ht="15" x14ac:dyDescent="0.35">
      <c r="A1564" s="509">
        <v>5846</v>
      </c>
      <c r="B1564" s="510" t="s">
        <v>1903</v>
      </c>
      <c r="C1564" s="509" t="s">
        <v>32</v>
      </c>
      <c r="D1564" s="511">
        <v>207966</v>
      </c>
      <c r="E1564" s="507" t="s">
        <v>6109</v>
      </c>
    </row>
    <row r="1565" spans="1:5" ht="15" x14ac:dyDescent="0.35">
      <c r="A1565" s="509">
        <v>5847</v>
      </c>
      <c r="B1565" s="510" t="s">
        <v>1904</v>
      </c>
      <c r="C1565" s="509" t="s">
        <v>32</v>
      </c>
      <c r="D1565" s="511">
        <v>225058</v>
      </c>
      <c r="E1565" s="507" t="s">
        <v>6108</v>
      </c>
    </row>
    <row r="1566" spans="1:5" ht="15" x14ac:dyDescent="0.35">
      <c r="A1566" s="509">
        <v>5848</v>
      </c>
      <c r="B1566" s="510" t="s">
        <v>1905</v>
      </c>
      <c r="C1566" s="509" t="s">
        <v>32</v>
      </c>
      <c r="D1566" s="511">
        <v>61745</v>
      </c>
      <c r="E1566" s="507" t="s">
        <v>6108</v>
      </c>
    </row>
    <row r="1567" spans="1:5" ht="15" x14ac:dyDescent="0.35">
      <c r="A1567" s="509">
        <v>5850</v>
      </c>
      <c r="B1567" s="510" t="s">
        <v>1906</v>
      </c>
      <c r="C1567" s="509" t="s">
        <v>32</v>
      </c>
      <c r="D1567" s="511">
        <v>245427</v>
      </c>
      <c r="E1567" s="507" t="s">
        <v>6108</v>
      </c>
    </row>
    <row r="1568" spans="1:5" ht="15" x14ac:dyDescent="0.35">
      <c r="A1568" s="509">
        <v>5851</v>
      </c>
      <c r="B1568" s="510" t="s">
        <v>1907</v>
      </c>
      <c r="C1568" s="509" t="s">
        <v>32</v>
      </c>
      <c r="D1568" s="511">
        <v>656074</v>
      </c>
      <c r="E1568" s="507" t="s">
        <v>6108</v>
      </c>
    </row>
    <row r="1569" spans="1:5" ht="15" x14ac:dyDescent="0.35">
      <c r="A1569" s="509">
        <v>5852</v>
      </c>
      <c r="B1569" s="510" t="s">
        <v>1908</v>
      </c>
      <c r="C1569" s="509" t="s">
        <v>32</v>
      </c>
      <c r="D1569" s="512">
        <v>506674</v>
      </c>
      <c r="E1569" s="507" t="s">
        <v>6108</v>
      </c>
    </row>
    <row r="1570" spans="1:5" ht="15" x14ac:dyDescent="0.35">
      <c r="A1570" s="509">
        <v>5854</v>
      </c>
      <c r="B1570" s="510" t="s">
        <v>1909</v>
      </c>
      <c r="C1570" s="509" t="s">
        <v>32</v>
      </c>
      <c r="D1570" s="512">
        <v>233591</v>
      </c>
      <c r="E1570" s="507" t="s">
        <v>6108</v>
      </c>
    </row>
    <row r="1571" spans="1:5" ht="15" x14ac:dyDescent="0.35">
      <c r="A1571" s="509">
        <v>5856</v>
      </c>
      <c r="B1571" s="510" t="s">
        <v>1910</v>
      </c>
      <c r="C1571" s="509" t="s">
        <v>21</v>
      </c>
      <c r="D1571" s="512">
        <v>168285</v>
      </c>
      <c r="E1571" s="507" t="s">
        <v>6108</v>
      </c>
    </row>
    <row r="1572" spans="1:5" ht="15" x14ac:dyDescent="0.35">
      <c r="A1572" s="509">
        <v>5858</v>
      </c>
      <c r="B1572" s="510" t="s">
        <v>1911</v>
      </c>
      <c r="C1572" s="509" t="s">
        <v>328</v>
      </c>
      <c r="D1572" s="511">
        <v>98816</v>
      </c>
      <c r="E1572" s="507" t="s">
        <v>6108</v>
      </c>
    </row>
    <row r="1573" spans="1:5" ht="15" x14ac:dyDescent="0.35">
      <c r="A1573" s="509">
        <v>5860</v>
      </c>
      <c r="B1573" s="510" t="s">
        <v>1912</v>
      </c>
      <c r="C1573" s="509" t="s">
        <v>21</v>
      </c>
      <c r="D1573" s="511">
        <v>107023</v>
      </c>
      <c r="E1573" s="507" t="s">
        <v>6108</v>
      </c>
    </row>
    <row r="1574" spans="1:5" ht="15" x14ac:dyDescent="0.35">
      <c r="A1574" s="509">
        <v>5862</v>
      </c>
      <c r="B1574" s="510" t="s">
        <v>1913</v>
      </c>
      <c r="C1574" s="509" t="s">
        <v>328</v>
      </c>
      <c r="D1574" s="511">
        <v>52314</v>
      </c>
      <c r="E1574" s="507" t="s">
        <v>6108</v>
      </c>
    </row>
    <row r="1575" spans="1:5" ht="15" x14ac:dyDescent="0.35">
      <c r="A1575" s="509">
        <v>5864</v>
      </c>
      <c r="B1575" s="510" t="s">
        <v>1914</v>
      </c>
      <c r="C1575" s="509" t="s">
        <v>328</v>
      </c>
      <c r="D1575" s="511">
        <v>52314</v>
      </c>
      <c r="E1575" s="507" t="s">
        <v>6108</v>
      </c>
    </row>
    <row r="1576" spans="1:5" ht="15" x14ac:dyDescent="0.35">
      <c r="A1576" s="509">
        <v>5866</v>
      </c>
      <c r="B1576" s="510" t="s">
        <v>1915</v>
      </c>
      <c r="C1576" s="509" t="s">
        <v>32</v>
      </c>
      <c r="D1576" s="511">
        <v>914697</v>
      </c>
      <c r="E1576" s="507" t="s">
        <v>6108</v>
      </c>
    </row>
    <row r="1577" spans="1:5" ht="15" x14ac:dyDescent="0.35">
      <c r="A1577" s="509">
        <v>5868</v>
      </c>
      <c r="B1577" s="510" t="s">
        <v>1916</v>
      </c>
      <c r="C1577" s="509" t="s">
        <v>21</v>
      </c>
      <c r="D1577" s="511">
        <v>158188</v>
      </c>
      <c r="E1577" s="507" t="s">
        <v>331</v>
      </c>
    </row>
    <row r="1578" spans="1:5" ht="15" x14ac:dyDescent="0.35">
      <c r="A1578" s="509">
        <v>5870</v>
      </c>
      <c r="B1578" s="510" t="s">
        <v>1917</v>
      </c>
      <c r="C1578" s="509" t="s">
        <v>32</v>
      </c>
      <c r="D1578" s="511">
        <v>54044</v>
      </c>
      <c r="E1578" s="507" t="s">
        <v>331</v>
      </c>
    </row>
    <row r="1579" spans="1:5" ht="15" x14ac:dyDescent="0.35">
      <c r="A1579" s="509">
        <v>5871</v>
      </c>
      <c r="B1579" s="510" t="s">
        <v>1918</v>
      </c>
      <c r="C1579" s="509" t="s">
        <v>32</v>
      </c>
      <c r="D1579" s="511">
        <v>584162</v>
      </c>
      <c r="E1579" s="507" t="s">
        <v>331</v>
      </c>
    </row>
    <row r="1580" spans="1:5" ht="15" x14ac:dyDescent="0.35">
      <c r="A1580" s="509">
        <v>5872</v>
      </c>
      <c r="B1580" s="510" t="s">
        <v>1919</v>
      </c>
      <c r="C1580" s="509" t="s">
        <v>32</v>
      </c>
      <c r="D1580" s="512">
        <v>615811</v>
      </c>
      <c r="E1580" s="507" t="s">
        <v>331</v>
      </c>
    </row>
    <row r="1581" spans="1:5" ht="15" x14ac:dyDescent="0.35">
      <c r="A1581" s="509">
        <v>5873</v>
      </c>
      <c r="B1581" s="510" t="s">
        <v>1920</v>
      </c>
      <c r="C1581" s="509" t="s">
        <v>32</v>
      </c>
      <c r="D1581" s="511">
        <v>30901</v>
      </c>
      <c r="E1581" s="507" t="s">
        <v>331</v>
      </c>
    </row>
    <row r="1582" spans="1:5" ht="15" x14ac:dyDescent="0.35">
      <c r="A1582" s="509">
        <v>5874</v>
      </c>
      <c r="B1582" s="510" t="s">
        <v>1921</v>
      </c>
      <c r="C1582" s="509" t="s">
        <v>32</v>
      </c>
      <c r="D1582" s="511">
        <v>276630</v>
      </c>
      <c r="E1582" s="507" t="s">
        <v>331</v>
      </c>
    </row>
    <row r="1583" spans="1:5" ht="15" x14ac:dyDescent="0.35">
      <c r="A1583" s="509">
        <v>5875</v>
      </c>
      <c r="B1583" s="510" t="s">
        <v>1922</v>
      </c>
      <c r="C1583" s="509" t="s">
        <v>32</v>
      </c>
      <c r="D1583" s="511">
        <v>228763</v>
      </c>
      <c r="E1583" s="507" t="s">
        <v>6108</v>
      </c>
    </row>
    <row r="1584" spans="1:5" ht="15" x14ac:dyDescent="0.35">
      <c r="A1584" s="509">
        <v>5876</v>
      </c>
      <c r="B1584" s="510" t="s">
        <v>1923</v>
      </c>
      <c r="C1584" s="509" t="s">
        <v>32</v>
      </c>
      <c r="D1584" s="512">
        <v>365782</v>
      </c>
      <c r="E1584" s="507" t="s">
        <v>6108</v>
      </c>
    </row>
    <row r="1585" spans="1:5" ht="15" x14ac:dyDescent="0.35">
      <c r="A1585" s="509">
        <v>5877</v>
      </c>
      <c r="B1585" s="510" t="s">
        <v>1924</v>
      </c>
      <c r="C1585" s="509" t="s">
        <v>32</v>
      </c>
      <c r="D1585" s="511">
        <v>89037</v>
      </c>
      <c r="E1585" s="507" t="s">
        <v>331</v>
      </c>
    </row>
    <row r="1586" spans="1:5" ht="15" x14ac:dyDescent="0.35">
      <c r="A1586" s="509">
        <v>5878</v>
      </c>
      <c r="B1586" s="510" t="s">
        <v>1925</v>
      </c>
      <c r="C1586" s="509" t="s">
        <v>32</v>
      </c>
      <c r="D1586" s="511">
        <v>4482934</v>
      </c>
      <c r="E1586" s="507" t="s">
        <v>331</v>
      </c>
    </row>
    <row r="1587" spans="1:5" ht="15" x14ac:dyDescent="0.35">
      <c r="A1587" s="509">
        <v>5879</v>
      </c>
      <c r="B1587" s="510" t="s">
        <v>1926</v>
      </c>
      <c r="C1587" s="509" t="s">
        <v>32</v>
      </c>
      <c r="D1587" s="511">
        <v>393885</v>
      </c>
      <c r="E1587" s="507" t="s">
        <v>331</v>
      </c>
    </row>
    <row r="1588" spans="1:5" ht="15" x14ac:dyDescent="0.35">
      <c r="A1588" s="509">
        <v>5880</v>
      </c>
      <c r="B1588" s="510" t="s">
        <v>1927</v>
      </c>
      <c r="C1588" s="509" t="s">
        <v>32</v>
      </c>
      <c r="D1588" s="511">
        <v>492350</v>
      </c>
      <c r="E1588" s="507" t="s">
        <v>6108</v>
      </c>
    </row>
    <row r="1589" spans="1:5" ht="15" x14ac:dyDescent="0.35">
      <c r="A1589" s="509">
        <v>5881</v>
      </c>
      <c r="B1589" s="510" t="s">
        <v>1928</v>
      </c>
      <c r="C1589" s="509" t="s">
        <v>32</v>
      </c>
      <c r="D1589" s="511">
        <v>4477</v>
      </c>
      <c r="E1589" s="507" t="s">
        <v>6108</v>
      </c>
    </row>
    <row r="1590" spans="1:5" ht="15" x14ac:dyDescent="0.35">
      <c r="A1590" s="509">
        <v>5882</v>
      </c>
      <c r="B1590" s="510" t="s">
        <v>1929</v>
      </c>
      <c r="C1590" s="509" t="s">
        <v>32</v>
      </c>
      <c r="D1590" s="511">
        <v>179229</v>
      </c>
      <c r="E1590" s="507" t="s">
        <v>6108</v>
      </c>
    </row>
    <row r="1591" spans="1:5" ht="15" x14ac:dyDescent="0.35">
      <c r="A1591" s="509">
        <v>5883</v>
      </c>
      <c r="B1591" s="510" t="s">
        <v>1930</v>
      </c>
      <c r="C1591" s="509" t="s">
        <v>32</v>
      </c>
      <c r="D1591" s="511">
        <v>13583</v>
      </c>
      <c r="E1591" s="507" t="s">
        <v>6108</v>
      </c>
    </row>
    <row r="1592" spans="1:5" ht="15" x14ac:dyDescent="0.35">
      <c r="A1592" s="509">
        <v>5884</v>
      </c>
      <c r="B1592" s="510" t="s">
        <v>1931</v>
      </c>
      <c r="C1592" s="509" t="s">
        <v>32</v>
      </c>
      <c r="D1592" s="511">
        <v>115945</v>
      </c>
      <c r="E1592" s="507" t="s">
        <v>6108</v>
      </c>
    </row>
    <row r="1593" spans="1:5" ht="15" x14ac:dyDescent="0.35">
      <c r="A1593" s="509">
        <v>5885</v>
      </c>
      <c r="B1593" s="510" t="s">
        <v>1932</v>
      </c>
      <c r="C1593" s="509" t="s">
        <v>32</v>
      </c>
      <c r="D1593" s="512">
        <v>125503</v>
      </c>
      <c r="E1593" s="507" t="s">
        <v>6108</v>
      </c>
    </row>
    <row r="1594" spans="1:5" ht="15" x14ac:dyDescent="0.35">
      <c r="A1594" s="509">
        <v>5886</v>
      </c>
      <c r="B1594" s="510" t="s">
        <v>1933</v>
      </c>
      <c r="C1594" s="509" t="s">
        <v>328</v>
      </c>
      <c r="D1594" s="511">
        <v>375797</v>
      </c>
      <c r="E1594" s="507" t="s">
        <v>6108</v>
      </c>
    </row>
    <row r="1595" spans="1:5" ht="15" x14ac:dyDescent="0.35">
      <c r="A1595" s="509">
        <v>5887</v>
      </c>
      <c r="B1595" s="510" t="s">
        <v>1934</v>
      </c>
      <c r="C1595" s="509" t="s">
        <v>328</v>
      </c>
      <c r="D1595" s="511">
        <v>687846</v>
      </c>
      <c r="E1595" s="507" t="s">
        <v>331</v>
      </c>
    </row>
    <row r="1596" spans="1:5" ht="15" x14ac:dyDescent="0.35">
      <c r="A1596" s="509">
        <v>5888</v>
      </c>
      <c r="B1596" s="510" t="s">
        <v>1935</v>
      </c>
      <c r="C1596" s="509" t="s">
        <v>328</v>
      </c>
      <c r="D1596" s="511">
        <v>827157</v>
      </c>
      <c r="E1596" s="507" t="s">
        <v>331</v>
      </c>
    </row>
    <row r="1597" spans="1:5" ht="15" x14ac:dyDescent="0.35">
      <c r="A1597" s="509">
        <v>5889</v>
      </c>
      <c r="B1597" s="510" t="s">
        <v>1936</v>
      </c>
      <c r="C1597" s="509" t="s">
        <v>328</v>
      </c>
      <c r="D1597" s="511">
        <v>956474</v>
      </c>
      <c r="E1597" s="507" t="s">
        <v>331</v>
      </c>
    </row>
    <row r="1598" spans="1:5" ht="15" x14ac:dyDescent="0.35">
      <c r="A1598" s="509">
        <v>5890</v>
      </c>
      <c r="B1598" s="510" t="s">
        <v>1937</v>
      </c>
      <c r="C1598" s="509" t="s">
        <v>21</v>
      </c>
      <c r="D1598" s="511">
        <v>38361</v>
      </c>
      <c r="E1598" s="507" t="s">
        <v>331</v>
      </c>
    </row>
    <row r="1599" spans="1:5" ht="15" x14ac:dyDescent="0.35">
      <c r="A1599" s="509">
        <v>5891</v>
      </c>
      <c r="B1599" s="510" t="s">
        <v>1938</v>
      </c>
      <c r="C1599" s="509" t="s">
        <v>30</v>
      </c>
      <c r="D1599" s="511">
        <v>6444</v>
      </c>
      <c r="E1599" s="507" t="s">
        <v>331</v>
      </c>
    </row>
    <row r="1600" spans="1:5" ht="15" x14ac:dyDescent="0.35">
      <c r="A1600" s="509">
        <v>5892</v>
      </c>
      <c r="B1600" s="510" t="s">
        <v>1939</v>
      </c>
      <c r="C1600" s="509" t="s">
        <v>32</v>
      </c>
      <c r="D1600" s="511">
        <v>449716</v>
      </c>
      <c r="E1600" s="507" t="s">
        <v>331</v>
      </c>
    </row>
    <row r="1601" spans="1:5" ht="15" x14ac:dyDescent="0.35">
      <c r="A1601" s="509">
        <v>5893</v>
      </c>
      <c r="B1601" s="510" t="s">
        <v>1940</v>
      </c>
      <c r="C1601" s="509" t="s">
        <v>32</v>
      </c>
      <c r="D1601" s="511">
        <v>503729</v>
      </c>
      <c r="E1601" s="507" t="s">
        <v>331</v>
      </c>
    </row>
    <row r="1602" spans="1:5" ht="15" x14ac:dyDescent="0.35">
      <c r="A1602" s="509">
        <v>5894</v>
      </c>
      <c r="B1602" s="510" t="s">
        <v>1941</v>
      </c>
      <c r="C1602" s="509" t="s">
        <v>32</v>
      </c>
      <c r="D1602" s="512">
        <v>2514779</v>
      </c>
      <c r="E1602" s="507" t="s">
        <v>331</v>
      </c>
    </row>
    <row r="1603" spans="1:5" ht="15" x14ac:dyDescent="0.35">
      <c r="A1603" s="509">
        <v>5921</v>
      </c>
      <c r="B1603" s="510" t="s">
        <v>1942</v>
      </c>
      <c r="C1603" s="509" t="s">
        <v>32</v>
      </c>
      <c r="D1603" s="511">
        <v>547219</v>
      </c>
      <c r="E1603" s="507" t="s">
        <v>331</v>
      </c>
    </row>
    <row r="1604" spans="1:5" ht="15" x14ac:dyDescent="0.35">
      <c r="A1604" s="509">
        <v>5922</v>
      </c>
      <c r="B1604" s="510" t="s">
        <v>1943</v>
      </c>
      <c r="C1604" s="509" t="s">
        <v>32</v>
      </c>
      <c r="D1604" s="512">
        <v>93118</v>
      </c>
      <c r="E1604" s="507" t="s">
        <v>331</v>
      </c>
    </row>
    <row r="1605" spans="1:5" ht="15" x14ac:dyDescent="0.35">
      <c r="A1605" s="509">
        <v>5923</v>
      </c>
      <c r="B1605" s="510" t="s">
        <v>1944</v>
      </c>
      <c r="C1605" s="509" t="s">
        <v>32</v>
      </c>
      <c r="D1605" s="511">
        <v>114447</v>
      </c>
      <c r="E1605" s="507" t="s">
        <v>331</v>
      </c>
    </row>
    <row r="1606" spans="1:5" ht="15" x14ac:dyDescent="0.35">
      <c r="A1606" s="509">
        <v>5924</v>
      </c>
      <c r="B1606" s="510" t="s">
        <v>1945</v>
      </c>
      <c r="C1606" s="509" t="s">
        <v>32</v>
      </c>
      <c r="D1606" s="512">
        <v>30183</v>
      </c>
      <c r="E1606" s="507" t="s">
        <v>331</v>
      </c>
    </row>
    <row r="1607" spans="1:5" ht="15" x14ac:dyDescent="0.35">
      <c r="A1607" s="509">
        <v>5927</v>
      </c>
      <c r="B1607" s="510" t="s">
        <v>1946</v>
      </c>
      <c r="C1607" s="509" t="s">
        <v>32</v>
      </c>
      <c r="D1607" s="511">
        <v>573173</v>
      </c>
      <c r="E1607" s="507" t="s">
        <v>6109</v>
      </c>
    </row>
    <row r="1608" spans="1:5" ht="15" x14ac:dyDescent="0.35">
      <c r="A1608" s="509">
        <v>5928</v>
      </c>
      <c r="B1608" s="510" t="s">
        <v>1947</v>
      </c>
      <c r="C1608" s="509" t="s">
        <v>254</v>
      </c>
      <c r="D1608" s="511">
        <v>28694</v>
      </c>
      <c r="E1608" s="507" t="s">
        <v>6109</v>
      </c>
    </row>
    <row r="1609" spans="1:5" ht="15" x14ac:dyDescent="0.35">
      <c r="A1609" s="509">
        <v>5933</v>
      </c>
      <c r="B1609" s="510" t="s">
        <v>1948</v>
      </c>
      <c r="C1609" s="509" t="s">
        <v>21</v>
      </c>
      <c r="D1609" s="511">
        <v>344300</v>
      </c>
      <c r="E1609" s="507" t="s">
        <v>6109</v>
      </c>
    </row>
    <row r="1610" spans="1:5" ht="15" x14ac:dyDescent="0.35">
      <c r="A1610" s="509">
        <v>5935</v>
      </c>
      <c r="B1610" s="510" t="s">
        <v>1949</v>
      </c>
      <c r="C1610" s="509" t="s">
        <v>21</v>
      </c>
      <c r="D1610" s="511">
        <v>663122</v>
      </c>
      <c r="E1610" s="507" t="s">
        <v>6109</v>
      </c>
    </row>
    <row r="1611" spans="1:5" ht="15" x14ac:dyDescent="0.35">
      <c r="A1611" s="509">
        <v>5936</v>
      </c>
      <c r="B1611" s="510" t="s">
        <v>1950</v>
      </c>
      <c r="C1611" s="509" t="s">
        <v>21</v>
      </c>
      <c r="D1611" s="511">
        <v>328244</v>
      </c>
      <c r="E1611" s="507" t="s">
        <v>6109</v>
      </c>
    </row>
    <row r="1612" spans="1:5" ht="15" x14ac:dyDescent="0.35">
      <c r="A1612" s="509">
        <v>5939</v>
      </c>
      <c r="B1612" s="510" t="s">
        <v>1951</v>
      </c>
      <c r="C1612" s="509" t="s">
        <v>328</v>
      </c>
      <c r="D1612" s="511">
        <v>235031</v>
      </c>
      <c r="E1612" s="507" t="s">
        <v>6109</v>
      </c>
    </row>
    <row r="1613" spans="1:5" ht="15" x14ac:dyDescent="0.35">
      <c r="A1613" s="509">
        <v>5940</v>
      </c>
      <c r="B1613" s="510" t="s">
        <v>1952</v>
      </c>
      <c r="C1613" s="509" t="s">
        <v>30</v>
      </c>
      <c r="D1613" s="511">
        <v>1015179</v>
      </c>
      <c r="E1613" s="507" t="s">
        <v>6109</v>
      </c>
    </row>
    <row r="1614" spans="1:5" ht="15" x14ac:dyDescent="0.35">
      <c r="A1614" s="509">
        <v>5941</v>
      </c>
      <c r="B1614" s="510" t="s">
        <v>1953</v>
      </c>
      <c r="C1614" s="509" t="s">
        <v>30</v>
      </c>
      <c r="D1614" s="511">
        <v>1018058</v>
      </c>
      <c r="E1614" s="507" t="s">
        <v>6108</v>
      </c>
    </row>
    <row r="1615" spans="1:5" ht="15" x14ac:dyDescent="0.35">
      <c r="A1615" s="509">
        <v>5945</v>
      </c>
      <c r="B1615" s="510" t="s">
        <v>1954</v>
      </c>
      <c r="C1615" s="509" t="s">
        <v>30</v>
      </c>
      <c r="D1615" s="511">
        <v>953147</v>
      </c>
      <c r="E1615" s="507" t="s">
        <v>331</v>
      </c>
    </row>
    <row r="1616" spans="1:5" ht="15" x14ac:dyDescent="0.35">
      <c r="A1616" s="509">
        <v>5946</v>
      </c>
      <c r="B1616" s="510" t="s">
        <v>1955</v>
      </c>
      <c r="C1616" s="509" t="s">
        <v>30</v>
      </c>
      <c r="D1616" s="511">
        <v>1299244</v>
      </c>
      <c r="E1616" s="507" t="s">
        <v>6108</v>
      </c>
    </row>
    <row r="1617" spans="1:5" ht="15" x14ac:dyDescent="0.35">
      <c r="A1617" s="509">
        <v>5948</v>
      </c>
      <c r="B1617" s="510" t="s">
        <v>1956</v>
      </c>
      <c r="C1617" s="509" t="s">
        <v>30</v>
      </c>
      <c r="D1617" s="511">
        <v>1142138</v>
      </c>
      <c r="E1617" s="507" t="s">
        <v>6108</v>
      </c>
    </row>
    <row r="1618" spans="1:5" ht="15" x14ac:dyDescent="0.35">
      <c r="A1618" s="509">
        <v>5949</v>
      </c>
      <c r="B1618" s="510" t="s">
        <v>1957</v>
      </c>
      <c r="C1618" s="509" t="s">
        <v>30</v>
      </c>
      <c r="D1618" s="511">
        <v>1034327</v>
      </c>
      <c r="E1618" s="507" t="s">
        <v>6108</v>
      </c>
    </row>
    <row r="1619" spans="1:5" ht="15" x14ac:dyDescent="0.35">
      <c r="A1619" s="509">
        <v>5950</v>
      </c>
      <c r="B1619" s="510" t="s">
        <v>1958</v>
      </c>
      <c r="C1619" s="509" t="s">
        <v>30</v>
      </c>
      <c r="D1619" s="511">
        <v>2508926</v>
      </c>
      <c r="E1619" s="507" t="s">
        <v>6108</v>
      </c>
    </row>
    <row r="1620" spans="1:5" ht="15" x14ac:dyDescent="0.35">
      <c r="A1620" s="509">
        <v>5952</v>
      </c>
      <c r="B1620" s="510" t="s">
        <v>1959</v>
      </c>
      <c r="C1620" s="509" t="s">
        <v>328</v>
      </c>
      <c r="D1620" s="511">
        <v>452200</v>
      </c>
      <c r="E1620" s="507" t="s">
        <v>6108</v>
      </c>
    </row>
    <row r="1621" spans="1:5" ht="15" x14ac:dyDescent="0.35">
      <c r="A1621" s="509">
        <v>5953</v>
      </c>
      <c r="B1621" s="510" t="s">
        <v>6599</v>
      </c>
      <c r="C1621" s="509" t="s">
        <v>328</v>
      </c>
      <c r="D1621" s="512">
        <v>870074</v>
      </c>
      <c r="E1621" s="507" t="s">
        <v>331</v>
      </c>
    </row>
    <row r="1622" spans="1:5" ht="15" x14ac:dyDescent="0.35">
      <c r="A1622" s="509">
        <v>5954</v>
      </c>
      <c r="B1622" s="510" t="s">
        <v>1961</v>
      </c>
      <c r="C1622" s="509" t="s">
        <v>328</v>
      </c>
      <c r="D1622" s="511">
        <v>1318909</v>
      </c>
      <c r="E1622" s="507" t="s">
        <v>6108</v>
      </c>
    </row>
    <row r="1623" spans="1:5" ht="15" x14ac:dyDescent="0.35">
      <c r="A1623" s="509">
        <v>5955</v>
      </c>
      <c r="B1623" s="510" t="s">
        <v>1962</v>
      </c>
      <c r="C1623" s="509" t="s">
        <v>32</v>
      </c>
      <c r="D1623" s="511">
        <v>511682</v>
      </c>
      <c r="E1623" s="507" t="s">
        <v>6108</v>
      </c>
    </row>
    <row r="1624" spans="1:5" ht="15" x14ac:dyDescent="0.35">
      <c r="A1624" s="509">
        <v>5966</v>
      </c>
      <c r="B1624" s="510" t="s">
        <v>1963</v>
      </c>
      <c r="C1624" s="509" t="s">
        <v>21</v>
      </c>
      <c r="D1624" s="511">
        <v>4650</v>
      </c>
      <c r="E1624" s="507" t="s">
        <v>6108</v>
      </c>
    </row>
    <row r="1625" spans="1:5" ht="15" x14ac:dyDescent="0.35">
      <c r="A1625" s="509">
        <v>5967</v>
      </c>
      <c r="B1625" s="510" t="s">
        <v>1964</v>
      </c>
      <c r="C1625" s="509" t="s">
        <v>21</v>
      </c>
      <c r="D1625" s="511">
        <v>32503</v>
      </c>
      <c r="E1625" s="507" t="s">
        <v>6108</v>
      </c>
    </row>
    <row r="1626" spans="1:5" ht="15" x14ac:dyDescent="0.35">
      <c r="A1626" s="509">
        <v>5968</v>
      </c>
      <c r="B1626" s="510" t="s">
        <v>1965</v>
      </c>
      <c r="C1626" s="509" t="s">
        <v>21</v>
      </c>
      <c r="D1626" s="512">
        <v>107532</v>
      </c>
      <c r="E1626" s="507" t="s">
        <v>6108</v>
      </c>
    </row>
    <row r="1627" spans="1:5" ht="15" x14ac:dyDescent="0.35">
      <c r="A1627" s="509">
        <v>5969</v>
      </c>
      <c r="B1627" s="510" t="s">
        <v>1966</v>
      </c>
      <c r="C1627" s="509" t="s">
        <v>21</v>
      </c>
      <c r="D1627" s="512">
        <v>106093</v>
      </c>
      <c r="E1627" s="507" t="s">
        <v>331</v>
      </c>
    </row>
    <row r="1628" spans="1:5" ht="15" x14ac:dyDescent="0.35">
      <c r="A1628" s="509">
        <v>5970</v>
      </c>
      <c r="B1628" s="510" t="s">
        <v>1967</v>
      </c>
      <c r="C1628" s="509" t="s">
        <v>21</v>
      </c>
      <c r="D1628" s="512">
        <v>364862</v>
      </c>
      <c r="E1628" s="507" t="s">
        <v>6108</v>
      </c>
    </row>
    <row r="1629" spans="1:5" ht="15" x14ac:dyDescent="0.35">
      <c r="A1629" s="509">
        <v>5971</v>
      </c>
      <c r="B1629" s="510" t="s">
        <v>1968</v>
      </c>
      <c r="C1629" s="509" t="s">
        <v>21</v>
      </c>
      <c r="D1629" s="512">
        <v>436329</v>
      </c>
      <c r="E1629" s="507" t="s">
        <v>6108</v>
      </c>
    </row>
    <row r="1630" spans="1:5" ht="15" x14ac:dyDescent="0.35">
      <c r="A1630" s="509">
        <v>5972</v>
      </c>
      <c r="B1630" s="510" t="s">
        <v>1969</v>
      </c>
      <c r="C1630" s="509" t="s">
        <v>21</v>
      </c>
      <c r="D1630" s="512">
        <v>418439</v>
      </c>
      <c r="E1630" s="507" t="s">
        <v>6108</v>
      </c>
    </row>
    <row r="1631" spans="1:5" ht="15" x14ac:dyDescent="0.35">
      <c r="A1631" s="509">
        <v>5975</v>
      </c>
      <c r="B1631" s="510" t="s">
        <v>1970</v>
      </c>
      <c r="C1631" s="509" t="s">
        <v>979</v>
      </c>
      <c r="D1631" s="512">
        <v>45558</v>
      </c>
      <c r="E1631" s="507" t="s">
        <v>6108</v>
      </c>
    </row>
    <row r="1632" spans="1:5" ht="15" x14ac:dyDescent="0.35">
      <c r="A1632" s="509">
        <v>5976</v>
      </c>
      <c r="B1632" s="510" t="s">
        <v>1971</v>
      </c>
      <c r="C1632" s="509" t="s">
        <v>328</v>
      </c>
      <c r="D1632" s="511">
        <v>74754</v>
      </c>
      <c r="E1632" s="507" t="s">
        <v>6108</v>
      </c>
    </row>
    <row r="1633" spans="1:5" ht="15" x14ac:dyDescent="0.35">
      <c r="A1633" s="509">
        <v>5992</v>
      </c>
      <c r="B1633" s="510" t="s">
        <v>1972</v>
      </c>
      <c r="C1633" s="509" t="s">
        <v>328</v>
      </c>
      <c r="D1633" s="511">
        <v>1218705</v>
      </c>
      <c r="E1633" s="507" t="s">
        <v>6108</v>
      </c>
    </row>
    <row r="1634" spans="1:5" ht="15" x14ac:dyDescent="0.35">
      <c r="A1634" s="509">
        <v>5993</v>
      </c>
      <c r="B1634" s="510" t="s">
        <v>1973</v>
      </c>
      <c r="C1634" s="509" t="s">
        <v>307</v>
      </c>
      <c r="D1634" s="511">
        <v>5188893</v>
      </c>
      <c r="E1634" s="507" t="s">
        <v>331</v>
      </c>
    </row>
    <row r="1635" spans="1:5" ht="15" x14ac:dyDescent="0.35">
      <c r="A1635" s="509">
        <v>5994</v>
      </c>
      <c r="B1635" s="510" t="s">
        <v>1974</v>
      </c>
      <c r="C1635" s="509" t="s">
        <v>328</v>
      </c>
      <c r="D1635" s="511">
        <v>287919</v>
      </c>
      <c r="E1635" s="507" t="s">
        <v>6108</v>
      </c>
    </row>
    <row r="1636" spans="1:5" ht="15" x14ac:dyDescent="0.35">
      <c r="A1636" s="509">
        <v>5995</v>
      </c>
      <c r="B1636" s="510" t="s">
        <v>1975</v>
      </c>
      <c r="C1636" s="509" t="s">
        <v>328</v>
      </c>
      <c r="D1636" s="511">
        <v>588628</v>
      </c>
      <c r="E1636" s="507" t="s">
        <v>6108</v>
      </c>
    </row>
    <row r="1637" spans="1:5" ht="15" x14ac:dyDescent="0.35">
      <c r="A1637" s="509">
        <v>5996</v>
      </c>
      <c r="B1637" s="510" t="s">
        <v>1976</v>
      </c>
      <c r="C1637" s="509" t="s">
        <v>328</v>
      </c>
      <c r="D1637" s="511">
        <v>59765</v>
      </c>
      <c r="E1637" s="507" t="s">
        <v>6108</v>
      </c>
    </row>
    <row r="1638" spans="1:5" ht="15" x14ac:dyDescent="0.35">
      <c r="A1638" s="509">
        <v>5997</v>
      </c>
      <c r="B1638" s="510" t="s">
        <v>1977</v>
      </c>
      <c r="C1638" s="509" t="s">
        <v>21</v>
      </c>
      <c r="D1638" s="511">
        <v>104626</v>
      </c>
      <c r="E1638" s="507" t="s">
        <v>6108</v>
      </c>
    </row>
    <row r="1639" spans="1:5" ht="15" x14ac:dyDescent="0.35">
      <c r="A1639" s="509">
        <v>5998</v>
      </c>
      <c r="B1639" s="510" t="s">
        <v>1978</v>
      </c>
      <c r="C1639" s="509" t="s">
        <v>32</v>
      </c>
      <c r="D1639" s="511">
        <v>114781</v>
      </c>
      <c r="E1639" s="507" t="s">
        <v>6108</v>
      </c>
    </row>
    <row r="1640" spans="1:5" ht="15" x14ac:dyDescent="0.35">
      <c r="A1640" s="509">
        <v>5999</v>
      </c>
      <c r="B1640" s="510" t="s">
        <v>1979</v>
      </c>
      <c r="C1640" s="509" t="s">
        <v>32</v>
      </c>
      <c r="D1640" s="511">
        <v>1380400</v>
      </c>
      <c r="E1640" s="507" t="s">
        <v>6108</v>
      </c>
    </row>
    <row r="1641" spans="1:5" ht="15" x14ac:dyDescent="0.35">
      <c r="A1641" s="509">
        <v>6004</v>
      </c>
      <c r="B1641" s="510" t="s">
        <v>1980</v>
      </c>
      <c r="C1641" s="509" t="s">
        <v>32</v>
      </c>
      <c r="D1641" s="511">
        <v>18269861</v>
      </c>
      <c r="E1641" s="507" t="s">
        <v>6108</v>
      </c>
    </row>
    <row r="1642" spans="1:5" ht="15" x14ac:dyDescent="0.35">
      <c r="A1642" s="509">
        <v>6006</v>
      </c>
      <c r="B1642" s="510" t="s">
        <v>1981</v>
      </c>
      <c r="C1642" s="509" t="s">
        <v>32</v>
      </c>
      <c r="D1642" s="511">
        <v>2355604</v>
      </c>
      <c r="E1642" s="507" t="s">
        <v>6108</v>
      </c>
    </row>
    <row r="1643" spans="1:5" ht="15" x14ac:dyDescent="0.35">
      <c r="A1643" s="509">
        <v>6007</v>
      </c>
      <c r="B1643" s="510" t="s">
        <v>1982</v>
      </c>
      <c r="C1643" s="509" t="s">
        <v>30</v>
      </c>
      <c r="D1643" s="511">
        <v>1907542</v>
      </c>
      <c r="E1643" s="507" t="s">
        <v>6108</v>
      </c>
    </row>
    <row r="1644" spans="1:5" ht="15" x14ac:dyDescent="0.35">
      <c r="A1644" s="509">
        <v>6008</v>
      </c>
      <c r="B1644" s="510" t="s">
        <v>1983</v>
      </c>
      <c r="C1644" s="509" t="s">
        <v>21</v>
      </c>
      <c r="D1644" s="511">
        <v>3118</v>
      </c>
      <c r="E1644" s="507" t="s">
        <v>6108</v>
      </c>
    </row>
    <row r="1645" spans="1:5" ht="15" x14ac:dyDescent="0.35">
      <c r="A1645" s="509">
        <v>6009</v>
      </c>
      <c r="B1645" s="510" t="s">
        <v>1984</v>
      </c>
      <c r="C1645" s="509" t="s">
        <v>21</v>
      </c>
      <c r="D1645" s="511">
        <v>3587</v>
      </c>
      <c r="E1645" s="507" t="s">
        <v>6108</v>
      </c>
    </row>
    <row r="1646" spans="1:5" ht="15" x14ac:dyDescent="0.35">
      <c r="A1646" s="509">
        <v>6010</v>
      </c>
      <c r="B1646" s="510" t="s">
        <v>1985</v>
      </c>
      <c r="C1646" s="509" t="s">
        <v>328</v>
      </c>
      <c r="D1646" s="511">
        <v>46559</v>
      </c>
      <c r="E1646" s="507" t="s">
        <v>6108</v>
      </c>
    </row>
    <row r="1647" spans="1:5" ht="15" x14ac:dyDescent="0.35">
      <c r="A1647" s="509">
        <v>6011</v>
      </c>
      <c r="B1647" s="510" t="s">
        <v>1986</v>
      </c>
      <c r="C1647" s="509" t="s">
        <v>32</v>
      </c>
      <c r="D1647" s="511">
        <v>178064</v>
      </c>
      <c r="E1647" s="507" t="s">
        <v>6108</v>
      </c>
    </row>
    <row r="1648" spans="1:5" ht="15" x14ac:dyDescent="0.35">
      <c r="A1648" s="509">
        <v>6015</v>
      </c>
      <c r="B1648" s="510" t="s">
        <v>1987</v>
      </c>
      <c r="C1648" s="509" t="s">
        <v>21</v>
      </c>
      <c r="D1648" s="511">
        <v>58299</v>
      </c>
      <c r="E1648" s="507" t="s">
        <v>6108</v>
      </c>
    </row>
    <row r="1649" spans="1:5" ht="15" x14ac:dyDescent="0.35">
      <c r="A1649" s="509">
        <v>6016</v>
      </c>
      <c r="B1649" s="510" t="s">
        <v>1988</v>
      </c>
      <c r="C1649" s="509" t="s">
        <v>30</v>
      </c>
      <c r="D1649" s="512">
        <v>147640</v>
      </c>
      <c r="E1649" s="507" t="s">
        <v>6108</v>
      </c>
    </row>
    <row r="1650" spans="1:5" ht="15" x14ac:dyDescent="0.35">
      <c r="A1650" s="509">
        <v>6020</v>
      </c>
      <c r="B1650" s="510" t="s">
        <v>1989</v>
      </c>
      <c r="C1650" s="509" t="s">
        <v>30</v>
      </c>
      <c r="D1650" s="512">
        <v>42511</v>
      </c>
      <c r="E1650" s="507" t="s">
        <v>6108</v>
      </c>
    </row>
    <row r="1651" spans="1:5" ht="15" x14ac:dyDescent="0.35">
      <c r="A1651" s="509">
        <v>6021</v>
      </c>
      <c r="B1651" s="510" t="s">
        <v>1990</v>
      </c>
      <c r="C1651" s="509" t="s">
        <v>30</v>
      </c>
      <c r="D1651" s="512">
        <v>801200</v>
      </c>
      <c r="E1651" s="507" t="s">
        <v>6108</v>
      </c>
    </row>
    <row r="1652" spans="1:5" ht="15" x14ac:dyDescent="0.35">
      <c r="A1652" s="509">
        <v>6029</v>
      </c>
      <c r="B1652" s="510" t="s">
        <v>1991</v>
      </c>
      <c r="C1652" s="509" t="s">
        <v>32</v>
      </c>
      <c r="D1652" s="512">
        <v>606392</v>
      </c>
      <c r="E1652" s="507" t="s">
        <v>331</v>
      </c>
    </row>
    <row r="1653" spans="1:5" ht="15" x14ac:dyDescent="0.35">
      <c r="A1653" s="509">
        <v>6030</v>
      </c>
      <c r="B1653" s="510" t="s">
        <v>1992</v>
      </c>
      <c r="C1653" s="509" t="s">
        <v>32</v>
      </c>
      <c r="D1653" s="512">
        <v>596625</v>
      </c>
      <c r="E1653" s="507" t="s">
        <v>6108</v>
      </c>
    </row>
    <row r="1654" spans="1:5" ht="15" x14ac:dyDescent="0.35">
      <c r="A1654" s="509">
        <v>6031</v>
      </c>
      <c r="B1654" s="510" t="s">
        <v>1993</v>
      </c>
      <c r="C1654" s="509" t="s">
        <v>32</v>
      </c>
      <c r="D1654" s="512">
        <v>585178</v>
      </c>
      <c r="E1654" s="507" t="s">
        <v>6109</v>
      </c>
    </row>
    <row r="1655" spans="1:5" ht="15" x14ac:dyDescent="0.35">
      <c r="A1655" s="509">
        <v>6032</v>
      </c>
      <c r="B1655" s="510" t="s">
        <v>1994</v>
      </c>
      <c r="C1655" s="509" t="s">
        <v>32</v>
      </c>
      <c r="D1655" s="512">
        <v>596625</v>
      </c>
      <c r="E1655" s="507" t="s">
        <v>6109</v>
      </c>
    </row>
    <row r="1656" spans="1:5" ht="15" x14ac:dyDescent="0.35">
      <c r="A1656" s="509">
        <v>6033</v>
      </c>
      <c r="B1656" s="510" t="s">
        <v>1995</v>
      </c>
      <c r="C1656" s="509" t="s">
        <v>32</v>
      </c>
      <c r="D1656" s="512">
        <v>596625</v>
      </c>
      <c r="E1656" s="507" t="s">
        <v>6109</v>
      </c>
    </row>
    <row r="1657" spans="1:5" ht="15" x14ac:dyDescent="0.35">
      <c r="A1657" s="509">
        <v>6034</v>
      </c>
      <c r="B1657" s="510" t="s">
        <v>1996</v>
      </c>
      <c r="C1657" s="509" t="s">
        <v>32</v>
      </c>
      <c r="D1657" s="512">
        <v>511628</v>
      </c>
      <c r="E1657" s="507" t="s">
        <v>6109</v>
      </c>
    </row>
    <row r="1658" spans="1:5" ht="15" x14ac:dyDescent="0.35">
      <c r="A1658" s="509">
        <v>6036</v>
      </c>
      <c r="B1658" s="510" t="s">
        <v>1997</v>
      </c>
      <c r="C1658" s="509" t="s">
        <v>32</v>
      </c>
      <c r="D1658" s="512">
        <v>8154076</v>
      </c>
      <c r="E1658" s="507" t="s">
        <v>6109</v>
      </c>
    </row>
    <row r="1659" spans="1:5" ht="15" x14ac:dyDescent="0.35">
      <c r="A1659" s="509">
        <v>6037</v>
      </c>
      <c r="B1659" s="510" t="s">
        <v>1998</v>
      </c>
      <c r="C1659" s="509" t="s">
        <v>32</v>
      </c>
      <c r="D1659" s="512">
        <v>5830990</v>
      </c>
      <c r="E1659" s="507" t="s">
        <v>6109</v>
      </c>
    </row>
    <row r="1660" spans="1:5" ht="15" x14ac:dyDescent="0.35">
      <c r="A1660" s="509">
        <v>6038</v>
      </c>
      <c r="B1660" s="510" t="s">
        <v>1999</v>
      </c>
      <c r="C1660" s="509" t="s">
        <v>32</v>
      </c>
      <c r="D1660" s="512">
        <v>7193024</v>
      </c>
      <c r="E1660" s="507" t="s">
        <v>6109</v>
      </c>
    </row>
    <row r="1661" spans="1:5" ht="15" x14ac:dyDescent="0.35">
      <c r="A1661" s="509">
        <v>6039</v>
      </c>
      <c r="B1661" s="510" t="s">
        <v>2000</v>
      </c>
      <c r="C1661" s="509" t="s">
        <v>32</v>
      </c>
      <c r="D1661" s="512">
        <v>9792734</v>
      </c>
      <c r="E1661" s="507" t="s">
        <v>6109</v>
      </c>
    </row>
    <row r="1662" spans="1:5" ht="15" x14ac:dyDescent="0.35">
      <c r="A1662" s="509">
        <v>6040</v>
      </c>
      <c r="B1662" s="510" t="s">
        <v>2001</v>
      </c>
      <c r="C1662" s="509" t="s">
        <v>32</v>
      </c>
      <c r="D1662" s="512">
        <v>17894988</v>
      </c>
      <c r="E1662" s="507" t="s">
        <v>6108</v>
      </c>
    </row>
    <row r="1663" spans="1:5" ht="15" x14ac:dyDescent="0.35">
      <c r="A1663" s="509">
        <v>6041</v>
      </c>
      <c r="B1663" s="510" t="s">
        <v>2002</v>
      </c>
      <c r="C1663" s="509" t="s">
        <v>32</v>
      </c>
      <c r="D1663" s="512">
        <v>4673703</v>
      </c>
      <c r="E1663" s="507" t="s">
        <v>6108</v>
      </c>
    </row>
    <row r="1664" spans="1:5" ht="15" x14ac:dyDescent="0.35">
      <c r="A1664" s="509">
        <v>6042</v>
      </c>
      <c r="B1664" s="510" t="s">
        <v>2003</v>
      </c>
      <c r="C1664" s="509" t="s">
        <v>32</v>
      </c>
      <c r="D1664" s="511">
        <v>5193384</v>
      </c>
      <c r="E1664" s="507" t="s">
        <v>6108</v>
      </c>
    </row>
    <row r="1665" spans="1:5" ht="15" x14ac:dyDescent="0.35">
      <c r="A1665" s="509">
        <v>6043</v>
      </c>
      <c r="B1665" s="510" t="s">
        <v>2004</v>
      </c>
      <c r="C1665" s="509" t="s">
        <v>32</v>
      </c>
      <c r="D1665" s="512">
        <v>5068710</v>
      </c>
      <c r="E1665" s="507" t="s">
        <v>6108</v>
      </c>
    </row>
    <row r="1666" spans="1:5" ht="15" x14ac:dyDescent="0.35">
      <c r="A1666" s="509">
        <v>6044</v>
      </c>
      <c r="B1666" s="510" t="s">
        <v>2005</v>
      </c>
      <c r="C1666" s="509" t="s">
        <v>32</v>
      </c>
      <c r="D1666" s="511">
        <v>4723078</v>
      </c>
      <c r="E1666" s="507" t="s">
        <v>6108</v>
      </c>
    </row>
    <row r="1667" spans="1:5" ht="15" x14ac:dyDescent="0.35">
      <c r="A1667" s="509">
        <v>6045</v>
      </c>
      <c r="B1667" s="510" t="s">
        <v>2006</v>
      </c>
      <c r="C1667" s="509" t="s">
        <v>32</v>
      </c>
      <c r="D1667" s="511">
        <v>6252355</v>
      </c>
      <c r="E1667" s="507" t="s">
        <v>6108</v>
      </c>
    </row>
    <row r="1668" spans="1:5" ht="15" x14ac:dyDescent="0.35">
      <c r="A1668" s="509">
        <v>6046</v>
      </c>
      <c r="B1668" s="510" t="s">
        <v>2007</v>
      </c>
      <c r="C1668" s="509" t="s">
        <v>32</v>
      </c>
      <c r="D1668" s="511">
        <v>667011</v>
      </c>
      <c r="E1668" s="507" t="s">
        <v>6108</v>
      </c>
    </row>
    <row r="1669" spans="1:5" ht="15" x14ac:dyDescent="0.35">
      <c r="A1669" s="509">
        <v>6053</v>
      </c>
      <c r="B1669" s="510" t="s">
        <v>2008</v>
      </c>
      <c r="C1669" s="509" t="s">
        <v>30</v>
      </c>
      <c r="D1669" s="512">
        <v>111980</v>
      </c>
      <c r="E1669" s="507" t="s">
        <v>6108</v>
      </c>
    </row>
    <row r="1670" spans="1:5" ht="15" x14ac:dyDescent="0.35">
      <c r="A1670" s="509">
        <v>6057</v>
      </c>
      <c r="B1670" s="510" t="s">
        <v>2009</v>
      </c>
      <c r="C1670" s="509" t="s">
        <v>307</v>
      </c>
      <c r="D1670" s="512">
        <v>193237</v>
      </c>
      <c r="E1670" s="507" t="s">
        <v>6108</v>
      </c>
    </row>
    <row r="1671" spans="1:5" ht="15" x14ac:dyDescent="0.35">
      <c r="A1671" s="509">
        <v>6058</v>
      </c>
      <c r="B1671" s="510" t="s">
        <v>2010</v>
      </c>
      <c r="C1671" s="509" t="s">
        <v>307</v>
      </c>
      <c r="D1671" s="512">
        <v>138557</v>
      </c>
      <c r="E1671" s="507" t="s">
        <v>6108</v>
      </c>
    </row>
    <row r="1672" spans="1:5" ht="15" x14ac:dyDescent="0.35">
      <c r="A1672" s="509">
        <v>6059</v>
      </c>
      <c r="B1672" s="510" t="s">
        <v>2011</v>
      </c>
      <c r="C1672" s="509" t="s">
        <v>307</v>
      </c>
      <c r="D1672" s="512">
        <v>75596</v>
      </c>
      <c r="E1672" s="507" t="s">
        <v>6108</v>
      </c>
    </row>
    <row r="1673" spans="1:5" ht="15" x14ac:dyDescent="0.35">
      <c r="A1673" s="509">
        <v>6060</v>
      </c>
      <c r="B1673" s="510" t="s">
        <v>2012</v>
      </c>
      <c r="C1673" s="509" t="s">
        <v>307</v>
      </c>
      <c r="D1673" s="512">
        <v>1416474</v>
      </c>
      <c r="E1673" s="507" t="s">
        <v>6108</v>
      </c>
    </row>
    <row r="1674" spans="1:5" ht="15" x14ac:dyDescent="0.35">
      <c r="A1674" s="509">
        <v>6062</v>
      </c>
      <c r="B1674" s="510" t="s">
        <v>2013</v>
      </c>
      <c r="C1674" s="509" t="s">
        <v>30</v>
      </c>
      <c r="D1674" s="512">
        <v>898810</v>
      </c>
      <c r="E1674" s="507" t="s">
        <v>6108</v>
      </c>
    </row>
    <row r="1675" spans="1:5" ht="15" x14ac:dyDescent="0.35">
      <c r="A1675" s="509">
        <v>6065</v>
      </c>
      <c r="B1675" s="510" t="s">
        <v>2014</v>
      </c>
      <c r="C1675" s="509" t="s">
        <v>32</v>
      </c>
      <c r="D1675" s="512">
        <v>1412975</v>
      </c>
      <c r="E1675" s="507" t="s">
        <v>6108</v>
      </c>
    </row>
    <row r="1676" spans="1:5" ht="15" x14ac:dyDescent="0.35">
      <c r="A1676" s="509">
        <v>6070</v>
      </c>
      <c r="B1676" s="510" t="s">
        <v>2015</v>
      </c>
      <c r="C1676" s="509" t="s">
        <v>21</v>
      </c>
      <c r="D1676" s="512">
        <v>142729</v>
      </c>
      <c r="E1676" s="507" t="s">
        <v>6108</v>
      </c>
    </row>
    <row r="1677" spans="1:5" ht="15" x14ac:dyDescent="0.35">
      <c r="A1677" s="509">
        <v>6073</v>
      </c>
      <c r="B1677" s="510" t="s">
        <v>2016</v>
      </c>
      <c r="C1677" s="509" t="s">
        <v>32</v>
      </c>
      <c r="D1677" s="512">
        <v>6086213</v>
      </c>
      <c r="E1677" s="507" t="s">
        <v>6108</v>
      </c>
    </row>
    <row r="1678" spans="1:5" ht="15" x14ac:dyDescent="0.35">
      <c r="A1678" s="509">
        <v>6074</v>
      </c>
      <c r="B1678" s="510" t="s">
        <v>2017</v>
      </c>
      <c r="C1678" s="509" t="s">
        <v>32</v>
      </c>
      <c r="D1678" s="512">
        <v>2990213</v>
      </c>
      <c r="E1678" s="507" t="s">
        <v>6108</v>
      </c>
    </row>
    <row r="1679" spans="1:5" ht="15" x14ac:dyDescent="0.35">
      <c r="A1679" s="509">
        <v>6078</v>
      </c>
      <c r="B1679" s="510" t="s">
        <v>2018</v>
      </c>
      <c r="C1679" s="509" t="s">
        <v>21</v>
      </c>
      <c r="D1679" s="512">
        <v>189891</v>
      </c>
      <c r="E1679" s="507" t="s">
        <v>6108</v>
      </c>
    </row>
    <row r="1680" spans="1:5" ht="15" x14ac:dyDescent="0.35">
      <c r="A1680" s="509">
        <v>6079</v>
      </c>
      <c r="B1680" s="510" t="s">
        <v>2019</v>
      </c>
      <c r="C1680" s="509" t="s">
        <v>21</v>
      </c>
      <c r="D1680" s="512">
        <v>176251</v>
      </c>
      <c r="E1680" s="507" t="s">
        <v>6108</v>
      </c>
    </row>
    <row r="1681" spans="1:5" ht="15" x14ac:dyDescent="0.35">
      <c r="A1681" s="509">
        <v>6082</v>
      </c>
      <c r="B1681" s="510" t="s">
        <v>2020</v>
      </c>
      <c r="C1681" s="509" t="s">
        <v>21</v>
      </c>
      <c r="D1681" s="512">
        <v>77911</v>
      </c>
      <c r="E1681" s="507" t="s">
        <v>6108</v>
      </c>
    </row>
    <row r="1682" spans="1:5" ht="15" x14ac:dyDescent="0.35">
      <c r="A1682" s="509">
        <v>6084</v>
      </c>
      <c r="B1682" s="510" t="s">
        <v>2021</v>
      </c>
      <c r="C1682" s="509" t="s">
        <v>32</v>
      </c>
      <c r="D1682" s="512">
        <v>1169</v>
      </c>
      <c r="E1682" s="507" t="s">
        <v>6108</v>
      </c>
    </row>
    <row r="1683" spans="1:5" ht="15" x14ac:dyDescent="0.35">
      <c r="A1683" s="509">
        <v>6085</v>
      </c>
      <c r="B1683" s="510" t="s">
        <v>2022</v>
      </c>
      <c r="C1683" s="509" t="s">
        <v>2023</v>
      </c>
      <c r="D1683" s="512">
        <v>47225</v>
      </c>
      <c r="E1683" s="507" t="s">
        <v>6108</v>
      </c>
    </row>
    <row r="1684" spans="1:5" ht="15" x14ac:dyDescent="0.35">
      <c r="A1684" s="509">
        <v>6086</v>
      </c>
      <c r="B1684" s="510" t="s">
        <v>2024</v>
      </c>
      <c r="C1684" s="509" t="s">
        <v>32</v>
      </c>
      <c r="D1684" s="512">
        <v>16669</v>
      </c>
      <c r="E1684" s="507" t="s">
        <v>6108</v>
      </c>
    </row>
    <row r="1685" spans="1:5" ht="15" x14ac:dyDescent="0.35">
      <c r="A1685" s="509">
        <v>6087</v>
      </c>
      <c r="B1685" s="510" t="s">
        <v>2025</v>
      </c>
      <c r="C1685" s="509" t="s">
        <v>32</v>
      </c>
      <c r="D1685" s="512">
        <v>15441</v>
      </c>
      <c r="E1685" s="507" t="s">
        <v>6108</v>
      </c>
    </row>
    <row r="1686" spans="1:5" ht="15" x14ac:dyDescent="0.35">
      <c r="A1686" s="509">
        <v>6088</v>
      </c>
      <c r="B1686" s="510" t="s">
        <v>2026</v>
      </c>
      <c r="C1686" s="509" t="s">
        <v>2027</v>
      </c>
      <c r="D1686" s="512">
        <v>26177</v>
      </c>
      <c r="E1686" s="507" t="s">
        <v>6108</v>
      </c>
    </row>
    <row r="1687" spans="1:5" ht="15" x14ac:dyDescent="0.35">
      <c r="A1687" s="509">
        <v>6089</v>
      </c>
      <c r="B1687" s="510" t="s">
        <v>2028</v>
      </c>
      <c r="C1687" s="509" t="s">
        <v>32</v>
      </c>
      <c r="D1687" s="512">
        <v>3329631</v>
      </c>
      <c r="E1687" s="507" t="s">
        <v>6108</v>
      </c>
    </row>
    <row r="1688" spans="1:5" ht="15" x14ac:dyDescent="0.35">
      <c r="A1688" s="509">
        <v>6090</v>
      </c>
      <c r="B1688" s="510" t="s">
        <v>2029</v>
      </c>
      <c r="C1688" s="509" t="s">
        <v>32</v>
      </c>
      <c r="D1688" s="512">
        <v>3520764</v>
      </c>
      <c r="E1688" s="507" t="s">
        <v>6108</v>
      </c>
    </row>
    <row r="1689" spans="1:5" ht="15" x14ac:dyDescent="0.35">
      <c r="A1689" s="509">
        <v>6091</v>
      </c>
      <c r="B1689" s="510" t="s">
        <v>2030</v>
      </c>
      <c r="C1689" s="509" t="s">
        <v>32</v>
      </c>
      <c r="D1689" s="512">
        <v>1624121</v>
      </c>
      <c r="E1689" s="507" t="s">
        <v>6108</v>
      </c>
    </row>
    <row r="1690" spans="1:5" ht="15" x14ac:dyDescent="0.35">
      <c r="A1690" s="509">
        <v>6092</v>
      </c>
      <c r="B1690" s="510" t="s">
        <v>2031</v>
      </c>
      <c r="C1690" s="509" t="s">
        <v>32</v>
      </c>
      <c r="D1690" s="512">
        <v>485722</v>
      </c>
      <c r="E1690" s="507" t="s">
        <v>6108</v>
      </c>
    </row>
    <row r="1691" spans="1:5" ht="15" x14ac:dyDescent="0.35">
      <c r="A1691" s="509">
        <v>6093</v>
      </c>
      <c r="B1691" s="510" t="s">
        <v>2032</v>
      </c>
      <c r="C1691" s="509" t="s">
        <v>32</v>
      </c>
      <c r="D1691" s="511">
        <v>507548</v>
      </c>
      <c r="E1691" s="507" t="s">
        <v>6108</v>
      </c>
    </row>
    <row r="1692" spans="1:5" ht="15" x14ac:dyDescent="0.35">
      <c r="A1692" s="509">
        <v>6094</v>
      </c>
      <c r="B1692" s="510" t="s">
        <v>2033</v>
      </c>
      <c r="C1692" s="509" t="s">
        <v>32</v>
      </c>
      <c r="D1692" s="511">
        <v>495868</v>
      </c>
      <c r="E1692" s="507" t="s">
        <v>6108</v>
      </c>
    </row>
    <row r="1693" spans="1:5" ht="15" x14ac:dyDescent="0.35">
      <c r="A1693" s="509">
        <v>6098</v>
      </c>
      <c r="B1693" s="510" t="s">
        <v>2034</v>
      </c>
      <c r="C1693" s="509" t="s">
        <v>21</v>
      </c>
      <c r="D1693" s="512">
        <v>134684</v>
      </c>
      <c r="E1693" s="507" t="s">
        <v>6108</v>
      </c>
    </row>
    <row r="1694" spans="1:5" ht="15" x14ac:dyDescent="0.35">
      <c r="A1694" s="509">
        <v>6100</v>
      </c>
      <c r="B1694" s="510" t="s">
        <v>2035</v>
      </c>
      <c r="C1694" s="509" t="s">
        <v>328</v>
      </c>
      <c r="D1694" s="512">
        <v>15214</v>
      </c>
      <c r="E1694" s="507" t="s">
        <v>6108</v>
      </c>
    </row>
    <row r="1695" spans="1:5" ht="15" x14ac:dyDescent="0.35">
      <c r="A1695" s="509">
        <v>6101</v>
      </c>
      <c r="B1695" s="510" t="s">
        <v>2036</v>
      </c>
      <c r="C1695" s="509" t="s">
        <v>328</v>
      </c>
      <c r="D1695" s="512">
        <v>18587</v>
      </c>
      <c r="E1695" s="507" t="s">
        <v>6108</v>
      </c>
    </row>
    <row r="1696" spans="1:5" ht="15" x14ac:dyDescent="0.35">
      <c r="A1696" s="509">
        <v>6102</v>
      </c>
      <c r="B1696" s="510" t="s">
        <v>2037</v>
      </c>
      <c r="C1696" s="509" t="s">
        <v>328</v>
      </c>
      <c r="D1696" s="512">
        <v>43873</v>
      </c>
      <c r="E1696" s="507" t="s">
        <v>6108</v>
      </c>
    </row>
    <row r="1697" spans="1:5" ht="15" x14ac:dyDescent="0.35">
      <c r="A1697" s="509">
        <v>6103</v>
      </c>
      <c r="B1697" s="510" t="s">
        <v>2038</v>
      </c>
      <c r="C1697" s="509" t="s">
        <v>328</v>
      </c>
      <c r="D1697" s="511">
        <v>175983</v>
      </c>
      <c r="E1697" s="507" t="s">
        <v>6108</v>
      </c>
    </row>
    <row r="1698" spans="1:5" ht="15" x14ac:dyDescent="0.35">
      <c r="A1698" s="509">
        <v>6104</v>
      </c>
      <c r="B1698" s="510" t="s">
        <v>2039</v>
      </c>
      <c r="C1698" s="509" t="s">
        <v>21</v>
      </c>
      <c r="D1698" s="511">
        <v>125662</v>
      </c>
      <c r="E1698" s="507" t="s">
        <v>6108</v>
      </c>
    </row>
    <row r="1699" spans="1:5" ht="15" x14ac:dyDescent="0.35">
      <c r="A1699" s="509">
        <v>6115</v>
      </c>
      <c r="B1699" s="510" t="s">
        <v>2040</v>
      </c>
      <c r="C1699" s="509" t="s">
        <v>328</v>
      </c>
      <c r="D1699" s="511">
        <v>1018125</v>
      </c>
      <c r="E1699" s="507" t="s">
        <v>6108</v>
      </c>
    </row>
    <row r="1700" spans="1:5" ht="15" x14ac:dyDescent="0.35">
      <c r="A1700" s="509">
        <v>6116</v>
      </c>
      <c r="B1700" s="510" t="s">
        <v>2041</v>
      </c>
      <c r="C1700" s="509" t="s">
        <v>328</v>
      </c>
      <c r="D1700" s="511">
        <v>1354489</v>
      </c>
      <c r="E1700" s="507" t="s">
        <v>6108</v>
      </c>
    </row>
    <row r="1701" spans="1:5" ht="15" x14ac:dyDescent="0.35">
      <c r="A1701" s="509">
        <v>6118</v>
      </c>
      <c r="B1701" s="510" t="s">
        <v>2042</v>
      </c>
      <c r="C1701" s="509" t="s">
        <v>328</v>
      </c>
      <c r="D1701" s="511">
        <v>2620465</v>
      </c>
      <c r="E1701" s="507" t="s">
        <v>6108</v>
      </c>
    </row>
    <row r="1702" spans="1:5" ht="15" x14ac:dyDescent="0.35">
      <c r="A1702" s="509">
        <v>6120</v>
      </c>
      <c r="B1702" s="510" t="s">
        <v>2043</v>
      </c>
      <c r="C1702" s="509" t="s">
        <v>328</v>
      </c>
      <c r="D1702" s="511">
        <v>396817</v>
      </c>
      <c r="E1702" s="507" t="s">
        <v>331</v>
      </c>
    </row>
    <row r="1703" spans="1:5" ht="15" x14ac:dyDescent="0.35">
      <c r="A1703" s="509">
        <v>6121</v>
      </c>
      <c r="B1703" s="510" t="s">
        <v>2044</v>
      </c>
      <c r="C1703" s="509" t="s">
        <v>32</v>
      </c>
      <c r="D1703" s="511">
        <v>2917163</v>
      </c>
      <c r="E1703" s="507" t="s">
        <v>331</v>
      </c>
    </row>
    <row r="1704" spans="1:5" ht="15" x14ac:dyDescent="0.35">
      <c r="A1704" s="509">
        <v>6126</v>
      </c>
      <c r="B1704" s="510" t="s">
        <v>2045</v>
      </c>
      <c r="C1704" s="509" t="s">
        <v>692</v>
      </c>
      <c r="D1704" s="512">
        <v>437250</v>
      </c>
      <c r="E1704" s="507" t="s">
        <v>6108</v>
      </c>
    </row>
    <row r="1705" spans="1:5" ht="15" x14ac:dyDescent="0.35">
      <c r="A1705" s="509">
        <v>6127</v>
      </c>
      <c r="B1705" s="510" t="s">
        <v>2046</v>
      </c>
      <c r="C1705" s="509" t="s">
        <v>32</v>
      </c>
      <c r="D1705" s="512">
        <v>101822</v>
      </c>
      <c r="E1705" s="507" t="s">
        <v>6108</v>
      </c>
    </row>
    <row r="1706" spans="1:5" ht="15" x14ac:dyDescent="0.35">
      <c r="A1706" s="509">
        <v>6135</v>
      </c>
      <c r="B1706" s="510" t="s">
        <v>2047</v>
      </c>
      <c r="C1706" s="509" t="s">
        <v>30</v>
      </c>
      <c r="D1706" s="511">
        <v>1251566</v>
      </c>
      <c r="E1706" s="507" t="s">
        <v>331</v>
      </c>
    </row>
    <row r="1707" spans="1:5" ht="15" x14ac:dyDescent="0.35">
      <c r="A1707" s="509">
        <v>6136</v>
      </c>
      <c r="B1707" s="510" t="s">
        <v>2048</v>
      </c>
      <c r="C1707" s="509" t="s">
        <v>32</v>
      </c>
      <c r="D1707" s="511">
        <v>287074</v>
      </c>
      <c r="E1707" s="507" t="s">
        <v>331</v>
      </c>
    </row>
    <row r="1708" spans="1:5" ht="15" x14ac:dyDescent="0.35">
      <c r="A1708" s="509">
        <v>6141</v>
      </c>
      <c r="B1708" s="510" t="s">
        <v>2049</v>
      </c>
      <c r="C1708" s="509" t="s">
        <v>21</v>
      </c>
      <c r="D1708" s="511">
        <v>51900</v>
      </c>
      <c r="E1708" s="507" t="s">
        <v>6108</v>
      </c>
    </row>
    <row r="1709" spans="1:5" ht="15" x14ac:dyDescent="0.35">
      <c r="A1709" s="509">
        <v>6142</v>
      </c>
      <c r="B1709" s="510" t="s">
        <v>2050</v>
      </c>
      <c r="C1709" s="509" t="s">
        <v>21</v>
      </c>
      <c r="D1709" s="512">
        <v>55340</v>
      </c>
      <c r="E1709" s="507" t="s">
        <v>6108</v>
      </c>
    </row>
    <row r="1710" spans="1:5" ht="15" x14ac:dyDescent="0.35">
      <c r="A1710" s="509">
        <v>6143</v>
      </c>
      <c r="B1710" s="510" t="s">
        <v>2051</v>
      </c>
      <c r="C1710" s="509" t="s">
        <v>21</v>
      </c>
      <c r="D1710" s="512">
        <v>98462</v>
      </c>
      <c r="E1710" s="507" t="s">
        <v>331</v>
      </c>
    </row>
    <row r="1711" spans="1:5" ht="15" x14ac:dyDescent="0.35">
      <c r="A1711" s="509">
        <v>6144</v>
      </c>
      <c r="B1711" s="510" t="s">
        <v>2052</v>
      </c>
      <c r="C1711" s="509" t="s">
        <v>21</v>
      </c>
      <c r="D1711" s="512">
        <v>117290</v>
      </c>
      <c r="E1711" s="507" t="s">
        <v>331</v>
      </c>
    </row>
    <row r="1712" spans="1:5" ht="15" x14ac:dyDescent="0.35">
      <c r="A1712" s="509">
        <v>6145</v>
      </c>
      <c r="B1712" s="510" t="s">
        <v>2053</v>
      </c>
      <c r="C1712" s="509" t="s">
        <v>21</v>
      </c>
      <c r="D1712" s="512">
        <v>66118</v>
      </c>
      <c r="E1712" s="507" t="s">
        <v>6108</v>
      </c>
    </row>
    <row r="1713" spans="1:5" ht="15" x14ac:dyDescent="0.35">
      <c r="A1713" s="509">
        <v>6146</v>
      </c>
      <c r="B1713" s="510" t="s">
        <v>2054</v>
      </c>
      <c r="C1713" s="509" t="s">
        <v>21</v>
      </c>
      <c r="D1713" s="511">
        <v>45657</v>
      </c>
      <c r="E1713" s="507" t="s">
        <v>6108</v>
      </c>
    </row>
    <row r="1714" spans="1:5" ht="15" x14ac:dyDescent="0.35">
      <c r="A1714" s="509">
        <v>6148</v>
      </c>
      <c r="B1714" s="510" t="s">
        <v>2055</v>
      </c>
      <c r="C1714" s="509" t="s">
        <v>328</v>
      </c>
      <c r="D1714" s="511">
        <v>62678</v>
      </c>
      <c r="E1714" s="507" t="s">
        <v>6108</v>
      </c>
    </row>
    <row r="1715" spans="1:5" ht="15" x14ac:dyDescent="0.35">
      <c r="A1715" s="509">
        <v>6149</v>
      </c>
      <c r="B1715" s="510" t="s">
        <v>2056</v>
      </c>
      <c r="C1715" s="509" t="s">
        <v>328</v>
      </c>
      <c r="D1715" s="511">
        <v>287557</v>
      </c>
      <c r="E1715" s="507" t="s">
        <v>6108</v>
      </c>
    </row>
    <row r="1716" spans="1:5" ht="15" x14ac:dyDescent="0.35">
      <c r="A1716" s="509">
        <v>6150</v>
      </c>
      <c r="B1716" s="510" t="s">
        <v>2057</v>
      </c>
      <c r="C1716" s="509" t="s">
        <v>328</v>
      </c>
      <c r="D1716" s="512">
        <v>570731</v>
      </c>
      <c r="E1716" s="507" t="s">
        <v>6108</v>
      </c>
    </row>
    <row r="1717" spans="1:5" ht="15" x14ac:dyDescent="0.35">
      <c r="A1717" s="509">
        <v>6151</v>
      </c>
      <c r="B1717" s="510" t="s">
        <v>2058</v>
      </c>
      <c r="C1717" s="509" t="s">
        <v>30</v>
      </c>
      <c r="D1717" s="512">
        <v>10225</v>
      </c>
      <c r="E1717" s="507" t="s">
        <v>331</v>
      </c>
    </row>
    <row r="1718" spans="1:5" ht="15" x14ac:dyDescent="0.35">
      <c r="A1718" s="509">
        <v>6152</v>
      </c>
      <c r="B1718" s="510" t="s">
        <v>2059</v>
      </c>
      <c r="C1718" s="509" t="s">
        <v>21</v>
      </c>
      <c r="D1718" s="512">
        <v>599</v>
      </c>
      <c r="E1718" s="507" t="s">
        <v>6108</v>
      </c>
    </row>
    <row r="1719" spans="1:5" ht="15" x14ac:dyDescent="0.35">
      <c r="A1719" s="509">
        <v>6153</v>
      </c>
      <c r="B1719" s="510" t="s">
        <v>2060</v>
      </c>
      <c r="C1719" s="509" t="s">
        <v>21</v>
      </c>
      <c r="D1719" s="512">
        <v>1344</v>
      </c>
      <c r="E1719" s="507" t="s">
        <v>6108</v>
      </c>
    </row>
    <row r="1720" spans="1:5" ht="15" x14ac:dyDescent="0.35">
      <c r="A1720" s="509">
        <v>6154</v>
      </c>
      <c r="B1720" s="510" t="s">
        <v>2061</v>
      </c>
      <c r="C1720" s="509" t="s">
        <v>21</v>
      </c>
      <c r="D1720" s="512">
        <v>466</v>
      </c>
      <c r="E1720" s="507" t="s">
        <v>6108</v>
      </c>
    </row>
    <row r="1721" spans="1:5" ht="15" x14ac:dyDescent="0.35">
      <c r="A1721" s="509">
        <v>6156</v>
      </c>
      <c r="B1721" s="510" t="s">
        <v>2062</v>
      </c>
      <c r="C1721" s="509" t="s">
        <v>21</v>
      </c>
      <c r="D1721" s="512">
        <v>315</v>
      </c>
      <c r="E1721" s="507" t="s">
        <v>6108</v>
      </c>
    </row>
    <row r="1722" spans="1:5" ht="15" x14ac:dyDescent="0.35">
      <c r="A1722" s="509">
        <v>6157</v>
      </c>
      <c r="B1722" s="510" t="s">
        <v>2063</v>
      </c>
      <c r="C1722" s="509" t="s">
        <v>21</v>
      </c>
      <c r="D1722" s="512">
        <v>991</v>
      </c>
      <c r="E1722" s="507" t="s">
        <v>6108</v>
      </c>
    </row>
    <row r="1723" spans="1:5" ht="15" x14ac:dyDescent="0.35">
      <c r="A1723" s="509">
        <v>6159</v>
      </c>
      <c r="B1723" s="510" t="s">
        <v>2064</v>
      </c>
      <c r="C1723" s="509" t="s">
        <v>21</v>
      </c>
      <c r="D1723" s="512">
        <v>126</v>
      </c>
      <c r="E1723" s="507" t="s">
        <v>331</v>
      </c>
    </row>
    <row r="1724" spans="1:5" ht="15" x14ac:dyDescent="0.35">
      <c r="A1724" s="509">
        <v>6160</v>
      </c>
      <c r="B1724" s="510" t="s">
        <v>2065</v>
      </c>
      <c r="C1724" s="509" t="s">
        <v>328</v>
      </c>
      <c r="D1724" s="511">
        <v>15500</v>
      </c>
      <c r="E1724" s="507" t="s">
        <v>6108</v>
      </c>
    </row>
    <row r="1725" spans="1:5" ht="15" x14ac:dyDescent="0.35">
      <c r="A1725" s="509">
        <v>6161</v>
      </c>
      <c r="B1725" s="510" t="s">
        <v>2066</v>
      </c>
      <c r="C1725" s="509" t="s">
        <v>328</v>
      </c>
      <c r="D1725" s="512">
        <v>13090</v>
      </c>
      <c r="E1725" s="507" t="s">
        <v>331</v>
      </c>
    </row>
    <row r="1726" spans="1:5" ht="15" x14ac:dyDescent="0.35">
      <c r="A1726" s="509">
        <v>6162</v>
      </c>
      <c r="B1726" s="510" t="s">
        <v>2067</v>
      </c>
      <c r="C1726" s="509" t="s">
        <v>21</v>
      </c>
      <c r="D1726" s="512">
        <v>177</v>
      </c>
      <c r="E1726" s="507" t="s">
        <v>331</v>
      </c>
    </row>
    <row r="1727" spans="1:5" ht="15" x14ac:dyDescent="0.35">
      <c r="A1727" s="509">
        <v>6163</v>
      </c>
      <c r="B1727" s="510" t="s">
        <v>2068</v>
      </c>
      <c r="C1727" s="509" t="s">
        <v>21</v>
      </c>
      <c r="D1727" s="511">
        <v>318504</v>
      </c>
      <c r="E1727" s="507" t="s">
        <v>6108</v>
      </c>
    </row>
    <row r="1728" spans="1:5" ht="15" x14ac:dyDescent="0.35">
      <c r="A1728" s="509">
        <v>6164</v>
      </c>
      <c r="B1728" s="510" t="s">
        <v>2069</v>
      </c>
      <c r="C1728" s="509" t="s">
        <v>21</v>
      </c>
      <c r="D1728" s="512">
        <v>319040</v>
      </c>
      <c r="E1728" s="507" t="s">
        <v>6108</v>
      </c>
    </row>
    <row r="1729" spans="1:5" ht="15" x14ac:dyDescent="0.35">
      <c r="A1729" s="509">
        <v>6165</v>
      </c>
      <c r="B1729" s="510" t="s">
        <v>2070</v>
      </c>
      <c r="C1729" s="509" t="s">
        <v>32</v>
      </c>
      <c r="D1729" s="512">
        <v>39653</v>
      </c>
      <c r="E1729" s="507" t="s">
        <v>6108</v>
      </c>
    </row>
    <row r="1730" spans="1:5" ht="15" x14ac:dyDescent="0.35">
      <c r="A1730" s="509">
        <v>6168</v>
      </c>
      <c r="B1730" s="510" t="s">
        <v>2071</v>
      </c>
      <c r="C1730" s="509" t="s">
        <v>328</v>
      </c>
      <c r="D1730" s="512">
        <v>25058</v>
      </c>
      <c r="E1730" s="507" t="s">
        <v>331</v>
      </c>
    </row>
    <row r="1731" spans="1:5" ht="15" x14ac:dyDescent="0.35">
      <c r="A1731" s="509">
        <v>6169</v>
      </c>
      <c r="B1731" s="510" t="s">
        <v>2072</v>
      </c>
      <c r="C1731" s="509" t="s">
        <v>307</v>
      </c>
      <c r="D1731" s="511">
        <v>11639</v>
      </c>
      <c r="E1731" s="507" t="s">
        <v>331</v>
      </c>
    </row>
    <row r="1732" spans="1:5" ht="15" x14ac:dyDescent="0.35">
      <c r="A1732" s="509">
        <v>6170</v>
      </c>
      <c r="B1732" s="510" t="s">
        <v>2073</v>
      </c>
      <c r="C1732" s="509" t="s">
        <v>307</v>
      </c>
      <c r="D1732" s="511">
        <v>10519</v>
      </c>
      <c r="E1732" s="507" t="s">
        <v>6108</v>
      </c>
    </row>
    <row r="1733" spans="1:5" ht="15" x14ac:dyDescent="0.35">
      <c r="A1733" s="509">
        <v>6172</v>
      </c>
      <c r="B1733" s="510" t="s">
        <v>2074</v>
      </c>
      <c r="C1733" s="509" t="s">
        <v>307</v>
      </c>
      <c r="D1733" s="512">
        <v>3039</v>
      </c>
      <c r="E1733" s="507" t="s">
        <v>6108</v>
      </c>
    </row>
    <row r="1734" spans="1:5" ht="15" x14ac:dyDescent="0.35">
      <c r="A1734" s="509">
        <v>6175</v>
      </c>
      <c r="B1734" s="510" t="s">
        <v>2075</v>
      </c>
      <c r="C1734" s="509" t="s">
        <v>2076</v>
      </c>
      <c r="D1734" s="512">
        <v>122243</v>
      </c>
      <c r="E1734" s="507" t="s">
        <v>6108</v>
      </c>
    </row>
    <row r="1735" spans="1:5" ht="15" x14ac:dyDescent="0.35">
      <c r="A1735" s="509">
        <v>6176</v>
      </c>
      <c r="B1735" s="510" t="s">
        <v>2077</v>
      </c>
      <c r="C1735" s="509" t="s">
        <v>2078</v>
      </c>
      <c r="D1735" s="512">
        <v>38450</v>
      </c>
      <c r="E1735" s="507" t="s">
        <v>6108</v>
      </c>
    </row>
    <row r="1736" spans="1:5" ht="15" x14ac:dyDescent="0.35">
      <c r="A1736" s="509">
        <v>6178</v>
      </c>
      <c r="B1736" s="510" t="s">
        <v>308</v>
      </c>
      <c r="C1736" s="509" t="s">
        <v>307</v>
      </c>
      <c r="D1736" s="512">
        <v>24855</v>
      </c>
      <c r="E1736" s="507" t="s">
        <v>6108</v>
      </c>
    </row>
    <row r="1737" spans="1:5" ht="15" x14ac:dyDescent="0.35">
      <c r="A1737" s="509">
        <v>6179</v>
      </c>
      <c r="B1737" s="510" t="s">
        <v>2079</v>
      </c>
      <c r="C1737" s="509" t="s">
        <v>307</v>
      </c>
      <c r="D1737" s="511">
        <v>19832</v>
      </c>
      <c r="E1737" s="507" t="s">
        <v>6108</v>
      </c>
    </row>
    <row r="1738" spans="1:5" ht="15" x14ac:dyDescent="0.35">
      <c r="A1738" s="509">
        <v>6180</v>
      </c>
      <c r="B1738" s="510" t="s">
        <v>2080</v>
      </c>
      <c r="C1738" s="509" t="s">
        <v>307</v>
      </c>
      <c r="D1738" s="511">
        <v>32390</v>
      </c>
      <c r="E1738" s="507" t="s">
        <v>6108</v>
      </c>
    </row>
    <row r="1739" spans="1:5" ht="15" x14ac:dyDescent="0.35">
      <c r="A1739" s="509">
        <v>6181</v>
      </c>
      <c r="B1739" s="510" t="s">
        <v>313</v>
      </c>
      <c r="C1739" s="509" t="s">
        <v>307</v>
      </c>
      <c r="D1739" s="511">
        <v>2698</v>
      </c>
      <c r="E1739" s="507" t="s">
        <v>6108</v>
      </c>
    </row>
    <row r="1740" spans="1:5" ht="15" x14ac:dyDescent="0.35">
      <c r="A1740" s="509">
        <v>6184</v>
      </c>
      <c r="B1740" s="510" t="s">
        <v>2081</v>
      </c>
      <c r="C1740" s="509" t="s">
        <v>21</v>
      </c>
      <c r="D1740" s="511">
        <v>23577</v>
      </c>
      <c r="E1740" s="507" t="s">
        <v>331</v>
      </c>
    </row>
    <row r="1741" spans="1:5" ht="15" x14ac:dyDescent="0.35">
      <c r="A1741" s="509">
        <v>6185</v>
      </c>
      <c r="B1741" s="510" t="s">
        <v>2082</v>
      </c>
      <c r="C1741" s="509" t="s">
        <v>32</v>
      </c>
      <c r="D1741" s="511">
        <v>868375</v>
      </c>
      <c r="E1741" s="507" t="s">
        <v>6108</v>
      </c>
    </row>
    <row r="1742" spans="1:5" ht="15" x14ac:dyDescent="0.35">
      <c r="A1742" s="509">
        <v>6186</v>
      </c>
      <c r="B1742" s="510" t="s">
        <v>309</v>
      </c>
      <c r="C1742" s="509" t="s">
        <v>307</v>
      </c>
      <c r="D1742" s="511">
        <v>19693</v>
      </c>
      <c r="E1742" s="507" t="s">
        <v>6108</v>
      </c>
    </row>
    <row r="1743" spans="1:5" ht="15" x14ac:dyDescent="0.35">
      <c r="A1743" s="509">
        <v>6187</v>
      </c>
      <c r="B1743" s="510" t="s">
        <v>310</v>
      </c>
      <c r="C1743" s="509" t="s">
        <v>307</v>
      </c>
      <c r="D1743" s="511">
        <v>235312</v>
      </c>
      <c r="E1743" s="507" t="s">
        <v>6108</v>
      </c>
    </row>
    <row r="1744" spans="1:5" ht="15" x14ac:dyDescent="0.35">
      <c r="A1744" s="509">
        <v>6189</v>
      </c>
      <c r="B1744" s="510" t="s">
        <v>2083</v>
      </c>
      <c r="C1744" s="509" t="s">
        <v>1413</v>
      </c>
      <c r="D1744" s="512">
        <v>4294497</v>
      </c>
      <c r="E1744" s="507" t="s">
        <v>6108</v>
      </c>
    </row>
    <row r="1745" spans="1:5" ht="15" x14ac:dyDescent="0.35">
      <c r="A1745" s="509">
        <v>6190</v>
      </c>
      <c r="B1745" s="510" t="s">
        <v>2084</v>
      </c>
      <c r="C1745" s="509" t="s">
        <v>2085</v>
      </c>
      <c r="D1745" s="512">
        <v>782</v>
      </c>
      <c r="E1745" s="507" t="s">
        <v>6108</v>
      </c>
    </row>
    <row r="1746" spans="1:5" ht="15" x14ac:dyDescent="0.35">
      <c r="A1746" s="509">
        <v>6191</v>
      </c>
      <c r="B1746" s="510" t="s">
        <v>2086</v>
      </c>
      <c r="C1746" s="509" t="s">
        <v>21</v>
      </c>
      <c r="D1746" s="512">
        <v>139631</v>
      </c>
      <c r="E1746" s="507" t="s">
        <v>6108</v>
      </c>
    </row>
    <row r="1747" spans="1:5" ht="15" x14ac:dyDescent="0.35">
      <c r="A1747" s="509">
        <v>6192</v>
      </c>
      <c r="B1747" s="510" t="s">
        <v>2087</v>
      </c>
      <c r="C1747" s="509" t="s">
        <v>21</v>
      </c>
      <c r="D1747" s="512">
        <v>121858</v>
      </c>
      <c r="E1747" s="507" t="s">
        <v>6108</v>
      </c>
    </row>
    <row r="1748" spans="1:5" ht="15" x14ac:dyDescent="0.35">
      <c r="A1748" s="509">
        <v>6193</v>
      </c>
      <c r="B1748" s="510" t="s">
        <v>2088</v>
      </c>
      <c r="C1748" s="509" t="s">
        <v>30</v>
      </c>
      <c r="D1748" s="512">
        <v>823705</v>
      </c>
      <c r="E1748" s="507" t="s">
        <v>6108</v>
      </c>
    </row>
    <row r="1749" spans="1:5" ht="15" x14ac:dyDescent="0.35">
      <c r="A1749" s="509">
        <v>6194</v>
      </c>
      <c r="B1749" s="510" t="s">
        <v>2089</v>
      </c>
      <c r="C1749" s="509" t="s">
        <v>328</v>
      </c>
      <c r="D1749" s="512">
        <v>620492</v>
      </c>
      <c r="E1749" s="507" t="s">
        <v>6108</v>
      </c>
    </row>
    <row r="1750" spans="1:5" ht="15" x14ac:dyDescent="0.35">
      <c r="A1750" s="509">
        <v>6198</v>
      </c>
      <c r="B1750" s="510" t="s">
        <v>2090</v>
      </c>
      <c r="C1750" s="509" t="s">
        <v>328</v>
      </c>
      <c r="D1750" s="512">
        <v>257553</v>
      </c>
      <c r="E1750" s="507" t="s">
        <v>6108</v>
      </c>
    </row>
    <row r="1751" spans="1:5" ht="15" x14ac:dyDescent="0.35">
      <c r="A1751" s="509">
        <v>6200</v>
      </c>
      <c r="B1751" s="510" t="s">
        <v>2091</v>
      </c>
      <c r="C1751" s="509" t="s">
        <v>30</v>
      </c>
      <c r="D1751" s="512">
        <v>1016966</v>
      </c>
      <c r="E1751" s="507" t="s">
        <v>6108</v>
      </c>
    </row>
    <row r="1752" spans="1:5" ht="15" x14ac:dyDescent="0.35">
      <c r="A1752" s="509">
        <v>6201</v>
      </c>
      <c r="B1752" s="510" t="s">
        <v>2092</v>
      </c>
      <c r="C1752" s="509" t="s">
        <v>30</v>
      </c>
      <c r="D1752" s="512">
        <v>1137993</v>
      </c>
      <c r="E1752" s="507" t="s">
        <v>6108</v>
      </c>
    </row>
    <row r="1753" spans="1:5" ht="15" x14ac:dyDescent="0.35">
      <c r="A1753" s="509">
        <v>6202</v>
      </c>
      <c r="B1753" s="510" t="s">
        <v>2093</v>
      </c>
      <c r="C1753" s="509" t="s">
        <v>328</v>
      </c>
      <c r="D1753" s="511">
        <v>36251</v>
      </c>
      <c r="E1753" s="507" t="s">
        <v>6108</v>
      </c>
    </row>
    <row r="1754" spans="1:5" ht="15" x14ac:dyDescent="0.35">
      <c r="A1754" s="509">
        <v>6203</v>
      </c>
      <c r="B1754" s="510" t="s">
        <v>2094</v>
      </c>
      <c r="C1754" s="509" t="s">
        <v>21</v>
      </c>
      <c r="D1754" s="512">
        <v>30823</v>
      </c>
      <c r="E1754" s="507" t="s">
        <v>6108</v>
      </c>
    </row>
    <row r="1755" spans="1:5" ht="15" x14ac:dyDescent="0.35">
      <c r="A1755" s="509">
        <v>6204</v>
      </c>
      <c r="B1755" s="510" t="s">
        <v>2095</v>
      </c>
      <c r="C1755" s="509" t="s">
        <v>328</v>
      </c>
      <c r="D1755" s="512">
        <v>31931</v>
      </c>
      <c r="E1755" s="507" t="s">
        <v>6108</v>
      </c>
    </row>
    <row r="1756" spans="1:5" ht="15" x14ac:dyDescent="0.35">
      <c r="A1756" s="509">
        <v>6206</v>
      </c>
      <c r="B1756" s="510" t="s">
        <v>2096</v>
      </c>
      <c r="C1756" s="509" t="s">
        <v>328</v>
      </c>
      <c r="D1756" s="512">
        <v>130881</v>
      </c>
      <c r="E1756" s="507" t="s">
        <v>6108</v>
      </c>
    </row>
    <row r="1757" spans="1:5" ht="15" x14ac:dyDescent="0.35">
      <c r="A1757" s="509">
        <v>6207</v>
      </c>
      <c r="B1757" s="510" t="s">
        <v>2097</v>
      </c>
      <c r="C1757" s="509" t="s">
        <v>21</v>
      </c>
      <c r="D1757" s="511">
        <v>177987</v>
      </c>
      <c r="E1757" s="507" t="s">
        <v>6108</v>
      </c>
    </row>
    <row r="1758" spans="1:5" ht="15" x14ac:dyDescent="0.35">
      <c r="A1758" s="509">
        <v>6212</v>
      </c>
      <c r="B1758" s="510" t="s">
        <v>2098</v>
      </c>
      <c r="C1758" s="509" t="s">
        <v>328</v>
      </c>
      <c r="D1758" s="512">
        <v>16151</v>
      </c>
      <c r="E1758" s="507" t="s">
        <v>6108</v>
      </c>
    </row>
    <row r="1759" spans="1:5" ht="15" x14ac:dyDescent="0.35">
      <c r="A1759" s="509">
        <v>6213</v>
      </c>
      <c r="B1759" s="510" t="s">
        <v>2099</v>
      </c>
      <c r="C1759" s="509" t="s">
        <v>328</v>
      </c>
      <c r="D1759" s="511">
        <v>20609</v>
      </c>
      <c r="E1759" s="507" t="s">
        <v>6108</v>
      </c>
    </row>
    <row r="1760" spans="1:5" ht="15" x14ac:dyDescent="0.35">
      <c r="A1760" s="509">
        <v>6214</v>
      </c>
      <c r="B1760" s="510" t="s">
        <v>2100</v>
      </c>
      <c r="C1760" s="509" t="s">
        <v>328</v>
      </c>
      <c r="D1760" s="511">
        <v>45658</v>
      </c>
      <c r="E1760" s="507" t="s">
        <v>6108</v>
      </c>
    </row>
    <row r="1761" spans="1:5" ht="15" x14ac:dyDescent="0.35">
      <c r="A1761" s="509">
        <v>6215</v>
      </c>
      <c r="B1761" s="510" t="s">
        <v>2101</v>
      </c>
      <c r="C1761" s="509" t="s">
        <v>328</v>
      </c>
      <c r="D1761" s="511">
        <v>21377</v>
      </c>
      <c r="E1761" s="507" t="s">
        <v>6108</v>
      </c>
    </row>
    <row r="1762" spans="1:5" ht="15" x14ac:dyDescent="0.35">
      <c r="A1762" s="509">
        <v>6216</v>
      </c>
      <c r="B1762" s="510" t="s">
        <v>2102</v>
      </c>
      <c r="C1762" s="509" t="s">
        <v>30</v>
      </c>
      <c r="D1762" s="511">
        <v>74699</v>
      </c>
      <c r="E1762" s="507" t="s">
        <v>6108</v>
      </c>
    </row>
    <row r="1763" spans="1:5" ht="15" x14ac:dyDescent="0.35">
      <c r="A1763" s="509">
        <v>6217</v>
      </c>
      <c r="B1763" s="510" t="s">
        <v>2103</v>
      </c>
      <c r="C1763" s="509" t="s">
        <v>32</v>
      </c>
      <c r="D1763" s="511">
        <v>26437</v>
      </c>
      <c r="E1763" s="507" t="s">
        <v>6108</v>
      </c>
    </row>
    <row r="1764" spans="1:5" ht="15" x14ac:dyDescent="0.35">
      <c r="A1764" s="509">
        <v>6218</v>
      </c>
      <c r="B1764" s="510" t="s">
        <v>2104</v>
      </c>
      <c r="C1764" s="509" t="s">
        <v>32</v>
      </c>
      <c r="D1764" s="511">
        <v>29687</v>
      </c>
      <c r="E1764" s="507" t="s">
        <v>6108</v>
      </c>
    </row>
    <row r="1765" spans="1:5" ht="15" x14ac:dyDescent="0.35">
      <c r="A1765" s="509">
        <v>6219</v>
      </c>
      <c r="B1765" s="510" t="s">
        <v>2105</v>
      </c>
      <c r="C1765" s="509" t="s">
        <v>32</v>
      </c>
      <c r="D1765" s="511">
        <v>841293</v>
      </c>
      <c r="E1765" s="507" t="s">
        <v>6108</v>
      </c>
    </row>
    <row r="1766" spans="1:5" ht="15" x14ac:dyDescent="0.35">
      <c r="A1766" s="509">
        <v>6221</v>
      </c>
      <c r="B1766" s="510" t="s">
        <v>2106</v>
      </c>
      <c r="C1766" s="509" t="s">
        <v>21</v>
      </c>
      <c r="D1766" s="512">
        <v>550163</v>
      </c>
      <c r="E1766" s="507" t="s">
        <v>6108</v>
      </c>
    </row>
    <row r="1767" spans="1:5" ht="15" x14ac:dyDescent="0.35">
      <c r="A1767" s="509">
        <v>6224</v>
      </c>
      <c r="B1767" s="510" t="s">
        <v>2107</v>
      </c>
      <c r="C1767" s="509" t="s">
        <v>21</v>
      </c>
      <c r="D1767" s="511">
        <v>14479</v>
      </c>
      <c r="E1767" s="507" t="s">
        <v>6108</v>
      </c>
    </row>
    <row r="1768" spans="1:5" ht="15" x14ac:dyDescent="0.35">
      <c r="A1768" s="509">
        <v>6225</v>
      </c>
      <c r="B1768" s="510" t="s">
        <v>2108</v>
      </c>
      <c r="C1768" s="509" t="s">
        <v>328</v>
      </c>
      <c r="D1768" s="511">
        <v>23881</v>
      </c>
      <c r="E1768" s="507" t="s">
        <v>6108</v>
      </c>
    </row>
    <row r="1769" spans="1:5" ht="15" x14ac:dyDescent="0.35">
      <c r="A1769" s="509">
        <v>6226</v>
      </c>
      <c r="B1769" s="510" t="s">
        <v>2109</v>
      </c>
      <c r="C1769" s="509" t="s">
        <v>21</v>
      </c>
      <c r="D1769" s="511">
        <v>12765</v>
      </c>
      <c r="E1769" s="507" t="s">
        <v>6108</v>
      </c>
    </row>
    <row r="1770" spans="1:5" ht="15" x14ac:dyDescent="0.35">
      <c r="A1770" s="509">
        <v>6227</v>
      </c>
      <c r="B1770" s="510" t="s">
        <v>2110</v>
      </c>
      <c r="C1770" s="509" t="s">
        <v>30</v>
      </c>
      <c r="D1770" s="511">
        <v>79846</v>
      </c>
      <c r="E1770" s="507" t="s">
        <v>6108</v>
      </c>
    </row>
    <row r="1771" spans="1:5" ht="15" x14ac:dyDescent="0.35">
      <c r="A1771" s="509">
        <v>6228</v>
      </c>
      <c r="B1771" s="510" t="s">
        <v>2111</v>
      </c>
      <c r="C1771" s="509" t="s">
        <v>30</v>
      </c>
      <c r="D1771" s="511">
        <v>82195</v>
      </c>
      <c r="E1771" s="507" t="s">
        <v>6108</v>
      </c>
    </row>
    <row r="1772" spans="1:5" ht="15" x14ac:dyDescent="0.35">
      <c r="A1772" s="509">
        <v>6229</v>
      </c>
      <c r="B1772" s="510" t="s">
        <v>2112</v>
      </c>
      <c r="C1772" s="509" t="s">
        <v>21</v>
      </c>
      <c r="D1772" s="512">
        <v>12215</v>
      </c>
      <c r="E1772" s="507" t="s">
        <v>331</v>
      </c>
    </row>
    <row r="1773" spans="1:5" ht="15" x14ac:dyDescent="0.35">
      <c r="A1773" s="509">
        <v>6230</v>
      </c>
      <c r="B1773" s="510" t="s">
        <v>2113</v>
      </c>
      <c r="C1773" s="509" t="s">
        <v>21</v>
      </c>
      <c r="D1773" s="511">
        <v>10016</v>
      </c>
      <c r="E1773" s="507" t="s">
        <v>6108</v>
      </c>
    </row>
    <row r="1774" spans="1:5" ht="15" x14ac:dyDescent="0.35">
      <c r="A1774" s="509">
        <v>6231</v>
      </c>
      <c r="B1774" s="510" t="s">
        <v>2114</v>
      </c>
      <c r="C1774" s="509" t="s">
        <v>21</v>
      </c>
      <c r="D1774" s="511">
        <v>13901</v>
      </c>
      <c r="E1774" s="507" t="s">
        <v>6108</v>
      </c>
    </row>
    <row r="1775" spans="1:5" ht="15" x14ac:dyDescent="0.35">
      <c r="A1775" s="509">
        <v>6232</v>
      </c>
      <c r="B1775" s="510" t="s">
        <v>2115</v>
      </c>
      <c r="C1775" s="509" t="s">
        <v>30</v>
      </c>
      <c r="D1775" s="511">
        <v>119536</v>
      </c>
      <c r="E1775" s="507" t="s">
        <v>6108</v>
      </c>
    </row>
    <row r="1776" spans="1:5" ht="15" x14ac:dyDescent="0.35">
      <c r="A1776" s="509">
        <v>6233</v>
      </c>
      <c r="B1776" s="510" t="s">
        <v>2116</v>
      </c>
      <c r="C1776" s="509" t="s">
        <v>30</v>
      </c>
      <c r="D1776" s="511">
        <v>138254</v>
      </c>
      <c r="E1776" s="507" t="s">
        <v>6108</v>
      </c>
    </row>
    <row r="1777" spans="1:5" ht="15" x14ac:dyDescent="0.35">
      <c r="A1777" s="509">
        <v>6234</v>
      </c>
      <c r="B1777" s="510" t="s">
        <v>2117</v>
      </c>
      <c r="C1777" s="509" t="s">
        <v>30</v>
      </c>
      <c r="D1777" s="511">
        <v>112754</v>
      </c>
      <c r="E1777" s="507" t="s">
        <v>331</v>
      </c>
    </row>
    <row r="1778" spans="1:5" ht="15" x14ac:dyDescent="0.35">
      <c r="A1778" s="509">
        <v>6235</v>
      </c>
      <c r="B1778" s="510" t="s">
        <v>2118</v>
      </c>
      <c r="C1778" s="509" t="s">
        <v>21</v>
      </c>
      <c r="D1778" s="511">
        <v>16696</v>
      </c>
      <c r="E1778" s="507" t="s">
        <v>331</v>
      </c>
    </row>
    <row r="1779" spans="1:5" ht="15" x14ac:dyDescent="0.35">
      <c r="A1779" s="509">
        <v>6236</v>
      </c>
      <c r="B1779" s="510" t="s">
        <v>2119</v>
      </c>
      <c r="C1779" s="509" t="s">
        <v>328</v>
      </c>
      <c r="D1779" s="512">
        <v>38145</v>
      </c>
      <c r="E1779" s="507" t="s">
        <v>6108</v>
      </c>
    </row>
    <row r="1780" spans="1:5" ht="15" x14ac:dyDescent="0.35">
      <c r="A1780" s="509">
        <v>6237</v>
      </c>
      <c r="B1780" s="510" t="s">
        <v>2120</v>
      </c>
      <c r="C1780" s="509" t="s">
        <v>328</v>
      </c>
      <c r="D1780" s="512">
        <v>38575</v>
      </c>
      <c r="E1780" s="507" t="s">
        <v>6108</v>
      </c>
    </row>
    <row r="1781" spans="1:5" ht="15" x14ac:dyDescent="0.35">
      <c r="A1781" s="509">
        <v>6238</v>
      </c>
      <c r="B1781" s="510" t="s">
        <v>2121</v>
      </c>
      <c r="C1781" s="509" t="s">
        <v>328</v>
      </c>
      <c r="D1781" s="512">
        <v>9644</v>
      </c>
      <c r="E1781" s="507" t="s">
        <v>331</v>
      </c>
    </row>
    <row r="1782" spans="1:5" ht="15" x14ac:dyDescent="0.35">
      <c r="A1782" s="509">
        <v>6239</v>
      </c>
      <c r="B1782" s="510" t="s">
        <v>2122</v>
      </c>
      <c r="C1782" s="509" t="s">
        <v>21</v>
      </c>
      <c r="D1782" s="512">
        <v>96934</v>
      </c>
      <c r="E1782" s="507" t="s">
        <v>331</v>
      </c>
    </row>
    <row r="1783" spans="1:5" ht="15" x14ac:dyDescent="0.35">
      <c r="A1783" s="509">
        <v>6246</v>
      </c>
      <c r="B1783" s="510" t="s">
        <v>2123</v>
      </c>
      <c r="C1783" s="509" t="s">
        <v>21</v>
      </c>
      <c r="D1783" s="511">
        <v>290808</v>
      </c>
      <c r="E1783" s="507" t="s">
        <v>6108</v>
      </c>
    </row>
    <row r="1784" spans="1:5" ht="15" x14ac:dyDescent="0.35">
      <c r="A1784" s="509">
        <v>6247</v>
      </c>
      <c r="B1784" s="510" t="s">
        <v>2124</v>
      </c>
      <c r="C1784" s="509" t="s">
        <v>2125</v>
      </c>
      <c r="D1784" s="511">
        <v>2543</v>
      </c>
      <c r="E1784" s="507" t="s">
        <v>331</v>
      </c>
    </row>
    <row r="1785" spans="1:5" ht="15" x14ac:dyDescent="0.35">
      <c r="A1785" s="509">
        <v>6249</v>
      </c>
      <c r="B1785" s="510" t="s">
        <v>2126</v>
      </c>
      <c r="C1785" s="509" t="s">
        <v>2125</v>
      </c>
      <c r="D1785" s="512">
        <v>2381</v>
      </c>
      <c r="E1785" s="507" t="s">
        <v>6108</v>
      </c>
    </row>
    <row r="1786" spans="1:5" ht="15" x14ac:dyDescent="0.35">
      <c r="A1786" s="509">
        <v>6250</v>
      </c>
      <c r="B1786" s="510" t="s">
        <v>2127</v>
      </c>
      <c r="C1786" s="509" t="s">
        <v>2125</v>
      </c>
      <c r="D1786" s="512">
        <v>2798</v>
      </c>
      <c r="E1786" s="507" t="s">
        <v>6108</v>
      </c>
    </row>
    <row r="1787" spans="1:5" ht="15" x14ac:dyDescent="0.35">
      <c r="A1787" s="509">
        <v>6251</v>
      </c>
      <c r="B1787" s="510" t="s">
        <v>2128</v>
      </c>
      <c r="C1787" s="509" t="s">
        <v>2125</v>
      </c>
      <c r="D1787" s="512">
        <v>3413</v>
      </c>
      <c r="E1787" s="507" t="s">
        <v>6108</v>
      </c>
    </row>
    <row r="1788" spans="1:5" ht="15" x14ac:dyDescent="0.35">
      <c r="A1788" s="509">
        <v>6262</v>
      </c>
      <c r="B1788" s="510" t="s">
        <v>2136</v>
      </c>
      <c r="C1788" s="509" t="s">
        <v>21</v>
      </c>
      <c r="D1788" s="512">
        <v>51326</v>
      </c>
      <c r="E1788" s="507" t="s">
        <v>6108</v>
      </c>
    </row>
    <row r="1789" spans="1:5" ht="15" x14ac:dyDescent="0.35">
      <c r="A1789" s="509">
        <v>6263</v>
      </c>
      <c r="B1789" s="510" t="s">
        <v>2137</v>
      </c>
      <c r="C1789" s="509" t="s">
        <v>21</v>
      </c>
      <c r="D1789" s="511">
        <v>12380</v>
      </c>
      <c r="E1789" s="507" t="s">
        <v>331</v>
      </c>
    </row>
    <row r="1790" spans="1:5" ht="15" x14ac:dyDescent="0.35">
      <c r="A1790" s="509">
        <v>6264</v>
      </c>
      <c r="B1790" s="510" t="s">
        <v>2138</v>
      </c>
      <c r="C1790" s="509" t="s">
        <v>32</v>
      </c>
      <c r="D1790" s="512">
        <v>12870</v>
      </c>
      <c r="E1790" s="507" t="s">
        <v>6108</v>
      </c>
    </row>
    <row r="1791" spans="1:5" ht="15" x14ac:dyDescent="0.35">
      <c r="A1791" s="509">
        <v>6265</v>
      </c>
      <c r="B1791" s="510" t="s">
        <v>2139</v>
      </c>
      <c r="C1791" s="509" t="s">
        <v>21</v>
      </c>
      <c r="D1791" s="511">
        <v>18209</v>
      </c>
      <c r="E1791" s="507" t="s">
        <v>6108</v>
      </c>
    </row>
    <row r="1792" spans="1:5" ht="15" x14ac:dyDescent="0.35">
      <c r="A1792" s="509">
        <v>6266</v>
      </c>
      <c r="B1792" s="510" t="s">
        <v>2140</v>
      </c>
      <c r="C1792" s="509" t="s">
        <v>21</v>
      </c>
      <c r="D1792" s="511">
        <v>24936</v>
      </c>
      <c r="E1792" s="507" t="s">
        <v>331</v>
      </c>
    </row>
    <row r="1793" spans="1:5" ht="15" x14ac:dyDescent="0.35">
      <c r="A1793" s="509">
        <v>6269</v>
      </c>
      <c r="B1793" s="510" t="s">
        <v>2142</v>
      </c>
      <c r="C1793" s="509" t="s">
        <v>21</v>
      </c>
      <c r="D1793" s="512">
        <v>66635</v>
      </c>
      <c r="E1793" s="507" t="s">
        <v>6108</v>
      </c>
    </row>
    <row r="1794" spans="1:5" ht="15" x14ac:dyDescent="0.35">
      <c r="A1794" s="509">
        <v>6273</v>
      </c>
      <c r="B1794" s="510" t="s">
        <v>2144</v>
      </c>
      <c r="C1794" s="509" t="s">
        <v>2145</v>
      </c>
      <c r="D1794" s="511">
        <v>3911</v>
      </c>
      <c r="E1794" s="507" t="s">
        <v>6108</v>
      </c>
    </row>
    <row r="1795" spans="1:5" ht="15" x14ac:dyDescent="0.35">
      <c r="A1795" s="509">
        <v>6275</v>
      </c>
      <c r="B1795" s="510" t="s">
        <v>2146</v>
      </c>
      <c r="C1795" s="509" t="s">
        <v>328</v>
      </c>
      <c r="D1795" s="511">
        <v>150444</v>
      </c>
      <c r="E1795" s="507" t="s">
        <v>6108</v>
      </c>
    </row>
    <row r="1796" spans="1:5" ht="15" x14ac:dyDescent="0.35">
      <c r="A1796" s="509">
        <v>6276</v>
      </c>
      <c r="B1796" s="510" t="s">
        <v>2147</v>
      </c>
      <c r="C1796" s="509" t="s">
        <v>328</v>
      </c>
      <c r="D1796" s="511">
        <v>159164</v>
      </c>
      <c r="E1796" s="507" t="s">
        <v>6108</v>
      </c>
    </row>
    <row r="1797" spans="1:5" ht="15" x14ac:dyDescent="0.35">
      <c r="A1797" s="509">
        <v>6278</v>
      </c>
      <c r="B1797" s="510" t="s">
        <v>2148</v>
      </c>
      <c r="C1797" s="509" t="s">
        <v>328</v>
      </c>
      <c r="D1797" s="511">
        <v>63492</v>
      </c>
      <c r="E1797" s="507" t="s">
        <v>331</v>
      </c>
    </row>
    <row r="1798" spans="1:5" ht="15" x14ac:dyDescent="0.35">
      <c r="A1798" s="509">
        <v>6279</v>
      </c>
      <c r="B1798" s="510" t="s">
        <v>2149</v>
      </c>
      <c r="C1798" s="509" t="s">
        <v>328</v>
      </c>
      <c r="D1798" s="511">
        <v>60220</v>
      </c>
      <c r="E1798" s="507" t="s">
        <v>6108</v>
      </c>
    </row>
    <row r="1799" spans="1:5" ht="15" x14ac:dyDescent="0.35">
      <c r="A1799" s="509">
        <v>6280</v>
      </c>
      <c r="B1799" s="510" t="s">
        <v>2150</v>
      </c>
      <c r="C1799" s="509" t="s">
        <v>21</v>
      </c>
      <c r="D1799" s="511">
        <v>212998</v>
      </c>
      <c r="E1799" s="507" t="s">
        <v>331</v>
      </c>
    </row>
    <row r="1800" spans="1:5" ht="15" x14ac:dyDescent="0.35">
      <c r="A1800" s="509">
        <v>6281</v>
      </c>
      <c r="B1800" s="510" t="s">
        <v>2151</v>
      </c>
      <c r="C1800" s="509" t="s">
        <v>21</v>
      </c>
      <c r="D1800" s="511">
        <v>60853</v>
      </c>
      <c r="E1800" s="507" t="s">
        <v>6108</v>
      </c>
    </row>
    <row r="1801" spans="1:5" ht="15" x14ac:dyDescent="0.35">
      <c r="A1801" s="509">
        <v>6282</v>
      </c>
      <c r="B1801" s="510" t="s">
        <v>2152</v>
      </c>
      <c r="C1801" s="509" t="s">
        <v>21</v>
      </c>
      <c r="D1801" s="511">
        <v>76243</v>
      </c>
      <c r="E1801" s="507" t="s">
        <v>331</v>
      </c>
    </row>
    <row r="1802" spans="1:5" ht="15" x14ac:dyDescent="0.35">
      <c r="A1802" s="509">
        <v>6283</v>
      </c>
      <c r="B1802" s="510" t="s">
        <v>2153</v>
      </c>
      <c r="C1802" s="509" t="s">
        <v>21</v>
      </c>
      <c r="D1802" s="511">
        <v>144739</v>
      </c>
      <c r="E1802" s="507" t="s">
        <v>6108</v>
      </c>
    </row>
    <row r="1803" spans="1:5" ht="15" x14ac:dyDescent="0.35">
      <c r="A1803" s="509">
        <v>6284</v>
      </c>
      <c r="B1803" s="510" t="s">
        <v>2154</v>
      </c>
      <c r="C1803" s="509" t="s">
        <v>21</v>
      </c>
      <c r="D1803" s="512">
        <v>61142</v>
      </c>
      <c r="E1803" s="507" t="s">
        <v>6108</v>
      </c>
    </row>
    <row r="1804" spans="1:5" ht="15" x14ac:dyDescent="0.35">
      <c r="A1804" s="509">
        <v>6285</v>
      </c>
      <c r="B1804" s="510" t="s">
        <v>2155</v>
      </c>
      <c r="C1804" s="509" t="s">
        <v>30</v>
      </c>
      <c r="D1804" s="511">
        <v>709318</v>
      </c>
      <c r="E1804" s="507" t="s">
        <v>6108</v>
      </c>
    </row>
    <row r="1805" spans="1:5" ht="15" x14ac:dyDescent="0.35">
      <c r="A1805" s="509">
        <v>6286</v>
      </c>
      <c r="B1805" s="510" t="s">
        <v>2156</v>
      </c>
      <c r="C1805" s="509" t="s">
        <v>21</v>
      </c>
      <c r="D1805" s="511">
        <v>127289</v>
      </c>
      <c r="E1805" s="507" t="s">
        <v>6108</v>
      </c>
    </row>
    <row r="1806" spans="1:5" ht="15" x14ac:dyDescent="0.35">
      <c r="A1806" s="509">
        <v>6287</v>
      </c>
      <c r="B1806" s="510" t="s">
        <v>2157</v>
      </c>
      <c r="C1806" s="509" t="s">
        <v>328</v>
      </c>
      <c r="D1806" s="511">
        <v>29346</v>
      </c>
      <c r="E1806" s="507" t="s">
        <v>6108</v>
      </c>
    </row>
    <row r="1807" spans="1:5" ht="15" x14ac:dyDescent="0.35">
      <c r="A1807" s="509">
        <v>6288</v>
      </c>
      <c r="B1807" s="510" t="s">
        <v>2158</v>
      </c>
      <c r="C1807" s="509" t="s">
        <v>328</v>
      </c>
      <c r="D1807" s="511">
        <v>22902</v>
      </c>
      <c r="E1807" s="507" t="s">
        <v>6108</v>
      </c>
    </row>
    <row r="1808" spans="1:5" ht="15" x14ac:dyDescent="0.35">
      <c r="A1808" s="509">
        <v>6289</v>
      </c>
      <c r="B1808" s="510" t="s">
        <v>2159</v>
      </c>
      <c r="C1808" s="509" t="s">
        <v>328</v>
      </c>
      <c r="D1808" s="512">
        <v>31936</v>
      </c>
      <c r="E1808" s="507" t="s">
        <v>6108</v>
      </c>
    </row>
    <row r="1809" spans="1:5" ht="15" x14ac:dyDescent="0.35">
      <c r="A1809" s="509">
        <v>6290</v>
      </c>
      <c r="B1809" s="510" t="s">
        <v>2160</v>
      </c>
      <c r="C1809" s="509" t="s">
        <v>670</v>
      </c>
      <c r="D1809" s="511">
        <v>31766</v>
      </c>
      <c r="E1809" s="507" t="s">
        <v>6108</v>
      </c>
    </row>
    <row r="1810" spans="1:5" ht="15" x14ac:dyDescent="0.35">
      <c r="A1810" s="509">
        <v>6291</v>
      </c>
      <c r="B1810" s="510" t="s">
        <v>2161</v>
      </c>
      <c r="C1810" s="509" t="s">
        <v>328</v>
      </c>
      <c r="D1810" s="512">
        <v>22527</v>
      </c>
      <c r="E1810" s="507" t="s">
        <v>6108</v>
      </c>
    </row>
    <row r="1811" spans="1:5" ht="15" x14ac:dyDescent="0.35">
      <c r="A1811" s="509">
        <v>6292</v>
      </c>
      <c r="B1811" s="510" t="s">
        <v>2162</v>
      </c>
      <c r="C1811" s="509" t="s">
        <v>670</v>
      </c>
      <c r="D1811" s="512">
        <v>35199</v>
      </c>
      <c r="E1811" s="507" t="s">
        <v>331</v>
      </c>
    </row>
    <row r="1812" spans="1:5" ht="15" x14ac:dyDescent="0.35">
      <c r="A1812" s="509">
        <v>6294</v>
      </c>
      <c r="B1812" s="510" t="s">
        <v>2163</v>
      </c>
      <c r="C1812" s="509" t="s">
        <v>328</v>
      </c>
      <c r="D1812" s="512">
        <v>45256</v>
      </c>
      <c r="E1812" s="507" t="s">
        <v>6108</v>
      </c>
    </row>
    <row r="1813" spans="1:5" ht="15" x14ac:dyDescent="0.35">
      <c r="A1813" s="509">
        <v>6295</v>
      </c>
      <c r="B1813" s="510" t="s">
        <v>2164</v>
      </c>
      <c r="C1813" s="509" t="s">
        <v>328</v>
      </c>
      <c r="D1813" s="512">
        <v>45215</v>
      </c>
      <c r="E1813" s="507" t="s">
        <v>6108</v>
      </c>
    </row>
    <row r="1814" spans="1:5" ht="15" x14ac:dyDescent="0.35">
      <c r="A1814" s="509">
        <v>6296</v>
      </c>
      <c r="B1814" s="510" t="s">
        <v>2165</v>
      </c>
      <c r="C1814" s="509" t="s">
        <v>328</v>
      </c>
      <c r="D1814" s="511">
        <v>71698</v>
      </c>
      <c r="E1814" s="507" t="s">
        <v>6108</v>
      </c>
    </row>
    <row r="1815" spans="1:5" ht="15" x14ac:dyDescent="0.35">
      <c r="A1815" s="509">
        <v>6297</v>
      </c>
      <c r="B1815" s="510" t="s">
        <v>2166</v>
      </c>
      <c r="C1815" s="509" t="s">
        <v>30</v>
      </c>
      <c r="D1815" s="511">
        <v>801817</v>
      </c>
      <c r="E1815" s="507" t="s">
        <v>6108</v>
      </c>
    </row>
    <row r="1816" spans="1:5" ht="15" x14ac:dyDescent="0.35">
      <c r="A1816" s="509">
        <v>6298</v>
      </c>
      <c r="B1816" s="510" t="s">
        <v>2167</v>
      </c>
      <c r="C1816" s="509" t="s">
        <v>30</v>
      </c>
      <c r="D1816" s="512">
        <v>708646</v>
      </c>
      <c r="E1816" s="507" t="s">
        <v>6108</v>
      </c>
    </row>
    <row r="1817" spans="1:5" ht="15" x14ac:dyDescent="0.35">
      <c r="A1817" s="509">
        <v>6299</v>
      </c>
      <c r="B1817" s="510" t="s">
        <v>2168</v>
      </c>
      <c r="C1817" s="509" t="s">
        <v>30</v>
      </c>
      <c r="D1817" s="512">
        <v>693086</v>
      </c>
      <c r="E1817" s="507" t="s">
        <v>331</v>
      </c>
    </row>
    <row r="1818" spans="1:5" ht="15" x14ac:dyDescent="0.35">
      <c r="A1818" s="509">
        <v>6301</v>
      </c>
      <c r="B1818" s="510" t="s">
        <v>2169</v>
      </c>
      <c r="C1818" s="509" t="s">
        <v>30</v>
      </c>
      <c r="D1818" s="512">
        <v>1085776</v>
      </c>
      <c r="E1818" s="507" t="s">
        <v>331</v>
      </c>
    </row>
    <row r="1819" spans="1:5" ht="15" x14ac:dyDescent="0.35">
      <c r="A1819" s="509">
        <v>6302</v>
      </c>
      <c r="B1819" s="510" t="s">
        <v>2170</v>
      </c>
      <c r="C1819" s="509" t="s">
        <v>30</v>
      </c>
      <c r="D1819" s="512">
        <v>845024</v>
      </c>
      <c r="E1819" s="507" t="s">
        <v>331</v>
      </c>
    </row>
    <row r="1820" spans="1:5" ht="15" x14ac:dyDescent="0.35">
      <c r="A1820" s="509">
        <v>6303</v>
      </c>
      <c r="B1820" s="510" t="s">
        <v>2171</v>
      </c>
      <c r="C1820" s="509" t="s">
        <v>21</v>
      </c>
      <c r="D1820" s="511">
        <v>10201</v>
      </c>
      <c r="E1820" s="507" t="s">
        <v>6108</v>
      </c>
    </row>
    <row r="1821" spans="1:5" ht="15" x14ac:dyDescent="0.35">
      <c r="A1821" s="509">
        <v>6304</v>
      </c>
      <c r="B1821" s="510" t="s">
        <v>2172</v>
      </c>
      <c r="C1821" s="509" t="s">
        <v>21</v>
      </c>
      <c r="D1821" s="511">
        <v>10051</v>
      </c>
      <c r="E1821" s="507" t="s">
        <v>6108</v>
      </c>
    </row>
    <row r="1822" spans="1:5" ht="15" x14ac:dyDescent="0.35">
      <c r="A1822" s="509">
        <v>6308</v>
      </c>
      <c r="B1822" s="510" t="s">
        <v>2174</v>
      </c>
      <c r="C1822" s="509" t="s">
        <v>21</v>
      </c>
      <c r="D1822" s="511">
        <v>5232</v>
      </c>
      <c r="E1822" s="507" t="s">
        <v>6108</v>
      </c>
    </row>
    <row r="1823" spans="1:5" ht="15" x14ac:dyDescent="0.35">
      <c r="A1823" s="509">
        <v>6309</v>
      </c>
      <c r="B1823" s="510" t="s">
        <v>2175</v>
      </c>
      <c r="C1823" s="509" t="s">
        <v>21</v>
      </c>
      <c r="D1823" s="511">
        <v>18555</v>
      </c>
      <c r="E1823" s="507" t="s">
        <v>6108</v>
      </c>
    </row>
    <row r="1824" spans="1:5" ht="15" x14ac:dyDescent="0.35">
      <c r="A1824" s="509">
        <v>6311</v>
      </c>
      <c r="B1824" s="510" t="s">
        <v>2176</v>
      </c>
      <c r="C1824" s="509" t="s">
        <v>21</v>
      </c>
      <c r="D1824" s="512">
        <v>511370</v>
      </c>
      <c r="E1824" s="507" t="s">
        <v>6108</v>
      </c>
    </row>
    <row r="1825" spans="1:5" ht="15" x14ac:dyDescent="0.35">
      <c r="A1825" s="509">
        <v>6313</v>
      </c>
      <c r="B1825" s="510" t="s">
        <v>2177</v>
      </c>
      <c r="C1825" s="509" t="s">
        <v>30</v>
      </c>
      <c r="D1825" s="512">
        <v>1243369</v>
      </c>
      <c r="E1825" s="507" t="s">
        <v>6108</v>
      </c>
    </row>
    <row r="1826" spans="1:5" ht="15" x14ac:dyDescent="0.35">
      <c r="A1826" s="509">
        <v>6314</v>
      </c>
      <c r="B1826" s="510" t="s">
        <v>2178</v>
      </c>
      <c r="C1826" s="509" t="s">
        <v>30</v>
      </c>
      <c r="D1826" s="512">
        <v>1250224</v>
      </c>
      <c r="E1826" s="507" t="s">
        <v>6108</v>
      </c>
    </row>
    <row r="1827" spans="1:5" ht="15" x14ac:dyDescent="0.35">
      <c r="A1827" s="509">
        <v>6315</v>
      </c>
      <c r="B1827" s="510" t="s">
        <v>2179</v>
      </c>
      <c r="C1827" s="509" t="s">
        <v>30</v>
      </c>
      <c r="D1827" s="511">
        <v>1278749</v>
      </c>
      <c r="E1827" s="507" t="s">
        <v>6108</v>
      </c>
    </row>
    <row r="1828" spans="1:5" ht="15" x14ac:dyDescent="0.35">
      <c r="A1828" s="509">
        <v>6316</v>
      </c>
      <c r="B1828" s="510" t="s">
        <v>2180</v>
      </c>
      <c r="C1828" s="509" t="s">
        <v>30</v>
      </c>
      <c r="D1828" s="511">
        <v>1372085</v>
      </c>
      <c r="E1828" s="507" t="s">
        <v>6108</v>
      </c>
    </row>
    <row r="1829" spans="1:5" ht="15" x14ac:dyDescent="0.35">
      <c r="A1829" s="509">
        <v>6317</v>
      </c>
      <c r="B1829" s="510" t="s">
        <v>2181</v>
      </c>
      <c r="C1829" s="509" t="s">
        <v>328</v>
      </c>
      <c r="D1829" s="512">
        <v>5818991</v>
      </c>
      <c r="E1829" s="507" t="s">
        <v>6108</v>
      </c>
    </row>
    <row r="1830" spans="1:5" ht="15" x14ac:dyDescent="0.35">
      <c r="A1830" s="509">
        <v>6318</v>
      </c>
      <c r="B1830" s="510" t="s">
        <v>2182</v>
      </c>
      <c r="C1830" s="509" t="s">
        <v>307</v>
      </c>
      <c r="D1830" s="512">
        <v>124818</v>
      </c>
      <c r="E1830" s="507" t="s">
        <v>6108</v>
      </c>
    </row>
    <row r="1831" spans="1:5" ht="15" x14ac:dyDescent="0.35">
      <c r="A1831" s="509">
        <v>6319</v>
      </c>
      <c r="B1831" s="510" t="s">
        <v>2183</v>
      </c>
      <c r="C1831" s="509" t="s">
        <v>328</v>
      </c>
      <c r="D1831" s="512">
        <v>3837201</v>
      </c>
      <c r="E1831" s="507" t="s">
        <v>6108</v>
      </c>
    </row>
    <row r="1832" spans="1:5" ht="15" x14ac:dyDescent="0.35">
      <c r="A1832" s="509">
        <v>6320</v>
      </c>
      <c r="B1832" s="510" t="s">
        <v>2184</v>
      </c>
      <c r="C1832" s="509" t="s">
        <v>32</v>
      </c>
      <c r="D1832" s="511">
        <v>4469633</v>
      </c>
      <c r="E1832" s="507" t="s">
        <v>6108</v>
      </c>
    </row>
    <row r="1833" spans="1:5" ht="15" x14ac:dyDescent="0.35">
      <c r="A1833" s="509">
        <v>6321</v>
      </c>
      <c r="B1833" s="510" t="s">
        <v>2185</v>
      </c>
      <c r="C1833" s="509" t="s">
        <v>30</v>
      </c>
      <c r="D1833" s="511">
        <v>994396</v>
      </c>
      <c r="E1833" s="507" t="s">
        <v>331</v>
      </c>
    </row>
    <row r="1834" spans="1:5" ht="15" x14ac:dyDescent="0.35">
      <c r="A1834" s="509">
        <v>6323</v>
      </c>
      <c r="B1834" s="510" t="s">
        <v>2187</v>
      </c>
      <c r="C1834" s="509" t="s">
        <v>328</v>
      </c>
      <c r="D1834" s="512">
        <v>924103</v>
      </c>
      <c r="E1834" s="507" t="s">
        <v>6108</v>
      </c>
    </row>
    <row r="1835" spans="1:5" ht="15" x14ac:dyDescent="0.35">
      <c r="A1835" s="509">
        <v>6325</v>
      </c>
      <c r="B1835" s="510" t="s">
        <v>2189</v>
      </c>
      <c r="C1835" s="509" t="s">
        <v>32</v>
      </c>
      <c r="D1835" s="511">
        <v>89632</v>
      </c>
      <c r="E1835" s="507" t="s">
        <v>6108</v>
      </c>
    </row>
    <row r="1836" spans="1:5" ht="15" x14ac:dyDescent="0.35">
      <c r="A1836" s="509">
        <v>6326</v>
      </c>
      <c r="B1836" s="510" t="s">
        <v>2190</v>
      </c>
      <c r="C1836" s="509" t="s">
        <v>30</v>
      </c>
      <c r="D1836" s="511">
        <v>200653</v>
      </c>
      <c r="E1836" s="507" t="s">
        <v>6108</v>
      </c>
    </row>
    <row r="1837" spans="1:5" ht="15" x14ac:dyDescent="0.35">
      <c r="A1837" s="509">
        <v>6327</v>
      </c>
      <c r="B1837" s="510" t="s">
        <v>2191</v>
      </c>
      <c r="C1837" s="509" t="s">
        <v>2192</v>
      </c>
      <c r="D1837" s="511">
        <v>595000</v>
      </c>
      <c r="E1837" s="507" t="s">
        <v>6108</v>
      </c>
    </row>
    <row r="1838" spans="1:5" ht="15" x14ac:dyDescent="0.35">
      <c r="A1838" s="509">
        <v>6328</v>
      </c>
      <c r="B1838" s="510" t="s">
        <v>2193</v>
      </c>
      <c r="C1838" s="509" t="s">
        <v>2192</v>
      </c>
      <c r="D1838" s="511">
        <v>714000</v>
      </c>
      <c r="E1838" s="507" t="s">
        <v>6108</v>
      </c>
    </row>
    <row r="1839" spans="1:5" ht="15" x14ac:dyDescent="0.35">
      <c r="A1839" s="509">
        <v>6329</v>
      </c>
      <c r="B1839" s="510" t="s">
        <v>2194</v>
      </c>
      <c r="C1839" s="509" t="s">
        <v>2192</v>
      </c>
      <c r="D1839" s="512">
        <v>952000</v>
      </c>
      <c r="E1839" s="507" t="s">
        <v>6108</v>
      </c>
    </row>
    <row r="1840" spans="1:5" ht="15" x14ac:dyDescent="0.35">
      <c r="A1840" s="509">
        <v>6333</v>
      </c>
      <c r="B1840" s="510" t="s">
        <v>2195</v>
      </c>
      <c r="C1840" s="509" t="s">
        <v>30</v>
      </c>
      <c r="D1840" s="511">
        <v>276241</v>
      </c>
      <c r="E1840" s="507" t="s">
        <v>6108</v>
      </c>
    </row>
    <row r="1841" spans="1:5" ht="15" x14ac:dyDescent="0.35">
      <c r="A1841" s="509">
        <v>6335</v>
      </c>
      <c r="B1841" s="510" t="s">
        <v>2196</v>
      </c>
      <c r="C1841" s="509" t="s">
        <v>328</v>
      </c>
      <c r="D1841" s="511">
        <v>129608</v>
      </c>
      <c r="E1841" s="507" t="s">
        <v>6108</v>
      </c>
    </row>
    <row r="1842" spans="1:5" ht="15" x14ac:dyDescent="0.35">
      <c r="A1842" s="509">
        <v>6339</v>
      </c>
      <c r="B1842" s="510" t="s">
        <v>2197</v>
      </c>
      <c r="C1842" s="509" t="s">
        <v>32</v>
      </c>
      <c r="D1842" s="511">
        <v>6543706</v>
      </c>
      <c r="E1842" s="507" t="s">
        <v>331</v>
      </c>
    </row>
    <row r="1843" spans="1:5" ht="15" x14ac:dyDescent="0.35">
      <c r="A1843" s="509">
        <v>6340</v>
      </c>
      <c r="B1843" s="510" t="s">
        <v>2198</v>
      </c>
      <c r="C1843" s="509" t="s">
        <v>30</v>
      </c>
      <c r="D1843" s="511">
        <v>300539</v>
      </c>
      <c r="E1843" s="507" t="s">
        <v>331</v>
      </c>
    </row>
    <row r="1844" spans="1:5" ht="15" x14ac:dyDescent="0.35">
      <c r="A1844" s="509">
        <v>6341</v>
      </c>
      <c r="B1844" s="510" t="s">
        <v>2199</v>
      </c>
      <c r="C1844" s="509" t="s">
        <v>32</v>
      </c>
      <c r="D1844" s="511">
        <v>906749</v>
      </c>
      <c r="E1844" s="507" t="s">
        <v>331</v>
      </c>
    </row>
    <row r="1845" spans="1:5" ht="15" x14ac:dyDescent="0.35">
      <c r="A1845" s="509">
        <v>6342</v>
      </c>
      <c r="B1845" s="510" t="s">
        <v>2200</v>
      </c>
      <c r="C1845" s="509" t="s">
        <v>32</v>
      </c>
      <c r="D1845" s="512">
        <v>9304235</v>
      </c>
      <c r="E1845" s="507" t="s">
        <v>331</v>
      </c>
    </row>
    <row r="1846" spans="1:5" ht="15" x14ac:dyDescent="0.35">
      <c r="A1846" s="509">
        <v>6346</v>
      </c>
      <c r="B1846" s="510" t="s">
        <v>2201</v>
      </c>
      <c r="C1846" s="509" t="s">
        <v>328</v>
      </c>
      <c r="D1846" s="511">
        <v>41344</v>
      </c>
      <c r="E1846" s="507" t="s">
        <v>331</v>
      </c>
    </row>
    <row r="1847" spans="1:5" ht="15" x14ac:dyDescent="0.35">
      <c r="A1847" s="509">
        <v>6352</v>
      </c>
      <c r="B1847" s="510" t="s">
        <v>2202</v>
      </c>
      <c r="C1847" s="509" t="s">
        <v>21</v>
      </c>
      <c r="D1847" s="511">
        <v>98617</v>
      </c>
      <c r="E1847" s="507" t="s">
        <v>331</v>
      </c>
    </row>
    <row r="1848" spans="1:5" ht="15" x14ac:dyDescent="0.35">
      <c r="A1848" s="509">
        <v>6353</v>
      </c>
      <c r="B1848" s="510" t="s">
        <v>2203</v>
      </c>
      <c r="C1848" s="509" t="s">
        <v>2125</v>
      </c>
      <c r="D1848" s="511">
        <v>3084</v>
      </c>
      <c r="E1848" s="507" t="s">
        <v>331</v>
      </c>
    </row>
    <row r="1849" spans="1:5" ht="15" x14ac:dyDescent="0.35">
      <c r="A1849" s="509">
        <v>6364</v>
      </c>
      <c r="B1849" s="510" t="s">
        <v>2204</v>
      </c>
      <c r="C1849" s="509" t="s">
        <v>32</v>
      </c>
      <c r="D1849" s="511">
        <v>7864390</v>
      </c>
      <c r="E1849" s="507" t="s">
        <v>331</v>
      </c>
    </row>
    <row r="1850" spans="1:5" ht="15" x14ac:dyDescent="0.35">
      <c r="A1850" s="509">
        <v>6365</v>
      </c>
      <c r="B1850" s="510" t="s">
        <v>2205</v>
      </c>
      <c r="C1850" s="509" t="s">
        <v>32</v>
      </c>
      <c r="D1850" s="511">
        <v>1174162</v>
      </c>
      <c r="E1850" s="507" t="s">
        <v>331</v>
      </c>
    </row>
    <row r="1851" spans="1:5" ht="15" x14ac:dyDescent="0.35">
      <c r="A1851" s="509">
        <v>6366</v>
      </c>
      <c r="B1851" s="510" t="s">
        <v>2206</v>
      </c>
      <c r="C1851" s="509" t="s">
        <v>32</v>
      </c>
      <c r="D1851" s="512">
        <v>763033</v>
      </c>
      <c r="E1851" s="507" t="s">
        <v>331</v>
      </c>
    </row>
    <row r="1852" spans="1:5" ht="15" x14ac:dyDescent="0.35">
      <c r="A1852" s="509">
        <v>6367</v>
      </c>
      <c r="B1852" s="510" t="s">
        <v>2207</v>
      </c>
      <c r="C1852" s="509" t="s">
        <v>32</v>
      </c>
      <c r="D1852" s="511">
        <v>666599</v>
      </c>
      <c r="E1852" s="507" t="s">
        <v>331</v>
      </c>
    </row>
    <row r="1853" spans="1:5" ht="15" x14ac:dyDescent="0.35">
      <c r="A1853" s="509">
        <v>6371</v>
      </c>
      <c r="B1853" s="510" t="s">
        <v>2208</v>
      </c>
      <c r="C1853" s="509" t="s">
        <v>32</v>
      </c>
      <c r="D1853" s="511">
        <v>7864390</v>
      </c>
      <c r="E1853" s="507" t="s">
        <v>331</v>
      </c>
    </row>
    <row r="1854" spans="1:5" ht="15" x14ac:dyDescent="0.35">
      <c r="A1854" s="509">
        <v>6372</v>
      </c>
      <c r="B1854" s="510" t="s">
        <v>2209</v>
      </c>
      <c r="C1854" s="509" t="s">
        <v>32</v>
      </c>
      <c r="D1854" s="511">
        <v>8944501</v>
      </c>
      <c r="E1854" s="507" t="s">
        <v>6108</v>
      </c>
    </row>
    <row r="1855" spans="1:5" ht="15" x14ac:dyDescent="0.35">
      <c r="A1855" s="509">
        <v>6373</v>
      </c>
      <c r="B1855" s="510" t="s">
        <v>2210</v>
      </c>
      <c r="C1855" s="509" t="s">
        <v>32</v>
      </c>
      <c r="D1855" s="511">
        <v>4934132</v>
      </c>
      <c r="E1855" s="507" t="s">
        <v>6108</v>
      </c>
    </row>
    <row r="1856" spans="1:5" ht="15" x14ac:dyDescent="0.35">
      <c r="A1856" s="509">
        <v>6374</v>
      </c>
      <c r="B1856" s="510" t="s">
        <v>2211</v>
      </c>
      <c r="C1856" s="509" t="s">
        <v>32</v>
      </c>
      <c r="D1856" s="512">
        <v>614360</v>
      </c>
      <c r="E1856" s="507" t="s">
        <v>6108</v>
      </c>
    </row>
    <row r="1857" spans="1:5" ht="15" x14ac:dyDescent="0.35">
      <c r="A1857" s="509">
        <v>6375</v>
      </c>
      <c r="B1857" s="510" t="s">
        <v>2212</v>
      </c>
      <c r="C1857" s="509" t="s">
        <v>32</v>
      </c>
      <c r="D1857" s="512">
        <v>719958</v>
      </c>
      <c r="E1857" s="507" t="s">
        <v>6108</v>
      </c>
    </row>
    <row r="1858" spans="1:5" ht="15" x14ac:dyDescent="0.35">
      <c r="A1858" s="509">
        <v>6376</v>
      </c>
      <c r="B1858" s="510" t="s">
        <v>2213</v>
      </c>
      <c r="C1858" s="509" t="s">
        <v>32</v>
      </c>
      <c r="D1858" s="512">
        <v>752845</v>
      </c>
      <c r="E1858" s="507" t="s">
        <v>6108</v>
      </c>
    </row>
    <row r="1859" spans="1:5" ht="15" x14ac:dyDescent="0.35">
      <c r="A1859" s="509">
        <v>6377</v>
      </c>
      <c r="B1859" s="510" t="s">
        <v>2214</v>
      </c>
      <c r="C1859" s="509" t="s">
        <v>32</v>
      </c>
      <c r="D1859" s="511">
        <v>719958</v>
      </c>
      <c r="E1859" s="507" t="s">
        <v>6108</v>
      </c>
    </row>
    <row r="1860" spans="1:5" ht="15" x14ac:dyDescent="0.35">
      <c r="A1860" s="509">
        <v>6379</v>
      </c>
      <c r="B1860" s="510" t="s">
        <v>2215</v>
      </c>
      <c r="C1860" s="509" t="s">
        <v>32</v>
      </c>
      <c r="D1860" s="511">
        <v>691652</v>
      </c>
      <c r="E1860" s="507" t="s">
        <v>6108</v>
      </c>
    </row>
    <row r="1861" spans="1:5" ht="15" x14ac:dyDescent="0.35">
      <c r="A1861" s="509">
        <v>6380</v>
      </c>
      <c r="B1861" s="510" t="s">
        <v>2216</v>
      </c>
      <c r="C1861" s="509" t="s">
        <v>328</v>
      </c>
      <c r="D1861" s="511">
        <v>106076</v>
      </c>
      <c r="E1861" s="507" t="s">
        <v>331</v>
      </c>
    </row>
    <row r="1862" spans="1:5" ht="15" x14ac:dyDescent="0.35">
      <c r="A1862" s="509">
        <v>6381</v>
      </c>
      <c r="B1862" s="510" t="s">
        <v>2217</v>
      </c>
      <c r="C1862" s="509" t="s">
        <v>328</v>
      </c>
      <c r="D1862" s="511">
        <v>5296255</v>
      </c>
      <c r="E1862" s="507" t="s">
        <v>6108</v>
      </c>
    </row>
    <row r="1863" spans="1:5" ht="15" x14ac:dyDescent="0.35">
      <c r="A1863" s="509">
        <v>6382</v>
      </c>
      <c r="B1863" s="510" t="s">
        <v>2218</v>
      </c>
      <c r="C1863" s="509" t="s">
        <v>328</v>
      </c>
      <c r="D1863" s="511">
        <v>641430</v>
      </c>
      <c r="E1863" s="507" t="s">
        <v>6108</v>
      </c>
    </row>
    <row r="1864" spans="1:5" ht="15" x14ac:dyDescent="0.35">
      <c r="A1864" s="509">
        <v>6383</v>
      </c>
      <c r="B1864" s="510" t="s">
        <v>2219</v>
      </c>
      <c r="C1864" s="509" t="s">
        <v>328</v>
      </c>
      <c r="D1864" s="512">
        <v>648045</v>
      </c>
      <c r="E1864" s="507" t="s">
        <v>331</v>
      </c>
    </row>
    <row r="1865" spans="1:5" ht="15" x14ac:dyDescent="0.35">
      <c r="A1865" s="509">
        <v>6387</v>
      </c>
      <c r="B1865" s="510" t="s">
        <v>2220</v>
      </c>
      <c r="C1865" s="509" t="s">
        <v>32</v>
      </c>
      <c r="D1865" s="512">
        <v>21226243</v>
      </c>
      <c r="E1865" s="507" t="s">
        <v>331</v>
      </c>
    </row>
    <row r="1866" spans="1:5" ht="15" x14ac:dyDescent="0.35">
      <c r="A1866" s="509">
        <v>6388</v>
      </c>
      <c r="B1866" s="510" t="s">
        <v>2221</v>
      </c>
      <c r="C1866" s="509" t="s">
        <v>32</v>
      </c>
      <c r="D1866" s="511">
        <v>27103829</v>
      </c>
      <c r="E1866" s="507" t="s">
        <v>6108</v>
      </c>
    </row>
    <row r="1867" spans="1:5" ht="15" x14ac:dyDescent="0.35">
      <c r="A1867" s="509">
        <v>6389</v>
      </c>
      <c r="B1867" s="510" t="s">
        <v>2222</v>
      </c>
      <c r="C1867" s="509" t="s">
        <v>32</v>
      </c>
      <c r="D1867" s="512">
        <v>29002060</v>
      </c>
      <c r="E1867" s="507" t="s">
        <v>6108</v>
      </c>
    </row>
    <row r="1868" spans="1:5" ht="15" x14ac:dyDescent="0.35">
      <c r="A1868" s="509">
        <v>6392</v>
      </c>
      <c r="B1868" s="510" t="s">
        <v>2223</v>
      </c>
      <c r="C1868" s="509" t="s">
        <v>30</v>
      </c>
      <c r="D1868" s="511">
        <v>2415018</v>
      </c>
      <c r="E1868" s="507" t="s">
        <v>6108</v>
      </c>
    </row>
    <row r="1869" spans="1:5" ht="15" x14ac:dyDescent="0.35">
      <c r="A1869" s="509">
        <v>6393</v>
      </c>
      <c r="B1869" s="510" t="s">
        <v>2224</v>
      </c>
      <c r="C1869" s="509" t="s">
        <v>30</v>
      </c>
      <c r="D1869" s="511">
        <v>2559651</v>
      </c>
      <c r="E1869" s="507" t="s">
        <v>6108</v>
      </c>
    </row>
    <row r="1870" spans="1:5" ht="15" x14ac:dyDescent="0.35">
      <c r="A1870" s="509">
        <v>6395</v>
      </c>
      <c r="B1870" s="510" t="s">
        <v>2225</v>
      </c>
      <c r="C1870" s="509" t="s">
        <v>30</v>
      </c>
      <c r="D1870" s="512">
        <v>3385336</v>
      </c>
      <c r="E1870" s="507" t="s">
        <v>6108</v>
      </c>
    </row>
    <row r="1871" spans="1:5" ht="15" x14ac:dyDescent="0.35">
      <c r="A1871" s="509">
        <v>6396</v>
      </c>
      <c r="B1871" s="510" t="s">
        <v>2226</v>
      </c>
      <c r="C1871" s="509" t="s">
        <v>32</v>
      </c>
      <c r="D1871" s="511">
        <v>506240</v>
      </c>
      <c r="E1871" s="507" t="s">
        <v>6108</v>
      </c>
    </row>
    <row r="1872" spans="1:5" ht="15" x14ac:dyDescent="0.35">
      <c r="A1872" s="509">
        <v>6397</v>
      </c>
      <c r="B1872" s="510" t="s">
        <v>2227</v>
      </c>
      <c r="C1872" s="509" t="s">
        <v>32</v>
      </c>
      <c r="D1872" s="511">
        <v>303176</v>
      </c>
      <c r="E1872" s="507" t="s">
        <v>6108</v>
      </c>
    </row>
    <row r="1873" spans="1:5" ht="15" x14ac:dyDescent="0.35">
      <c r="A1873" s="509">
        <v>6400</v>
      </c>
      <c r="B1873" s="510" t="s">
        <v>2228</v>
      </c>
      <c r="C1873" s="509" t="s">
        <v>328</v>
      </c>
      <c r="D1873" s="511">
        <v>1111627</v>
      </c>
      <c r="E1873" s="507" t="s">
        <v>6108</v>
      </c>
    </row>
    <row r="1874" spans="1:5" ht="15" x14ac:dyDescent="0.35">
      <c r="A1874" s="509">
        <v>6407</v>
      </c>
      <c r="B1874" s="510" t="s">
        <v>2229</v>
      </c>
      <c r="C1874" s="509" t="s">
        <v>21</v>
      </c>
      <c r="D1874" s="511">
        <v>256474</v>
      </c>
      <c r="E1874" s="507" t="s">
        <v>6108</v>
      </c>
    </row>
    <row r="1875" spans="1:5" ht="15" x14ac:dyDescent="0.35">
      <c r="A1875" s="509">
        <v>6413</v>
      </c>
      <c r="B1875" s="510" t="s">
        <v>2230</v>
      </c>
      <c r="C1875" s="509" t="s">
        <v>32</v>
      </c>
      <c r="D1875" s="511">
        <v>1785000</v>
      </c>
      <c r="E1875" s="507" t="s">
        <v>6108</v>
      </c>
    </row>
    <row r="1876" spans="1:5" ht="15" x14ac:dyDescent="0.35">
      <c r="A1876" s="509">
        <v>6416</v>
      </c>
      <c r="B1876" s="510" t="s">
        <v>2231</v>
      </c>
      <c r="C1876" s="509" t="s">
        <v>21</v>
      </c>
      <c r="D1876" s="511">
        <v>91797</v>
      </c>
      <c r="E1876" s="507" t="s">
        <v>6108</v>
      </c>
    </row>
    <row r="1877" spans="1:5" ht="15" x14ac:dyDescent="0.35">
      <c r="A1877" s="509">
        <v>6421</v>
      </c>
      <c r="B1877" s="510" t="s">
        <v>2232</v>
      </c>
      <c r="C1877" s="509" t="s">
        <v>328</v>
      </c>
      <c r="D1877" s="511">
        <v>58641</v>
      </c>
      <c r="E1877" s="507" t="s">
        <v>6108</v>
      </c>
    </row>
    <row r="1878" spans="1:5" ht="15" x14ac:dyDescent="0.35">
      <c r="A1878" s="509">
        <v>6422</v>
      </c>
      <c r="B1878" s="510" t="s">
        <v>2233</v>
      </c>
      <c r="C1878" s="509" t="s">
        <v>32</v>
      </c>
      <c r="D1878" s="511">
        <v>93838</v>
      </c>
      <c r="E1878" s="507" t="s">
        <v>6108</v>
      </c>
    </row>
    <row r="1879" spans="1:5" ht="15" x14ac:dyDescent="0.35">
      <c r="A1879" s="509">
        <v>6423</v>
      </c>
      <c r="B1879" s="510" t="s">
        <v>2234</v>
      </c>
      <c r="C1879" s="509" t="s">
        <v>32</v>
      </c>
      <c r="D1879" s="511">
        <v>3127272</v>
      </c>
      <c r="E1879" s="507" t="s">
        <v>6108</v>
      </c>
    </row>
    <row r="1880" spans="1:5" ht="15" x14ac:dyDescent="0.35">
      <c r="A1880" s="509">
        <v>6425</v>
      </c>
      <c r="B1880" s="510" t="s">
        <v>2235</v>
      </c>
      <c r="C1880" s="509" t="s">
        <v>328</v>
      </c>
      <c r="D1880" s="511">
        <v>159669</v>
      </c>
      <c r="E1880" s="507" t="s">
        <v>6108</v>
      </c>
    </row>
    <row r="1881" spans="1:5" ht="15" x14ac:dyDescent="0.35">
      <c r="A1881" s="509">
        <v>6426</v>
      </c>
      <c r="B1881" s="510" t="s">
        <v>2236</v>
      </c>
      <c r="C1881" s="509" t="s">
        <v>32</v>
      </c>
      <c r="D1881" s="511">
        <v>1394866</v>
      </c>
      <c r="E1881" s="507" t="s">
        <v>6108</v>
      </c>
    </row>
    <row r="1882" spans="1:5" ht="15" x14ac:dyDescent="0.35">
      <c r="A1882" s="509">
        <v>6427</v>
      </c>
      <c r="B1882" s="510" t="s">
        <v>2237</v>
      </c>
      <c r="C1882" s="509" t="s">
        <v>328</v>
      </c>
      <c r="D1882" s="511">
        <v>42615</v>
      </c>
      <c r="E1882" s="507" t="s">
        <v>6108</v>
      </c>
    </row>
    <row r="1883" spans="1:5" ht="15" x14ac:dyDescent="0.35">
      <c r="A1883" s="509">
        <v>6428</v>
      </c>
      <c r="B1883" s="510" t="s">
        <v>2238</v>
      </c>
      <c r="C1883" s="509" t="s">
        <v>30</v>
      </c>
      <c r="D1883" s="511">
        <v>1215382</v>
      </c>
      <c r="E1883" s="507" t="s">
        <v>331</v>
      </c>
    </row>
    <row r="1884" spans="1:5" ht="15" x14ac:dyDescent="0.35">
      <c r="A1884" s="509">
        <v>6429</v>
      </c>
      <c r="B1884" s="510" t="s">
        <v>2239</v>
      </c>
      <c r="C1884" s="509" t="s">
        <v>328</v>
      </c>
      <c r="D1884" s="511">
        <v>60264</v>
      </c>
      <c r="E1884" s="507" t="s">
        <v>6108</v>
      </c>
    </row>
    <row r="1885" spans="1:5" ht="15" x14ac:dyDescent="0.35">
      <c r="A1885" s="509">
        <v>6431</v>
      </c>
      <c r="B1885" s="510" t="s">
        <v>2240</v>
      </c>
      <c r="C1885" s="509" t="s">
        <v>30</v>
      </c>
      <c r="D1885" s="511">
        <v>1555287</v>
      </c>
      <c r="E1885" s="507" t="s">
        <v>6108</v>
      </c>
    </row>
    <row r="1886" spans="1:5" ht="15" x14ac:dyDescent="0.35">
      <c r="A1886" s="509">
        <v>6433</v>
      </c>
      <c r="B1886" s="510" t="s">
        <v>2241</v>
      </c>
      <c r="C1886" s="509" t="s">
        <v>670</v>
      </c>
      <c r="D1886" s="511">
        <v>21800</v>
      </c>
      <c r="E1886" s="507" t="s">
        <v>6108</v>
      </c>
    </row>
    <row r="1887" spans="1:5" ht="15" x14ac:dyDescent="0.35">
      <c r="A1887" s="509">
        <v>6434</v>
      </c>
      <c r="B1887" s="510" t="s">
        <v>2242</v>
      </c>
      <c r="C1887" s="509" t="s">
        <v>670</v>
      </c>
      <c r="D1887" s="511">
        <v>19450</v>
      </c>
      <c r="E1887" s="507" t="s">
        <v>6108</v>
      </c>
    </row>
    <row r="1888" spans="1:5" ht="15" x14ac:dyDescent="0.35">
      <c r="A1888" s="509">
        <v>6435</v>
      </c>
      <c r="B1888" s="510" t="s">
        <v>2243</v>
      </c>
      <c r="C1888" s="509" t="s">
        <v>670</v>
      </c>
      <c r="D1888" s="511">
        <v>21150</v>
      </c>
      <c r="E1888" s="507" t="s">
        <v>6108</v>
      </c>
    </row>
    <row r="1889" spans="1:5" ht="15" x14ac:dyDescent="0.35">
      <c r="A1889" s="509">
        <v>6436</v>
      </c>
      <c r="B1889" s="510" t="s">
        <v>2244</v>
      </c>
      <c r="C1889" s="509" t="s">
        <v>670</v>
      </c>
      <c r="D1889" s="511">
        <v>18800</v>
      </c>
      <c r="E1889" s="507" t="s">
        <v>6108</v>
      </c>
    </row>
    <row r="1890" spans="1:5" ht="15" x14ac:dyDescent="0.35">
      <c r="A1890" s="509">
        <v>6437</v>
      </c>
      <c r="B1890" s="510" t="s">
        <v>2245</v>
      </c>
      <c r="C1890" s="509" t="s">
        <v>670</v>
      </c>
      <c r="D1890" s="511">
        <v>18152</v>
      </c>
      <c r="E1890" s="507" t="s">
        <v>6108</v>
      </c>
    </row>
    <row r="1891" spans="1:5" ht="15" x14ac:dyDescent="0.35">
      <c r="A1891" s="509">
        <v>6438</v>
      </c>
      <c r="B1891" s="510" t="s">
        <v>2246</v>
      </c>
      <c r="C1891" s="509" t="s">
        <v>328</v>
      </c>
      <c r="D1891" s="511">
        <v>20205</v>
      </c>
      <c r="E1891" s="507" t="s">
        <v>6108</v>
      </c>
    </row>
    <row r="1892" spans="1:5" ht="15" x14ac:dyDescent="0.35">
      <c r="A1892" s="509">
        <v>6439</v>
      </c>
      <c r="B1892" s="510" t="s">
        <v>2247</v>
      </c>
      <c r="C1892" s="509" t="s">
        <v>328</v>
      </c>
      <c r="D1892" s="511">
        <v>21734</v>
      </c>
      <c r="E1892" s="507" t="s">
        <v>6108</v>
      </c>
    </row>
    <row r="1893" spans="1:5" ht="15" x14ac:dyDescent="0.35">
      <c r="A1893" s="509">
        <v>6440</v>
      </c>
      <c r="B1893" s="510" t="s">
        <v>2248</v>
      </c>
      <c r="C1893" s="509" t="s">
        <v>670</v>
      </c>
      <c r="D1893" s="511">
        <v>595</v>
      </c>
      <c r="E1893" s="507" t="s">
        <v>6108</v>
      </c>
    </row>
    <row r="1894" spans="1:5" ht="15" x14ac:dyDescent="0.35">
      <c r="A1894" s="509">
        <v>6441</v>
      </c>
      <c r="B1894" s="510" t="s">
        <v>2249</v>
      </c>
      <c r="C1894" s="509" t="s">
        <v>670</v>
      </c>
      <c r="D1894" s="512">
        <v>781</v>
      </c>
      <c r="E1894" s="507" t="s">
        <v>6108</v>
      </c>
    </row>
    <row r="1895" spans="1:5" ht="15" x14ac:dyDescent="0.35">
      <c r="A1895" s="509">
        <v>6442</v>
      </c>
      <c r="B1895" s="510" t="s">
        <v>2250</v>
      </c>
      <c r="C1895" s="509" t="s">
        <v>670</v>
      </c>
      <c r="D1895" s="511">
        <v>901</v>
      </c>
      <c r="E1895" s="507" t="s">
        <v>6108</v>
      </c>
    </row>
    <row r="1896" spans="1:5" ht="15" x14ac:dyDescent="0.35">
      <c r="A1896" s="509">
        <v>6443</v>
      </c>
      <c r="B1896" s="510" t="s">
        <v>2251</v>
      </c>
      <c r="C1896" s="509" t="s">
        <v>670</v>
      </c>
      <c r="D1896" s="511">
        <v>1022</v>
      </c>
      <c r="E1896" s="507" t="s">
        <v>6108</v>
      </c>
    </row>
    <row r="1897" spans="1:5" ht="15" x14ac:dyDescent="0.35">
      <c r="A1897" s="509">
        <v>6444</v>
      </c>
      <c r="B1897" s="510" t="s">
        <v>2252</v>
      </c>
      <c r="C1897" s="509" t="s">
        <v>670</v>
      </c>
      <c r="D1897" s="511">
        <v>1384</v>
      </c>
      <c r="E1897" s="507" t="s">
        <v>331</v>
      </c>
    </row>
    <row r="1898" spans="1:5" ht="15" x14ac:dyDescent="0.35">
      <c r="A1898" s="509">
        <v>6445</v>
      </c>
      <c r="B1898" s="510" t="s">
        <v>2253</v>
      </c>
      <c r="C1898" s="509" t="s">
        <v>670</v>
      </c>
      <c r="D1898" s="511">
        <v>1442</v>
      </c>
      <c r="E1898" s="507" t="s">
        <v>331</v>
      </c>
    </row>
    <row r="1899" spans="1:5" ht="15" x14ac:dyDescent="0.35">
      <c r="A1899" s="509">
        <v>6446</v>
      </c>
      <c r="B1899" s="510" t="s">
        <v>2254</v>
      </c>
      <c r="C1899" s="509" t="s">
        <v>670</v>
      </c>
      <c r="D1899" s="512">
        <v>1616</v>
      </c>
      <c r="E1899" s="507" t="s">
        <v>6108</v>
      </c>
    </row>
    <row r="1900" spans="1:5" ht="15" x14ac:dyDescent="0.35">
      <c r="A1900" s="509">
        <v>6448</v>
      </c>
      <c r="B1900" s="510" t="s">
        <v>2255</v>
      </c>
      <c r="C1900" s="509" t="s">
        <v>32</v>
      </c>
      <c r="D1900" s="511">
        <v>2004686</v>
      </c>
      <c r="E1900" s="507" t="s">
        <v>6108</v>
      </c>
    </row>
    <row r="1901" spans="1:5" ht="15" x14ac:dyDescent="0.35">
      <c r="A1901" s="509">
        <v>6449</v>
      </c>
      <c r="B1901" s="510" t="s">
        <v>2256</v>
      </c>
      <c r="C1901" s="509" t="s">
        <v>32</v>
      </c>
      <c r="D1901" s="511">
        <v>654088</v>
      </c>
      <c r="E1901" s="507" t="s">
        <v>331</v>
      </c>
    </row>
    <row r="1902" spans="1:5" ht="15" x14ac:dyDescent="0.35">
      <c r="A1902" s="509">
        <v>6450</v>
      </c>
      <c r="B1902" s="510" t="s">
        <v>2257</v>
      </c>
      <c r="C1902" s="509" t="s">
        <v>21</v>
      </c>
      <c r="D1902" s="512">
        <v>5070</v>
      </c>
      <c r="E1902" s="507" t="s">
        <v>6108</v>
      </c>
    </row>
    <row r="1903" spans="1:5" ht="15" x14ac:dyDescent="0.35">
      <c r="A1903" s="509">
        <v>6451</v>
      </c>
      <c r="B1903" s="510" t="s">
        <v>2258</v>
      </c>
      <c r="C1903" s="509" t="s">
        <v>328</v>
      </c>
      <c r="D1903" s="511">
        <v>17111</v>
      </c>
      <c r="E1903" s="507" t="s">
        <v>331</v>
      </c>
    </row>
    <row r="1904" spans="1:5" ht="15" x14ac:dyDescent="0.35">
      <c r="A1904" s="509">
        <v>6456</v>
      </c>
      <c r="B1904" s="510" t="s">
        <v>2259</v>
      </c>
      <c r="C1904" s="509" t="s">
        <v>30</v>
      </c>
      <c r="D1904" s="511">
        <v>1372807</v>
      </c>
      <c r="E1904" s="507" t="s">
        <v>6108</v>
      </c>
    </row>
    <row r="1905" spans="1:5" ht="15" x14ac:dyDescent="0.35">
      <c r="A1905" s="509">
        <v>6457</v>
      </c>
      <c r="B1905" s="510" t="s">
        <v>2260</v>
      </c>
      <c r="C1905" s="509" t="s">
        <v>979</v>
      </c>
      <c r="D1905" s="511">
        <v>119091</v>
      </c>
      <c r="E1905" s="507" t="s">
        <v>6108</v>
      </c>
    </row>
    <row r="1906" spans="1:5" ht="15" x14ac:dyDescent="0.35">
      <c r="A1906" s="509">
        <v>6458</v>
      </c>
      <c r="B1906" s="510" t="s">
        <v>2261</v>
      </c>
      <c r="C1906" s="509" t="s">
        <v>328</v>
      </c>
      <c r="D1906" s="511">
        <v>16583</v>
      </c>
      <c r="E1906" s="507" t="s">
        <v>6108</v>
      </c>
    </row>
    <row r="1907" spans="1:5" ht="15" x14ac:dyDescent="0.35">
      <c r="A1907" s="509">
        <v>6459</v>
      </c>
      <c r="B1907" s="510" t="s">
        <v>2262</v>
      </c>
      <c r="C1907" s="509" t="s">
        <v>21</v>
      </c>
      <c r="D1907" s="511">
        <v>60072</v>
      </c>
      <c r="E1907" s="507" t="s">
        <v>6108</v>
      </c>
    </row>
    <row r="1908" spans="1:5" ht="15" x14ac:dyDescent="0.35">
      <c r="A1908" s="509">
        <v>6461</v>
      </c>
      <c r="B1908" s="510" t="s">
        <v>2263</v>
      </c>
      <c r="C1908" s="509" t="s">
        <v>307</v>
      </c>
      <c r="D1908" s="511">
        <v>7929</v>
      </c>
      <c r="E1908" s="507" t="s">
        <v>6108</v>
      </c>
    </row>
    <row r="1909" spans="1:5" ht="15" x14ac:dyDescent="0.35">
      <c r="A1909" s="509">
        <v>6462</v>
      </c>
      <c r="B1909" s="510" t="s">
        <v>2264</v>
      </c>
      <c r="C1909" s="509" t="s">
        <v>2265</v>
      </c>
      <c r="D1909" s="512">
        <v>1800</v>
      </c>
      <c r="E1909" s="507" t="s">
        <v>6108</v>
      </c>
    </row>
    <row r="1910" spans="1:5" ht="15" x14ac:dyDescent="0.35">
      <c r="A1910" s="509">
        <v>6463</v>
      </c>
      <c r="B1910" s="510" t="s">
        <v>2266</v>
      </c>
      <c r="C1910" s="509" t="s">
        <v>30</v>
      </c>
      <c r="D1910" s="512">
        <v>7800</v>
      </c>
      <c r="E1910" s="507" t="s">
        <v>6108</v>
      </c>
    </row>
    <row r="1911" spans="1:5" ht="15" x14ac:dyDescent="0.35">
      <c r="A1911" s="509">
        <v>6464</v>
      </c>
      <c r="B1911" s="510" t="s">
        <v>2267</v>
      </c>
      <c r="C1911" s="509" t="s">
        <v>21</v>
      </c>
      <c r="D1911" s="512">
        <v>3589</v>
      </c>
      <c r="E1911" s="507" t="s">
        <v>6108</v>
      </c>
    </row>
    <row r="1912" spans="1:5" ht="15" x14ac:dyDescent="0.35">
      <c r="A1912" s="509">
        <v>6465</v>
      </c>
      <c r="B1912" s="510" t="s">
        <v>2268</v>
      </c>
      <c r="C1912" s="509" t="s">
        <v>979</v>
      </c>
      <c r="D1912" s="511">
        <v>32878</v>
      </c>
      <c r="E1912" s="507" t="s">
        <v>6108</v>
      </c>
    </row>
    <row r="1913" spans="1:5" ht="15" x14ac:dyDescent="0.35">
      <c r="A1913" s="509">
        <v>6466</v>
      </c>
      <c r="B1913" s="510" t="s">
        <v>2269</v>
      </c>
      <c r="C1913" s="509" t="s">
        <v>30</v>
      </c>
      <c r="D1913" s="511">
        <v>1376216</v>
      </c>
      <c r="E1913" s="507" t="s">
        <v>6108</v>
      </c>
    </row>
    <row r="1914" spans="1:5" ht="15" x14ac:dyDescent="0.35">
      <c r="A1914" s="509">
        <v>6467</v>
      </c>
      <c r="B1914" s="510" t="s">
        <v>2270</v>
      </c>
      <c r="C1914" s="509" t="s">
        <v>328</v>
      </c>
      <c r="D1914" s="511">
        <v>16070</v>
      </c>
      <c r="E1914" s="507" t="s">
        <v>6108</v>
      </c>
    </row>
    <row r="1915" spans="1:5" ht="15" x14ac:dyDescent="0.35">
      <c r="A1915" s="509">
        <v>6469</v>
      </c>
      <c r="B1915" s="510" t="s">
        <v>2271</v>
      </c>
      <c r="C1915" s="509" t="s">
        <v>21</v>
      </c>
      <c r="D1915" s="511">
        <v>344300</v>
      </c>
      <c r="E1915" s="507" t="s">
        <v>331</v>
      </c>
    </row>
    <row r="1916" spans="1:5" ht="15" x14ac:dyDescent="0.35">
      <c r="A1916" s="509">
        <v>6471</v>
      </c>
      <c r="B1916" s="510" t="s">
        <v>2272</v>
      </c>
      <c r="C1916" s="509" t="s">
        <v>30</v>
      </c>
      <c r="D1916" s="511">
        <v>195725</v>
      </c>
      <c r="E1916" s="507" t="s">
        <v>6108</v>
      </c>
    </row>
    <row r="1917" spans="1:5" ht="15" x14ac:dyDescent="0.35">
      <c r="A1917" s="509">
        <v>6472</v>
      </c>
      <c r="B1917" s="510" t="s">
        <v>2273</v>
      </c>
      <c r="C1917" s="509" t="s">
        <v>30</v>
      </c>
      <c r="D1917" s="512">
        <v>1499226</v>
      </c>
      <c r="E1917" s="507" t="s">
        <v>6108</v>
      </c>
    </row>
    <row r="1918" spans="1:5" ht="15" x14ac:dyDescent="0.35">
      <c r="A1918" s="509">
        <v>6473</v>
      </c>
      <c r="B1918" s="510" t="s">
        <v>2274</v>
      </c>
      <c r="C1918" s="509" t="s">
        <v>30</v>
      </c>
      <c r="D1918" s="511">
        <v>162603</v>
      </c>
      <c r="E1918" s="507" t="s">
        <v>6108</v>
      </c>
    </row>
    <row r="1919" spans="1:5" ht="15" x14ac:dyDescent="0.35">
      <c r="A1919" s="509">
        <v>6474</v>
      </c>
      <c r="B1919" s="510" t="s">
        <v>2275</v>
      </c>
      <c r="C1919" s="509" t="s">
        <v>30</v>
      </c>
      <c r="D1919" s="511">
        <v>193378</v>
      </c>
      <c r="E1919" s="507" t="s">
        <v>6108</v>
      </c>
    </row>
    <row r="1920" spans="1:5" ht="15" x14ac:dyDescent="0.35">
      <c r="A1920" s="509">
        <v>6475</v>
      </c>
      <c r="B1920" s="510" t="s">
        <v>2276</v>
      </c>
      <c r="C1920" s="509" t="s">
        <v>328</v>
      </c>
      <c r="D1920" s="511">
        <v>79369</v>
      </c>
      <c r="E1920" s="507" t="s">
        <v>331</v>
      </c>
    </row>
    <row r="1921" spans="1:5" ht="15" x14ac:dyDescent="0.35">
      <c r="A1921" s="509">
        <v>6476</v>
      </c>
      <c r="B1921" s="510" t="s">
        <v>2277</v>
      </c>
      <c r="C1921" s="509" t="s">
        <v>21</v>
      </c>
      <c r="D1921" s="512">
        <v>218175</v>
      </c>
      <c r="E1921" s="507" t="s">
        <v>331</v>
      </c>
    </row>
    <row r="1922" spans="1:5" ht="15" x14ac:dyDescent="0.35">
      <c r="A1922" s="509">
        <v>6482</v>
      </c>
      <c r="B1922" s="510" t="s">
        <v>2278</v>
      </c>
      <c r="C1922" s="509" t="s">
        <v>979</v>
      </c>
      <c r="D1922" s="511">
        <v>131211</v>
      </c>
      <c r="E1922" s="507" t="s">
        <v>6108</v>
      </c>
    </row>
    <row r="1923" spans="1:5" ht="15" x14ac:dyDescent="0.35">
      <c r="A1923" s="509">
        <v>6483</v>
      </c>
      <c r="B1923" s="510" t="s">
        <v>2279</v>
      </c>
      <c r="C1923" s="509" t="s">
        <v>307</v>
      </c>
      <c r="D1923" s="511">
        <v>57207</v>
      </c>
      <c r="E1923" s="507" t="s">
        <v>6108</v>
      </c>
    </row>
    <row r="1924" spans="1:5" ht="15" x14ac:dyDescent="0.35">
      <c r="A1924" s="509">
        <v>6484</v>
      </c>
      <c r="B1924" s="510" t="s">
        <v>2280</v>
      </c>
      <c r="C1924" s="509" t="s">
        <v>307</v>
      </c>
      <c r="D1924" s="512">
        <v>211543</v>
      </c>
      <c r="E1924" s="507" t="s">
        <v>6108</v>
      </c>
    </row>
    <row r="1925" spans="1:5" ht="15" x14ac:dyDescent="0.35">
      <c r="A1925" s="509">
        <v>6485</v>
      </c>
      <c r="B1925" s="510" t="s">
        <v>2281</v>
      </c>
      <c r="C1925" s="509" t="s">
        <v>32</v>
      </c>
      <c r="D1925" s="511">
        <v>55865</v>
      </c>
      <c r="E1925" s="507" t="s">
        <v>6108</v>
      </c>
    </row>
    <row r="1926" spans="1:5" ht="15" x14ac:dyDescent="0.35">
      <c r="A1926" s="509">
        <v>6486</v>
      </c>
      <c r="B1926" s="510" t="s">
        <v>2282</v>
      </c>
      <c r="C1926" s="509" t="s">
        <v>30</v>
      </c>
      <c r="D1926" s="512">
        <v>61499</v>
      </c>
      <c r="E1926" s="507" t="s">
        <v>6108</v>
      </c>
    </row>
    <row r="1927" spans="1:5" ht="15" x14ac:dyDescent="0.35">
      <c r="A1927" s="509">
        <v>6488</v>
      </c>
      <c r="B1927" s="510" t="s">
        <v>2283</v>
      </c>
      <c r="C1927" s="509" t="s">
        <v>328</v>
      </c>
      <c r="D1927" s="511">
        <v>293940</v>
      </c>
      <c r="E1927" s="507" t="s">
        <v>6108</v>
      </c>
    </row>
    <row r="1928" spans="1:5" ht="15" x14ac:dyDescent="0.35">
      <c r="A1928" s="509">
        <v>6489</v>
      </c>
      <c r="B1928" s="510" t="s">
        <v>2284</v>
      </c>
      <c r="C1928" s="509" t="s">
        <v>328</v>
      </c>
      <c r="D1928" s="512">
        <v>113256</v>
      </c>
      <c r="E1928" s="507" t="s">
        <v>6108</v>
      </c>
    </row>
    <row r="1929" spans="1:5" ht="15" x14ac:dyDescent="0.35">
      <c r="A1929" s="509">
        <v>6494</v>
      </c>
      <c r="B1929" s="510" t="s">
        <v>2285</v>
      </c>
      <c r="C1929" s="509" t="s">
        <v>328</v>
      </c>
      <c r="D1929" s="512">
        <v>315668</v>
      </c>
      <c r="E1929" s="507" t="s">
        <v>6108</v>
      </c>
    </row>
    <row r="1930" spans="1:5" ht="15" x14ac:dyDescent="0.35">
      <c r="A1930" s="509">
        <v>6495</v>
      </c>
      <c r="B1930" s="510" t="s">
        <v>2286</v>
      </c>
      <c r="C1930" s="509" t="s">
        <v>328</v>
      </c>
      <c r="D1930" s="512">
        <v>315668</v>
      </c>
      <c r="E1930" s="507" t="s">
        <v>6108</v>
      </c>
    </row>
    <row r="1931" spans="1:5" ht="15" x14ac:dyDescent="0.35">
      <c r="A1931" s="509">
        <v>6498</v>
      </c>
      <c r="B1931" s="510" t="s">
        <v>2287</v>
      </c>
      <c r="C1931" s="509" t="s">
        <v>32</v>
      </c>
      <c r="D1931" s="512">
        <v>18429</v>
      </c>
      <c r="E1931" s="507" t="s">
        <v>6108</v>
      </c>
    </row>
    <row r="1932" spans="1:5" ht="15" x14ac:dyDescent="0.35">
      <c r="A1932" s="509">
        <v>6499</v>
      </c>
      <c r="B1932" s="510" t="s">
        <v>2288</v>
      </c>
      <c r="C1932" s="509" t="s">
        <v>328</v>
      </c>
      <c r="D1932" s="512">
        <v>16990</v>
      </c>
      <c r="E1932" s="507" t="s">
        <v>6108</v>
      </c>
    </row>
    <row r="1933" spans="1:5" ht="15" x14ac:dyDescent="0.35">
      <c r="A1933" s="509">
        <v>6500</v>
      </c>
      <c r="B1933" s="510" t="s">
        <v>2289</v>
      </c>
      <c r="C1933" s="509" t="s">
        <v>32</v>
      </c>
      <c r="D1933" s="511">
        <v>240014</v>
      </c>
      <c r="E1933" s="507" t="s">
        <v>6108</v>
      </c>
    </row>
    <row r="1934" spans="1:5" ht="15" x14ac:dyDescent="0.35">
      <c r="A1934" s="509">
        <v>6501</v>
      </c>
      <c r="B1934" s="510" t="s">
        <v>2290</v>
      </c>
      <c r="C1934" s="509" t="s">
        <v>32</v>
      </c>
      <c r="D1934" s="512">
        <v>337770</v>
      </c>
      <c r="E1934" s="507" t="s">
        <v>6108</v>
      </c>
    </row>
    <row r="1935" spans="1:5" ht="15" x14ac:dyDescent="0.35">
      <c r="A1935" s="509">
        <v>6505</v>
      </c>
      <c r="B1935" s="510" t="s">
        <v>2291</v>
      </c>
      <c r="C1935" s="509" t="s">
        <v>21</v>
      </c>
      <c r="D1935" s="512">
        <v>3096</v>
      </c>
      <c r="E1935" s="507" t="s">
        <v>6108</v>
      </c>
    </row>
    <row r="1936" spans="1:5" ht="15" x14ac:dyDescent="0.35">
      <c r="A1936" s="509">
        <v>6506</v>
      </c>
      <c r="B1936" s="510" t="s">
        <v>2292</v>
      </c>
      <c r="C1936" s="509" t="s">
        <v>328</v>
      </c>
      <c r="D1936" s="512">
        <v>193581</v>
      </c>
      <c r="E1936" s="507" t="s">
        <v>6108</v>
      </c>
    </row>
    <row r="1937" spans="1:5" ht="15" x14ac:dyDescent="0.35">
      <c r="A1937" s="509">
        <v>6507</v>
      </c>
      <c r="B1937" s="510" t="s">
        <v>2293</v>
      </c>
      <c r="C1937" s="509" t="s">
        <v>21</v>
      </c>
      <c r="D1937" s="511">
        <v>260663</v>
      </c>
      <c r="E1937" s="507" t="s">
        <v>6108</v>
      </c>
    </row>
    <row r="1938" spans="1:5" ht="15" x14ac:dyDescent="0.35">
      <c r="A1938" s="509">
        <v>6510</v>
      </c>
      <c r="B1938" s="510" t="s">
        <v>2294</v>
      </c>
      <c r="C1938" s="509" t="s">
        <v>328</v>
      </c>
      <c r="D1938" s="512">
        <v>65089</v>
      </c>
      <c r="E1938" s="507" t="s">
        <v>6108</v>
      </c>
    </row>
    <row r="1939" spans="1:5" ht="15" x14ac:dyDescent="0.35">
      <c r="A1939" s="509">
        <v>6511</v>
      </c>
      <c r="B1939" s="510" t="s">
        <v>2295</v>
      </c>
      <c r="C1939" s="509" t="s">
        <v>21</v>
      </c>
      <c r="D1939" s="511">
        <v>323227</v>
      </c>
      <c r="E1939" s="507" t="s">
        <v>6108</v>
      </c>
    </row>
    <row r="1940" spans="1:5" ht="15" x14ac:dyDescent="0.35">
      <c r="A1940" s="509">
        <v>6512</v>
      </c>
      <c r="B1940" s="510" t="s">
        <v>2296</v>
      </c>
      <c r="C1940" s="509" t="s">
        <v>30</v>
      </c>
      <c r="D1940" s="512">
        <v>677491</v>
      </c>
      <c r="E1940" s="507" t="s">
        <v>6108</v>
      </c>
    </row>
    <row r="1941" spans="1:5" ht="15" x14ac:dyDescent="0.35">
      <c r="A1941" s="509">
        <v>6514</v>
      </c>
      <c r="B1941" s="510" t="s">
        <v>2297</v>
      </c>
      <c r="C1941" s="509" t="s">
        <v>32</v>
      </c>
      <c r="D1941" s="512">
        <v>4316</v>
      </c>
      <c r="E1941" s="507" t="s">
        <v>6108</v>
      </c>
    </row>
    <row r="1942" spans="1:5" ht="15" x14ac:dyDescent="0.35">
      <c r="A1942" s="509">
        <v>6515</v>
      </c>
      <c r="B1942" s="510" t="s">
        <v>2298</v>
      </c>
      <c r="C1942" s="509" t="s">
        <v>328</v>
      </c>
      <c r="D1942" s="512">
        <v>9938</v>
      </c>
      <c r="E1942" s="507" t="s">
        <v>331</v>
      </c>
    </row>
    <row r="1943" spans="1:5" ht="15" x14ac:dyDescent="0.35">
      <c r="A1943" s="509">
        <v>6517</v>
      </c>
      <c r="B1943" s="510" t="s">
        <v>2299</v>
      </c>
      <c r="C1943" s="509" t="s">
        <v>670</v>
      </c>
      <c r="D1943" s="512">
        <v>13830</v>
      </c>
      <c r="E1943" s="507" t="s">
        <v>6108</v>
      </c>
    </row>
    <row r="1944" spans="1:5" ht="15" x14ac:dyDescent="0.35">
      <c r="A1944" s="509">
        <v>6518</v>
      </c>
      <c r="B1944" s="510" t="s">
        <v>2300</v>
      </c>
      <c r="C1944" s="509" t="s">
        <v>32</v>
      </c>
      <c r="D1944" s="512">
        <v>171742</v>
      </c>
      <c r="E1944" s="507" t="s">
        <v>6108</v>
      </c>
    </row>
    <row r="1945" spans="1:5" ht="15" x14ac:dyDescent="0.35">
      <c r="A1945" s="509">
        <v>6519</v>
      </c>
      <c r="B1945" s="510" t="s">
        <v>2301</v>
      </c>
      <c r="C1945" s="509" t="s">
        <v>32</v>
      </c>
      <c r="D1945" s="512">
        <v>26303</v>
      </c>
      <c r="E1945" s="507" t="s">
        <v>6108</v>
      </c>
    </row>
    <row r="1946" spans="1:5" ht="15" x14ac:dyDescent="0.35">
      <c r="A1946" s="509">
        <v>6520</v>
      </c>
      <c r="B1946" s="510" t="s">
        <v>2302</v>
      </c>
      <c r="C1946" s="509" t="s">
        <v>32</v>
      </c>
      <c r="D1946" s="511">
        <v>13694</v>
      </c>
      <c r="E1946" s="507" t="s">
        <v>6108</v>
      </c>
    </row>
    <row r="1947" spans="1:5" ht="15" x14ac:dyDescent="0.35">
      <c r="A1947" s="509">
        <v>6521</v>
      </c>
      <c r="B1947" s="510" t="s">
        <v>2303</v>
      </c>
      <c r="C1947" s="509" t="s">
        <v>32</v>
      </c>
      <c r="D1947" s="512">
        <v>8233</v>
      </c>
      <c r="E1947" s="507" t="s">
        <v>6108</v>
      </c>
    </row>
    <row r="1948" spans="1:5" ht="15" x14ac:dyDescent="0.35">
      <c r="A1948" s="509">
        <v>6523</v>
      </c>
      <c r="B1948" s="510" t="s">
        <v>2304</v>
      </c>
      <c r="C1948" s="509" t="s">
        <v>32</v>
      </c>
      <c r="D1948" s="512">
        <v>16185</v>
      </c>
      <c r="E1948" s="507" t="s">
        <v>6108</v>
      </c>
    </row>
    <row r="1949" spans="1:5" ht="15" x14ac:dyDescent="0.35">
      <c r="A1949" s="509">
        <v>6524</v>
      </c>
      <c r="B1949" s="510" t="s">
        <v>2305</v>
      </c>
      <c r="C1949" s="509" t="s">
        <v>32</v>
      </c>
      <c r="D1949" s="512">
        <v>67303</v>
      </c>
      <c r="E1949" s="507" t="s">
        <v>6108</v>
      </c>
    </row>
    <row r="1950" spans="1:5" ht="15" x14ac:dyDescent="0.35">
      <c r="A1950" s="509">
        <v>6525</v>
      </c>
      <c r="B1950" s="510" t="s">
        <v>2306</v>
      </c>
      <c r="C1950" s="509" t="s">
        <v>32</v>
      </c>
      <c r="D1950" s="511">
        <v>199159</v>
      </c>
      <c r="E1950" s="507" t="s">
        <v>331</v>
      </c>
    </row>
    <row r="1951" spans="1:5" ht="15" x14ac:dyDescent="0.35">
      <c r="A1951" s="509">
        <v>6527</v>
      </c>
      <c r="B1951" s="510" t="s">
        <v>2307</v>
      </c>
      <c r="C1951" s="509" t="s">
        <v>32</v>
      </c>
      <c r="D1951" s="511">
        <v>576298</v>
      </c>
      <c r="E1951" s="507" t="s">
        <v>331</v>
      </c>
    </row>
    <row r="1952" spans="1:5" ht="15" x14ac:dyDescent="0.35">
      <c r="A1952" s="509">
        <v>6528</v>
      </c>
      <c r="B1952" s="510" t="s">
        <v>2308</v>
      </c>
      <c r="C1952" s="509" t="s">
        <v>328</v>
      </c>
      <c r="D1952" s="512">
        <v>318250</v>
      </c>
      <c r="E1952" s="507" t="s">
        <v>331</v>
      </c>
    </row>
    <row r="1953" spans="1:5" ht="15" x14ac:dyDescent="0.35">
      <c r="A1953" s="509">
        <v>6529</v>
      </c>
      <c r="B1953" s="510" t="s">
        <v>2309</v>
      </c>
      <c r="C1953" s="509" t="s">
        <v>328</v>
      </c>
      <c r="D1953" s="511">
        <v>323737</v>
      </c>
      <c r="E1953" s="507" t="s">
        <v>331</v>
      </c>
    </row>
    <row r="1954" spans="1:5" ht="15" x14ac:dyDescent="0.35">
      <c r="A1954" s="509">
        <v>6532</v>
      </c>
      <c r="B1954" s="510" t="s">
        <v>2310</v>
      </c>
      <c r="C1954" s="509" t="s">
        <v>32</v>
      </c>
      <c r="D1954" s="511">
        <v>71637</v>
      </c>
      <c r="E1954" s="507" t="s">
        <v>331</v>
      </c>
    </row>
    <row r="1955" spans="1:5" ht="15" x14ac:dyDescent="0.35">
      <c r="A1955" s="509">
        <v>6533</v>
      </c>
      <c r="B1955" s="510" t="s">
        <v>2311</v>
      </c>
      <c r="C1955" s="509" t="s">
        <v>21</v>
      </c>
      <c r="D1955" s="511">
        <v>30732</v>
      </c>
      <c r="E1955" s="507" t="s">
        <v>331</v>
      </c>
    </row>
    <row r="1956" spans="1:5" ht="15" x14ac:dyDescent="0.35">
      <c r="A1956" s="509">
        <v>6534</v>
      </c>
      <c r="B1956" s="510" t="s">
        <v>2312</v>
      </c>
      <c r="C1956" s="509" t="s">
        <v>21</v>
      </c>
      <c r="D1956" s="512">
        <v>257671</v>
      </c>
      <c r="E1956" s="507" t="s">
        <v>331</v>
      </c>
    </row>
    <row r="1957" spans="1:5" ht="15" x14ac:dyDescent="0.35">
      <c r="A1957" s="509">
        <v>6535</v>
      </c>
      <c r="B1957" s="510" t="s">
        <v>2313</v>
      </c>
      <c r="C1957" s="509" t="s">
        <v>21</v>
      </c>
      <c r="D1957" s="511">
        <v>51636</v>
      </c>
      <c r="E1957" s="507" t="s">
        <v>331</v>
      </c>
    </row>
    <row r="1958" spans="1:5" ht="15" x14ac:dyDescent="0.35">
      <c r="A1958" s="509">
        <v>6536</v>
      </c>
      <c r="B1958" s="510" t="s">
        <v>2314</v>
      </c>
      <c r="C1958" s="509" t="s">
        <v>21</v>
      </c>
      <c r="D1958" s="512">
        <v>49998</v>
      </c>
      <c r="E1958" s="507" t="s">
        <v>331</v>
      </c>
    </row>
    <row r="1959" spans="1:5" ht="15" x14ac:dyDescent="0.35">
      <c r="A1959" s="509">
        <v>6538</v>
      </c>
      <c r="B1959" s="510" t="s">
        <v>2315</v>
      </c>
      <c r="C1959" s="509" t="s">
        <v>328</v>
      </c>
      <c r="D1959" s="511">
        <v>261494</v>
      </c>
      <c r="E1959" s="507" t="s">
        <v>331</v>
      </c>
    </row>
    <row r="1960" spans="1:5" ht="15" x14ac:dyDescent="0.35">
      <c r="A1960" s="509">
        <v>6541</v>
      </c>
      <c r="B1960" s="510" t="s">
        <v>2316</v>
      </c>
      <c r="C1960" s="509" t="s">
        <v>328</v>
      </c>
      <c r="D1960" s="511">
        <v>326549</v>
      </c>
      <c r="E1960" s="507" t="s">
        <v>331</v>
      </c>
    </row>
    <row r="1961" spans="1:5" ht="15" x14ac:dyDescent="0.35">
      <c r="A1961" s="509">
        <v>6542</v>
      </c>
      <c r="B1961" s="510" t="s">
        <v>2317</v>
      </c>
      <c r="C1961" s="509" t="s">
        <v>32</v>
      </c>
      <c r="D1961" s="511">
        <v>86585</v>
      </c>
      <c r="E1961" s="507" t="s">
        <v>331</v>
      </c>
    </row>
    <row r="1962" spans="1:5" ht="15" x14ac:dyDescent="0.35">
      <c r="A1962" s="509">
        <v>6543</v>
      </c>
      <c r="B1962" s="510" t="s">
        <v>2318</v>
      </c>
      <c r="C1962" s="509" t="s">
        <v>32</v>
      </c>
      <c r="D1962" s="511">
        <v>8467</v>
      </c>
      <c r="E1962" s="507" t="s">
        <v>331</v>
      </c>
    </row>
    <row r="1963" spans="1:5" ht="15" x14ac:dyDescent="0.35">
      <c r="A1963" s="509">
        <v>6544</v>
      </c>
      <c r="B1963" s="510" t="s">
        <v>2319</v>
      </c>
      <c r="C1963" s="509" t="s">
        <v>32</v>
      </c>
      <c r="D1963" s="511">
        <v>9308</v>
      </c>
      <c r="E1963" s="507" t="s">
        <v>331</v>
      </c>
    </row>
    <row r="1964" spans="1:5" ht="15" x14ac:dyDescent="0.35">
      <c r="A1964" s="509">
        <v>6547</v>
      </c>
      <c r="B1964" s="510" t="s">
        <v>2320</v>
      </c>
      <c r="C1964" s="509" t="s">
        <v>32</v>
      </c>
      <c r="D1964" s="511">
        <v>365675</v>
      </c>
      <c r="E1964" s="507" t="s">
        <v>6108</v>
      </c>
    </row>
    <row r="1965" spans="1:5" ht="15" x14ac:dyDescent="0.35">
      <c r="A1965" s="509">
        <v>6548</v>
      </c>
      <c r="B1965" s="510" t="s">
        <v>2321</v>
      </c>
      <c r="C1965" s="509" t="s">
        <v>32</v>
      </c>
      <c r="D1965" s="511">
        <v>263785</v>
      </c>
      <c r="E1965" s="507" t="s">
        <v>331</v>
      </c>
    </row>
    <row r="1966" spans="1:5" ht="15" x14ac:dyDescent="0.35">
      <c r="A1966" s="509">
        <v>6551</v>
      </c>
      <c r="B1966" s="510" t="s">
        <v>2322</v>
      </c>
      <c r="C1966" s="509" t="s">
        <v>21</v>
      </c>
      <c r="D1966" s="512">
        <v>165460</v>
      </c>
      <c r="E1966" s="507" t="s">
        <v>331</v>
      </c>
    </row>
    <row r="1967" spans="1:5" ht="15" x14ac:dyDescent="0.35">
      <c r="A1967" s="509">
        <v>6553</v>
      </c>
      <c r="B1967" s="510" t="s">
        <v>2323</v>
      </c>
      <c r="C1967" s="509" t="s">
        <v>32</v>
      </c>
      <c r="D1967" s="511">
        <v>30682</v>
      </c>
      <c r="E1967" s="507" t="s">
        <v>331</v>
      </c>
    </row>
    <row r="1968" spans="1:5" ht="15" x14ac:dyDescent="0.35">
      <c r="A1968" s="509">
        <v>6554</v>
      </c>
      <c r="B1968" s="510" t="s">
        <v>2324</v>
      </c>
      <c r="C1968" s="509" t="s">
        <v>328</v>
      </c>
      <c r="D1968" s="512">
        <v>512</v>
      </c>
      <c r="E1968" s="507" t="s">
        <v>6108</v>
      </c>
    </row>
    <row r="1969" spans="1:5" ht="15" x14ac:dyDescent="0.35">
      <c r="A1969" s="509">
        <v>6555</v>
      </c>
      <c r="B1969" s="510" t="s">
        <v>2325</v>
      </c>
      <c r="C1969" s="509" t="s">
        <v>32</v>
      </c>
      <c r="D1969" s="511">
        <v>4242</v>
      </c>
      <c r="E1969" s="507" t="s">
        <v>6108</v>
      </c>
    </row>
    <row r="1970" spans="1:5" ht="15" x14ac:dyDescent="0.35">
      <c r="A1970" s="509">
        <v>6556</v>
      </c>
      <c r="B1970" s="510" t="s">
        <v>2326</v>
      </c>
      <c r="C1970" s="509" t="s">
        <v>32</v>
      </c>
      <c r="D1970" s="511">
        <v>89197</v>
      </c>
      <c r="E1970" s="507" t="s">
        <v>6108</v>
      </c>
    </row>
    <row r="1971" spans="1:5" ht="15" x14ac:dyDescent="0.35">
      <c r="A1971" s="509">
        <v>6559</v>
      </c>
      <c r="B1971" s="510" t="s">
        <v>2327</v>
      </c>
      <c r="C1971" s="509" t="s">
        <v>32</v>
      </c>
      <c r="D1971" s="511">
        <v>835259</v>
      </c>
      <c r="E1971" s="507" t="s">
        <v>6108</v>
      </c>
    </row>
    <row r="1972" spans="1:5" ht="15" x14ac:dyDescent="0.35">
      <c r="A1972" s="509">
        <v>6560</v>
      </c>
      <c r="B1972" s="510" t="s">
        <v>2328</v>
      </c>
      <c r="C1972" s="509" t="s">
        <v>32</v>
      </c>
      <c r="D1972" s="511">
        <v>4816203</v>
      </c>
      <c r="E1972" s="507" t="s">
        <v>6108</v>
      </c>
    </row>
    <row r="1973" spans="1:5" ht="15" x14ac:dyDescent="0.35">
      <c r="A1973" s="509">
        <v>6562</v>
      </c>
      <c r="B1973" s="510" t="s">
        <v>2329</v>
      </c>
      <c r="C1973" s="509" t="s">
        <v>21</v>
      </c>
      <c r="D1973" s="511">
        <v>92223</v>
      </c>
      <c r="E1973" s="507" t="s">
        <v>6108</v>
      </c>
    </row>
    <row r="1974" spans="1:5" ht="15" x14ac:dyDescent="0.35">
      <c r="A1974" s="509">
        <v>6563</v>
      </c>
      <c r="B1974" s="510" t="s">
        <v>2330</v>
      </c>
      <c r="C1974" s="509" t="s">
        <v>328</v>
      </c>
      <c r="D1974" s="512">
        <v>19285</v>
      </c>
      <c r="E1974" s="507" t="s">
        <v>6108</v>
      </c>
    </row>
    <row r="1975" spans="1:5" ht="15" x14ac:dyDescent="0.35">
      <c r="A1975" s="509">
        <v>6565</v>
      </c>
      <c r="B1975" s="510" t="s">
        <v>2331</v>
      </c>
      <c r="C1975" s="509" t="s">
        <v>328</v>
      </c>
      <c r="D1975" s="512">
        <v>57575</v>
      </c>
      <c r="E1975" s="507" t="s">
        <v>6108</v>
      </c>
    </row>
    <row r="1976" spans="1:5" ht="15" x14ac:dyDescent="0.35">
      <c r="A1976" s="509">
        <v>6567</v>
      </c>
      <c r="B1976" s="510" t="s">
        <v>2332</v>
      </c>
      <c r="C1976" s="509" t="s">
        <v>328</v>
      </c>
      <c r="D1976" s="512">
        <v>379513</v>
      </c>
      <c r="E1976" s="507" t="s">
        <v>6108</v>
      </c>
    </row>
    <row r="1977" spans="1:5" ht="15" x14ac:dyDescent="0.35">
      <c r="A1977" s="509">
        <v>6568</v>
      </c>
      <c r="B1977" s="510" t="s">
        <v>2333</v>
      </c>
      <c r="C1977" s="509" t="s">
        <v>328</v>
      </c>
      <c r="D1977" s="511">
        <v>44987</v>
      </c>
      <c r="E1977" s="507" t="s">
        <v>6108</v>
      </c>
    </row>
    <row r="1978" spans="1:5" ht="15" x14ac:dyDescent="0.35">
      <c r="A1978" s="509">
        <v>6569</v>
      </c>
      <c r="B1978" s="510" t="s">
        <v>2334</v>
      </c>
      <c r="C1978" s="509" t="s">
        <v>32</v>
      </c>
      <c r="D1978" s="511">
        <v>330498</v>
      </c>
      <c r="E1978" s="507" t="s">
        <v>6108</v>
      </c>
    </row>
    <row r="1979" spans="1:5" ht="15" x14ac:dyDescent="0.35">
      <c r="A1979" s="509">
        <v>6570</v>
      </c>
      <c r="B1979" s="510" t="s">
        <v>2335</v>
      </c>
      <c r="C1979" s="509" t="s">
        <v>21</v>
      </c>
      <c r="D1979" s="512">
        <v>40822</v>
      </c>
      <c r="E1979" s="507" t="s">
        <v>6108</v>
      </c>
    </row>
    <row r="1980" spans="1:5" ht="15" x14ac:dyDescent="0.35">
      <c r="A1980" s="509">
        <v>6571</v>
      </c>
      <c r="B1980" s="510" t="s">
        <v>2336</v>
      </c>
      <c r="C1980" s="509" t="s">
        <v>328</v>
      </c>
      <c r="D1980" s="512">
        <v>2591</v>
      </c>
      <c r="E1980" s="507" t="s">
        <v>6108</v>
      </c>
    </row>
    <row r="1981" spans="1:5" ht="15" x14ac:dyDescent="0.35">
      <c r="A1981" s="509">
        <v>6572</v>
      </c>
      <c r="B1981" s="510" t="s">
        <v>2337</v>
      </c>
      <c r="C1981" s="509" t="s">
        <v>328</v>
      </c>
      <c r="D1981" s="512">
        <v>7107</v>
      </c>
      <c r="E1981" s="507" t="s">
        <v>6108</v>
      </c>
    </row>
    <row r="1982" spans="1:5" ht="15" x14ac:dyDescent="0.35">
      <c r="A1982" s="509">
        <v>6574</v>
      </c>
      <c r="B1982" s="510" t="s">
        <v>2338</v>
      </c>
      <c r="C1982" s="509" t="s">
        <v>32</v>
      </c>
      <c r="D1982" s="511">
        <v>69042</v>
      </c>
      <c r="E1982" s="507" t="s">
        <v>6108</v>
      </c>
    </row>
    <row r="1983" spans="1:5" ht="15" x14ac:dyDescent="0.35">
      <c r="A1983" s="509">
        <v>6575</v>
      </c>
      <c r="B1983" s="510" t="s">
        <v>2339</v>
      </c>
      <c r="C1983" s="509" t="s">
        <v>32</v>
      </c>
      <c r="D1983" s="511">
        <v>54602</v>
      </c>
      <c r="E1983" s="507" t="s">
        <v>6108</v>
      </c>
    </row>
    <row r="1984" spans="1:5" ht="15" x14ac:dyDescent="0.35">
      <c r="A1984" s="509">
        <v>6576</v>
      </c>
      <c r="B1984" s="510" t="s">
        <v>2340</v>
      </c>
      <c r="C1984" s="509" t="s">
        <v>32</v>
      </c>
      <c r="D1984" s="512">
        <v>122822</v>
      </c>
      <c r="E1984" s="507" t="s">
        <v>6108</v>
      </c>
    </row>
    <row r="1985" spans="1:5" ht="15" x14ac:dyDescent="0.35">
      <c r="A1985" s="509">
        <v>6577</v>
      </c>
      <c r="B1985" s="510" t="s">
        <v>2341</v>
      </c>
      <c r="C1985" s="509" t="s">
        <v>32</v>
      </c>
      <c r="D1985" s="511">
        <v>1144216</v>
      </c>
      <c r="E1985" s="507" t="s">
        <v>6108</v>
      </c>
    </row>
    <row r="1986" spans="1:5" ht="15" x14ac:dyDescent="0.35">
      <c r="A1986" s="509">
        <v>6579</v>
      </c>
      <c r="B1986" s="510" t="s">
        <v>2342</v>
      </c>
      <c r="C1986" s="509" t="s">
        <v>328</v>
      </c>
      <c r="D1986" s="511">
        <v>8165</v>
      </c>
      <c r="E1986" s="507" t="s">
        <v>6108</v>
      </c>
    </row>
    <row r="1987" spans="1:5" ht="15" x14ac:dyDescent="0.35">
      <c r="A1987" s="509">
        <v>6580</v>
      </c>
      <c r="B1987" s="510" t="s">
        <v>2343</v>
      </c>
      <c r="C1987" s="509" t="s">
        <v>32</v>
      </c>
      <c r="D1987" s="511">
        <v>36740</v>
      </c>
      <c r="E1987" s="507" t="s">
        <v>6108</v>
      </c>
    </row>
    <row r="1988" spans="1:5" ht="15" x14ac:dyDescent="0.35">
      <c r="A1988" s="509">
        <v>6581</v>
      </c>
      <c r="B1988" s="510" t="s">
        <v>2344</v>
      </c>
      <c r="C1988" s="509" t="s">
        <v>32</v>
      </c>
      <c r="D1988" s="512">
        <v>11022</v>
      </c>
      <c r="E1988" s="507" t="s">
        <v>6108</v>
      </c>
    </row>
    <row r="1989" spans="1:5" ht="15" x14ac:dyDescent="0.35">
      <c r="A1989" s="509">
        <v>6582</v>
      </c>
      <c r="B1989" s="510" t="s">
        <v>2345</v>
      </c>
      <c r="C1989" s="509" t="s">
        <v>32</v>
      </c>
      <c r="D1989" s="511">
        <v>184920</v>
      </c>
      <c r="E1989" s="507" t="s">
        <v>6108</v>
      </c>
    </row>
    <row r="1990" spans="1:5" ht="15" x14ac:dyDescent="0.35">
      <c r="A1990" s="509">
        <v>6583</v>
      </c>
      <c r="B1990" s="510" t="s">
        <v>2346</v>
      </c>
      <c r="C1990" s="509" t="s">
        <v>32</v>
      </c>
      <c r="D1990" s="512">
        <v>131039</v>
      </c>
      <c r="E1990" s="507" t="s">
        <v>6108</v>
      </c>
    </row>
    <row r="1991" spans="1:5" ht="15" x14ac:dyDescent="0.35">
      <c r="A1991" s="509">
        <v>6584</v>
      </c>
      <c r="B1991" s="510" t="s">
        <v>2347</v>
      </c>
      <c r="C1991" s="509" t="s">
        <v>32</v>
      </c>
      <c r="D1991" s="512">
        <v>15839</v>
      </c>
      <c r="E1991" s="507" t="s">
        <v>6108</v>
      </c>
    </row>
    <row r="1992" spans="1:5" ht="15" x14ac:dyDescent="0.35">
      <c r="A1992" s="509">
        <v>6585</v>
      </c>
      <c r="B1992" s="510" t="s">
        <v>2348</v>
      </c>
      <c r="C1992" s="509" t="s">
        <v>32</v>
      </c>
      <c r="D1992" s="512">
        <v>170841</v>
      </c>
      <c r="E1992" s="507" t="s">
        <v>6108</v>
      </c>
    </row>
    <row r="1993" spans="1:5" ht="15" x14ac:dyDescent="0.35">
      <c r="A1993" s="509">
        <v>6586</v>
      </c>
      <c r="B1993" s="510" t="s">
        <v>2349</v>
      </c>
      <c r="C1993" s="509" t="s">
        <v>32</v>
      </c>
      <c r="D1993" s="512">
        <v>76517</v>
      </c>
      <c r="E1993" s="507" t="s">
        <v>331</v>
      </c>
    </row>
    <row r="1994" spans="1:5" ht="15" x14ac:dyDescent="0.35">
      <c r="A1994" s="509">
        <v>6587</v>
      </c>
      <c r="B1994" s="510" t="s">
        <v>2350</v>
      </c>
      <c r="C1994" s="509" t="s">
        <v>32</v>
      </c>
      <c r="D1994" s="512">
        <v>67315</v>
      </c>
      <c r="E1994" s="507" t="s">
        <v>331</v>
      </c>
    </row>
    <row r="1995" spans="1:5" ht="15" x14ac:dyDescent="0.35">
      <c r="A1995" s="509">
        <v>6588</v>
      </c>
      <c r="B1995" s="510" t="s">
        <v>2351</v>
      </c>
      <c r="C1995" s="509" t="s">
        <v>21</v>
      </c>
      <c r="D1995" s="512">
        <v>55955</v>
      </c>
      <c r="E1995" s="507" t="s">
        <v>6108</v>
      </c>
    </row>
    <row r="1996" spans="1:5" ht="15" x14ac:dyDescent="0.35">
      <c r="A1996" s="509">
        <v>6589</v>
      </c>
      <c r="B1996" s="510" t="s">
        <v>2352</v>
      </c>
      <c r="C1996" s="509" t="s">
        <v>328</v>
      </c>
      <c r="D1996" s="512">
        <v>31419</v>
      </c>
      <c r="E1996" s="507" t="s">
        <v>331</v>
      </c>
    </row>
    <row r="1997" spans="1:5" ht="15" x14ac:dyDescent="0.35">
      <c r="A1997" s="509">
        <v>6590</v>
      </c>
      <c r="B1997" s="510" t="s">
        <v>2353</v>
      </c>
      <c r="C1997" s="509" t="s">
        <v>21</v>
      </c>
      <c r="D1997" s="512">
        <v>39626</v>
      </c>
      <c r="E1997" s="507" t="s">
        <v>6108</v>
      </c>
    </row>
    <row r="1998" spans="1:5" ht="15" x14ac:dyDescent="0.35">
      <c r="A1998" s="509">
        <v>6591</v>
      </c>
      <c r="B1998" s="510" t="s">
        <v>2354</v>
      </c>
      <c r="C1998" s="509" t="s">
        <v>328</v>
      </c>
      <c r="D1998" s="512">
        <v>17623</v>
      </c>
      <c r="E1998" s="507" t="s">
        <v>6108</v>
      </c>
    </row>
    <row r="1999" spans="1:5" ht="15" x14ac:dyDescent="0.35">
      <c r="A1999" s="509">
        <v>6592</v>
      </c>
      <c r="B1999" s="510" t="s">
        <v>2355</v>
      </c>
      <c r="C1999" s="509" t="s">
        <v>328</v>
      </c>
      <c r="D1999" s="512">
        <v>17623</v>
      </c>
      <c r="E1999" s="507" t="s">
        <v>6108</v>
      </c>
    </row>
    <row r="2000" spans="1:5" ht="15" x14ac:dyDescent="0.35">
      <c r="A2000" s="509">
        <v>6593</v>
      </c>
      <c r="B2000" s="510" t="s">
        <v>2356</v>
      </c>
      <c r="C2000" s="509" t="s">
        <v>32</v>
      </c>
      <c r="D2000" s="512">
        <v>288177</v>
      </c>
      <c r="E2000" s="507" t="s">
        <v>6108</v>
      </c>
    </row>
    <row r="2001" spans="1:5" ht="15" x14ac:dyDescent="0.35">
      <c r="A2001" s="509">
        <v>6594</v>
      </c>
      <c r="B2001" s="510" t="s">
        <v>2357</v>
      </c>
      <c r="C2001" s="509" t="s">
        <v>32</v>
      </c>
      <c r="D2001" s="512">
        <v>45858</v>
      </c>
      <c r="E2001" s="507" t="s">
        <v>331</v>
      </c>
    </row>
    <row r="2002" spans="1:5" ht="15" x14ac:dyDescent="0.35">
      <c r="A2002" s="509">
        <v>6595</v>
      </c>
      <c r="B2002" s="510" t="s">
        <v>2358</v>
      </c>
      <c r="C2002" s="509" t="s">
        <v>32</v>
      </c>
      <c r="D2002" s="512">
        <v>18099</v>
      </c>
      <c r="E2002" s="507" t="s">
        <v>331</v>
      </c>
    </row>
    <row r="2003" spans="1:5" ht="15" x14ac:dyDescent="0.35">
      <c r="A2003" s="509">
        <v>6596</v>
      </c>
      <c r="B2003" s="510" t="s">
        <v>2359</v>
      </c>
      <c r="C2003" s="509" t="s">
        <v>32</v>
      </c>
      <c r="D2003" s="512">
        <v>222185</v>
      </c>
      <c r="E2003" s="507" t="s">
        <v>331</v>
      </c>
    </row>
    <row r="2004" spans="1:5" ht="15" x14ac:dyDescent="0.35">
      <c r="A2004" s="509">
        <v>6598</v>
      </c>
      <c r="B2004" s="510" t="s">
        <v>2360</v>
      </c>
      <c r="C2004" s="509" t="s">
        <v>32</v>
      </c>
      <c r="D2004" s="512">
        <v>28795141</v>
      </c>
      <c r="E2004" s="507" t="s">
        <v>6108</v>
      </c>
    </row>
    <row r="2005" spans="1:5" ht="15" x14ac:dyDescent="0.35">
      <c r="A2005" s="509">
        <v>6600</v>
      </c>
      <c r="B2005" s="510" t="s">
        <v>2361</v>
      </c>
      <c r="C2005" s="509" t="s">
        <v>32</v>
      </c>
      <c r="D2005" s="512">
        <v>16087</v>
      </c>
      <c r="E2005" s="507" t="s">
        <v>6108</v>
      </c>
    </row>
    <row r="2006" spans="1:5" ht="15" x14ac:dyDescent="0.35">
      <c r="A2006" s="509">
        <v>6656</v>
      </c>
      <c r="B2006" s="510" t="s">
        <v>2363</v>
      </c>
      <c r="C2006" s="509" t="s">
        <v>30</v>
      </c>
      <c r="D2006" s="511">
        <v>979598</v>
      </c>
      <c r="E2006" s="507" t="s">
        <v>6108</v>
      </c>
    </row>
    <row r="2007" spans="1:5" ht="15" x14ac:dyDescent="0.35">
      <c r="A2007" s="509">
        <v>6658</v>
      </c>
      <c r="B2007" s="510" t="s">
        <v>2364</v>
      </c>
      <c r="C2007" s="509" t="s">
        <v>328</v>
      </c>
      <c r="D2007" s="511">
        <v>33847</v>
      </c>
      <c r="E2007" s="507" t="s">
        <v>6108</v>
      </c>
    </row>
    <row r="2008" spans="1:5" ht="15" x14ac:dyDescent="0.35">
      <c r="A2008" s="509">
        <v>6661</v>
      </c>
      <c r="B2008" s="510" t="s">
        <v>2365</v>
      </c>
      <c r="C2008" s="509" t="s">
        <v>30</v>
      </c>
      <c r="D2008" s="511">
        <v>893846</v>
      </c>
      <c r="E2008" s="507" t="s">
        <v>6108</v>
      </c>
    </row>
    <row r="2009" spans="1:5" ht="15" x14ac:dyDescent="0.35">
      <c r="A2009" s="509">
        <v>6665</v>
      </c>
      <c r="B2009" s="510" t="s">
        <v>2366</v>
      </c>
      <c r="C2009" s="509" t="s">
        <v>30</v>
      </c>
      <c r="D2009" s="512">
        <v>968067</v>
      </c>
      <c r="E2009" s="507" t="s">
        <v>6108</v>
      </c>
    </row>
    <row r="2010" spans="1:5" ht="15" x14ac:dyDescent="0.35">
      <c r="A2010" s="509">
        <v>6673</v>
      </c>
      <c r="B2010" s="510" t="s">
        <v>2367</v>
      </c>
      <c r="C2010" s="509" t="s">
        <v>32</v>
      </c>
      <c r="D2010" s="512">
        <v>229670</v>
      </c>
      <c r="E2010" s="507" t="s">
        <v>331</v>
      </c>
    </row>
    <row r="2011" spans="1:5" ht="15" x14ac:dyDescent="0.35">
      <c r="A2011" s="509">
        <v>6675</v>
      </c>
      <c r="B2011" s="510" t="s">
        <v>2368</v>
      </c>
      <c r="C2011" s="509" t="s">
        <v>32</v>
      </c>
      <c r="D2011" s="512">
        <v>467737</v>
      </c>
      <c r="E2011" s="507" t="s">
        <v>6108</v>
      </c>
    </row>
    <row r="2012" spans="1:5" ht="15" x14ac:dyDescent="0.35">
      <c r="A2012" s="509">
        <v>6676</v>
      </c>
      <c r="B2012" s="510" t="s">
        <v>2369</v>
      </c>
      <c r="C2012" s="509" t="s">
        <v>32</v>
      </c>
      <c r="D2012" s="512">
        <v>177379</v>
      </c>
      <c r="E2012" s="507" t="s">
        <v>6108</v>
      </c>
    </row>
    <row r="2013" spans="1:5" ht="15" x14ac:dyDescent="0.35">
      <c r="A2013" s="509">
        <v>6687</v>
      </c>
      <c r="B2013" s="510" t="s">
        <v>2370</v>
      </c>
      <c r="C2013" s="509" t="s">
        <v>32</v>
      </c>
      <c r="D2013" s="511">
        <v>2788070</v>
      </c>
      <c r="E2013" s="507" t="s">
        <v>6108</v>
      </c>
    </row>
    <row r="2014" spans="1:5" ht="15" x14ac:dyDescent="0.35">
      <c r="A2014" s="509">
        <v>6710</v>
      </c>
      <c r="B2014" s="510" t="s">
        <v>2371</v>
      </c>
      <c r="C2014" s="509" t="s">
        <v>30</v>
      </c>
      <c r="D2014" s="512">
        <v>932415</v>
      </c>
      <c r="E2014" s="507" t="s">
        <v>6108</v>
      </c>
    </row>
    <row r="2015" spans="1:5" ht="15" x14ac:dyDescent="0.35">
      <c r="A2015" s="509">
        <v>6715</v>
      </c>
      <c r="B2015" s="510" t="s">
        <v>2372</v>
      </c>
      <c r="C2015" s="509" t="s">
        <v>32</v>
      </c>
      <c r="D2015" s="512">
        <v>3429895</v>
      </c>
      <c r="E2015" s="507" t="s">
        <v>6108</v>
      </c>
    </row>
    <row r="2016" spans="1:5" ht="15" x14ac:dyDescent="0.35">
      <c r="A2016" s="509">
        <v>6717</v>
      </c>
      <c r="B2016" s="510" t="s">
        <v>2373</v>
      </c>
      <c r="C2016" s="509" t="s">
        <v>32</v>
      </c>
      <c r="D2016" s="511">
        <v>3085740</v>
      </c>
      <c r="E2016" s="507" t="s">
        <v>6108</v>
      </c>
    </row>
    <row r="2017" spans="1:5" ht="15" x14ac:dyDescent="0.35">
      <c r="A2017" s="509">
        <v>6718</v>
      </c>
      <c r="B2017" s="510" t="s">
        <v>2374</v>
      </c>
      <c r="C2017" s="509" t="s">
        <v>32</v>
      </c>
      <c r="D2017" s="512">
        <v>3232486</v>
      </c>
      <c r="E2017" s="507" t="s">
        <v>6108</v>
      </c>
    </row>
    <row r="2018" spans="1:5" ht="15" x14ac:dyDescent="0.35">
      <c r="A2018" s="509">
        <v>6719</v>
      </c>
      <c r="B2018" s="510" t="s">
        <v>2375</v>
      </c>
      <c r="C2018" s="509" t="s">
        <v>32</v>
      </c>
      <c r="D2018" s="512">
        <v>3716097</v>
      </c>
      <c r="E2018" s="507" t="s">
        <v>6108</v>
      </c>
    </row>
    <row r="2019" spans="1:5" ht="15" x14ac:dyDescent="0.35">
      <c r="A2019" s="509">
        <v>6720</v>
      </c>
      <c r="B2019" s="510" t="s">
        <v>2376</v>
      </c>
      <c r="C2019" s="509" t="s">
        <v>32</v>
      </c>
      <c r="D2019" s="512">
        <v>4246126</v>
      </c>
      <c r="E2019" s="507" t="s">
        <v>331</v>
      </c>
    </row>
    <row r="2020" spans="1:5" ht="15" x14ac:dyDescent="0.35">
      <c r="A2020" s="509">
        <v>6742</v>
      </c>
      <c r="B2020" s="510" t="s">
        <v>2377</v>
      </c>
      <c r="C2020" s="509" t="s">
        <v>328</v>
      </c>
      <c r="D2020" s="512">
        <v>729611</v>
      </c>
      <c r="E2020" s="507" t="s">
        <v>331</v>
      </c>
    </row>
    <row r="2021" spans="1:5" ht="15" x14ac:dyDescent="0.35">
      <c r="A2021" s="509">
        <v>6755</v>
      </c>
      <c r="B2021" s="510" t="s">
        <v>2378</v>
      </c>
      <c r="C2021" s="509" t="s">
        <v>32</v>
      </c>
      <c r="D2021" s="512">
        <v>31472</v>
      </c>
      <c r="E2021" s="507" t="s">
        <v>331</v>
      </c>
    </row>
    <row r="2022" spans="1:5" ht="15" x14ac:dyDescent="0.35">
      <c r="A2022" s="509">
        <v>6763</v>
      </c>
      <c r="B2022" s="510" t="s">
        <v>2379</v>
      </c>
      <c r="C2022" s="509" t="s">
        <v>30</v>
      </c>
      <c r="D2022" s="511">
        <v>1028526</v>
      </c>
      <c r="E2022" s="507" t="s">
        <v>6108</v>
      </c>
    </row>
    <row r="2023" spans="1:5" ht="15" x14ac:dyDescent="0.35">
      <c r="A2023" s="509">
        <v>6765</v>
      </c>
      <c r="B2023" s="510" t="s">
        <v>2380</v>
      </c>
      <c r="C2023" s="509" t="s">
        <v>30</v>
      </c>
      <c r="D2023" s="512">
        <v>1003016</v>
      </c>
      <c r="E2023" s="507" t="s">
        <v>6108</v>
      </c>
    </row>
    <row r="2024" spans="1:5" ht="15" x14ac:dyDescent="0.35">
      <c r="A2024" s="509">
        <v>6774</v>
      </c>
      <c r="B2024" s="510" t="s">
        <v>2381</v>
      </c>
      <c r="C2024" s="509" t="s">
        <v>30</v>
      </c>
      <c r="D2024" s="512">
        <v>866401</v>
      </c>
      <c r="E2024" s="507" t="s">
        <v>331</v>
      </c>
    </row>
    <row r="2025" spans="1:5" ht="15" x14ac:dyDescent="0.35">
      <c r="A2025" s="509">
        <v>6775</v>
      </c>
      <c r="B2025" s="510" t="s">
        <v>2382</v>
      </c>
      <c r="C2025" s="509" t="s">
        <v>30</v>
      </c>
      <c r="D2025" s="512">
        <v>1014976</v>
      </c>
      <c r="E2025" s="507" t="s">
        <v>331</v>
      </c>
    </row>
    <row r="2026" spans="1:5" ht="15" x14ac:dyDescent="0.35">
      <c r="A2026" s="509">
        <v>6779</v>
      </c>
      <c r="B2026" s="510" t="s">
        <v>2383</v>
      </c>
      <c r="C2026" s="509" t="s">
        <v>32</v>
      </c>
      <c r="D2026" s="512">
        <v>646281</v>
      </c>
      <c r="E2026" s="507" t="s">
        <v>331</v>
      </c>
    </row>
    <row r="2027" spans="1:5" ht="15" x14ac:dyDescent="0.35">
      <c r="A2027" s="509">
        <v>6801</v>
      </c>
      <c r="B2027" s="510" t="s">
        <v>2384</v>
      </c>
      <c r="C2027" s="509" t="s">
        <v>32</v>
      </c>
      <c r="D2027" s="511">
        <v>13604</v>
      </c>
      <c r="E2027" s="507" t="s">
        <v>331</v>
      </c>
    </row>
    <row r="2028" spans="1:5" ht="15" x14ac:dyDescent="0.35">
      <c r="A2028" s="509">
        <v>6848</v>
      </c>
      <c r="B2028" s="510" t="s">
        <v>2385</v>
      </c>
      <c r="C2028" s="509" t="s">
        <v>32</v>
      </c>
      <c r="D2028" s="512">
        <v>412873</v>
      </c>
      <c r="E2028" s="507" t="s">
        <v>331</v>
      </c>
    </row>
    <row r="2029" spans="1:5" ht="15" x14ac:dyDescent="0.35">
      <c r="A2029" s="509">
        <v>6856</v>
      </c>
      <c r="B2029" s="510" t="s">
        <v>2386</v>
      </c>
      <c r="C2029" s="509" t="s">
        <v>32</v>
      </c>
      <c r="D2029" s="511">
        <v>737091</v>
      </c>
      <c r="E2029" s="507" t="s">
        <v>331</v>
      </c>
    </row>
    <row r="2030" spans="1:5" ht="15" x14ac:dyDescent="0.35">
      <c r="A2030" s="509">
        <v>6857</v>
      </c>
      <c r="B2030" s="510" t="s">
        <v>2387</v>
      </c>
      <c r="C2030" s="509" t="s">
        <v>32</v>
      </c>
      <c r="D2030" s="512">
        <v>71811</v>
      </c>
      <c r="E2030" s="507" t="s">
        <v>331</v>
      </c>
    </row>
    <row r="2031" spans="1:5" ht="15" x14ac:dyDescent="0.35">
      <c r="A2031" s="509">
        <v>6864</v>
      </c>
      <c r="B2031" s="510" t="s">
        <v>2388</v>
      </c>
      <c r="C2031" s="509" t="s">
        <v>32</v>
      </c>
      <c r="D2031" s="511">
        <v>55565</v>
      </c>
      <c r="E2031" s="507" t="s">
        <v>331</v>
      </c>
    </row>
    <row r="2032" spans="1:5" ht="15" x14ac:dyDescent="0.35">
      <c r="A2032" s="509">
        <v>6866</v>
      </c>
      <c r="B2032" s="510" t="s">
        <v>2389</v>
      </c>
      <c r="C2032" s="509" t="s">
        <v>328</v>
      </c>
      <c r="D2032" s="511">
        <v>60638</v>
      </c>
      <c r="E2032" s="507" t="s">
        <v>331</v>
      </c>
    </row>
    <row r="2033" spans="1:5" ht="15" x14ac:dyDescent="0.35">
      <c r="A2033" s="509">
        <v>6868</v>
      </c>
      <c r="B2033" s="510" t="s">
        <v>2390</v>
      </c>
      <c r="C2033" s="509" t="s">
        <v>30</v>
      </c>
      <c r="D2033" s="511">
        <v>1143420</v>
      </c>
      <c r="E2033" s="507" t="s">
        <v>331</v>
      </c>
    </row>
    <row r="2034" spans="1:5" ht="15" x14ac:dyDescent="0.35">
      <c r="A2034" s="509">
        <v>6869</v>
      </c>
      <c r="B2034" s="510" t="s">
        <v>2391</v>
      </c>
      <c r="C2034" s="509" t="s">
        <v>30</v>
      </c>
      <c r="D2034" s="512">
        <v>1066894</v>
      </c>
      <c r="E2034" s="507" t="s">
        <v>331</v>
      </c>
    </row>
    <row r="2035" spans="1:5" ht="15" x14ac:dyDescent="0.35">
      <c r="A2035" s="509">
        <v>6878</v>
      </c>
      <c r="B2035" s="510" t="s">
        <v>2393</v>
      </c>
      <c r="C2035" s="509" t="s">
        <v>30</v>
      </c>
      <c r="D2035" s="512">
        <v>704143</v>
      </c>
      <c r="E2035" s="507" t="s">
        <v>331</v>
      </c>
    </row>
    <row r="2036" spans="1:5" ht="15" x14ac:dyDescent="0.35">
      <c r="A2036" s="509">
        <v>6880</v>
      </c>
      <c r="B2036" s="510" t="s">
        <v>2394</v>
      </c>
      <c r="C2036" s="509" t="s">
        <v>30</v>
      </c>
      <c r="D2036" s="512">
        <v>1139773</v>
      </c>
      <c r="E2036" s="507" t="s">
        <v>331</v>
      </c>
    </row>
    <row r="2037" spans="1:5" ht="15" x14ac:dyDescent="0.35">
      <c r="A2037" s="509">
        <v>6959</v>
      </c>
      <c r="B2037" s="510" t="s">
        <v>2395</v>
      </c>
      <c r="C2037" s="509" t="s">
        <v>328</v>
      </c>
      <c r="D2037" s="511">
        <v>30009</v>
      </c>
      <c r="E2037" s="507" t="s">
        <v>331</v>
      </c>
    </row>
    <row r="2038" spans="1:5" ht="15" x14ac:dyDescent="0.35">
      <c r="A2038" s="509">
        <v>6968</v>
      </c>
      <c r="B2038" s="510" t="s">
        <v>2396</v>
      </c>
      <c r="C2038" s="509" t="s">
        <v>328</v>
      </c>
      <c r="D2038" s="511">
        <v>9973</v>
      </c>
      <c r="E2038" s="507" t="s">
        <v>6108</v>
      </c>
    </row>
    <row r="2039" spans="1:5" ht="15" x14ac:dyDescent="0.35">
      <c r="A2039" s="509">
        <v>7026</v>
      </c>
      <c r="B2039" s="510" t="s">
        <v>2397</v>
      </c>
      <c r="C2039" s="509" t="s">
        <v>21</v>
      </c>
      <c r="D2039" s="512">
        <v>212059</v>
      </c>
      <c r="E2039" s="507" t="s">
        <v>331</v>
      </c>
    </row>
    <row r="2040" spans="1:5" ht="15" x14ac:dyDescent="0.35">
      <c r="A2040" s="509">
        <v>7028</v>
      </c>
      <c r="B2040" s="510" t="s">
        <v>2398</v>
      </c>
      <c r="C2040" s="509" t="s">
        <v>328</v>
      </c>
      <c r="D2040" s="512">
        <v>82506</v>
      </c>
      <c r="E2040" s="507" t="s">
        <v>6108</v>
      </c>
    </row>
    <row r="2041" spans="1:5" ht="15" x14ac:dyDescent="0.35">
      <c r="A2041" s="509">
        <v>7047</v>
      </c>
      <c r="B2041" s="510" t="s">
        <v>2399</v>
      </c>
      <c r="C2041" s="509" t="s">
        <v>32</v>
      </c>
      <c r="D2041" s="511">
        <v>485333</v>
      </c>
      <c r="E2041" s="507" t="s">
        <v>6108</v>
      </c>
    </row>
    <row r="2042" spans="1:5" ht="15" x14ac:dyDescent="0.35">
      <c r="A2042" s="509">
        <v>7057</v>
      </c>
      <c r="B2042" s="510" t="s">
        <v>2400</v>
      </c>
      <c r="C2042" s="509" t="s">
        <v>32</v>
      </c>
      <c r="D2042" s="511">
        <v>53614</v>
      </c>
      <c r="E2042" s="507" t="s">
        <v>6108</v>
      </c>
    </row>
    <row r="2043" spans="1:5" ht="15" x14ac:dyDescent="0.35">
      <c r="A2043" s="509">
        <v>7090</v>
      </c>
      <c r="B2043" s="510" t="s">
        <v>2401</v>
      </c>
      <c r="C2043" s="509" t="s">
        <v>21</v>
      </c>
      <c r="D2043" s="511">
        <v>120589</v>
      </c>
      <c r="E2043" s="507" t="s">
        <v>6108</v>
      </c>
    </row>
    <row r="2044" spans="1:5" ht="15" x14ac:dyDescent="0.35">
      <c r="A2044" s="509">
        <v>7113</v>
      </c>
      <c r="B2044" s="510" t="s">
        <v>2402</v>
      </c>
      <c r="C2044" s="509" t="s">
        <v>328</v>
      </c>
      <c r="D2044" s="511">
        <v>69879</v>
      </c>
      <c r="E2044" s="507" t="s">
        <v>6108</v>
      </c>
    </row>
    <row r="2045" spans="1:5" ht="15" x14ac:dyDescent="0.35">
      <c r="A2045" s="509">
        <v>7136</v>
      </c>
      <c r="B2045" s="510" t="s">
        <v>2403</v>
      </c>
      <c r="C2045" s="509" t="s">
        <v>670</v>
      </c>
      <c r="D2045" s="512">
        <v>1502</v>
      </c>
      <c r="E2045" s="507" t="s">
        <v>6108</v>
      </c>
    </row>
    <row r="2046" spans="1:5" ht="15" x14ac:dyDescent="0.35">
      <c r="A2046" s="509">
        <v>7332</v>
      </c>
      <c r="B2046" s="510" t="s">
        <v>2406</v>
      </c>
      <c r="C2046" s="509" t="s">
        <v>328</v>
      </c>
      <c r="D2046" s="511">
        <v>16239</v>
      </c>
      <c r="E2046" s="507" t="s">
        <v>6108</v>
      </c>
    </row>
    <row r="2047" spans="1:5" ht="15" x14ac:dyDescent="0.35">
      <c r="A2047" s="509">
        <v>7336</v>
      </c>
      <c r="B2047" s="510" t="s">
        <v>2407</v>
      </c>
      <c r="C2047" s="509" t="s">
        <v>670</v>
      </c>
      <c r="D2047" s="511">
        <v>6830</v>
      </c>
      <c r="E2047" s="507" t="s">
        <v>6108</v>
      </c>
    </row>
    <row r="2048" spans="1:5" ht="15" x14ac:dyDescent="0.35">
      <c r="A2048" s="509">
        <v>7337</v>
      </c>
      <c r="B2048" s="510" t="s">
        <v>2408</v>
      </c>
      <c r="C2048" s="509" t="s">
        <v>32</v>
      </c>
      <c r="D2048" s="511">
        <v>5771100</v>
      </c>
      <c r="E2048" s="507" t="s">
        <v>6108</v>
      </c>
    </row>
    <row r="2049" spans="1:5" ht="15" x14ac:dyDescent="0.35">
      <c r="A2049" s="509">
        <v>7338</v>
      </c>
      <c r="B2049" s="510" t="s">
        <v>2409</v>
      </c>
      <c r="C2049" s="509" t="s">
        <v>307</v>
      </c>
      <c r="D2049" s="511">
        <v>430350</v>
      </c>
      <c r="E2049" s="507" t="s">
        <v>6108</v>
      </c>
    </row>
    <row r="2050" spans="1:5" ht="15" x14ac:dyDescent="0.35">
      <c r="A2050" s="509">
        <v>7340</v>
      </c>
      <c r="B2050" s="510" t="s">
        <v>2410</v>
      </c>
      <c r="C2050" s="509" t="s">
        <v>32</v>
      </c>
      <c r="D2050" s="511">
        <v>3927161</v>
      </c>
      <c r="E2050" s="507" t="s">
        <v>6108</v>
      </c>
    </row>
    <row r="2051" spans="1:5" ht="15" x14ac:dyDescent="0.35">
      <c r="A2051" s="509">
        <v>7341</v>
      </c>
      <c r="B2051" s="510" t="s">
        <v>2411</v>
      </c>
      <c r="C2051" s="509" t="s">
        <v>328</v>
      </c>
      <c r="D2051" s="511">
        <v>1384410</v>
      </c>
      <c r="E2051" s="507" t="s">
        <v>6108</v>
      </c>
    </row>
    <row r="2052" spans="1:5" ht="15" x14ac:dyDescent="0.35">
      <c r="A2052" s="509">
        <v>7344</v>
      </c>
      <c r="B2052" s="510" t="s">
        <v>2412</v>
      </c>
      <c r="C2052" s="509" t="s">
        <v>328</v>
      </c>
      <c r="D2052" s="511">
        <v>1051</v>
      </c>
      <c r="E2052" s="507" t="s">
        <v>6108</v>
      </c>
    </row>
    <row r="2053" spans="1:5" ht="15" x14ac:dyDescent="0.35">
      <c r="A2053" s="509">
        <v>7345</v>
      </c>
      <c r="B2053" s="510" t="s">
        <v>2413</v>
      </c>
      <c r="C2053" s="509" t="s">
        <v>30</v>
      </c>
      <c r="D2053" s="512">
        <v>794280</v>
      </c>
      <c r="E2053" s="507" t="s">
        <v>6108</v>
      </c>
    </row>
    <row r="2054" spans="1:5" ht="15" x14ac:dyDescent="0.35">
      <c r="A2054" s="509">
        <v>7346</v>
      </c>
      <c r="B2054" s="510" t="s">
        <v>2414</v>
      </c>
      <c r="C2054" s="509" t="s">
        <v>21</v>
      </c>
      <c r="D2054" s="511">
        <v>30732</v>
      </c>
      <c r="E2054" s="507" t="s">
        <v>6108</v>
      </c>
    </row>
    <row r="2055" spans="1:5" ht="15" x14ac:dyDescent="0.35">
      <c r="A2055" s="509">
        <v>7347</v>
      </c>
      <c r="B2055" s="510" t="s">
        <v>2415</v>
      </c>
      <c r="C2055" s="509" t="s">
        <v>32</v>
      </c>
      <c r="D2055" s="511">
        <v>4825595</v>
      </c>
      <c r="E2055" s="507" t="s">
        <v>6108</v>
      </c>
    </row>
    <row r="2056" spans="1:5" ht="15" x14ac:dyDescent="0.35">
      <c r="A2056" s="509">
        <v>7348</v>
      </c>
      <c r="B2056" s="510" t="s">
        <v>2416</v>
      </c>
      <c r="C2056" s="509" t="s">
        <v>30</v>
      </c>
      <c r="D2056" s="511">
        <v>861900</v>
      </c>
      <c r="E2056" s="507" t="s">
        <v>6108</v>
      </c>
    </row>
    <row r="2057" spans="1:5" ht="15" x14ac:dyDescent="0.35">
      <c r="A2057" s="509">
        <v>7349</v>
      </c>
      <c r="B2057" s="510" t="s">
        <v>2417</v>
      </c>
      <c r="C2057" s="509" t="s">
        <v>30</v>
      </c>
      <c r="D2057" s="511">
        <v>860084</v>
      </c>
      <c r="E2057" s="507" t="s">
        <v>6108</v>
      </c>
    </row>
    <row r="2058" spans="1:5" ht="15" x14ac:dyDescent="0.35">
      <c r="A2058" s="509">
        <v>7351</v>
      </c>
      <c r="B2058" s="510" t="s">
        <v>2418</v>
      </c>
      <c r="C2058" s="509" t="s">
        <v>30</v>
      </c>
      <c r="D2058" s="512">
        <v>887522</v>
      </c>
      <c r="E2058" s="507" t="s">
        <v>6108</v>
      </c>
    </row>
    <row r="2059" spans="1:5" ht="15" x14ac:dyDescent="0.35">
      <c r="A2059" s="509">
        <v>7353</v>
      </c>
      <c r="B2059" s="510" t="s">
        <v>2419</v>
      </c>
      <c r="C2059" s="509" t="s">
        <v>32</v>
      </c>
      <c r="D2059" s="512">
        <v>1981021</v>
      </c>
      <c r="E2059" s="507" t="s">
        <v>6108</v>
      </c>
    </row>
    <row r="2060" spans="1:5" ht="15" x14ac:dyDescent="0.35">
      <c r="A2060" s="509">
        <v>7354</v>
      </c>
      <c r="B2060" s="510" t="s">
        <v>2420</v>
      </c>
      <c r="C2060" s="509" t="s">
        <v>32</v>
      </c>
      <c r="D2060" s="512">
        <v>2491380</v>
      </c>
      <c r="E2060" s="507" t="s">
        <v>6108</v>
      </c>
    </row>
    <row r="2061" spans="1:5" ht="15" x14ac:dyDescent="0.35">
      <c r="A2061" s="509">
        <v>7355</v>
      </c>
      <c r="B2061" s="510" t="s">
        <v>2421</v>
      </c>
      <c r="C2061" s="509" t="s">
        <v>32</v>
      </c>
      <c r="D2061" s="511">
        <v>435347</v>
      </c>
      <c r="E2061" s="507" t="s">
        <v>6108</v>
      </c>
    </row>
    <row r="2062" spans="1:5" ht="15" x14ac:dyDescent="0.35">
      <c r="A2062" s="509">
        <v>7356</v>
      </c>
      <c r="B2062" s="510" t="s">
        <v>2422</v>
      </c>
      <c r="C2062" s="509" t="s">
        <v>32</v>
      </c>
      <c r="D2062" s="512">
        <v>2054426</v>
      </c>
      <c r="E2062" s="507" t="s">
        <v>6108</v>
      </c>
    </row>
    <row r="2063" spans="1:5" ht="15" x14ac:dyDescent="0.35">
      <c r="A2063" s="509">
        <v>7357</v>
      </c>
      <c r="B2063" s="510" t="s">
        <v>2423</v>
      </c>
      <c r="C2063" s="509" t="s">
        <v>32</v>
      </c>
      <c r="D2063" s="512">
        <v>614150</v>
      </c>
      <c r="E2063" s="507" t="s">
        <v>6108</v>
      </c>
    </row>
    <row r="2064" spans="1:5" ht="15" x14ac:dyDescent="0.35">
      <c r="A2064" s="509">
        <v>7358</v>
      </c>
      <c r="B2064" s="510" t="s">
        <v>2424</v>
      </c>
      <c r="C2064" s="509" t="s">
        <v>32</v>
      </c>
      <c r="D2064" s="511">
        <v>422281</v>
      </c>
      <c r="E2064" s="507" t="s">
        <v>6108</v>
      </c>
    </row>
    <row r="2065" spans="1:5" ht="15" x14ac:dyDescent="0.35">
      <c r="A2065" s="509">
        <v>7359</v>
      </c>
      <c r="B2065" s="510" t="s">
        <v>2425</v>
      </c>
      <c r="C2065" s="509" t="s">
        <v>32</v>
      </c>
      <c r="D2065" s="511">
        <v>430162</v>
      </c>
      <c r="E2065" s="507" t="s">
        <v>6108</v>
      </c>
    </row>
    <row r="2066" spans="1:5" ht="15" x14ac:dyDescent="0.35">
      <c r="A2066" s="509">
        <v>7362</v>
      </c>
      <c r="B2066" s="510" t="s">
        <v>2426</v>
      </c>
      <c r="C2066" s="509" t="s">
        <v>21</v>
      </c>
      <c r="D2066" s="511">
        <v>13413</v>
      </c>
      <c r="E2066" s="507" t="s">
        <v>6108</v>
      </c>
    </row>
    <row r="2067" spans="1:5" ht="15" x14ac:dyDescent="0.35">
      <c r="A2067" s="509">
        <v>7364</v>
      </c>
      <c r="B2067" s="510" t="s">
        <v>2427</v>
      </c>
      <c r="C2067" s="509" t="s">
        <v>30</v>
      </c>
      <c r="D2067" s="512">
        <v>93828</v>
      </c>
      <c r="E2067" s="507" t="s">
        <v>6108</v>
      </c>
    </row>
    <row r="2068" spans="1:5" ht="15" x14ac:dyDescent="0.35">
      <c r="A2068" s="509">
        <v>7368</v>
      </c>
      <c r="B2068" s="510" t="s">
        <v>2430</v>
      </c>
      <c r="C2068" s="509" t="s">
        <v>21</v>
      </c>
      <c r="D2068" s="512">
        <v>56496</v>
      </c>
      <c r="E2068" s="507" t="s">
        <v>6108</v>
      </c>
    </row>
    <row r="2069" spans="1:5" ht="15" x14ac:dyDescent="0.35">
      <c r="A2069" s="509">
        <v>7369</v>
      </c>
      <c r="B2069" s="510" t="s">
        <v>2431</v>
      </c>
      <c r="C2069" s="509" t="s">
        <v>328</v>
      </c>
      <c r="D2069" s="511">
        <v>10472</v>
      </c>
      <c r="E2069" s="507" t="s">
        <v>6108</v>
      </c>
    </row>
    <row r="2070" spans="1:5" ht="15" x14ac:dyDescent="0.35">
      <c r="A2070" s="509">
        <v>7370</v>
      </c>
      <c r="B2070" s="510" t="s">
        <v>2432</v>
      </c>
      <c r="C2070" s="509" t="s">
        <v>32</v>
      </c>
      <c r="D2070" s="512">
        <v>1627659</v>
      </c>
      <c r="E2070" s="507" t="s">
        <v>6108</v>
      </c>
    </row>
    <row r="2071" spans="1:5" ht="15" x14ac:dyDescent="0.35">
      <c r="A2071" s="509">
        <v>7371</v>
      </c>
      <c r="B2071" s="510" t="s">
        <v>2433</v>
      </c>
      <c r="C2071" s="509" t="s">
        <v>32</v>
      </c>
      <c r="D2071" s="511">
        <v>2018656</v>
      </c>
      <c r="E2071" s="507" t="s">
        <v>6108</v>
      </c>
    </row>
    <row r="2072" spans="1:5" ht="15" x14ac:dyDescent="0.35">
      <c r="A2072" s="509">
        <v>7372</v>
      </c>
      <c r="B2072" s="510" t="s">
        <v>2434</v>
      </c>
      <c r="C2072" s="509" t="s">
        <v>32</v>
      </c>
      <c r="D2072" s="511">
        <v>5556236</v>
      </c>
      <c r="E2072" s="507" t="s">
        <v>6108</v>
      </c>
    </row>
    <row r="2073" spans="1:5" ht="15" x14ac:dyDescent="0.35">
      <c r="A2073" s="509">
        <v>7374</v>
      </c>
      <c r="B2073" s="510" t="s">
        <v>2435</v>
      </c>
      <c r="C2073" s="509" t="s">
        <v>32</v>
      </c>
      <c r="D2073" s="511">
        <v>51641</v>
      </c>
      <c r="E2073" s="507" t="s">
        <v>6108</v>
      </c>
    </row>
    <row r="2074" spans="1:5" ht="15" x14ac:dyDescent="0.35">
      <c r="A2074" s="509">
        <v>7375</v>
      </c>
      <c r="B2074" s="510" t="s">
        <v>2436</v>
      </c>
      <c r="C2074" s="509" t="s">
        <v>32</v>
      </c>
      <c r="D2074" s="511">
        <v>1244269</v>
      </c>
      <c r="E2074" s="507" t="s">
        <v>6108</v>
      </c>
    </row>
    <row r="2075" spans="1:5" ht="15" x14ac:dyDescent="0.35">
      <c r="A2075" s="509">
        <v>7377</v>
      </c>
      <c r="B2075" s="510" t="s">
        <v>2437</v>
      </c>
      <c r="C2075" s="509" t="s">
        <v>32</v>
      </c>
      <c r="D2075" s="511">
        <v>1191899</v>
      </c>
      <c r="E2075" s="507" t="s">
        <v>6108</v>
      </c>
    </row>
    <row r="2076" spans="1:5" ht="15" x14ac:dyDescent="0.35">
      <c r="A2076" s="509">
        <v>7378</v>
      </c>
      <c r="B2076" s="510" t="s">
        <v>2438</v>
      </c>
      <c r="C2076" s="509" t="s">
        <v>21</v>
      </c>
      <c r="D2076" s="511">
        <v>23654</v>
      </c>
      <c r="E2076" s="507" t="s">
        <v>6108</v>
      </c>
    </row>
    <row r="2077" spans="1:5" ht="15" x14ac:dyDescent="0.35">
      <c r="A2077" s="509">
        <v>7379</v>
      </c>
      <c r="B2077" s="510" t="s">
        <v>2439</v>
      </c>
      <c r="C2077" s="509" t="s">
        <v>32</v>
      </c>
      <c r="D2077" s="511">
        <v>611764</v>
      </c>
      <c r="E2077" s="507" t="s">
        <v>6108</v>
      </c>
    </row>
    <row r="2078" spans="1:5" ht="15" x14ac:dyDescent="0.35">
      <c r="A2078" s="509">
        <v>7380</v>
      </c>
      <c r="B2078" s="510" t="s">
        <v>2440</v>
      </c>
      <c r="C2078" s="509" t="s">
        <v>979</v>
      </c>
      <c r="D2078" s="511">
        <v>21451</v>
      </c>
      <c r="E2078" s="507" t="s">
        <v>6108</v>
      </c>
    </row>
    <row r="2079" spans="1:5" ht="15" x14ac:dyDescent="0.35">
      <c r="A2079" s="509">
        <v>7384</v>
      </c>
      <c r="B2079" s="510" t="s">
        <v>2441</v>
      </c>
      <c r="C2079" s="509" t="s">
        <v>32</v>
      </c>
      <c r="D2079" s="511">
        <v>10046226</v>
      </c>
      <c r="E2079" s="507" t="s">
        <v>6108</v>
      </c>
    </row>
    <row r="2080" spans="1:5" ht="15" x14ac:dyDescent="0.35">
      <c r="A2080" s="509">
        <v>7387</v>
      </c>
      <c r="B2080" s="510" t="s">
        <v>2442</v>
      </c>
      <c r="C2080" s="509" t="s">
        <v>670</v>
      </c>
      <c r="D2080" s="511">
        <v>8948</v>
      </c>
      <c r="E2080" s="507" t="s">
        <v>6108</v>
      </c>
    </row>
    <row r="2081" spans="1:5" ht="15" x14ac:dyDescent="0.35">
      <c r="A2081" s="509">
        <v>7388</v>
      </c>
      <c r="B2081" s="510" t="s">
        <v>2443</v>
      </c>
      <c r="C2081" s="509" t="s">
        <v>328</v>
      </c>
      <c r="D2081" s="511">
        <v>5547512</v>
      </c>
      <c r="E2081" s="507" t="s">
        <v>6108</v>
      </c>
    </row>
    <row r="2082" spans="1:5" ht="15" x14ac:dyDescent="0.35">
      <c r="A2082" s="509">
        <v>7389</v>
      </c>
      <c r="B2082" s="510" t="s">
        <v>2444</v>
      </c>
      <c r="C2082" s="509" t="s">
        <v>2445</v>
      </c>
      <c r="D2082" s="511">
        <v>8652422</v>
      </c>
      <c r="E2082" s="507" t="s">
        <v>6108</v>
      </c>
    </row>
    <row r="2083" spans="1:5" ht="15" x14ac:dyDescent="0.35">
      <c r="A2083" s="509">
        <v>7390</v>
      </c>
      <c r="B2083" s="510" t="s">
        <v>2446</v>
      </c>
      <c r="C2083" s="509" t="s">
        <v>328</v>
      </c>
      <c r="D2083" s="512">
        <v>58457</v>
      </c>
      <c r="E2083" s="507" t="s">
        <v>6108</v>
      </c>
    </row>
    <row r="2084" spans="1:5" ht="15" x14ac:dyDescent="0.35">
      <c r="A2084" s="509">
        <v>7391</v>
      </c>
      <c r="B2084" s="510" t="s">
        <v>2447</v>
      </c>
      <c r="C2084" s="509" t="s">
        <v>32</v>
      </c>
      <c r="D2084" s="512">
        <v>6125198</v>
      </c>
      <c r="E2084" s="507" t="s">
        <v>6108</v>
      </c>
    </row>
    <row r="2085" spans="1:5" ht="15" x14ac:dyDescent="0.35">
      <c r="A2085" s="509">
        <v>7392</v>
      </c>
      <c r="B2085" s="510" t="s">
        <v>2448</v>
      </c>
      <c r="C2085" s="509" t="s">
        <v>32</v>
      </c>
      <c r="D2085" s="512">
        <v>1925323</v>
      </c>
      <c r="E2085" s="507" t="s">
        <v>6108</v>
      </c>
    </row>
    <row r="2086" spans="1:5" ht="15" x14ac:dyDescent="0.35">
      <c r="A2086" s="509">
        <v>7393</v>
      </c>
      <c r="B2086" s="510" t="s">
        <v>2449</v>
      </c>
      <c r="C2086" s="509" t="s">
        <v>32</v>
      </c>
      <c r="D2086" s="511">
        <v>10613640</v>
      </c>
      <c r="E2086" s="507" t="s">
        <v>6108</v>
      </c>
    </row>
    <row r="2087" spans="1:5" ht="15" x14ac:dyDescent="0.35">
      <c r="A2087" s="509">
        <v>7397</v>
      </c>
      <c r="B2087" s="510" t="s">
        <v>2450</v>
      </c>
      <c r="C2087" s="509" t="s">
        <v>32</v>
      </c>
      <c r="D2087" s="511">
        <v>427411</v>
      </c>
      <c r="E2087" s="507" t="s">
        <v>6108</v>
      </c>
    </row>
    <row r="2088" spans="1:5" ht="15" x14ac:dyDescent="0.35">
      <c r="A2088" s="509">
        <v>7398</v>
      </c>
      <c r="B2088" s="510" t="s">
        <v>2451</v>
      </c>
      <c r="C2088" s="509" t="s">
        <v>32</v>
      </c>
      <c r="D2088" s="511">
        <v>535354</v>
      </c>
      <c r="E2088" s="507" t="s">
        <v>6108</v>
      </c>
    </row>
    <row r="2089" spans="1:5" ht="15" x14ac:dyDescent="0.35">
      <c r="A2089" s="509">
        <v>7399</v>
      </c>
      <c r="B2089" s="510" t="s">
        <v>2452</v>
      </c>
      <c r="C2089" s="509" t="s">
        <v>32</v>
      </c>
      <c r="D2089" s="511">
        <v>807257</v>
      </c>
      <c r="E2089" s="507" t="s">
        <v>6108</v>
      </c>
    </row>
    <row r="2090" spans="1:5" ht="15" x14ac:dyDescent="0.35">
      <c r="A2090" s="509">
        <v>7400</v>
      </c>
      <c r="B2090" s="510" t="s">
        <v>2453</v>
      </c>
      <c r="C2090" s="509" t="s">
        <v>32</v>
      </c>
      <c r="D2090" s="512">
        <v>465521</v>
      </c>
      <c r="E2090" s="507" t="s">
        <v>6108</v>
      </c>
    </row>
    <row r="2091" spans="1:5" ht="15" x14ac:dyDescent="0.35">
      <c r="A2091" s="509">
        <v>7401</v>
      </c>
      <c r="B2091" s="510" t="s">
        <v>2454</v>
      </c>
      <c r="C2091" s="509" t="s">
        <v>32</v>
      </c>
      <c r="D2091" s="511">
        <v>807257</v>
      </c>
      <c r="E2091" s="507" t="s">
        <v>6108</v>
      </c>
    </row>
    <row r="2092" spans="1:5" ht="15" x14ac:dyDescent="0.35">
      <c r="A2092" s="509">
        <v>7406</v>
      </c>
      <c r="B2092" s="510" t="s">
        <v>2455</v>
      </c>
      <c r="C2092" s="509" t="s">
        <v>32</v>
      </c>
      <c r="D2092" s="512">
        <v>468040</v>
      </c>
      <c r="E2092" s="507" t="s">
        <v>6108</v>
      </c>
    </row>
    <row r="2093" spans="1:5" ht="15" x14ac:dyDescent="0.35">
      <c r="A2093" s="509">
        <v>7407</v>
      </c>
      <c r="B2093" s="510" t="s">
        <v>2456</v>
      </c>
      <c r="C2093" s="509" t="s">
        <v>32</v>
      </c>
      <c r="D2093" s="512">
        <v>782403</v>
      </c>
      <c r="E2093" s="507" t="s">
        <v>6108</v>
      </c>
    </row>
    <row r="2094" spans="1:5" ht="15" x14ac:dyDescent="0.35">
      <c r="A2094" s="509">
        <v>7408</v>
      </c>
      <c r="B2094" s="510" t="s">
        <v>2457</v>
      </c>
      <c r="C2094" s="509" t="s">
        <v>32</v>
      </c>
      <c r="D2094" s="512">
        <v>937091</v>
      </c>
      <c r="E2094" s="507" t="s">
        <v>6108</v>
      </c>
    </row>
    <row r="2095" spans="1:5" ht="15" x14ac:dyDescent="0.35">
      <c r="A2095" s="509">
        <v>7409</v>
      </c>
      <c r="B2095" s="510" t="s">
        <v>2458</v>
      </c>
      <c r="C2095" s="509" t="s">
        <v>32</v>
      </c>
      <c r="D2095" s="511">
        <v>3722919</v>
      </c>
      <c r="E2095" s="507" t="s">
        <v>6108</v>
      </c>
    </row>
    <row r="2096" spans="1:5" ht="15" x14ac:dyDescent="0.35">
      <c r="A2096" s="509">
        <v>7410</v>
      </c>
      <c r="B2096" s="510" t="s">
        <v>2459</v>
      </c>
      <c r="C2096" s="509" t="s">
        <v>32</v>
      </c>
      <c r="D2096" s="511">
        <v>2081333</v>
      </c>
      <c r="E2096" s="507" t="s">
        <v>6108</v>
      </c>
    </row>
    <row r="2097" spans="1:5" ht="15" x14ac:dyDescent="0.35">
      <c r="A2097" s="509">
        <v>7411</v>
      </c>
      <c r="B2097" s="510" t="s">
        <v>2460</v>
      </c>
      <c r="C2097" s="509" t="s">
        <v>32</v>
      </c>
      <c r="D2097" s="511">
        <v>1452471</v>
      </c>
      <c r="E2097" s="507" t="s">
        <v>6108</v>
      </c>
    </row>
    <row r="2098" spans="1:5" ht="15" x14ac:dyDescent="0.35">
      <c r="A2098" s="509">
        <v>7412</v>
      </c>
      <c r="B2098" s="510" t="s">
        <v>2461</v>
      </c>
      <c r="C2098" s="509" t="s">
        <v>32</v>
      </c>
      <c r="D2098" s="511">
        <v>1372570</v>
      </c>
      <c r="E2098" s="507" t="s">
        <v>6108</v>
      </c>
    </row>
    <row r="2099" spans="1:5" ht="15" x14ac:dyDescent="0.35">
      <c r="A2099" s="509">
        <v>7413</v>
      </c>
      <c r="B2099" s="510" t="s">
        <v>2462</v>
      </c>
      <c r="C2099" s="509" t="s">
        <v>32</v>
      </c>
      <c r="D2099" s="511">
        <v>2358763</v>
      </c>
      <c r="E2099" s="507" t="s">
        <v>6108</v>
      </c>
    </row>
    <row r="2100" spans="1:5" ht="15" x14ac:dyDescent="0.35">
      <c r="A2100" s="509">
        <v>7414</v>
      </c>
      <c r="B2100" s="510" t="s">
        <v>2463</v>
      </c>
      <c r="C2100" s="509" t="s">
        <v>32</v>
      </c>
      <c r="D2100" s="511">
        <v>2713583</v>
      </c>
      <c r="E2100" s="507" t="s">
        <v>6108</v>
      </c>
    </row>
    <row r="2101" spans="1:5" ht="15" x14ac:dyDescent="0.35">
      <c r="A2101" s="509">
        <v>7417</v>
      </c>
      <c r="B2101" s="510" t="s">
        <v>2464</v>
      </c>
      <c r="C2101" s="509" t="s">
        <v>30</v>
      </c>
      <c r="D2101" s="511">
        <v>832893</v>
      </c>
      <c r="E2101" s="507" t="s">
        <v>6108</v>
      </c>
    </row>
    <row r="2102" spans="1:5" ht="15" x14ac:dyDescent="0.35">
      <c r="A2102" s="509">
        <v>7419</v>
      </c>
      <c r="B2102" s="510" t="s">
        <v>2465</v>
      </c>
      <c r="C2102" s="509" t="s">
        <v>32</v>
      </c>
      <c r="D2102" s="511">
        <v>287581</v>
      </c>
      <c r="E2102" s="507" t="s">
        <v>6108</v>
      </c>
    </row>
    <row r="2103" spans="1:5" ht="15" x14ac:dyDescent="0.35">
      <c r="A2103" s="509">
        <v>7420</v>
      </c>
      <c r="B2103" s="510" t="s">
        <v>2466</v>
      </c>
      <c r="C2103" s="509" t="s">
        <v>32</v>
      </c>
      <c r="D2103" s="511">
        <v>1925694</v>
      </c>
      <c r="E2103" s="507" t="s">
        <v>6108</v>
      </c>
    </row>
    <row r="2104" spans="1:5" ht="15" x14ac:dyDescent="0.35">
      <c r="A2104" s="509">
        <v>7421</v>
      </c>
      <c r="B2104" s="510" t="s">
        <v>2467</v>
      </c>
      <c r="C2104" s="509" t="s">
        <v>32</v>
      </c>
      <c r="D2104" s="511">
        <v>1925694</v>
      </c>
      <c r="E2104" s="507" t="s">
        <v>6108</v>
      </c>
    </row>
    <row r="2105" spans="1:5" ht="15" x14ac:dyDescent="0.35">
      <c r="A2105" s="509">
        <v>7422</v>
      </c>
      <c r="B2105" s="510" t="s">
        <v>2468</v>
      </c>
      <c r="C2105" s="509" t="s">
        <v>32</v>
      </c>
      <c r="D2105" s="511">
        <v>3280997</v>
      </c>
      <c r="E2105" s="507" t="s">
        <v>6108</v>
      </c>
    </row>
    <row r="2106" spans="1:5" ht="15" x14ac:dyDescent="0.35">
      <c r="A2106" s="509">
        <v>7423</v>
      </c>
      <c r="B2106" s="510" t="s">
        <v>2469</v>
      </c>
      <c r="C2106" s="509" t="s">
        <v>32</v>
      </c>
      <c r="D2106" s="511">
        <v>751524</v>
      </c>
      <c r="E2106" s="507" t="s">
        <v>6108</v>
      </c>
    </row>
    <row r="2107" spans="1:5" ht="15" x14ac:dyDescent="0.35">
      <c r="A2107" s="509">
        <v>7424</v>
      </c>
      <c r="B2107" s="510" t="s">
        <v>2470</v>
      </c>
      <c r="C2107" s="509" t="s">
        <v>32</v>
      </c>
      <c r="D2107" s="511">
        <v>4654992</v>
      </c>
      <c r="E2107" s="507" t="s">
        <v>6108</v>
      </c>
    </row>
    <row r="2108" spans="1:5" ht="15" x14ac:dyDescent="0.35">
      <c r="A2108" s="509">
        <v>7425</v>
      </c>
      <c r="B2108" s="510" t="s">
        <v>2471</v>
      </c>
      <c r="C2108" s="509" t="s">
        <v>32</v>
      </c>
      <c r="D2108" s="511">
        <v>5222403</v>
      </c>
      <c r="E2108" s="507" t="s">
        <v>6108</v>
      </c>
    </row>
    <row r="2109" spans="1:5" ht="15" x14ac:dyDescent="0.35">
      <c r="A2109" s="509">
        <v>7426</v>
      </c>
      <c r="B2109" s="510" t="s">
        <v>2472</v>
      </c>
      <c r="C2109" s="509" t="s">
        <v>30</v>
      </c>
      <c r="D2109" s="511">
        <v>873414</v>
      </c>
      <c r="E2109" s="507" t="s">
        <v>6108</v>
      </c>
    </row>
    <row r="2110" spans="1:5" ht="15" x14ac:dyDescent="0.35">
      <c r="A2110" s="509">
        <v>7427</v>
      </c>
      <c r="B2110" s="510" t="s">
        <v>2473</v>
      </c>
      <c r="C2110" s="509" t="s">
        <v>32</v>
      </c>
      <c r="D2110" s="511">
        <v>3308629</v>
      </c>
      <c r="E2110" s="507" t="s">
        <v>6108</v>
      </c>
    </row>
    <row r="2111" spans="1:5" ht="15" x14ac:dyDescent="0.35">
      <c r="A2111" s="509">
        <v>7428</v>
      </c>
      <c r="B2111" s="510" t="s">
        <v>2474</v>
      </c>
      <c r="C2111" s="509" t="s">
        <v>32</v>
      </c>
      <c r="D2111" s="511">
        <v>3383728</v>
      </c>
      <c r="E2111" s="507" t="s">
        <v>6108</v>
      </c>
    </row>
    <row r="2112" spans="1:5" ht="15" x14ac:dyDescent="0.35">
      <c r="A2112" s="509">
        <v>7429</v>
      </c>
      <c r="B2112" s="510" t="s">
        <v>2475</v>
      </c>
      <c r="C2112" s="509" t="s">
        <v>32</v>
      </c>
      <c r="D2112" s="511">
        <v>6072824</v>
      </c>
      <c r="E2112" s="507" t="s">
        <v>6108</v>
      </c>
    </row>
    <row r="2113" spans="1:5" ht="15" x14ac:dyDescent="0.35">
      <c r="A2113" s="509">
        <v>7430</v>
      </c>
      <c r="B2113" s="510" t="s">
        <v>2476</v>
      </c>
      <c r="C2113" s="509" t="s">
        <v>32</v>
      </c>
      <c r="D2113" s="511">
        <v>470394</v>
      </c>
      <c r="E2113" s="507" t="s">
        <v>6108</v>
      </c>
    </row>
    <row r="2114" spans="1:5" ht="15" x14ac:dyDescent="0.35">
      <c r="A2114" s="509">
        <v>7432</v>
      </c>
      <c r="B2114" s="510" t="s">
        <v>2477</v>
      </c>
      <c r="C2114" s="509" t="s">
        <v>328</v>
      </c>
      <c r="D2114" s="512">
        <v>732061</v>
      </c>
      <c r="E2114" s="507" t="s">
        <v>6108</v>
      </c>
    </row>
    <row r="2115" spans="1:5" ht="15" x14ac:dyDescent="0.35">
      <c r="A2115" s="509">
        <v>7433</v>
      </c>
      <c r="B2115" s="510" t="s">
        <v>2478</v>
      </c>
      <c r="C2115" s="509" t="s">
        <v>328</v>
      </c>
      <c r="D2115" s="511">
        <v>867445</v>
      </c>
      <c r="E2115" s="507" t="s">
        <v>6108</v>
      </c>
    </row>
    <row r="2116" spans="1:5" ht="15" x14ac:dyDescent="0.35">
      <c r="A2116" s="509">
        <v>7434</v>
      </c>
      <c r="B2116" s="510" t="s">
        <v>2479</v>
      </c>
      <c r="C2116" s="509" t="s">
        <v>328</v>
      </c>
      <c r="D2116" s="511">
        <v>1057113</v>
      </c>
      <c r="E2116" s="507" t="s">
        <v>6108</v>
      </c>
    </row>
    <row r="2117" spans="1:5" ht="15" x14ac:dyDescent="0.35">
      <c r="A2117" s="509">
        <v>7435</v>
      </c>
      <c r="B2117" s="510" t="s">
        <v>2480</v>
      </c>
      <c r="C2117" s="509" t="s">
        <v>328</v>
      </c>
      <c r="D2117" s="511">
        <v>1905857</v>
      </c>
      <c r="E2117" s="507" t="s">
        <v>6108</v>
      </c>
    </row>
    <row r="2118" spans="1:5" ht="15" x14ac:dyDescent="0.35">
      <c r="A2118" s="509">
        <v>7436</v>
      </c>
      <c r="B2118" s="510" t="s">
        <v>2481</v>
      </c>
      <c r="C2118" s="509" t="s">
        <v>32</v>
      </c>
      <c r="D2118" s="512">
        <v>1280914</v>
      </c>
      <c r="E2118" s="507" t="s">
        <v>6108</v>
      </c>
    </row>
    <row r="2119" spans="1:5" ht="15" x14ac:dyDescent="0.35">
      <c r="A2119" s="509">
        <v>7437</v>
      </c>
      <c r="B2119" s="510" t="s">
        <v>2482</v>
      </c>
      <c r="C2119" s="509" t="s">
        <v>30</v>
      </c>
      <c r="D2119" s="511">
        <v>1001850</v>
      </c>
      <c r="E2119" s="507" t="s">
        <v>6108</v>
      </c>
    </row>
    <row r="2120" spans="1:5" ht="15" x14ac:dyDescent="0.35">
      <c r="A2120" s="509">
        <v>7438</v>
      </c>
      <c r="B2120" s="510" t="s">
        <v>2483</v>
      </c>
      <c r="C2120" s="509" t="s">
        <v>32</v>
      </c>
      <c r="D2120" s="511">
        <v>4257824</v>
      </c>
      <c r="E2120" s="507" t="s">
        <v>6108</v>
      </c>
    </row>
    <row r="2121" spans="1:5" ht="15" x14ac:dyDescent="0.35">
      <c r="A2121" s="509">
        <v>7439</v>
      </c>
      <c r="B2121" s="510" t="s">
        <v>2484</v>
      </c>
      <c r="C2121" s="509" t="s">
        <v>32</v>
      </c>
      <c r="D2121" s="512">
        <v>470084</v>
      </c>
      <c r="E2121" s="507" t="s">
        <v>6108</v>
      </c>
    </row>
    <row r="2122" spans="1:5" ht="15" x14ac:dyDescent="0.35">
      <c r="A2122" s="509">
        <v>7440</v>
      </c>
      <c r="B2122" s="510" t="s">
        <v>2485</v>
      </c>
      <c r="C2122" s="509" t="s">
        <v>32</v>
      </c>
      <c r="D2122" s="511">
        <v>4247616</v>
      </c>
      <c r="E2122" s="507" t="s">
        <v>6108</v>
      </c>
    </row>
    <row r="2123" spans="1:5" ht="15" x14ac:dyDescent="0.35">
      <c r="A2123" s="509">
        <v>7441</v>
      </c>
      <c r="B2123" s="510" t="s">
        <v>2486</v>
      </c>
      <c r="C2123" s="509" t="s">
        <v>32</v>
      </c>
      <c r="D2123" s="512">
        <v>4247616</v>
      </c>
      <c r="E2123" s="507" t="s">
        <v>6108</v>
      </c>
    </row>
    <row r="2124" spans="1:5" ht="15" x14ac:dyDescent="0.35">
      <c r="A2124" s="509">
        <v>7442</v>
      </c>
      <c r="B2124" s="510" t="s">
        <v>2487</v>
      </c>
      <c r="C2124" s="509" t="s">
        <v>32</v>
      </c>
      <c r="D2124" s="511">
        <v>4257824</v>
      </c>
      <c r="E2124" s="507" t="s">
        <v>6108</v>
      </c>
    </row>
    <row r="2125" spans="1:5" ht="15" x14ac:dyDescent="0.35">
      <c r="A2125" s="509">
        <v>7443</v>
      </c>
      <c r="B2125" s="510" t="s">
        <v>2488</v>
      </c>
      <c r="C2125" s="509" t="s">
        <v>328</v>
      </c>
      <c r="D2125" s="511">
        <v>50949</v>
      </c>
      <c r="E2125" s="507" t="s">
        <v>6108</v>
      </c>
    </row>
    <row r="2126" spans="1:5" ht="15" x14ac:dyDescent="0.35">
      <c r="A2126" s="509">
        <v>7445</v>
      </c>
      <c r="B2126" s="510" t="s">
        <v>2489</v>
      </c>
      <c r="C2126" s="509" t="s">
        <v>21</v>
      </c>
      <c r="D2126" s="511">
        <v>401113</v>
      </c>
      <c r="E2126" s="507" t="s">
        <v>6108</v>
      </c>
    </row>
    <row r="2127" spans="1:5" ht="15" x14ac:dyDescent="0.35">
      <c r="A2127" s="509">
        <v>7447</v>
      </c>
      <c r="B2127" s="510" t="s">
        <v>2490</v>
      </c>
      <c r="C2127" s="509" t="s">
        <v>328</v>
      </c>
      <c r="D2127" s="511">
        <v>3851644</v>
      </c>
      <c r="E2127" s="507" t="s">
        <v>6108</v>
      </c>
    </row>
    <row r="2128" spans="1:5" ht="15" x14ac:dyDescent="0.35">
      <c r="A2128" s="509">
        <v>7448</v>
      </c>
      <c r="B2128" s="510" t="s">
        <v>2491</v>
      </c>
      <c r="C2128" s="509" t="s">
        <v>32</v>
      </c>
      <c r="D2128" s="511">
        <v>548903</v>
      </c>
      <c r="E2128" s="507" t="s">
        <v>6108</v>
      </c>
    </row>
    <row r="2129" spans="1:5" ht="15" x14ac:dyDescent="0.35">
      <c r="A2129" s="509">
        <v>7451</v>
      </c>
      <c r="B2129" s="510" t="s">
        <v>2492</v>
      </c>
      <c r="C2129" s="509" t="s">
        <v>32</v>
      </c>
      <c r="D2129" s="511">
        <v>723327</v>
      </c>
      <c r="E2129" s="507" t="s">
        <v>6108</v>
      </c>
    </row>
    <row r="2130" spans="1:5" ht="15" x14ac:dyDescent="0.35">
      <c r="A2130" s="509">
        <v>7453</v>
      </c>
      <c r="B2130" s="510" t="s">
        <v>2493</v>
      </c>
      <c r="C2130" s="509" t="s">
        <v>32</v>
      </c>
      <c r="D2130" s="511">
        <v>1477258</v>
      </c>
      <c r="E2130" s="507" t="s">
        <v>6108</v>
      </c>
    </row>
    <row r="2131" spans="1:5" ht="15" x14ac:dyDescent="0.35">
      <c r="A2131" s="509">
        <v>7454</v>
      </c>
      <c r="B2131" s="510" t="s">
        <v>2494</v>
      </c>
      <c r="C2131" s="509" t="s">
        <v>32</v>
      </c>
      <c r="D2131" s="511">
        <v>2728341</v>
      </c>
      <c r="E2131" s="507" t="s">
        <v>6108</v>
      </c>
    </row>
    <row r="2132" spans="1:5" ht="15" x14ac:dyDescent="0.35">
      <c r="A2132" s="509">
        <v>7455</v>
      </c>
      <c r="B2132" s="510" t="s">
        <v>2495</v>
      </c>
      <c r="C2132" s="509" t="s">
        <v>32</v>
      </c>
      <c r="D2132" s="511">
        <v>10973586</v>
      </c>
      <c r="E2132" s="507" t="s">
        <v>6108</v>
      </c>
    </row>
    <row r="2133" spans="1:5" ht="15" x14ac:dyDescent="0.35">
      <c r="A2133" s="509">
        <v>7459</v>
      </c>
      <c r="B2133" s="510" t="s">
        <v>2496</v>
      </c>
      <c r="C2133" s="509" t="s">
        <v>32</v>
      </c>
      <c r="D2133" s="511">
        <v>5534359</v>
      </c>
      <c r="E2133" s="507" t="s">
        <v>6108</v>
      </c>
    </row>
    <row r="2134" spans="1:5" ht="15" x14ac:dyDescent="0.35">
      <c r="A2134" s="509">
        <v>7462</v>
      </c>
      <c r="B2134" s="510" t="s">
        <v>2497</v>
      </c>
      <c r="C2134" s="509" t="s">
        <v>32</v>
      </c>
      <c r="D2134" s="511">
        <v>3970569</v>
      </c>
      <c r="E2134" s="507" t="s">
        <v>6108</v>
      </c>
    </row>
    <row r="2135" spans="1:5" ht="15" x14ac:dyDescent="0.35">
      <c r="A2135" s="509">
        <v>7465</v>
      </c>
      <c r="B2135" s="510" t="s">
        <v>2498</v>
      </c>
      <c r="C2135" s="509" t="s">
        <v>32</v>
      </c>
      <c r="D2135" s="511">
        <v>170045</v>
      </c>
      <c r="E2135" s="507" t="s">
        <v>6108</v>
      </c>
    </row>
    <row r="2136" spans="1:5" ht="15" x14ac:dyDescent="0.35">
      <c r="A2136" s="509">
        <v>7468</v>
      </c>
      <c r="B2136" s="510" t="s">
        <v>2499</v>
      </c>
      <c r="C2136" s="509" t="s">
        <v>32</v>
      </c>
      <c r="D2136" s="511">
        <v>3983983</v>
      </c>
      <c r="E2136" s="507" t="s">
        <v>6108</v>
      </c>
    </row>
    <row r="2137" spans="1:5" ht="15" x14ac:dyDescent="0.35">
      <c r="A2137" s="509">
        <v>7469</v>
      </c>
      <c r="B2137" s="510" t="s">
        <v>2500</v>
      </c>
      <c r="C2137" s="509" t="s">
        <v>32</v>
      </c>
      <c r="D2137" s="511">
        <v>540912</v>
      </c>
      <c r="E2137" s="507" t="s">
        <v>6108</v>
      </c>
    </row>
    <row r="2138" spans="1:5" ht="15" x14ac:dyDescent="0.35">
      <c r="A2138" s="509">
        <v>7470</v>
      </c>
      <c r="B2138" s="510" t="s">
        <v>2501</v>
      </c>
      <c r="C2138" s="509" t="s">
        <v>32</v>
      </c>
      <c r="D2138" s="511">
        <v>443870</v>
      </c>
      <c r="E2138" s="507" t="s">
        <v>6108</v>
      </c>
    </row>
    <row r="2139" spans="1:5" ht="15" x14ac:dyDescent="0.35">
      <c r="A2139" s="509">
        <v>7472</v>
      </c>
      <c r="B2139" s="510" t="s">
        <v>2502</v>
      </c>
      <c r="C2139" s="509" t="s">
        <v>328</v>
      </c>
      <c r="D2139" s="511">
        <v>1461767</v>
      </c>
      <c r="E2139" s="507" t="s">
        <v>6108</v>
      </c>
    </row>
    <row r="2140" spans="1:5" ht="15" x14ac:dyDescent="0.35">
      <c r="A2140" s="509">
        <v>7474</v>
      </c>
      <c r="B2140" s="510" t="s">
        <v>2503</v>
      </c>
      <c r="C2140" s="509" t="s">
        <v>328</v>
      </c>
      <c r="D2140" s="511">
        <v>3017462</v>
      </c>
      <c r="E2140" s="507" t="s">
        <v>331</v>
      </c>
    </row>
    <row r="2141" spans="1:5" ht="15" x14ac:dyDescent="0.35">
      <c r="A2141" s="509">
        <v>7477</v>
      </c>
      <c r="B2141" s="510" t="s">
        <v>2504</v>
      </c>
      <c r="C2141" s="509" t="s">
        <v>32</v>
      </c>
      <c r="D2141" s="511">
        <v>1245871</v>
      </c>
      <c r="E2141" s="507" t="s">
        <v>331</v>
      </c>
    </row>
    <row r="2142" spans="1:5" ht="15" x14ac:dyDescent="0.35">
      <c r="A2142" s="509">
        <v>7480</v>
      </c>
      <c r="B2142" s="510" t="s">
        <v>2505</v>
      </c>
      <c r="C2142" s="509" t="s">
        <v>32</v>
      </c>
      <c r="D2142" s="511">
        <v>4190718</v>
      </c>
      <c r="E2142" s="507" t="s">
        <v>6108</v>
      </c>
    </row>
    <row r="2143" spans="1:5" ht="15" x14ac:dyDescent="0.35">
      <c r="A2143" s="509">
        <v>7482</v>
      </c>
      <c r="B2143" s="510" t="s">
        <v>2506</v>
      </c>
      <c r="C2143" s="509" t="s">
        <v>32</v>
      </c>
      <c r="D2143" s="512">
        <v>4550017</v>
      </c>
      <c r="E2143" s="507" t="s">
        <v>6108</v>
      </c>
    </row>
    <row r="2144" spans="1:5" ht="15" x14ac:dyDescent="0.35">
      <c r="A2144" s="509">
        <v>7485</v>
      </c>
      <c r="B2144" s="510" t="s">
        <v>2507</v>
      </c>
      <c r="C2144" s="509" t="s">
        <v>32</v>
      </c>
      <c r="D2144" s="511">
        <v>3448344</v>
      </c>
      <c r="E2144" s="507" t="s">
        <v>331</v>
      </c>
    </row>
    <row r="2145" spans="1:5" ht="15" x14ac:dyDescent="0.35">
      <c r="A2145" s="509">
        <v>7486</v>
      </c>
      <c r="B2145" s="510" t="s">
        <v>2508</v>
      </c>
      <c r="C2145" s="509" t="s">
        <v>32</v>
      </c>
      <c r="D2145" s="511">
        <v>9915336</v>
      </c>
      <c r="E2145" s="507" t="s">
        <v>6108</v>
      </c>
    </row>
    <row r="2146" spans="1:5" ht="15" x14ac:dyDescent="0.35">
      <c r="A2146" s="509">
        <v>7487</v>
      </c>
      <c r="B2146" s="510" t="s">
        <v>2509</v>
      </c>
      <c r="C2146" s="509" t="s">
        <v>32</v>
      </c>
      <c r="D2146" s="512">
        <v>3037098</v>
      </c>
      <c r="E2146" s="507" t="s">
        <v>6108</v>
      </c>
    </row>
    <row r="2147" spans="1:5" ht="15" x14ac:dyDescent="0.35">
      <c r="A2147" s="509">
        <v>7488</v>
      </c>
      <c r="B2147" s="510" t="s">
        <v>2510</v>
      </c>
      <c r="C2147" s="509" t="s">
        <v>32</v>
      </c>
      <c r="D2147" s="511">
        <v>797613</v>
      </c>
      <c r="E2147" s="507" t="s">
        <v>6108</v>
      </c>
    </row>
    <row r="2148" spans="1:5" ht="15" x14ac:dyDescent="0.35">
      <c r="A2148" s="509">
        <v>7492</v>
      </c>
      <c r="B2148" s="510" t="s">
        <v>2511</v>
      </c>
      <c r="C2148" s="509" t="s">
        <v>32</v>
      </c>
      <c r="D2148" s="511">
        <v>6458092</v>
      </c>
      <c r="E2148" s="507" t="s">
        <v>6108</v>
      </c>
    </row>
    <row r="2149" spans="1:5" ht="15" x14ac:dyDescent="0.35">
      <c r="A2149" s="509">
        <v>7494</v>
      </c>
      <c r="B2149" s="510" t="s">
        <v>2512</v>
      </c>
      <c r="C2149" s="509" t="s">
        <v>32</v>
      </c>
      <c r="D2149" s="512">
        <v>754176</v>
      </c>
      <c r="E2149" s="507" t="s">
        <v>331</v>
      </c>
    </row>
    <row r="2150" spans="1:5" ht="15" x14ac:dyDescent="0.35">
      <c r="A2150" s="509">
        <v>7495</v>
      </c>
      <c r="B2150" s="510" t="s">
        <v>2513</v>
      </c>
      <c r="C2150" s="509" t="s">
        <v>32</v>
      </c>
      <c r="D2150" s="511">
        <v>5282778</v>
      </c>
      <c r="E2150" s="507" t="s">
        <v>331</v>
      </c>
    </row>
    <row r="2151" spans="1:5" ht="15" x14ac:dyDescent="0.35">
      <c r="A2151" s="509">
        <v>7497</v>
      </c>
      <c r="B2151" s="510" t="s">
        <v>2514</v>
      </c>
      <c r="C2151" s="509" t="s">
        <v>32</v>
      </c>
      <c r="D2151" s="511">
        <v>575926</v>
      </c>
      <c r="E2151" s="507" t="s">
        <v>331</v>
      </c>
    </row>
    <row r="2152" spans="1:5" ht="15" x14ac:dyDescent="0.35">
      <c r="A2152" s="509">
        <v>7498</v>
      </c>
      <c r="B2152" s="510" t="s">
        <v>2515</v>
      </c>
      <c r="C2152" s="509" t="s">
        <v>32</v>
      </c>
      <c r="D2152" s="512">
        <v>657587</v>
      </c>
      <c r="E2152" s="507" t="s">
        <v>6108</v>
      </c>
    </row>
    <row r="2153" spans="1:5" ht="15" x14ac:dyDescent="0.35">
      <c r="A2153" s="509">
        <v>7500</v>
      </c>
      <c r="B2153" s="510" t="s">
        <v>2516</v>
      </c>
      <c r="C2153" s="509" t="s">
        <v>32</v>
      </c>
      <c r="D2153" s="511">
        <v>686392</v>
      </c>
      <c r="E2153" s="507" t="s">
        <v>6108</v>
      </c>
    </row>
    <row r="2154" spans="1:5" ht="15" x14ac:dyDescent="0.35">
      <c r="A2154" s="509">
        <v>7501</v>
      </c>
      <c r="B2154" s="510" t="s">
        <v>2517</v>
      </c>
      <c r="C2154" s="509" t="s">
        <v>32</v>
      </c>
      <c r="D2154" s="511">
        <v>614887</v>
      </c>
      <c r="E2154" s="507" t="s">
        <v>6108</v>
      </c>
    </row>
    <row r="2155" spans="1:5" ht="15" x14ac:dyDescent="0.35">
      <c r="A2155" s="509">
        <v>7503</v>
      </c>
      <c r="B2155" s="510" t="s">
        <v>2518</v>
      </c>
      <c r="C2155" s="509" t="s">
        <v>32</v>
      </c>
      <c r="D2155" s="511">
        <v>659537</v>
      </c>
      <c r="E2155" s="507" t="s">
        <v>6108</v>
      </c>
    </row>
    <row r="2156" spans="1:5" ht="15" x14ac:dyDescent="0.35">
      <c r="A2156" s="509">
        <v>7507</v>
      </c>
      <c r="B2156" s="510" t="s">
        <v>2519</v>
      </c>
      <c r="C2156" s="509" t="s">
        <v>32</v>
      </c>
      <c r="D2156" s="511">
        <v>2537547</v>
      </c>
      <c r="E2156" s="507" t="s">
        <v>6108</v>
      </c>
    </row>
    <row r="2157" spans="1:5" ht="15" x14ac:dyDescent="0.35">
      <c r="A2157" s="509">
        <v>7508</v>
      </c>
      <c r="B2157" s="510" t="s">
        <v>2520</v>
      </c>
      <c r="C2157" s="509" t="s">
        <v>32</v>
      </c>
      <c r="D2157" s="512">
        <v>523172</v>
      </c>
      <c r="E2157" s="507" t="s">
        <v>6108</v>
      </c>
    </row>
    <row r="2158" spans="1:5" ht="15" x14ac:dyDescent="0.35">
      <c r="A2158" s="509">
        <v>7510</v>
      </c>
      <c r="B2158" s="510" t="s">
        <v>2521</v>
      </c>
      <c r="C2158" s="509" t="s">
        <v>328</v>
      </c>
      <c r="D2158" s="511">
        <v>276227</v>
      </c>
      <c r="E2158" s="507" t="s">
        <v>6108</v>
      </c>
    </row>
    <row r="2159" spans="1:5" ht="15" x14ac:dyDescent="0.35">
      <c r="A2159" s="509">
        <v>7512</v>
      </c>
      <c r="B2159" s="510" t="s">
        <v>2522</v>
      </c>
      <c r="C2159" s="509" t="s">
        <v>32</v>
      </c>
      <c r="D2159" s="511">
        <v>634048</v>
      </c>
      <c r="E2159" s="507" t="s">
        <v>6108</v>
      </c>
    </row>
    <row r="2160" spans="1:5" ht="15" x14ac:dyDescent="0.35">
      <c r="A2160" s="509">
        <v>7513</v>
      </c>
      <c r="B2160" s="510" t="s">
        <v>2523</v>
      </c>
      <c r="C2160" s="509" t="s">
        <v>21</v>
      </c>
      <c r="D2160" s="512">
        <v>32806</v>
      </c>
      <c r="E2160" s="507" t="s">
        <v>6108</v>
      </c>
    </row>
    <row r="2161" spans="1:5" ht="15" x14ac:dyDescent="0.35">
      <c r="A2161" s="509">
        <v>7514</v>
      </c>
      <c r="B2161" s="510" t="s">
        <v>2524</v>
      </c>
      <c r="C2161" s="509" t="s">
        <v>32</v>
      </c>
      <c r="D2161" s="512">
        <v>655258</v>
      </c>
      <c r="E2161" s="507" t="s">
        <v>6108</v>
      </c>
    </row>
    <row r="2162" spans="1:5" ht="15" x14ac:dyDescent="0.35">
      <c r="A2162" s="509">
        <v>7515</v>
      </c>
      <c r="B2162" s="510" t="s">
        <v>2525</v>
      </c>
      <c r="C2162" s="509" t="s">
        <v>32</v>
      </c>
      <c r="D2162" s="511">
        <v>1232450</v>
      </c>
      <c r="E2162" s="507" t="s">
        <v>6108</v>
      </c>
    </row>
    <row r="2163" spans="1:5" ht="15" x14ac:dyDescent="0.35">
      <c r="A2163" s="509">
        <v>7519</v>
      </c>
      <c r="B2163" s="510" t="s">
        <v>2526</v>
      </c>
      <c r="C2163" s="509" t="s">
        <v>328</v>
      </c>
      <c r="D2163" s="511">
        <v>848324</v>
      </c>
      <c r="E2163" s="507" t="s">
        <v>331</v>
      </c>
    </row>
    <row r="2164" spans="1:5" ht="15" x14ac:dyDescent="0.35">
      <c r="A2164" s="509">
        <v>7521</v>
      </c>
      <c r="B2164" s="510" t="s">
        <v>2527</v>
      </c>
      <c r="C2164" s="509" t="s">
        <v>328</v>
      </c>
      <c r="D2164" s="512">
        <v>1291998</v>
      </c>
      <c r="E2164" s="507" t="s">
        <v>6108</v>
      </c>
    </row>
    <row r="2165" spans="1:5" ht="15" x14ac:dyDescent="0.35">
      <c r="A2165" s="509">
        <v>7522</v>
      </c>
      <c r="B2165" s="510" t="s">
        <v>2528</v>
      </c>
      <c r="C2165" s="509" t="s">
        <v>32</v>
      </c>
      <c r="D2165" s="511">
        <v>4930449</v>
      </c>
      <c r="E2165" s="507" t="s">
        <v>6108</v>
      </c>
    </row>
    <row r="2166" spans="1:5" ht="15" x14ac:dyDescent="0.35">
      <c r="A2166" s="509">
        <v>7524</v>
      </c>
      <c r="B2166" s="510" t="s">
        <v>2529</v>
      </c>
      <c r="C2166" s="509" t="s">
        <v>32</v>
      </c>
      <c r="D2166" s="511">
        <v>635983</v>
      </c>
      <c r="E2166" s="507" t="s">
        <v>6108</v>
      </c>
    </row>
    <row r="2167" spans="1:5" ht="15" x14ac:dyDescent="0.35">
      <c r="A2167" s="509">
        <v>7525</v>
      </c>
      <c r="B2167" s="510" t="s">
        <v>2530</v>
      </c>
      <c r="C2167" s="509" t="s">
        <v>328</v>
      </c>
      <c r="D2167" s="511">
        <v>2522703</v>
      </c>
      <c r="E2167" s="507" t="s">
        <v>331</v>
      </c>
    </row>
    <row r="2168" spans="1:5" ht="15" x14ac:dyDescent="0.35">
      <c r="A2168" s="509">
        <v>7527</v>
      </c>
      <c r="B2168" s="510" t="s">
        <v>2531</v>
      </c>
      <c r="C2168" s="509" t="s">
        <v>21</v>
      </c>
      <c r="D2168" s="512">
        <v>134754</v>
      </c>
      <c r="E2168" s="507" t="s">
        <v>331</v>
      </c>
    </row>
    <row r="2169" spans="1:5" ht="15" x14ac:dyDescent="0.35">
      <c r="A2169" s="509">
        <v>7528</v>
      </c>
      <c r="B2169" s="510" t="s">
        <v>2532</v>
      </c>
      <c r="C2169" s="509" t="s">
        <v>21</v>
      </c>
      <c r="D2169" s="511">
        <v>151648</v>
      </c>
      <c r="E2169" s="507" t="s">
        <v>331</v>
      </c>
    </row>
    <row r="2170" spans="1:5" ht="15" x14ac:dyDescent="0.35">
      <c r="A2170" s="509">
        <v>7529</v>
      </c>
      <c r="B2170" s="510" t="s">
        <v>2533</v>
      </c>
      <c r="C2170" s="509" t="s">
        <v>21</v>
      </c>
      <c r="D2170" s="511">
        <v>156648</v>
      </c>
      <c r="E2170" s="507" t="s">
        <v>331</v>
      </c>
    </row>
    <row r="2171" spans="1:5" ht="15" x14ac:dyDescent="0.35">
      <c r="A2171" s="509">
        <v>7538</v>
      </c>
      <c r="B2171" s="510" t="s">
        <v>2541</v>
      </c>
      <c r="C2171" s="509" t="s">
        <v>21</v>
      </c>
      <c r="D2171" s="511">
        <v>64833</v>
      </c>
      <c r="E2171" s="507" t="s">
        <v>331</v>
      </c>
    </row>
    <row r="2172" spans="1:5" ht="15" x14ac:dyDescent="0.35">
      <c r="A2172" s="509">
        <v>7546</v>
      </c>
      <c r="B2172" s="510" t="s">
        <v>2542</v>
      </c>
      <c r="C2172" s="509" t="s">
        <v>32</v>
      </c>
      <c r="D2172" s="511">
        <v>149286</v>
      </c>
      <c r="E2172" s="507" t="s">
        <v>6108</v>
      </c>
    </row>
    <row r="2173" spans="1:5" ht="15" x14ac:dyDescent="0.35">
      <c r="A2173" s="509">
        <v>7548</v>
      </c>
      <c r="B2173" s="510" t="s">
        <v>2543</v>
      </c>
      <c r="C2173" s="509" t="s">
        <v>21</v>
      </c>
      <c r="D2173" s="512">
        <v>201931</v>
      </c>
      <c r="E2173" s="507" t="s">
        <v>6108</v>
      </c>
    </row>
    <row r="2174" spans="1:5" ht="15" x14ac:dyDescent="0.35">
      <c r="A2174" s="509">
        <v>7553</v>
      </c>
      <c r="B2174" s="510" t="s">
        <v>2544</v>
      </c>
      <c r="C2174" s="509" t="s">
        <v>32</v>
      </c>
      <c r="D2174" s="512">
        <v>11442607</v>
      </c>
      <c r="E2174" s="507" t="s">
        <v>6108</v>
      </c>
    </row>
    <row r="2175" spans="1:5" ht="15" x14ac:dyDescent="0.35">
      <c r="A2175" s="509">
        <v>7555</v>
      </c>
      <c r="B2175" s="510" t="s">
        <v>2545</v>
      </c>
      <c r="C2175" s="509" t="s">
        <v>32</v>
      </c>
      <c r="D2175" s="512">
        <v>1355482</v>
      </c>
      <c r="E2175" s="507" t="s">
        <v>6108</v>
      </c>
    </row>
    <row r="2176" spans="1:5" ht="15" x14ac:dyDescent="0.35">
      <c r="A2176" s="509">
        <v>7558</v>
      </c>
      <c r="B2176" s="510" t="s">
        <v>2546</v>
      </c>
      <c r="C2176" s="509" t="s">
        <v>32</v>
      </c>
      <c r="D2176" s="512">
        <v>1613423</v>
      </c>
      <c r="E2176" s="507" t="s">
        <v>6108</v>
      </c>
    </row>
    <row r="2177" spans="1:5" ht="15" x14ac:dyDescent="0.35">
      <c r="A2177" s="509">
        <v>7566</v>
      </c>
      <c r="B2177" s="510" t="s">
        <v>2547</v>
      </c>
      <c r="C2177" s="509" t="s">
        <v>32</v>
      </c>
      <c r="D2177" s="512">
        <v>1159933</v>
      </c>
      <c r="E2177" s="507" t="s">
        <v>6108</v>
      </c>
    </row>
    <row r="2178" spans="1:5" ht="15" x14ac:dyDescent="0.35">
      <c r="A2178" s="509">
        <v>7569</v>
      </c>
      <c r="B2178" s="510" t="s">
        <v>2549</v>
      </c>
      <c r="C2178" s="509" t="s">
        <v>32</v>
      </c>
      <c r="D2178" s="511">
        <v>1220594</v>
      </c>
      <c r="E2178" s="507" t="s">
        <v>6108</v>
      </c>
    </row>
    <row r="2179" spans="1:5" ht="15" x14ac:dyDescent="0.35">
      <c r="A2179" s="509">
        <v>7577</v>
      </c>
      <c r="B2179" s="510" t="s">
        <v>2550</v>
      </c>
      <c r="C2179" s="509" t="s">
        <v>32</v>
      </c>
      <c r="D2179" s="512">
        <v>150203</v>
      </c>
      <c r="E2179" s="507" t="s">
        <v>6108</v>
      </c>
    </row>
    <row r="2180" spans="1:5" ht="15" x14ac:dyDescent="0.35">
      <c r="A2180" s="509">
        <v>7578</v>
      </c>
      <c r="B2180" s="510" t="s">
        <v>2551</v>
      </c>
      <c r="C2180" s="509" t="s">
        <v>32</v>
      </c>
      <c r="D2180" s="512">
        <v>215290</v>
      </c>
      <c r="E2180" s="507" t="s">
        <v>6108</v>
      </c>
    </row>
    <row r="2181" spans="1:5" ht="15" x14ac:dyDescent="0.35">
      <c r="A2181" s="509">
        <v>7580</v>
      </c>
      <c r="B2181" s="510" t="s">
        <v>2552</v>
      </c>
      <c r="C2181" s="509" t="s">
        <v>32</v>
      </c>
      <c r="D2181" s="511">
        <v>94873</v>
      </c>
      <c r="E2181" s="507" t="s">
        <v>6108</v>
      </c>
    </row>
    <row r="2182" spans="1:5" ht="15" x14ac:dyDescent="0.35">
      <c r="A2182" s="509">
        <v>7584</v>
      </c>
      <c r="B2182" s="510" t="s">
        <v>2553</v>
      </c>
      <c r="C2182" s="509" t="s">
        <v>32</v>
      </c>
      <c r="D2182" s="511">
        <v>83184</v>
      </c>
      <c r="E2182" s="507" t="s">
        <v>6108</v>
      </c>
    </row>
    <row r="2183" spans="1:5" ht="15" x14ac:dyDescent="0.35">
      <c r="A2183" s="509">
        <v>7586</v>
      </c>
      <c r="B2183" s="510" t="s">
        <v>2554</v>
      </c>
      <c r="C2183" s="509" t="s">
        <v>32</v>
      </c>
      <c r="D2183" s="512">
        <v>100679</v>
      </c>
      <c r="E2183" s="507" t="s">
        <v>6108</v>
      </c>
    </row>
    <row r="2184" spans="1:5" ht="15" x14ac:dyDescent="0.35">
      <c r="A2184" s="509">
        <v>7587</v>
      </c>
      <c r="B2184" s="510" t="s">
        <v>2555</v>
      </c>
      <c r="C2184" s="509" t="s">
        <v>328</v>
      </c>
      <c r="D2184" s="512">
        <v>71968</v>
      </c>
      <c r="E2184" s="507" t="s">
        <v>6108</v>
      </c>
    </row>
    <row r="2185" spans="1:5" ht="15" x14ac:dyDescent="0.35">
      <c r="A2185" s="509">
        <v>7589</v>
      </c>
      <c r="B2185" s="510" t="s">
        <v>2556</v>
      </c>
      <c r="C2185" s="509" t="s">
        <v>32</v>
      </c>
      <c r="D2185" s="511">
        <v>8915</v>
      </c>
      <c r="E2185" s="507" t="s">
        <v>6108</v>
      </c>
    </row>
    <row r="2186" spans="1:5" ht="15" x14ac:dyDescent="0.35">
      <c r="A2186" s="509">
        <v>7590</v>
      </c>
      <c r="B2186" s="510" t="s">
        <v>2557</v>
      </c>
      <c r="C2186" s="509" t="s">
        <v>32</v>
      </c>
      <c r="D2186" s="511">
        <v>39801</v>
      </c>
      <c r="E2186" s="507" t="s">
        <v>6108</v>
      </c>
    </row>
    <row r="2187" spans="1:5" ht="15" x14ac:dyDescent="0.35">
      <c r="A2187" s="509">
        <v>7591</v>
      </c>
      <c r="B2187" s="510" t="s">
        <v>2558</v>
      </c>
      <c r="C2187" s="509" t="s">
        <v>30</v>
      </c>
      <c r="D2187" s="511">
        <v>194869</v>
      </c>
      <c r="E2187" s="507" t="s">
        <v>6108</v>
      </c>
    </row>
    <row r="2188" spans="1:5" ht="15" x14ac:dyDescent="0.35">
      <c r="A2188" s="509">
        <v>7597</v>
      </c>
      <c r="B2188" s="510" t="s">
        <v>2559</v>
      </c>
      <c r="C2188" s="509" t="s">
        <v>32</v>
      </c>
      <c r="D2188" s="512">
        <v>324231</v>
      </c>
      <c r="E2188" s="507" t="s">
        <v>6108</v>
      </c>
    </row>
    <row r="2189" spans="1:5" ht="15" x14ac:dyDescent="0.35">
      <c r="A2189" s="509">
        <v>7599</v>
      </c>
      <c r="B2189" s="510" t="s">
        <v>2560</v>
      </c>
      <c r="C2189" s="509" t="s">
        <v>21</v>
      </c>
      <c r="D2189" s="512">
        <v>471793</v>
      </c>
      <c r="E2189" s="507" t="s">
        <v>6108</v>
      </c>
    </row>
    <row r="2190" spans="1:5" ht="15" x14ac:dyDescent="0.35">
      <c r="A2190" s="509">
        <v>7600</v>
      </c>
      <c r="B2190" s="510" t="s">
        <v>2561</v>
      </c>
      <c r="C2190" s="509" t="s">
        <v>32</v>
      </c>
      <c r="D2190" s="511">
        <v>22210</v>
      </c>
      <c r="E2190" s="507" t="s">
        <v>6108</v>
      </c>
    </row>
    <row r="2191" spans="1:5" ht="15" x14ac:dyDescent="0.35">
      <c r="A2191" s="509">
        <v>7602</v>
      </c>
      <c r="B2191" s="510" t="s">
        <v>2562</v>
      </c>
      <c r="C2191" s="509" t="s">
        <v>32</v>
      </c>
      <c r="D2191" s="512">
        <v>43033</v>
      </c>
      <c r="E2191" s="507" t="s">
        <v>6108</v>
      </c>
    </row>
    <row r="2192" spans="1:5" ht="15" x14ac:dyDescent="0.35">
      <c r="A2192" s="509">
        <v>7609</v>
      </c>
      <c r="B2192" s="510" t="s">
        <v>2563</v>
      </c>
      <c r="C2192" s="509" t="s">
        <v>328</v>
      </c>
      <c r="D2192" s="511">
        <v>138981</v>
      </c>
      <c r="E2192" s="507" t="s">
        <v>6108</v>
      </c>
    </row>
    <row r="2193" spans="1:5" ht="15" x14ac:dyDescent="0.35">
      <c r="A2193" s="509">
        <v>7632</v>
      </c>
      <c r="B2193" s="510" t="s">
        <v>2564</v>
      </c>
      <c r="C2193" s="509" t="s">
        <v>328</v>
      </c>
      <c r="D2193" s="512">
        <v>18725</v>
      </c>
      <c r="E2193" s="507" t="s">
        <v>6108</v>
      </c>
    </row>
    <row r="2194" spans="1:5" ht="15" x14ac:dyDescent="0.35">
      <c r="A2194" s="509">
        <v>7633</v>
      </c>
      <c r="B2194" s="510" t="s">
        <v>2565</v>
      </c>
      <c r="C2194" s="509" t="s">
        <v>32</v>
      </c>
      <c r="D2194" s="511">
        <v>112669</v>
      </c>
      <c r="E2194" s="507" t="s">
        <v>6108</v>
      </c>
    </row>
    <row r="2195" spans="1:5" ht="15" x14ac:dyDescent="0.35">
      <c r="A2195" s="509">
        <v>7638</v>
      </c>
      <c r="B2195" s="510" t="s">
        <v>2566</v>
      </c>
      <c r="C2195" s="509" t="s">
        <v>32</v>
      </c>
      <c r="D2195" s="511">
        <v>188607</v>
      </c>
      <c r="E2195" s="507" t="s">
        <v>6108</v>
      </c>
    </row>
    <row r="2196" spans="1:5" ht="15" x14ac:dyDescent="0.35">
      <c r="A2196" s="509">
        <v>7639</v>
      </c>
      <c r="B2196" s="510" t="s">
        <v>2567</v>
      </c>
      <c r="C2196" s="509" t="s">
        <v>30</v>
      </c>
      <c r="D2196" s="512">
        <v>708546</v>
      </c>
      <c r="E2196" s="507" t="s">
        <v>6108</v>
      </c>
    </row>
    <row r="2197" spans="1:5" ht="15" x14ac:dyDescent="0.35">
      <c r="A2197" s="509">
        <v>7646</v>
      </c>
      <c r="B2197" s="510" t="s">
        <v>2568</v>
      </c>
      <c r="C2197" s="509" t="s">
        <v>32</v>
      </c>
      <c r="D2197" s="512">
        <v>6483909</v>
      </c>
      <c r="E2197" s="507" t="s">
        <v>6108</v>
      </c>
    </row>
    <row r="2198" spans="1:5" ht="15" x14ac:dyDescent="0.35">
      <c r="A2198" s="509">
        <v>7648</v>
      </c>
      <c r="B2198" s="510" t="s">
        <v>2569</v>
      </c>
      <c r="C2198" s="509" t="s">
        <v>32</v>
      </c>
      <c r="D2198" s="512">
        <v>6718725</v>
      </c>
      <c r="E2198" s="507" t="s">
        <v>6108</v>
      </c>
    </row>
    <row r="2199" spans="1:5" ht="15" x14ac:dyDescent="0.35">
      <c r="A2199" s="509">
        <v>7652</v>
      </c>
      <c r="B2199" s="510" t="s">
        <v>2570</v>
      </c>
      <c r="C2199" s="509" t="s">
        <v>328</v>
      </c>
      <c r="D2199" s="511">
        <v>178225</v>
      </c>
      <c r="E2199" s="507" t="s">
        <v>6108</v>
      </c>
    </row>
    <row r="2200" spans="1:5" ht="15" x14ac:dyDescent="0.35">
      <c r="A2200" s="509">
        <v>7653</v>
      </c>
      <c r="B2200" s="510" t="s">
        <v>2571</v>
      </c>
      <c r="C2200" s="509" t="s">
        <v>32</v>
      </c>
      <c r="D2200" s="511">
        <v>406656</v>
      </c>
      <c r="E2200" s="507" t="s">
        <v>6108</v>
      </c>
    </row>
    <row r="2201" spans="1:5" ht="15" x14ac:dyDescent="0.35">
      <c r="A2201" s="509">
        <v>7655</v>
      </c>
      <c r="B2201" s="510" t="s">
        <v>2572</v>
      </c>
      <c r="C2201" s="509" t="s">
        <v>328</v>
      </c>
      <c r="D2201" s="511">
        <v>108241</v>
      </c>
      <c r="E2201" s="507" t="s">
        <v>6108</v>
      </c>
    </row>
    <row r="2202" spans="1:5" ht="15" x14ac:dyDescent="0.35">
      <c r="A2202" s="509">
        <v>7656</v>
      </c>
      <c r="B2202" s="510" t="s">
        <v>2573</v>
      </c>
      <c r="C2202" s="509" t="s">
        <v>32</v>
      </c>
      <c r="D2202" s="511">
        <v>1960081</v>
      </c>
      <c r="E2202" s="507" t="s">
        <v>6108</v>
      </c>
    </row>
    <row r="2203" spans="1:5" ht="15" x14ac:dyDescent="0.35">
      <c r="A2203" s="509">
        <v>7657</v>
      </c>
      <c r="B2203" s="510" t="s">
        <v>2574</v>
      </c>
      <c r="C2203" s="509" t="s">
        <v>30</v>
      </c>
      <c r="D2203" s="511">
        <v>1495911</v>
      </c>
      <c r="E2203" s="507" t="s">
        <v>6108</v>
      </c>
    </row>
    <row r="2204" spans="1:5" ht="15" x14ac:dyDescent="0.35">
      <c r="A2204" s="509">
        <v>7658</v>
      </c>
      <c r="B2204" s="510" t="s">
        <v>2575</v>
      </c>
      <c r="C2204" s="509" t="s">
        <v>328</v>
      </c>
      <c r="D2204" s="511">
        <v>136454</v>
      </c>
      <c r="E2204" s="507" t="s">
        <v>6108</v>
      </c>
    </row>
    <row r="2205" spans="1:5" ht="15" x14ac:dyDescent="0.35">
      <c r="A2205" s="509">
        <v>7659</v>
      </c>
      <c r="B2205" s="510" t="s">
        <v>2576</v>
      </c>
      <c r="C2205" s="509" t="s">
        <v>32</v>
      </c>
      <c r="D2205" s="511">
        <v>7814675</v>
      </c>
      <c r="E2205" s="507" t="s">
        <v>6108</v>
      </c>
    </row>
    <row r="2206" spans="1:5" ht="15" x14ac:dyDescent="0.35">
      <c r="A2206" s="509">
        <v>7660</v>
      </c>
      <c r="B2206" s="510" t="s">
        <v>2577</v>
      </c>
      <c r="C2206" s="509" t="s">
        <v>32</v>
      </c>
      <c r="D2206" s="511">
        <v>3080451</v>
      </c>
      <c r="E2206" s="507" t="s">
        <v>6108</v>
      </c>
    </row>
    <row r="2207" spans="1:5" ht="15" x14ac:dyDescent="0.35">
      <c r="A2207" s="509">
        <v>7661</v>
      </c>
      <c r="B2207" s="510" t="s">
        <v>2578</v>
      </c>
      <c r="C2207" s="509" t="s">
        <v>328</v>
      </c>
      <c r="D2207" s="511">
        <v>209775</v>
      </c>
      <c r="E2207" s="507" t="s">
        <v>6108</v>
      </c>
    </row>
    <row r="2208" spans="1:5" ht="15" x14ac:dyDescent="0.35">
      <c r="A2208" s="509">
        <v>7662</v>
      </c>
      <c r="B2208" s="510" t="s">
        <v>2579</v>
      </c>
      <c r="C2208" s="509" t="s">
        <v>30</v>
      </c>
      <c r="D2208" s="511">
        <v>1073313</v>
      </c>
      <c r="E2208" s="507" t="s">
        <v>6108</v>
      </c>
    </row>
    <row r="2209" spans="1:5" ht="15" x14ac:dyDescent="0.35">
      <c r="A2209" s="509">
        <v>7663</v>
      </c>
      <c r="B2209" s="510" t="s">
        <v>2580</v>
      </c>
      <c r="C2209" s="509" t="s">
        <v>328</v>
      </c>
      <c r="D2209" s="511">
        <v>170149</v>
      </c>
      <c r="E2209" s="507" t="s">
        <v>6108</v>
      </c>
    </row>
    <row r="2210" spans="1:5" ht="15" x14ac:dyDescent="0.35">
      <c r="A2210" s="509">
        <v>7665</v>
      </c>
      <c r="B2210" s="510" t="s">
        <v>2581</v>
      </c>
      <c r="C2210" s="509" t="s">
        <v>32</v>
      </c>
      <c r="D2210" s="512">
        <v>113516</v>
      </c>
      <c r="E2210" s="507" t="s">
        <v>6108</v>
      </c>
    </row>
    <row r="2211" spans="1:5" ht="15" x14ac:dyDescent="0.35">
      <c r="A2211" s="509">
        <v>7671</v>
      </c>
      <c r="B2211" s="510" t="s">
        <v>2582</v>
      </c>
      <c r="C2211" s="509" t="s">
        <v>32</v>
      </c>
      <c r="D2211" s="511">
        <v>2032290</v>
      </c>
      <c r="E2211" s="507" t="s">
        <v>6108</v>
      </c>
    </row>
    <row r="2212" spans="1:5" ht="15" x14ac:dyDescent="0.35">
      <c r="A2212" s="509">
        <v>7675</v>
      </c>
      <c r="B2212" s="510" t="s">
        <v>2583</v>
      </c>
      <c r="C2212" s="509" t="s">
        <v>32</v>
      </c>
      <c r="D2212" s="511">
        <v>3130288</v>
      </c>
      <c r="E2212" s="507" t="s">
        <v>6108</v>
      </c>
    </row>
    <row r="2213" spans="1:5" ht="15" x14ac:dyDescent="0.35">
      <c r="A2213" s="509">
        <v>7676</v>
      </c>
      <c r="B2213" s="510" t="s">
        <v>2584</v>
      </c>
      <c r="C2213" s="509" t="s">
        <v>32</v>
      </c>
      <c r="D2213" s="511">
        <v>427882</v>
      </c>
      <c r="E2213" s="507" t="s">
        <v>6108</v>
      </c>
    </row>
    <row r="2214" spans="1:5" ht="15" x14ac:dyDescent="0.35">
      <c r="A2214" s="509">
        <v>7680</v>
      </c>
      <c r="B2214" s="510" t="s">
        <v>2585</v>
      </c>
      <c r="C2214" s="509" t="s">
        <v>30</v>
      </c>
      <c r="D2214" s="511">
        <v>970289</v>
      </c>
      <c r="E2214" s="507" t="s">
        <v>6108</v>
      </c>
    </row>
    <row r="2215" spans="1:5" ht="15" x14ac:dyDescent="0.35">
      <c r="A2215" s="509">
        <v>7681</v>
      </c>
      <c r="B2215" s="510" t="s">
        <v>2586</v>
      </c>
      <c r="C2215" s="509" t="s">
        <v>30</v>
      </c>
      <c r="D2215" s="511">
        <v>1093765</v>
      </c>
      <c r="E2215" s="507" t="s">
        <v>6108</v>
      </c>
    </row>
    <row r="2216" spans="1:5" ht="15" x14ac:dyDescent="0.35">
      <c r="A2216" s="509">
        <v>7687</v>
      </c>
      <c r="B2216" s="510" t="s">
        <v>2587</v>
      </c>
      <c r="C2216" s="509" t="s">
        <v>328</v>
      </c>
      <c r="D2216" s="511">
        <v>254718</v>
      </c>
      <c r="E2216" s="507" t="s">
        <v>6108</v>
      </c>
    </row>
    <row r="2217" spans="1:5" ht="15" x14ac:dyDescent="0.35">
      <c r="A2217" s="509">
        <v>7690</v>
      </c>
      <c r="B2217" s="510" t="s">
        <v>2588</v>
      </c>
      <c r="C2217" s="509" t="s">
        <v>32</v>
      </c>
      <c r="D2217" s="511">
        <v>5677369</v>
      </c>
      <c r="E2217" s="507" t="s">
        <v>6108</v>
      </c>
    </row>
    <row r="2218" spans="1:5" ht="15" x14ac:dyDescent="0.35">
      <c r="A2218" s="509">
        <v>7691</v>
      </c>
      <c r="B2218" s="510" t="s">
        <v>2589</v>
      </c>
      <c r="C2218" s="509" t="s">
        <v>32</v>
      </c>
      <c r="D2218" s="511">
        <v>13613</v>
      </c>
      <c r="E2218" s="507" t="s">
        <v>6108</v>
      </c>
    </row>
    <row r="2219" spans="1:5" ht="15" x14ac:dyDescent="0.35">
      <c r="A2219" s="509">
        <v>7713</v>
      </c>
      <c r="B2219" s="510" t="s">
        <v>2590</v>
      </c>
      <c r="C2219" s="509" t="s">
        <v>670</v>
      </c>
      <c r="D2219" s="511">
        <v>8040</v>
      </c>
      <c r="E2219" s="507" t="s">
        <v>6108</v>
      </c>
    </row>
    <row r="2220" spans="1:5" ht="15" x14ac:dyDescent="0.35">
      <c r="A2220" s="509">
        <v>7714</v>
      </c>
      <c r="B2220" s="510" t="s">
        <v>2591</v>
      </c>
      <c r="C2220" s="509" t="s">
        <v>670</v>
      </c>
      <c r="D2220" s="511">
        <v>8040</v>
      </c>
      <c r="E2220" s="507" t="s">
        <v>6108</v>
      </c>
    </row>
    <row r="2221" spans="1:5" ht="15" x14ac:dyDescent="0.35">
      <c r="A2221" s="509">
        <v>7715</v>
      </c>
      <c r="B2221" s="510" t="s">
        <v>2592</v>
      </c>
      <c r="C2221" s="509" t="s">
        <v>32</v>
      </c>
      <c r="D2221" s="511">
        <v>5724</v>
      </c>
      <c r="E2221" s="507" t="s">
        <v>6108</v>
      </c>
    </row>
    <row r="2222" spans="1:5" ht="15" x14ac:dyDescent="0.35">
      <c r="A2222" s="509">
        <v>7717</v>
      </c>
      <c r="B2222" s="510" t="s">
        <v>2593</v>
      </c>
      <c r="C2222" s="509" t="s">
        <v>30</v>
      </c>
      <c r="D2222" s="511">
        <v>1987949</v>
      </c>
      <c r="E2222" s="507" t="s">
        <v>6108</v>
      </c>
    </row>
    <row r="2223" spans="1:5" ht="15" x14ac:dyDescent="0.35">
      <c r="A2223" s="509">
        <v>7720</v>
      </c>
      <c r="B2223" s="510" t="s">
        <v>2594</v>
      </c>
      <c r="C2223" s="509" t="s">
        <v>30</v>
      </c>
      <c r="D2223" s="511">
        <v>14056</v>
      </c>
      <c r="E2223" s="507" t="s">
        <v>6108</v>
      </c>
    </row>
    <row r="2224" spans="1:5" ht="15" x14ac:dyDescent="0.35">
      <c r="A2224" s="509">
        <v>7723</v>
      </c>
      <c r="B2224" s="510" t="s">
        <v>2595</v>
      </c>
      <c r="C2224" s="509" t="s">
        <v>670</v>
      </c>
      <c r="D2224" s="511">
        <v>7799</v>
      </c>
      <c r="E2224" s="507" t="s">
        <v>6108</v>
      </c>
    </row>
    <row r="2225" spans="1:5" ht="15" x14ac:dyDescent="0.35">
      <c r="A2225" s="509">
        <v>7725</v>
      </c>
      <c r="B2225" s="510" t="s">
        <v>2596</v>
      </c>
      <c r="C2225" s="509" t="s">
        <v>328</v>
      </c>
      <c r="D2225" s="511">
        <v>1360058</v>
      </c>
      <c r="E2225" s="507" t="s">
        <v>6108</v>
      </c>
    </row>
    <row r="2226" spans="1:5" ht="15" x14ac:dyDescent="0.35">
      <c r="A2226" s="509">
        <v>7726</v>
      </c>
      <c r="B2226" s="510" t="s">
        <v>2597</v>
      </c>
      <c r="C2226" s="509" t="s">
        <v>32</v>
      </c>
      <c r="D2226" s="511">
        <v>2464033</v>
      </c>
      <c r="E2226" s="507" t="s">
        <v>6108</v>
      </c>
    </row>
    <row r="2227" spans="1:5" ht="15" x14ac:dyDescent="0.35">
      <c r="A2227" s="509">
        <v>7727</v>
      </c>
      <c r="B2227" s="510" t="s">
        <v>2598</v>
      </c>
      <c r="C2227" s="509" t="s">
        <v>32</v>
      </c>
      <c r="D2227" s="511">
        <v>3233185</v>
      </c>
      <c r="E2227" s="507" t="s">
        <v>331</v>
      </c>
    </row>
    <row r="2228" spans="1:5" ht="15" x14ac:dyDescent="0.35">
      <c r="A2228" s="509">
        <v>7739</v>
      </c>
      <c r="B2228" s="510" t="s">
        <v>2599</v>
      </c>
      <c r="C2228" s="509" t="s">
        <v>32</v>
      </c>
      <c r="D2228" s="511">
        <v>157814</v>
      </c>
      <c r="E2228" s="507" t="s">
        <v>6108</v>
      </c>
    </row>
    <row r="2229" spans="1:5" ht="15" x14ac:dyDescent="0.35">
      <c r="A2229" s="509">
        <v>7740</v>
      </c>
      <c r="B2229" s="510" t="s">
        <v>2600</v>
      </c>
      <c r="C2229" s="509" t="s">
        <v>32</v>
      </c>
      <c r="D2229" s="511">
        <v>290150</v>
      </c>
      <c r="E2229" s="507" t="s">
        <v>6108</v>
      </c>
    </row>
    <row r="2230" spans="1:5" ht="15" x14ac:dyDescent="0.35">
      <c r="A2230" s="509">
        <v>7741</v>
      </c>
      <c r="B2230" s="510" t="s">
        <v>2601</v>
      </c>
      <c r="C2230" s="509" t="s">
        <v>32</v>
      </c>
      <c r="D2230" s="512">
        <v>1644266</v>
      </c>
      <c r="E2230" s="507" t="s">
        <v>6108</v>
      </c>
    </row>
    <row r="2231" spans="1:5" ht="15" x14ac:dyDescent="0.35">
      <c r="A2231" s="509">
        <v>7744</v>
      </c>
      <c r="B2231" s="510" t="s">
        <v>2602</v>
      </c>
      <c r="C2231" s="509" t="s">
        <v>32</v>
      </c>
      <c r="D2231" s="512">
        <v>164331</v>
      </c>
      <c r="E2231" s="507" t="s">
        <v>6108</v>
      </c>
    </row>
    <row r="2232" spans="1:5" ht="15" x14ac:dyDescent="0.35">
      <c r="A2232" s="509">
        <v>7745</v>
      </c>
      <c r="B2232" s="510" t="s">
        <v>2603</v>
      </c>
      <c r="C2232" s="509" t="s">
        <v>32</v>
      </c>
      <c r="D2232" s="511">
        <v>442650</v>
      </c>
      <c r="E2232" s="507" t="s">
        <v>6108</v>
      </c>
    </row>
    <row r="2233" spans="1:5" ht="15" x14ac:dyDescent="0.35">
      <c r="A2233" s="509">
        <v>7750</v>
      </c>
      <c r="B2233" s="510" t="s">
        <v>2604</v>
      </c>
      <c r="C2233" s="509" t="s">
        <v>328</v>
      </c>
      <c r="D2233" s="511">
        <v>856085</v>
      </c>
      <c r="E2233" s="507" t="s">
        <v>6108</v>
      </c>
    </row>
    <row r="2234" spans="1:5" ht="15" x14ac:dyDescent="0.35">
      <c r="A2234" s="509">
        <v>7751</v>
      </c>
      <c r="B2234" s="510" t="s">
        <v>2605</v>
      </c>
      <c r="C2234" s="509" t="s">
        <v>30</v>
      </c>
      <c r="D2234" s="511">
        <v>131983</v>
      </c>
      <c r="E2234" s="507" t="s">
        <v>6108</v>
      </c>
    </row>
    <row r="2235" spans="1:5" ht="15" x14ac:dyDescent="0.35">
      <c r="A2235" s="509">
        <v>7768</v>
      </c>
      <c r="B2235" s="510" t="s">
        <v>2606</v>
      </c>
      <c r="C2235" s="509" t="s">
        <v>30</v>
      </c>
      <c r="D2235" s="511">
        <v>900647</v>
      </c>
      <c r="E2235" s="507" t="s">
        <v>6108</v>
      </c>
    </row>
    <row r="2236" spans="1:5" ht="15" x14ac:dyDescent="0.35">
      <c r="A2236" s="509">
        <v>7771</v>
      </c>
      <c r="B2236" s="510" t="s">
        <v>2607</v>
      </c>
      <c r="C2236" s="509" t="s">
        <v>328</v>
      </c>
      <c r="D2236" s="512">
        <v>125909</v>
      </c>
      <c r="E2236" s="507" t="s">
        <v>6108</v>
      </c>
    </row>
    <row r="2237" spans="1:5" ht="15" x14ac:dyDescent="0.35">
      <c r="A2237" s="509">
        <v>7772</v>
      </c>
      <c r="B2237" s="510" t="s">
        <v>2608</v>
      </c>
      <c r="C2237" s="509" t="s">
        <v>307</v>
      </c>
      <c r="D2237" s="511">
        <v>32294</v>
      </c>
      <c r="E2237" s="507" t="s">
        <v>331</v>
      </c>
    </row>
    <row r="2238" spans="1:5" ht="15" x14ac:dyDescent="0.35">
      <c r="A2238" s="509">
        <v>7773</v>
      </c>
      <c r="B2238" s="510" t="s">
        <v>2609</v>
      </c>
      <c r="C2238" s="509" t="s">
        <v>32</v>
      </c>
      <c r="D2238" s="512">
        <v>6942537</v>
      </c>
      <c r="E2238" s="507" t="s">
        <v>6108</v>
      </c>
    </row>
    <row r="2239" spans="1:5" ht="15" x14ac:dyDescent="0.35">
      <c r="A2239" s="509">
        <v>7774</v>
      </c>
      <c r="B2239" s="510" t="s">
        <v>2610</v>
      </c>
      <c r="C2239" s="509" t="s">
        <v>32</v>
      </c>
      <c r="D2239" s="511">
        <v>674690</v>
      </c>
      <c r="E2239" s="507" t="s">
        <v>6108</v>
      </c>
    </row>
    <row r="2240" spans="1:5" ht="15" x14ac:dyDescent="0.35">
      <c r="A2240" s="509">
        <v>7775</v>
      </c>
      <c r="B2240" s="510" t="s">
        <v>2611</v>
      </c>
      <c r="C2240" s="509" t="s">
        <v>21</v>
      </c>
      <c r="D2240" s="512">
        <v>34234</v>
      </c>
      <c r="E2240" s="507" t="s">
        <v>6108</v>
      </c>
    </row>
    <row r="2241" spans="1:5" ht="15" x14ac:dyDescent="0.35">
      <c r="A2241" s="509">
        <v>7776</v>
      </c>
      <c r="B2241" s="510" t="s">
        <v>2612</v>
      </c>
      <c r="C2241" s="509" t="s">
        <v>30</v>
      </c>
      <c r="D2241" s="512">
        <v>204853</v>
      </c>
      <c r="E2241" s="507" t="s">
        <v>6108</v>
      </c>
    </row>
    <row r="2242" spans="1:5" ht="15" x14ac:dyDescent="0.35">
      <c r="A2242" s="509">
        <v>7777</v>
      </c>
      <c r="B2242" s="510" t="s">
        <v>2613</v>
      </c>
      <c r="C2242" s="509" t="s">
        <v>328</v>
      </c>
      <c r="D2242" s="512">
        <v>61635</v>
      </c>
      <c r="E2242" s="507" t="s">
        <v>6108</v>
      </c>
    </row>
    <row r="2243" spans="1:5" ht="15" x14ac:dyDescent="0.35">
      <c r="A2243" s="509">
        <v>7778</v>
      </c>
      <c r="B2243" s="510" t="s">
        <v>2614</v>
      </c>
      <c r="C2243" s="509" t="s">
        <v>979</v>
      </c>
      <c r="D2243" s="512">
        <v>86210</v>
      </c>
      <c r="E2243" s="507" t="s">
        <v>6108</v>
      </c>
    </row>
    <row r="2244" spans="1:5" ht="15" x14ac:dyDescent="0.35">
      <c r="A2244" s="509">
        <v>7779</v>
      </c>
      <c r="B2244" s="510" t="s">
        <v>2615</v>
      </c>
      <c r="C2244" s="509" t="s">
        <v>692</v>
      </c>
      <c r="D2244" s="512">
        <v>263016</v>
      </c>
      <c r="E2244" s="507" t="s">
        <v>6108</v>
      </c>
    </row>
    <row r="2245" spans="1:5" ht="15" x14ac:dyDescent="0.35">
      <c r="A2245" s="509">
        <v>7780</v>
      </c>
      <c r="B2245" s="510" t="s">
        <v>2616</v>
      </c>
      <c r="C2245" s="509" t="s">
        <v>979</v>
      </c>
      <c r="D2245" s="511">
        <v>36893</v>
      </c>
      <c r="E2245" s="507" t="s">
        <v>6108</v>
      </c>
    </row>
    <row r="2246" spans="1:5" ht="15" x14ac:dyDescent="0.35">
      <c r="A2246" s="509">
        <v>7781</v>
      </c>
      <c r="B2246" s="510" t="s">
        <v>2617</v>
      </c>
      <c r="C2246" s="509" t="s">
        <v>692</v>
      </c>
      <c r="D2246" s="512">
        <v>426652</v>
      </c>
      <c r="E2246" s="507" t="s">
        <v>6108</v>
      </c>
    </row>
    <row r="2247" spans="1:5" ht="15" x14ac:dyDescent="0.35">
      <c r="A2247" s="509">
        <v>7782</v>
      </c>
      <c r="B2247" s="510" t="s">
        <v>2618</v>
      </c>
      <c r="C2247" s="509" t="s">
        <v>979</v>
      </c>
      <c r="D2247" s="511">
        <v>53332</v>
      </c>
      <c r="E2247" s="507" t="s">
        <v>6108</v>
      </c>
    </row>
    <row r="2248" spans="1:5" ht="15" x14ac:dyDescent="0.35">
      <c r="A2248" s="509">
        <v>7783</v>
      </c>
      <c r="B2248" s="510" t="s">
        <v>2619</v>
      </c>
      <c r="C2248" s="509" t="s">
        <v>692</v>
      </c>
      <c r="D2248" s="511">
        <v>1279956</v>
      </c>
      <c r="E2248" s="507" t="s">
        <v>6108</v>
      </c>
    </row>
    <row r="2249" spans="1:5" ht="15" x14ac:dyDescent="0.35">
      <c r="A2249" s="509">
        <v>7784</v>
      </c>
      <c r="B2249" s="510" t="s">
        <v>2620</v>
      </c>
      <c r="C2249" s="509" t="s">
        <v>692</v>
      </c>
      <c r="D2249" s="512">
        <v>295144</v>
      </c>
      <c r="E2249" s="507" t="s">
        <v>6108</v>
      </c>
    </row>
    <row r="2250" spans="1:5" ht="15" x14ac:dyDescent="0.35">
      <c r="A2250" s="509">
        <v>7785</v>
      </c>
      <c r="B2250" s="510" t="s">
        <v>2621</v>
      </c>
      <c r="C2250" s="509" t="s">
        <v>30</v>
      </c>
      <c r="D2250" s="512">
        <v>1259606</v>
      </c>
      <c r="E2250" s="507" t="s">
        <v>6108</v>
      </c>
    </row>
    <row r="2251" spans="1:5" ht="15" x14ac:dyDescent="0.35">
      <c r="A2251" s="509">
        <v>7786</v>
      </c>
      <c r="B2251" s="510" t="s">
        <v>2622</v>
      </c>
      <c r="C2251" s="509" t="s">
        <v>21</v>
      </c>
      <c r="D2251" s="512">
        <v>2872</v>
      </c>
      <c r="E2251" s="507" t="s">
        <v>331</v>
      </c>
    </row>
    <row r="2252" spans="1:5" ht="15" x14ac:dyDescent="0.35">
      <c r="A2252" s="509">
        <v>7787</v>
      </c>
      <c r="B2252" s="510" t="s">
        <v>2623</v>
      </c>
      <c r="C2252" s="509" t="s">
        <v>670</v>
      </c>
      <c r="D2252" s="512">
        <v>10878</v>
      </c>
      <c r="E2252" s="507" t="s">
        <v>6108</v>
      </c>
    </row>
    <row r="2253" spans="1:5" ht="15" x14ac:dyDescent="0.35">
      <c r="A2253" s="509">
        <v>7788</v>
      </c>
      <c r="B2253" s="510" t="s">
        <v>2624</v>
      </c>
      <c r="C2253" s="509" t="s">
        <v>328</v>
      </c>
      <c r="D2253" s="512">
        <v>3596</v>
      </c>
      <c r="E2253" s="507" t="s">
        <v>331</v>
      </c>
    </row>
    <row r="2254" spans="1:5" ht="15" x14ac:dyDescent="0.35">
      <c r="A2254" s="509">
        <v>7789</v>
      </c>
      <c r="B2254" s="510" t="s">
        <v>2625</v>
      </c>
      <c r="C2254" s="509" t="s">
        <v>328</v>
      </c>
      <c r="D2254" s="512">
        <v>7968</v>
      </c>
      <c r="E2254" s="507" t="s">
        <v>6108</v>
      </c>
    </row>
    <row r="2255" spans="1:5" ht="15" x14ac:dyDescent="0.35">
      <c r="A2255" s="509">
        <v>7790</v>
      </c>
      <c r="B2255" s="510" t="s">
        <v>2626</v>
      </c>
      <c r="C2255" s="509" t="s">
        <v>30</v>
      </c>
      <c r="D2255" s="511">
        <v>68884</v>
      </c>
      <c r="E2255" s="507" t="s">
        <v>6108</v>
      </c>
    </row>
    <row r="2256" spans="1:5" ht="15" x14ac:dyDescent="0.35">
      <c r="A2256" s="509">
        <v>7791</v>
      </c>
      <c r="B2256" s="510" t="s">
        <v>2627</v>
      </c>
      <c r="C2256" s="509" t="s">
        <v>30</v>
      </c>
      <c r="D2256" s="511">
        <v>209524</v>
      </c>
      <c r="E2256" s="507" t="s">
        <v>331</v>
      </c>
    </row>
    <row r="2257" spans="1:5" ht="15" x14ac:dyDescent="0.35">
      <c r="A2257" s="509">
        <v>7792</v>
      </c>
      <c r="B2257" s="510" t="s">
        <v>2628</v>
      </c>
      <c r="C2257" s="509" t="s">
        <v>30</v>
      </c>
      <c r="D2257" s="511">
        <v>132880</v>
      </c>
      <c r="E2257" s="507" t="s">
        <v>331</v>
      </c>
    </row>
    <row r="2258" spans="1:5" ht="15" x14ac:dyDescent="0.35">
      <c r="A2258" s="509">
        <v>7793</v>
      </c>
      <c r="B2258" s="510" t="s">
        <v>2629</v>
      </c>
      <c r="C2258" s="509" t="s">
        <v>21</v>
      </c>
      <c r="D2258" s="511">
        <v>3239</v>
      </c>
      <c r="E2258" s="507" t="s">
        <v>6108</v>
      </c>
    </row>
    <row r="2259" spans="1:5" ht="15" x14ac:dyDescent="0.35">
      <c r="A2259" s="509">
        <v>7794</v>
      </c>
      <c r="B2259" s="510" t="s">
        <v>2630</v>
      </c>
      <c r="C2259" s="509" t="s">
        <v>30</v>
      </c>
      <c r="D2259" s="511">
        <v>1299205</v>
      </c>
      <c r="E2259" s="507" t="s">
        <v>6108</v>
      </c>
    </row>
    <row r="2260" spans="1:5" ht="15" x14ac:dyDescent="0.35">
      <c r="A2260" s="509">
        <v>7795</v>
      </c>
      <c r="B2260" s="510" t="s">
        <v>2631</v>
      </c>
      <c r="C2260" s="509" t="s">
        <v>30</v>
      </c>
      <c r="D2260" s="512">
        <v>1517075</v>
      </c>
      <c r="E2260" s="507" t="s">
        <v>6108</v>
      </c>
    </row>
    <row r="2261" spans="1:5" ht="15" x14ac:dyDescent="0.35">
      <c r="A2261" s="509">
        <v>7796</v>
      </c>
      <c r="B2261" s="510" t="s">
        <v>2632</v>
      </c>
      <c r="C2261" s="509" t="s">
        <v>30</v>
      </c>
      <c r="D2261" s="512">
        <v>6047</v>
      </c>
      <c r="E2261" s="507" t="s">
        <v>6108</v>
      </c>
    </row>
    <row r="2262" spans="1:5" ht="15" x14ac:dyDescent="0.35">
      <c r="A2262" s="509">
        <v>7797</v>
      </c>
      <c r="B2262" s="510" t="s">
        <v>2633</v>
      </c>
      <c r="C2262" s="509" t="s">
        <v>30</v>
      </c>
      <c r="D2262" s="512">
        <v>211135</v>
      </c>
      <c r="E2262" s="507" t="s">
        <v>6108</v>
      </c>
    </row>
    <row r="2263" spans="1:5" ht="15" x14ac:dyDescent="0.35">
      <c r="A2263" s="509">
        <v>7798</v>
      </c>
      <c r="B2263" s="510" t="s">
        <v>2634</v>
      </c>
      <c r="C2263" s="509" t="s">
        <v>30</v>
      </c>
      <c r="D2263" s="512">
        <v>50665</v>
      </c>
      <c r="E2263" s="507" t="s">
        <v>6108</v>
      </c>
    </row>
    <row r="2264" spans="1:5" ht="15" x14ac:dyDescent="0.35">
      <c r="A2264" s="509">
        <v>7799</v>
      </c>
      <c r="B2264" s="510" t="s">
        <v>2635</v>
      </c>
      <c r="C2264" s="509" t="s">
        <v>21</v>
      </c>
      <c r="D2264" s="512">
        <v>10198</v>
      </c>
      <c r="E2264" s="507" t="s">
        <v>6108</v>
      </c>
    </row>
    <row r="2265" spans="1:5" ht="15" x14ac:dyDescent="0.35">
      <c r="A2265" s="509">
        <v>7800</v>
      </c>
      <c r="B2265" s="510" t="s">
        <v>2636</v>
      </c>
      <c r="C2265" s="509" t="s">
        <v>30</v>
      </c>
      <c r="D2265" s="512">
        <v>1410504</v>
      </c>
      <c r="E2265" s="507" t="s">
        <v>6108</v>
      </c>
    </row>
    <row r="2266" spans="1:5" ht="15" x14ac:dyDescent="0.35">
      <c r="A2266" s="509">
        <v>7801</v>
      </c>
      <c r="B2266" s="510" t="s">
        <v>2637</v>
      </c>
      <c r="C2266" s="509" t="s">
        <v>30</v>
      </c>
      <c r="D2266" s="511">
        <v>75063</v>
      </c>
      <c r="E2266" s="507" t="s">
        <v>6108</v>
      </c>
    </row>
    <row r="2267" spans="1:5" ht="15" x14ac:dyDescent="0.35">
      <c r="A2267" s="509">
        <v>7802</v>
      </c>
      <c r="B2267" s="510" t="s">
        <v>2638</v>
      </c>
      <c r="C2267" s="509" t="s">
        <v>21</v>
      </c>
      <c r="D2267" s="511">
        <v>232879</v>
      </c>
      <c r="E2267" s="507" t="s">
        <v>6108</v>
      </c>
    </row>
    <row r="2268" spans="1:5" ht="15" x14ac:dyDescent="0.35">
      <c r="A2268" s="509">
        <v>7803</v>
      </c>
      <c r="B2268" s="510" t="s">
        <v>2639</v>
      </c>
      <c r="C2268" s="509" t="s">
        <v>21</v>
      </c>
      <c r="D2268" s="511">
        <v>1051</v>
      </c>
      <c r="E2268" s="507" t="s">
        <v>6108</v>
      </c>
    </row>
    <row r="2269" spans="1:5" ht="15" x14ac:dyDescent="0.35">
      <c r="A2269" s="509">
        <v>7804</v>
      </c>
      <c r="B2269" s="510" t="s">
        <v>2640</v>
      </c>
      <c r="C2269" s="509" t="s">
        <v>21</v>
      </c>
      <c r="D2269" s="511">
        <v>324891</v>
      </c>
      <c r="E2269" s="507" t="s">
        <v>6108</v>
      </c>
    </row>
    <row r="2270" spans="1:5" ht="15" x14ac:dyDescent="0.35">
      <c r="A2270" s="509">
        <v>7805</v>
      </c>
      <c r="B2270" s="510" t="s">
        <v>2641</v>
      </c>
      <c r="C2270" s="509" t="s">
        <v>670</v>
      </c>
      <c r="D2270" s="512">
        <v>5911</v>
      </c>
      <c r="E2270" s="507" t="s">
        <v>6108</v>
      </c>
    </row>
    <row r="2271" spans="1:5" ht="15" x14ac:dyDescent="0.35">
      <c r="A2271" s="509">
        <v>7806</v>
      </c>
      <c r="B2271" s="510" t="s">
        <v>2642</v>
      </c>
      <c r="C2271" s="509" t="s">
        <v>30</v>
      </c>
      <c r="D2271" s="511">
        <v>1301472</v>
      </c>
      <c r="E2271" s="507" t="s">
        <v>6108</v>
      </c>
    </row>
    <row r="2272" spans="1:5" ht="15" x14ac:dyDescent="0.35">
      <c r="A2272" s="509">
        <v>7807</v>
      </c>
      <c r="B2272" s="510" t="s">
        <v>2643</v>
      </c>
      <c r="C2272" s="509" t="s">
        <v>30</v>
      </c>
      <c r="D2272" s="511">
        <v>192656</v>
      </c>
      <c r="E2272" s="507" t="s">
        <v>6108</v>
      </c>
    </row>
    <row r="2273" spans="1:5" ht="15" x14ac:dyDescent="0.35">
      <c r="A2273" s="509">
        <v>7809</v>
      </c>
      <c r="B2273" s="510" t="s">
        <v>2644</v>
      </c>
      <c r="C2273" s="509" t="s">
        <v>328</v>
      </c>
      <c r="D2273" s="511">
        <v>320007</v>
      </c>
      <c r="E2273" s="507" t="s">
        <v>6108</v>
      </c>
    </row>
    <row r="2274" spans="1:5" ht="15" x14ac:dyDescent="0.35">
      <c r="A2274" s="509">
        <v>7818</v>
      </c>
      <c r="B2274" s="510" t="s">
        <v>2645</v>
      </c>
      <c r="C2274" s="509" t="s">
        <v>307</v>
      </c>
      <c r="D2274" s="511">
        <v>20762</v>
      </c>
      <c r="E2274" s="507" t="s">
        <v>6108</v>
      </c>
    </row>
    <row r="2275" spans="1:5" ht="15" x14ac:dyDescent="0.35">
      <c r="A2275" s="509">
        <v>7819</v>
      </c>
      <c r="B2275" s="510" t="s">
        <v>2646</v>
      </c>
      <c r="C2275" s="509" t="s">
        <v>307</v>
      </c>
      <c r="D2275" s="512">
        <v>5984</v>
      </c>
      <c r="E2275" s="507" t="s">
        <v>6108</v>
      </c>
    </row>
    <row r="2276" spans="1:5" ht="15" x14ac:dyDescent="0.35">
      <c r="A2276" s="509">
        <v>7820</v>
      </c>
      <c r="B2276" s="510" t="s">
        <v>2647</v>
      </c>
      <c r="C2276" s="509" t="s">
        <v>32</v>
      </c>
      <c r="D2276" s="511">
        <v>33710</v>
      </c>
      <c r="E2276" s="507" t="s">
        <v>6108</v>
      </c>
    </row>
    <row r="2277" spans="1:5" ht="15" x14ac:dyDescent="0.35">
      <c r="A2277" s="509">
        <v>7821</v>
      </c>
      <c r="B2277" s="510" t="s">
        <v>2648</v>
      </c>
      <c r="C2277" s="509" t="s">
        <v>328</v>
      </c>
      <c r="D2277" s="512">
        <v>13538</v>
      </c>
      <c r="E2277" s="507" t="s">
        <v>331</v>
      </c>
    </row>
    <row r="2278" spans="1:5" ht="15" x14ac:dyDescent="0.35">
      <c r="A2278" s="509">
        <v>7822</v>
      </c>
      <c r="B2278" s="510" t="s">
        <v>2649</v>
      </c>
      <c r="C2278" s="509" t="s">
        <v>328</v>
      </c>
      <c r="D2278" s="512">
        <v>13867</v>
      </c>
      <c r="E2278" s="507" t="s">
        <v>6108</v>
      </c>
    </row>
    <row r="2279" spans="1:5" ht="15" x14ac:dyDescent="0.35">
      <c r="A2279" s="509">
        <v>7823</v>
      </c>
      <c r="B2279" s="510" t="s">
        <v>2650</v>
      </c>
      <c r="C2279" s="509" t="s">
        <v>328</v>
      </c>
      <c r="D2279" s="511">
        <v>14895</v>
      </c>
      <c r="E2279" s="507" t="s">
        <v>6108</v>
      </c>
    </row>
    <row r="2280" spans="1:5" ht="15" x14ac:dyDescent="0.35">
      <c r="A2280" s="509">
        <v>7824</v>
      </c>
      <c r="B2280" s="510" t="s">
        <v>2651</v>
      </c>
      <c r="C2280" s="509" t="s">
        <v>32</v>
      </c>
      <c r="D2280" s="511">
        <v>98152</v>
      </c>
      <c r="E2280" s="507" t="s">
        <v>6108</v>
      </c>
    </row>
    <row r="2281" spans="1:5" ht="15" x14ac:dyDescent="0.35">
      <c r="A2281" s="509">
        <v>7826</v>
      </c>
      <c r="B2281" s="510" t="s">
        <v>2652</v>
      </c>
      <c r="C2281" s="509" t="s">
        <v>21</v>
      </c>
      <c r="D2281" s="511">
        <v>58182</v>
      </c>
      <c r="E2281" s="507" t="s">
        <v>331</v>
      </c>
    </row>
    <row r="2282" spans="1:5" ht="15" x14ac:dyDescent="0.35">
      <c r="A2282" s="509">
        <v>7828</v>
      </c>
      <c r="B2282" s="510" t="s">
        <v>2653</v>
      </c>
      <c r="C2282" s="509" t="s">
        <v>328</v>
      </c>
      <c r="D2282" s="511">
        <v>40786</v>
      </c>
      <c r="E2282" s="507" t="s">
        <v>331</v>
      </c>
    </row>
    <row r="2283" spans="1:5" ht="15" x14ac:dyDescent="0.35">
      <c r="A2283" s="509">
        <v>7829</v>
      </c>
      <c r="B2283" s="510" t="s">
        <v>2654</v>
      </c>
      <c r="C2283" s="509" t="s">
        <v>328</v>
      </c>
      <c r="D2283" s="512">
        <v>20394</v>
      </c>
      <c r="E2283" s="507" t="s">
        <v>6108</v>
      </c>
    </row>
    <row r="2284" spans="1:5" ht="15" x14ac:dyDescent="0.35">
      <c r="A2284" s="509">
        <v>7857</v>
      </c>
      <c r="B2284" s="510" t="s">
        <v>2655</v>
      </c>
      <c r="C2284" s="509" t="s">
        <v>32</v>
      </c>
      <c r="D2284" s="511">
        <v>7860425</v>
      </c>
      <c r="E2284" s="507" t="s">
        <v>331</v>
      </c>
    </row>
    <row r="2285" spans="1:5" ht="15" x14ac:dyDescent="0.35">
      <c r="A2285" s="509">
        <v>7861</v>
      </c>
      <c r="B2285" s="510" t="s">
        <v>2658</v>
      </c>
      <c r="C2285" s="509" t="s">
        <v>328</v>
      </c>
      <c r="D2285" s="511">
        <v>67102</v>
      </c>
      <c r="E2285" s="507" t="s">
        <v>6108</v>
      </c>
    </row>
    <row r="2286" spans="1:5" ht="15" x14ac:dyDescent="0.35">
      <c r="A2286" s="509">
        <v>7862</v>
      </c>
      <c r="B2286" s="510" t="s">
        <v>2659</v>
      </c>
      <c r="C2286" s="509" t="s">
        <v>328</v>
      </c>
      <c r="D2286" s="512">
        <v>7534</v>
      </c>
      <c r="E2286" s="507" t="s">
        <v>6108</v>
      </c>
    </row>
    <row r="2287" spans="1:5" ht="15" x14ac:dyDescent="0.35">
      <c r="A2287" s="509">
        <v>7863</v>
      </c>
      <c r="B2287" s="510" t="s">
        <v>2660</v>
      </c>
      <c r="C2287" s="509" t="s">
        <v>21</v>
      </c>
      <c r="D2287" s="512">
        <v>63071</v>
      </c>
      <c r="E2287" s="507" t="s">
        <v>6108</v>
      </c>
    </row>
    <row r="2288" spans="1:5" ht="15" x14ac:dyDescent="0.35">
      <c r="A2288" s="509">
        <v>7864</v>
      </c>
      <c r="B2288" s="510" t="s">
        <v>2661</v>
      </c>
      <c r="C2288" s="509" t="s">
        <v>21</v>
      </c>
      <c r="D2288" s="511">
        <v>9951</v>
      </c>
      <c r="E2288" s="507" t="s">
        <v>6108</v>
      </c>
    </row>
    <row r="2289" spans="1:5" ht="15" x14ac:dyDescent="0.35">
      <c r="A2289" s="509">
        <v>7865</v>
      </c>
      <c r="B2289" s="510" t="s">
        <v>2662</v>
      </c>
      <c r="C2289" s="509" t="s">
        <v>32</v>
      </c>
      <c r="D2289" s="511">
        <v>219130</v>
      </c>
      <c r="E2289" s="507" t="s">
        <v>6108</v>
      </c>
    </row>
    <row r="2290" spans="1:5" ht="15" x14ac:dyDescent="0.35">
      <c r="A2290" s="509">
        <v>7869</v>
      </c>
      <c r="B2290" s="510" t="s">
        <v>2663</v>
      </c>
      <c r="C2290" s="509" t="s">
        <v>30</v>
      </c>
      <c r="D2290" s="511">
        <v>88911</v>
      </c>
      <c r="E2290" s="507" t="s">
        <v>6108</v>
      </c>
    </row>
    <row r="2291" spans="1:5" ht="15" x14ac:dyDescent="0.35">
      <c r="A2291" s="509">
        <v>7870</v>
      </c>
      <c r="B2291" s="510" t="s">
        <v>2664</v>
      </c>
      <c r="C2291" s="509" t="s">
        <v>32</v>
      </c>
      <c r="D2291" s="511">
        <v>1400119</v>
      </c>
      <c r="E2291" s="507" t="s">
        <v>6108</v>
      </c>
    </row>
    <row r="2292" spans="1:5" ht="15" x14ac:dyDescent="0.35">
      <c r="A2292" s="509">
        <v>7871</v>
      </c>
      <c r="B2292" s="510" t="s">
        <v>2665</v>
      </c>
      <c r="C2292" s="509" t="s">
        <v>328</v>
      </c>
      <c r="D2292" s="511">
        <v>42046</v>
      </c>
      <c r="E2292" s="507" t="s">
        <v>6108</v>
      </c>
    </row>
    <row r="2293" spans="1:5" ht="15" x14ac:dyDescent="0.35">
      <c r="A2293" s="509">
        <v>7873</v>
      </c>
      <c r="B2293" s="510" t="s">
        <v>2666</v>
      </c>
      <c r="C2293" s="509" t="s">
        <v>670</v>
      </c>
      <c r="D2293" s="511">
        <v>1314</v>
      </c>
      <c r="E2293" s="507" t="s">
        <v>6108</v>
      </c>
    </row>
    <row r="2294" spans="1:5" ht="15" x14ac:dyDescent="0.35">
      <c r="A2294" s="509">
        <v>7875</v>
      </c>
      <c r="B2294" s="510" t="s">
        <v>2667</v>
      </c>
      <c r="C2294" s="509" t="s">
        <v>32</v>
      </c>
      <c r="D2294" s="511">
        <v>42948</v>
      </c>
      <c r="E2294" s="507" t="s">
        <v>6108</v>
      </c>
    </row>
    <row r="2295" spans="1:5" ht="15" x14ac:dyDescent="0.35">
      <c r="A2295" s="509">
        <v>7877</v>
      </c>
      <c r="B2295" s="510" t="s">
        <v>2668</v>
      </c>
      <c r="C2295" s="509" t="s">
        <v>328</v>
      </c>
      <c r="D2295" s="511">
        <v>7067</v>
      </c>
      <c r="E2295" s="507" t="s">
        <v>331</v>
      </c>
    </row>
    <row r="2296" spans="1:5" ht="15" x14ac:dyDescent="0.35">
      <c r="A2296" s="509">
        <v>7878</v>
      </c>
      <c r="B2296" s="510" t="s">
        <v>2669</v>
      </c>
      <c r="C2296" s="509" t="s">
        <v>21</v>
      </c>
      <c r="D2296" s="511">
        <v>80279</v>
      </c>
      <c r="E2296" s="507" t="s">
        <v>331</v>
      </c>
    </row>
    <row r="2297" spans="1:5" ht="15" x14ac:dyDescent="0.35">
      <c r="A2297" s="509">
        <v>7879</v>
      </c>
      <c r="B2297" s="510" t="s">
        <v>2670</v>
      </c>
      <c r="C2297" s="509" t="s">
        <v>32</v>
      </c>
      <c r="D2297" s="511">
        <v>269804</v>
      </c>
      <c r="E2297" s="507" t="s">
        <v>331</v>
      </c>
    </row>
    <row r="2298" spans="1:5" ht="15" x14ac:dyDescent="0.35">
      <c r="A2298" s="509">
        <v>7880</v>
      </c>
      <c r="B2298" s="510" t="s">
        <v>2671</v>
      </c>
      <c r="C2298" s="509" t="s">
        <v>32</v>
      </c>
      <c r="D2298" s="511">
        <v>50543</v>
      </c>
      <c r="E2298" s="507" t="s">
        <v>6108</v>
      </c>
    </row>
    <row r="2299" spans="1:5" ht="15" x14ac:dyDescent="0.35">
      <c r="A2299" s="509">
        <v>7881</v>
      </c>
      <c r="B2299" s="510" t="s">
        <v>2672</v>
      </c>
      <c r="C2299" s="509" t="s">
        <v>32</v>
      </c>
      <c r="D2299" s="512">
        <v>6583</v>
      </c>
      <c r="E2299" s="507" t="s">
        <v>6108</v>
      </c>
    </row>
    <row r="2300" spans="1:5" ht="15" x14ac:dyDescent="0.35">
      <c r="A2300" s="509">
        <v>7883</v>
      </c>
      <c r="B2300" s="510" t="s">
        <v>2673</v>
      </c>
      <c r="C2300" s="509" t="s">
        <v>2125</v>
      </c>
      <c r="D2300" s="512">
        <v>2501</v>
      </c>
      <c r="E2300" s="507" t="s">
        <v>6108</v>
      </c>
    </row>
    <row r="2301" spans="1:5" ht="15" x14ac:dyDescent="0.35">
      <c r="A2301" s="509">
        <v>7884</v>
      </c>
      <c r="B2301" s="510" t="s">
        <v>2674</v>
      </c>
      <c r="C2301" s="509" t="s">
        <v>2125</v>
      </c>
      <c r="D2301" s="512">
        <v>2393</v>
      </c>
      <c r="E2301" s="507" t="s">
        <v>6108</v>
      </c>
    </row>
    <row r="2302" spans="1:5" ht="15" x14ac:dyDescent="0.35">
      <c r="A2302" s="509">
        <v>7885</v>
      </c>
      <c r="B2302" s="510" t="s">
        <v>2675</v>
      </c>
      <c r="C2302" s="509" t="s">
        <v>2125</v>
      </c>
      <c r="D2302" s="511">
        <v>2709</v>
      </c>
      <c r="E2302" s="507" t="s">
        <v>6108</v>
      </c>
    </row>
    <row r="2303" spans="1:5" ht="15" x14ac:dyDescent="0.35">
      <c r="A2303" s="509">
        <v>7886</v>
      </c>
      <c r="B2303" s="510" t="s">
        <v>2676</v>
      </c>
      <c r="C2303" s="509" t="s">
        <v>2125</v>
      </c>
      <c r="D2303" s="511">
        <v>1954</v>
      </c>
      <c r="E2303" s="507" t="s">
        <v>6108</v>
      </c>
    </row>
    <row r="2304" spans="1:5" ht="15" x14ac:dyDescent="0.35">
      <c r="A2304" s="509">
        <v>7887</v>
      </c>
      <c r="B2304" s="510" t="s">
        <v>2677</v>
      </c>
      <c r="C2304" s="509" t="s">
        <v>2125</v>
      </c>
      <c r="D2304" s="511">
        <v>2152</v>
      </c>
      <c r="E2304" s="507" t="s">
        <v>6108</v>
      </c>
    </row>
    <row r="2305" spans="1:5" ht="15" x14ac:dyDescent="0.35">
      <c r="A2305" s="509">
        <v>7888</v>
      </c>
      <c r="B2305" s="510" t="s">
        <v>2678</v>
      </c>
      <c r="C2305" s="509" t="s">
        <v>32</v>
      </c>
      <c r="D2305" s="511">
        <v>257267</v>
      </c>
      <c r="E2305" s="507" t="s">
        <v>6108</v>
      </c>
    </row>
    <row r="2306" spans="1:5" ht="15" x14ac:dyDescent="0.35">
      <c r="A2306" s="509">
        <v>7889</v>
      </c>
      <c r="B2306" s="510" t="s">
        <v>2679</v>
      </c>
      <c r="C2306" s="509" t="s">
        <v>2125</v>
      </c>
      <c r="D2306" s="511">
        <v>2501</v>
      </c>
      <c r="E2306" s="507" t="s">
        <v>6108</v>
      </c>
    </row>
    <row r="2307" spans="1:5" ht="15" x14ac:dyDescent="0.35">
      <c r="A2307" s="509">
        <v>7892</v>
      </c>
      <c r="B2307" s="510" t="s">
        <v>2680</v>
      </c>
      <c r="C2307" s="509" t="s">
        <v>328</v>
      </c>
      <c r="D2307" s="511">
        <v>106908</v>
      </c>
      <c r="E2307" s="507" t="s">
        <v>6108</v>
      </c>
    </row>
    <row r="2308" spans="1:5" ht="15" x14ac:dyDescent="0.35">
      <c r="A2308" s="509">
        <v>7893</v>
      </c>
      <c r="B2308" s="510" t="s">
        <v>2681</v>
      </c>
      <c r="C2308" s="509" t="s">
        <v>32</v>
      </c>
      <c r="D2308" s="512">
        <v>271428</v>
      </c>
      <c r="E2308" s="507" t="s">
        <v>331</v>
      </c>
    </row>
    <row r="2309" spans="1:5" ht="15" x14ac:dyDescent="0.35">
      <c r="A2309" s="509">
        <v>7894</v>
      </c>
      <c r="B2309" s="510" t="s">
        <v>2682</v>
      </c>
      <c r="C2309" s="509" t="s">
        <v>32</v>
      </c>
      <c r="D2309" s="512">
        <v>799680</v>
      </c>
      <c r="E2309" s="507" t="s">
        <v>331</v>
      </c>
    </row>
    <row r="2310" spans="1:5" ht="15" x14ac:dyDescent="0.35">
      <c r="A2310" s="509">
        <v>7895</v>
      </c>
      <c r="B2310" s="510" t="s">
        <v>2683</v>
      </c>
      <c r="C2310" s="509" t="s">
        <v>32</v>
      </c>
      <c r="D2310" s="512">
        <v>573173</v>
      </c>
      <c r="E2310" s="507" t="s">
        <v>331</v>
      </c>
    </row>
    <row r="2311" spans="1:5" ht="15" x14ac:dyDescent="0.35">
      <c r="A2311" s="509">
        <v>7896</v>
      </c>
      <c r="B2311" s="510" t="s">
        <v>2684</v>
      </c>
      <c r="C2311" s="509" t="s">
        <v>32</v>
      </c>
      <c r="D2311" s="511">
        <v>1113</v>
      </c>
      <c r="E2311" s="507" t="s">
        <v>331</v>
      </c>
    </row>
    <row r="2312" spans="1:5" ht="15" x14ac:dyDescent="0.35">
      <c r="A2312" s="509">
        <v>7898</v>
      </c>
      <c r="B2312" s="510" t="s">
        <v>2685</v>
      </c>
      <c r="C2312" s="509" t="s">
        <v>30</v>
      </c>
      <c r="D2312" s="512">
        <v>989301</v>
      </c>
      <c r="E2312" s="507" t="s">
        <v>331</v>
      </c>
    </row>
    <row r="2313" spans="1:5" ht="15" x14ac:dyDescent="0.35">
      <c r="A2313" s="509">
        <v>7899</v>
      </c>
      <c r="B2313" s="510" t="s">
        <v>2686</v>
      </c>
      <c r="C2313" s="509" t="s">
        <v>30</v>
      </c>
      <c r="D2313" s="511">
        <v>1059996</v>
      </c>
      <c r="E2313" s="507" t="s">
        <v>331</v>
      </c>
    </row>
    <row r="2314" spans="1:5" ht="15" x14ac:dyDescent="0.35">
      <c r="A2314" s="509">
        <v>7900</v>
      </c>
      <c r="B2314" s="510" t="s">
        <v>2687</v>
      </c>
      <c r="C2314" s="509" t="s">
        <v>21</v>
      </c>
      <c r="D2314" s="512">
        <v>74368</v>
      </c>
      <c r="E2314" s="507" t="s">
        <v>331</v>
      </c>
    </row>
    <row r="2315" spans="1:5" ht="15" x14ac:dyDescent="0.35">
      <c r="A2315" s="509">
        <v>7901</v>
      </c>
      <c r="B2315" s="510" t="s">
        <v>2688</v>
      </c>
      <c r="C2315" s="509" t="s">
        <v>979</v>
      </c>
      <c r="D2315" s="511">
        <v>11984</v>
      </c>
      <c r="E2315" s="507" t="s">
        <v>331</v>
      </c>
    </row>
    <row r="2316" spans="1:5" ht="15" x14ac:dyDescent="0.35">
      <c r="A2316" s="509">
        <v>7902</v>
      </c>
      <c r="B2316" s="510" t="s">
        <v>2689</v>
      </c>
      <c r="C2316" s="509" t="s">
        <v>328</v>
      </c>
      <c r="D2316" s="511">
        <v>87284</v>
      </c>
      <c r="E2316" s="507" t="s">
        <v>331</v>
      </c>
    </row>
    <row r="2317" spans="1:5" ht="15" x14ac:dyDescent="0.35">
      <c r="A2317" s="509">
        <v>7903</v>
      </c>
      <c r="B2317" s="510" t="s">
        <v>2690</v>
      </c>
      <c r="C2317" s="509" t="s">
        <v>32</v>
      </c>
      <c r="D2317" s="511">
        <v>101150</v>
      </c>
      <c r="E2317" s="507" t="s">
        <v>331</v>
      </c>
    </row>
    <row r="2318" spans="1:5" ht="15" x14ac:dyDescent="0.35">
      <c r="A2318" s="509">
        <v>7904</v>
      </c>
      <c r="B2318" s="510" t="s">
        <v>2691</v>
      </c>
      <c r="C2318" s="509" t="s">
        <v>307</v>
      </c>
      <c r="D2318" s="511">
        <v>4983</v>
      </c>
      <c r="E2318" s="507" t="s">
        <v>6108</v>
      </c>
    </row>
    <row r="2319" spans="1:5" ht="15" x14ac:dyDescent="0.35">
      <c r="A2319" s="509">
        <v>7905</v>
      </c>
      <c r="B2319" s="510" t="s">
        <v>2692</v>
      </c>
      <c r="C2319" s="509" t="s">
        <v>30</v>
      </c>
      <c r="D2319" s="512">
        <v>71419</v>
      </c>
      <c r="E2319" s="507" t="s">
        <v>331</v>
      </c>
    </row>
    <row r="2320" spans="1:5" ht="15" x14ac:dyDescent="0.35">
      <c r="A2320" s="509">
        <v>7944</v>
      </c>
      <c r="B2320" s="510" t="s">
        <v>2693</v>
      </c>
      <c r="C2320" s="509" t="s">
        <v>30</v>
      </c>
      <c r="D2320" s="511">
        <v>5046</v>
      </c>
      <c r="E2320" s="507" t="s">
        <v>6108</v>
      </c>
    </row>
    <row r="2321" spans="1:5" ht="15" x14ac:dyDescent="0.35">
      <c r="A2321" s="509">
        <v>7945</v>
      </c>
      <c r="B2321" s="510" t="s">
        <v>2694</v>
      </c>
      <c r="C2321" s="509" t="s">
        <v>30</v>
      </c>
      <c r="D2321" s="512">
        <v>4246</v>
      </c>
      <c r="E2321" s="507" t="s">
        <v>6108</v>
      </c>
    </row>
    <row r="2322" spans="1:5" ht="15" x14ac:dyDescent="0.35">
      <c r="A2322" s="509">
        <v>7946</v>
      </c>
      <c r="B2322" s="510" t="s">
        <v>2695</v>
      </c>
      <c r="C2322" s="509" t="s">
        <v>30</v>
      </c>
      <c r="D2322" s="511">
        <v>7216</v>
      </c>
      <c r="E2322" s="507" t="s">
        <v>331</v>
      </c>
    </row>
    <row r="2323" spans="1:5" ht="15" x14ac:dyDescent="0.35">
      <c r="A2323" s="509">
        <v>7947</v>
      </c>
      <c r="B2323" s="510" t="s">
        <v>2696</v>
      </c>
      <c r="C2323" s="509" t="s">
        <v>328</v>
      </c>
      <c r="D2323" s="511">
        <v>84134</v>
      </c>
      <c r="E2323" s="507" t="s">
        <v>331</v>
      </c>
    </row>
    <row r="2324" spans="1:5" ht="15" x14ac:dyDescent="0.35">
      <c r="A2324" s="509">
        <v>7948</v>
      </c>
      <c r="B2324" s="510" t="s">
        <v>2697</v>
      </c>
      <c r="C2324" s="509" t="s">
        <v>328</v>
      </c>
      <c r="D2324" s="511">
        <v>97590</v>
      </c>
      <c r="E2324" s="507" t="s">
        <v>331</v>
      </c>
    </row>
    <row r="2325" spans="1:5" ht="15" x14ac:dyDescent="0.35">
      <c r="A2325" s="509">
        <v>7949</v>
      </c>
      <c r="B2325" s="510" t="s">
        <v>2698</v>
      </c>
      <c r="C2325" s="509" t="s">
        <v>328</v>
      </c>
      <c r="D2325" s="511">
        <v>102173</v>
      </c>
      <c r="E2325" s="507" t="s">
        <v>6108</v>
      </c>
    </row>
    <row r="2326" spans="1:5" ht="15" x14ac:dyDescent="0.35">
      <c r="A2326" s="509">
        <v>7950</v>
      </c>
      <c r="B2326" s="510" t="s">
        <v>2699</v>
      </c>
      <c r="C2326" s="509" t="s">
        <v>328</v>
      </c>
      <c r="D2326" s="512">
        <v>127873</v>
      </c>
      <c r="E2326" s="507" t="s">
        <v>6108</v>
      </c>
    </row>
    <row r="2327" spans="1:5" ht="15" x14ac:dyDescent="0.35">
      <c r="A2327" s="509">
        <v>7951</v>
      </c>
      <c r="B2327" s="510" t="s">
        <v>2700</v>
      </c>
      <c r="C2327" s="509" t="s">
        <v>328</v>
      </c>
      <c r="D2327" s="512">
        <v>170451</v>
      </c>
      <c r="E2327" s="507" t="s">
        <v>6108</v>
      </c>
    </row>
    <row r="2328" spans="1:5" ht="15" x14ac:dyDescent="0.35">
      <c r="A2328" s="509">
        <v>7953</v>
      </c>
      <c r="B2328" s="510" t="s">
        <v>2701</v>
      </c>
      <c r="C2328" s="509" t="s">
        <v>328</v>
      </c>
      <c r="D2328" s="511">
        <v>1698368</v>
      </c>
      <c r="E2328" s="507" t="s">
        <v>6108</v>
      </c>
    </row>
    <row r="2329" spans="1:5" ht="15" x14ac:dyDescent="0.35">
      <c r="A2329" s="509">
        <v>7954</v>
      </c>
      <c r="B2329" s="510" t="s">
        <v>2702</v>
      </c>
      <c r="C2329" s="509" t="s">
        <v>32</v>
      </c>
      <c r="D2329" s="512">
        <v>897141</v>
      </c>
      <c r="E2329" s="507" t="s">
        <v>6108</v>
      </c>
    </row>
    <row r="2330" spans="1:5" ht="15" x14ac:dyDescent="0.35">
      <c r="A2330" s="509">
        <v>7955</v>
      </c>
      <c r="B2330" s="510" t="s">
        <v>2703</v>
      </c>
      <c r="C2330" s="509" t="s">
        <v>32</v>
      </c>
      <c r="D2330" s="511">
        <v>1210169</v>
      </c>
      <c r="E2330" s="507" t="s">
        <v>6108</v>
      </c>
    </row>
    <row r="2331" spans="1:5" ht="15" x14ac:dyDescent="0.35">
      <c r="A2331" s="509">
        <v>7956</v>
      </c>
      <c r="B2331" s="510" t="s">
        <v>2704</v>
      </c>
      <c r="C2331" s="509" t="s">
        <v>32</v>
      </c>
      <c r="D2331" s="512">
        <v>1943830</v>
      </c>
      <c r="E2331" s="507" t="s">
        <v>6108</v>
      </c>
    </row>
    <row r="2332" spans="1:5" ht="15" x14ac:dyDescent="0.35">
      <c r="A2332" s="509">
        <v>7958</v>
      </c>
      <c r="B2332" s="510" t="s">
        <v>2705</v>
      </c>
      <c r="C2332" s="509" t="s">
        <v>328</v>
      </c>
      <c r="D2332" s="511">
        <v>15316</v>
      </c>
      <c r="E2332" s="507" t="s">
        <v>331</v>
      </c>
    </row>
    <row r="2333" spans="1:5" ht="15" x14ac:dyDescent="0.35">
      <c r="A2333" s="509">
        <v>7959</v>
      </c>
      <c r="B2333" s="510" t="s">
        <v>2706</v>
      </c>
      <c r="C2333" s="509" t="s">
        <v>328</v>
      </c>
      <c r="D2333" s="511">
        <v>18379</v>
      </c>
      <c r="E2333" s="507" t="s">
        <v>6108</v>
      </c>
    </row>
    <row r="2334" spans="1:5" ht="15" x14ac:dyDescent="0.35">
      <c r="A2334" s="509">
        <v>7960</v>
      </c>
      <c r="B2334" s="510" t="s">
        <v>2707</v>
      </c>
      <c r="C2334" s="509" t="s">
        <v>328</v>
      </c>
      <c r="D2334" s="511">
        <v>15316</v>
      </c>
      <c r="E2334" s="507" t="s">
        <v>6108</v>
      </c>
    </row>
    <row r="2335" spans="1:5" ht="15" x14ac:dyDescent="0.35">
      <c r="A2335" s="509">
        <v>7961</v>
      </c>
      <c r="B2335" s="510" t="s">
        <v>2708</v>
      </c>
      <c r="C2335" s="509" t="s">
        <v>328</v>
      </c>
      <c r="D2335" s="511">
        <v>22973</v>
      </c>
      <c r="E2335" s="507" t="s">
        <v>6108</v>
      </c>
    </row>
    <row r="2336" spans="1:5" ht="15" x14ac:dyDescent="0.35">
      <c r="A2336" s="509">
        <v>7962</v>
      </c>
      <c r="B2336" s="510" t="s">
        <v>2709</v>
      </c>
      <c r="C2336" s="509" t="s">
        <v>32</v>
      </c>
      <c r="D2336" s="512">
        <v>12188</v>
      </c>
      <c r="E2336" s="507" t="s">
        <v>6108</v>
      </c>
    </row>
    <row r="2337" spans="1:5" ht="15" x14ac:dyDescent="0.35">
      <c r="A2337" s="509">
        <v>7963</v>
      </c>
      <c r="B2337" s="510" t="s">
        <v>2710</v>
      </c>
      <c r="C2337" s="509" t="s">
        <v>32</v>
      </c>
      <c r="D2337" s="512">
        <v>643554</v>
      </c>
      <c r="E2337" s="507" t="s">
        <v>6108</v>
      </c>
    </row>
    <row r="2338" spans="1:5" ht="15" x14ac:dyDescent="0.35">
      <c r="A2338" s="509">
        <v>7964</v>
      </c>
      <c r="B2338" s="510" t="s">
        <v>2711</v>
      </c>
      <c r="C2338" s="509" t="s">
        <v>32</v>
      </c>
      <c r="D2338" s="511">
        <v>643554</v>
      </c>
      <c r="E2338" s="507" t="s">
        <v>6108</v>
      </c>
    </row>
    <row r="2339" spans="1:5" ht="15" x14ac:dyDescent="0.35">
      <c r="A2339" s="509">
        <v>7965</v>
      </c>
      <c r="B2339" s="510" t="s">
        <v>2712</v>
      </c>
      <c r="C2339" s="509" t="s">
        <v>32</v>
      </c>
      <c r="D2339" s="511">
        <v>5824524</v>
      </c>
      <c r="E2339" s="507" t="s">
        <v>331</v>
      </c>
    </row>
    <row r="2340" spans="1:5" ht="15" x14ac:dyDescent="0.35">
      <c r="A2340" s="509">
        <v>7966</v>
      </c>
      <c r="B2340" s="510" t="s">
        <v>2713</v>
      </c>
      <c r="C2340" s="509" t="s">
        <v>32</v>
      </c>
      <c r="D2340" s="512">
        <v>226132</v>
      </c>
      <c r="E2340" s="507" t="s">
        <v>331</v>
      </c>
    </row>
    <row r="2341" spans="1:5" ht="15" x14ac:dyDescent="0.35">
      <c r="A2341" s="509">
        <v>7967</v>
      </c>
      <c r="B2341" s="510" t="s">
        <v>2714</v>
      </c>
      <c r="C2341" s="509" t="s">
        <v>30</v>
      </c>
      <c r="D2341" s="511">
        <v>9413</v>
      </c>
      <c r="E2341" s="507" t="s">
        <v>331</v>
      </c>
    </row>
    <row r="2342" spans="1:5" ht="15" x14ac:dyDescent="0.35">
      <c r="A2342" s="509">
        <v>7968</v>
      </c>
      <c r="B2342" s="510" t="s">
        <v>2715</v>
      </c>
      <c r="C2342" s="509" t="s">
        <v>2125</v>
      </c>
      <c r="D2342" s="511">
        <v>2259</v>
      </c>
      <c r="E2342" s="507" t="s">
        <v>6108</v>
      </c>
    </row>
    <row r="2343" spans="1:5" ht="15" x14ac:dyDescent="0.35">
      <c r="A2343" s="509">
        <v>7969</v>
      </c>
      <c r="B2343" s="510" t="s">
        <v>2716</v>
      </c>
      <c r="C2343" s="509" t="s">
        <v>2125</v>
      </c>
      <c r="D2343" s="512">
        <v>2259</v>
      </c>
      <c r="E2343" s="507" t="s">
        <v>331</v>
      </c>
    </row>
    <row r="2344" spans="1:5" ht="15" x14ac:dyDescent="0.35">
      <c r="A2344" s="509">
        <v>7972</v>
      </c>
      <c r="B2344" s="510" t="s">
        <v>2717</v>
      </c>
      <c r="C2344" s="509" t="s">
        <v>30</v>
      </c>
      <c r="D2344" s="512">
        <v>25918</v>
      </c>
      <c r="E2344" s="507" t="s">
        <v>331</v>
      </c>
    </row>
    <row r="2345" spans="1:5" ht="15" x14ac:dyDescent="0.35">
      <c r="A2345" s="509">
        <v>7974</v>
      </c>
      <c r="B2345" s="510" t="s">
        <v>2718</v>
      </c>
      <c r="C2345" s="509" t="s">
        <v>32</v>
      </c>
      <c r="D2345" s="511">
        <v>846289</v>
      </c>
      <c r="E2345" s="507" t="s">
        <v>331</v>
      </c>
    </row>
    <row r="2346" spans="1:5" ht="15" x14ac:dyDescent="0.35">
      <c r="A2346" s="509">
        <v>7989</v>
      </c>
      <c r="B2346" s="510" t="s">
        <v>2719</v>
      </c>
      <c r="C2346" s="509" t="s">
        <v>328</v>
      </c>
      <c r="D2346" s="512">
        <v>135246</v>
      </c>
      <c r="E2346" s="507" t="s">
        <v>331</v>
      </c>
    </row>
    <row r="2347" spans="1:5" ht="15" x14ac:dyDescent="0.35">
      <c r="A2347" s="509">
        <v>7991</v>
      </c>
      <c r="B2347" s="510" t="s">
        <v>2722</v>
      </c>
      <c r="C2347" s="509" t="s">
        <v>2721</v>
      </c>
      <c r="D2347" s="512">
        <v>155678</v>
      </c>
      <c r="E2347" s="507" t="s">
        <v>331</v>
      </c>
    </row>
    <row r="2348" spans="1:5" ht="15" x14ac:dyDescent="0.35">
      <c r="A2348" s="509">
        <v>7992</v>
      </c>
      <c r="B2348" s="510" t="s">
        <v>2723</v>
      </c>
      <c r="C2348" s="509" t="s">
        <v>328</v>
      </c>
      <c r="D2348" s="512">
        <v>21410</v>
      </c>
      <c r="E2348" s="507" t="s">
        <v>331</v>
      </c>
    </row>
    <row r="2349" spans="1:5" ht="15" x14ac:dyDescent="0.35">
      <c r="A2349" s="509">
        <v>7993</v>
      </c>
      <c r="B2349" s="510" t="s">
        <v>2724</v>
      </c>
      <c r="C2349" s="509" t="s">
        <v>328</v>
      </c>
      <c r="D2349" s="512">
        <v>28662</v>
      </c>
      <c r="E2349" s="507" t="s">
        <v>331</v>
      </c>
    </row>
    <row r="2350" spans="1:5" ht="15" x14ac:dyDescent="0.35">
      <c r="A2350" s="509">
        <v>7994</v>
      </c>
      <c r="B2350" s="510" t="s">
        <v>2725</v>
      </c>
      <c r="C2350" s="509" t="s">
        <v>328</v>
      </c>
      <c r="D2350" s="512">
        <v>64127</v>
      </c>
      <c r="E2350" s="507" t="s">
        <v>6108</v>
      </c>
    </row>
    <row r="2351" spans="1:5" ht="15" x14ac:dyDescent="0.35">
      <c r="A2351" s="509">
        <v>7995</v>
      </c>
      <c r="B2351" s="510" t="s">
        <v>2726</v>
      </c>
      <c r="C2351" s="509" t="s">
        <v>328</v>
      </c>
      <c r="D2351" s="512">
        <v>1903</v>
      </c>
      <c r="E2351" s="507" t="s">
        <v>6108</v>
      </c>
    </row>
    <row r="2352" spans="1:5" ht="15" x14ac:dyDescent="0.35">
      <c r="A2352" s="509">
        <v>7996</v>
      </c>
      <c r="B2352" s="510" t="s">
        <v>2727</v>
      </c>
      <c r="C2352" s="509" t="s">
        <v>30</v>
      </c>
      <c r="D2352" s="512">
        <v>113596</v>
      </c>
      <c r="E2352" s="507" t="s">
        <v>6108</v>
      </c>
    </row>
    <row r="2353" spans="1:5" ht="15" x14ac:dyDescent="0.35">
      <c r="A2353" s="509">
        <v>7997</v>
      </c>
      <c r="B2353" s="510" t="s">
        <v>2728</v>
      </c>
      <c r="C2353" s="509" t="s">
        <v>30</v>
      </c>
      <c r="D2353" s="512">
        <v>109604</v>
      </c>
      <c r="E2353" s="507" t="s">
        <v>6108</v>
      </c>
    </row>
    <row r="2354" spans="1:5" ht="15" x14ac:dyDescent="0.35">
      <c r="A2354" s="509">
        <v>8000</v>
      </c>
      <c r="B2354" s="510" t="s">
        <v>2729</v>
      </c>
      <c r="C2354" s="509" t="s">
        <v>307</v>
      </c>
      <c r="D2354" s="512">
        <v>5984</v>
      </c>
      <c r="E2354" s="507" t="s">
        <v>6108</v>
      </c>
    </row>
    <row r="2355" spans="1:5" ht="15" x14ac:dyDescent="0.35">
      <c r="A2355" s="509">
        <v>8001</v>
      </c>
      <c r="B2355" s="510" t="s">
        <v>2730</v>
      </c>
      <c r="C2355" s="509" t="s">
        <v>328</v>
      </c>
      <c r="D2355" s="511">
        <v>1725500</v>
      </c>
      <c r="E2355" s="507" t="s">
        <v>6108</v>
      </c>
    </row>
    <row r="2356" spans="1:5" ht="15" x14ac:dyDescent="0.35">
      <c r="A2356" s="509">
        <v>8002</v>
      </c>
      <c r="B2356" s="510" t="s">
        <v>2731</v>
      </c>
      <c r="C2356" s="509" t="s">
        <v>328</v>
      </c>
      <c r="D2356" s="512">
        <v>1892100</v>
      </c>
      <c r="E2356" s="507" t="s">
        <v>6108</v>
      </c>
    </row>
    <row r="2357" spans="1:5" ht="15" x14ac:dyDescent="0.35">
      <c r="A2357" s="509">
        <v>8003</v>
      </c>
      <c r="B2357" s="510" t="s">
        <v>2732</v>
      </c>
      <c r="C2357" s="509" t="s">
        <v>328</v>
      </c>
      <c r="D2357" s="512">
        <v>2082500</v>
      </c>
      <c r="E2357" s="507" t="s">
        <v>6108</v>
      </c>
    </row>
    <row r="2358" spans="1:5" ht="15" x14ac:dyDescent="0.35">
      <c r="A2358" s="509">
        <v>8004</v>
      </c>
      <c r="B2358" s="510" t="s">
        <v>2733</v>
      </c>
      <c r="C2358" s="509" t="s">
        <v>328</v>
      </c>
      <c r="D2358" s="511">
        <v>2475200</v>
      </c>
      <c r="E2358" s="507" t="s">
        <v>331</v>
      </c>
    </row>
    <row r="2359" spans="1:5" ht="15" x14ac:dyDescent="0.35">
      <c r="A2359" s="509">
        <v>8005</v>
      </c>
      <c r="B2359" s="510" t="s">
        <v>2734</v>
      </c>
      <c r="C2359" s="509" t="s">
        <v>328</v>
      </c>
      <c r="D2359" s="511">
        <v>2826250</v>
      </c>
      <c r="E2359" s="507" t="s">
        <v>331</v>
      </c>
    </row>
    <row r="2360" spans="1:5" ht="15" x14ac:dyDescent="0.35">
      <c r="A2360" s="509">
        <v>8006</v>
      </c>
      <c r="B2360" s="510" t="s">
        <v>2735</v>
      </c>
      <c r="C2360" s="509" t="s">
        <v>328</v>
      </c>
      <c r="D2360" s="511">
        <v>3088050</v>
      </c>
      <c r="E2360" s="507" t="s">
        <v>6108</v>
      </c>
    </row>
    <row r="2361" spans="1:5" ht="15" x14ac:dyDescent="0.35">
      <c r="A2361" s="509">
        <v>8007</v>
      </c>
      <c r="B2361" s="510" t="s">
        <v>2736</v>
      </c>
      <c r="C2361" s="509" t="s">
        <v>328</v>
      </c>
      <c r="D2361" s="511">
        <v>3790150</v>
      </c>
      <c r="E2361" s="507" t="s">
        <v>331</v>
      </c>
    </row>
    <row r="2362" spans="1:5" ht="15" x14ac:dyDescent="0.35">
      <c r="A2362" s="509">
        <v>8008</v>
      </c>
      <c r="B2362" s="510" t="s">
        <v>2737</v>
      </c>
      <c r="C2362" s="509" t="s">
        <v>328</v>
      </c>
      <c r="D2362" s="512">
        <v>4237152</v>
      </c>
      <c r="E2362" s="507" t="s">
        <v>331</v>
      </c>
    </row>
    <row r="2363" spans="1:5" ht="15" x14ac:dyDescent="0.35">
      <c r="A2363" s="509">
        <v>8009</v>
      </c>
      <c r="B2363" s="510" t="s">
        <v>2738</v>
      </c>
      <c r="C2363" s="509" t="s">
        <v>328</v>
      </c>
      <c r="D2363" s="511">
        <v>5033700</v>
      </c>
      <c r="E2363" s="507" t="s">
        <v>6108</v>
      </c>
    </row>
    <row r="2364" spans="1:5" ht="15" x14ac:dyDescent="0.35">
      <c r="A2364" s="509">
        <v>8010</v>
      </c>
      <c r="B2364" s="510" t="s">
        <v>2739</v>
      </c>
      <c r="C2364" s="509" t="s">
        <v>328</v>
      </c>
      <c r="D2364" s="511">
        <v>6012016</v>
      </c>
      <c r="E2364" s="507" t="s">
        <v>6108</v>
      </c>
    </row>
    <row r="2365" spans="1:5" ht="15" x14ac:dyDescent="0.35">
      <c r="A2365" s="509">
        <v>8011</v>
      </c>
      <c r="B2365" s="510" t="s">
        <v>2740</v>
      </c>
      <c r="C2365" s="509" t="s">
        <v>328</v>
      </c>
      <c r="D2365" s="511">
        <v>7610050</v>
      </c>
      <c r="E2365" s="507" t="s">
        <v>6108</v>
      </c>
    </row>
    <row r="2366" spans="1:5" ht="15" x14ac:dyDescent="0.35">
      <c r="A2366" s="509">
        <v>8012</v>
      </c>
      <c r="B2366" s="510" t="s">
        <v>2741</v>
      </c>
      <c r="C2366" s="509" t="s">
        <v>328</v>
      </c>
      <c r="D2366" s="512">
        <v>9686600</v>
      </c>
      <c r="E2366" s="507" t="s">
        <v>6108</v>
      </c>
    </row>
    <row r="2367" spans="1:5" ht="15" x14ac:dyDescent="0.35">
      <c r="A2367" s="509">
        <v>8013</v>
      </c>
      <c r="B2367" s="510" t="s">
        <v>2742</v>
      </c>
      <c r="C2367" s="509" t="s">
        <v>328</v>
      </c>
      <c r="D2367" s="511">
        <v>10642406</v>
      </c>
      <c r="E2367" s="507" t="s">
        <v>6108</v>
      </c>
    </row>
    <row r="2368" spans="1:5" ht="15" x14ac:dyDescent="0.35">
      <c r="A2368" s="509">
        <v>8016</v>
      </c>
      <c r="B2368" s="510" t="s">
        <v>2743</v>
      </c>
      <c r="C2368" s="509" t="s">
        <v>328</v>
      </c>
      <c r="D2368" s="512">
        <v>737989</v>
      </c>
      <c r="E2368" s="507" t="s">
        <v>6108</v>
      </c>
    </row>
    <row r="2369" spans="1:5" ht="15" x14ac:dyDescent="0.35">
      <c r="A2369" s="509">
        <v>8017</v>
      </c>
      <c r="B2369" s="510" t="s">
        <v>2744</v>
      </c>
      <c r="C2369" s="509" t="s">
        <v>32</v>
      </c>
      <c r="D2369" s="512">
        <v>956442</v>
      </c>
      <c r="E2369" s="507" t="s">
        <v>6108</v>
      </c>
    </row>
    <row r="2370" spans="1:5" ht="15" x14ac:dyDescent="0.35">
      <c r="A2370" s="509">
        <v>8018</v>
      </c>
      <c r="B2370" s="510" t="s">
        <v>2745</v>
      </c>
      <c r="C2370" s="509" t="s">
        <v>32</v>
      </c>
      <c r="D2370" s="512">
        <v>1424721</v>
      </c>
      <c r="E2370" s="507" t="s">
        <v>6108</v>
      </c>
    </row>
    <row r="2371" spans="1:5" ht="15" x14ac:dyDescent="0.35">
      <c r="A2371" s="509">
        <v>8019</v>
      </c>
      <c r="B2371" s="510" t="s">
        <v>2746</v>
      </c>
      <c r="C2371" s="509" t="s">
        <v>328</v>
      </c>
      <c r="D2371" s="512">
        <v>1561427</v>
      </c>
      <c r="E2371" s="507" t="s">
        <v>6108</v>
      </c>
    </row>
    <row r="2372" spans="1:5" ht="15" x14ac:dyDescent="0.35">
      <c r="A2372" s="509">
        <v>8020</v>
      </c>
      <c r="B2372" s="510" t="s">
        <v>2747</v>
      </c>
      <c r="C2372" s="509" t="s">
        <v>32</v>
      </c>
      <c r="D2372" s="512">
        <v>2015927</v>
      </c>
      <c r="E2372" s="507" t="s">
        <v>6108</v>
      </c>
    </row>
    <row r="2373" spans="1:5" ht="15" x14ac:dyDescent="0.35">
      <c r="A2373" s="509">
        <v>8022</v>
      </c>
      <c r="B2373" s="510" t="s">
        <v>2748</v>
      </c>
      <c r="C2373" s="509" t="s">
        <v>32</v>
      </c>
      <c r="D2373" s="512">
        <v>703400</v>
      </c>
      <c r="E2373" s="507" t="s">
        <v>6108</v>
      </c>
    </row>
    <row r="2374" spans="1:5" ht="15" x14ac:dyDescent="0.35">
      <c r="A2374" s="509">
        <v>8023</v>
      </c>
      <c r="B2374" s="510" t="s">
        <v>2749</v>
      </c>
      <c r="C2374" s="509" t="s">
        <v>32</v>
      </c>
      <c r="D2374" s="512">
        <v>968448</v>
      </c>
      <c r="E2374" s="507" t="s">
        <v>6108</v>
      </c>
    </row>
    <row r="2375" spans="1:5" ht="15" x14ac:dyDescent="0.35">
      <c r="A2375" s="509">
        <v>8025</v>
      </c>
      <c r="B2375" s="510" t="s">
        <v>2750</v>
      </c>
      <c r="C2375" s="509" t="s">
        <v>32</v>
      </c>
      <c r="D2375" s="512">
        <v>521329</v>
      </c>
      <c r="E2375" s="507" t="s">
        <v>6108</v>
      </c>
    </row>
    <row r="2376" spans="1:5" ht="15" x14ac:dyDescent="0.35">
      <c r="A2376" s="509">
        <v>8026</v>
      </c>
      <c r="B2376" s="510" t="s">
        <v>2751</v>
      </c>
      <c r="C2376" s="509" t="s">
        <v>32</v>
      </c>
      <c r="D2376" s="512">
        <v>822257</v>
      </c>
      <c r="E2376" s="507" t="s">
        <v>6108</v>
      </c>
    </row>
    <row r="2377" spans="1:5" ht="15" x14ac:dyDescent="0.35">
      <c r="A2377" s="509">
        <v>8044</v>
      </c>
      <c r="B2377" s="510" t="s">
        <v>2752</v>
      </c>
      <c r="C2377" s="509" t="s">
        <v>32</v>
      </c>
      <c r="D2377" s="512">
        <v>3924478</v>
      </c>
      <c r="E2377" s="507" t="s">
        <v>6108</v>
      </c>
    </row>
    <row r="2378" spans="1:5" ht="15" x14ac:dyDescent="0.35">
      <c r="A2378" s="509">
        <v>8045</v>
      </c>
      <c r="B2378" s="510" t="s">
        <v>2753</v>
      </c>
      <c r="C2378" s="509" t="s">
        <v>32</v>
      </c>
      <c r="D2378" s="511">
        <v>4819043</v>
      </c>
      <c r="E2378" s="507" t="s">
        <v>6108</v>
      </c>
    </row>
    <row r="2379" spans="1:5" ht="15" x14ac:dyDescent="0.35">
      <c r="A2379" s="509">
        <v>8046</v>
      </c>
      <c r="B2379" s="510" t="s">
        <v>2754</v>
      </c>
      <c r="C2379" s="509" t="s">
        <v>32</v>
      </c>
      <c r="D2379" s="512">
        <v>5978990</v>
      </c>
      <c r="E2379" s="507" t="s">
        <v>331</v>
      </c>
    </row>
    <row r="2380" spans="1:5" ht="15" x14ac:dyDescent="0.35">
      <c r="A2380" s="509">
        <v>8047</v>
      </c>
      <c r="B2380" s="510" t="s">
        <v>2755</v>
      </c>
      <c r="C2380" s="509" t="s">
        <v>32</v>
      </c>
      <c r="D2380" s="512">
        <v>7537010</v>
      </c>
      <c r="E2380" s="507" t="s">
        <v>6108</v>
      </c>
    </row>
    <row r="2381" spans="1:5" ht="15" x14ac:dyDescent="0.35">
      <c r="A2381" s="509">
        <v>8048</v>
      </c>
      <c r="B2381" s="510" t="s">
        <v>2756</v>
      </c>
      <c r="C2381" s="509" t="s">
        <v>32</v>
      </c>
      <c r="D2381" s="511">
        <v>4297101</v>
      </c>
      <c r="E2381" s="507" t="s">
        <v>6108</v>
      </c>
    </row>
    <row r="2382" spans="1:5" ht="15" x14ac:dyDescent="0.35">
      <c r="A2382" s="509">
        <v>8049</v>
      </c>
      <c r="B2382" s="510" t="s">
        <v>2757</v>
      </c>
      <c r="C2382" s="509" t="s">
        <v>32</v>
      </c>
      <c r="D2382" s="512">
        <v>5419692</v>
      </c>
      <c r="E2382" s="507" t="s">
        <v>6108</v>
      </c>
    </row>
    <row r="2383" spans="1:5" ht="15" x14ac:dyDescent="0.35">
      <c r="A2383" s="509">
        <v>8050</v>
      </c>
      <c r="B2383" s="510" t="s">
        <v>2758</v>
      </c>
      <c r="C2383" s="509" t="s">
        <v>32</v>
      </c>
      <c r="D2383" s="512">
        <v>4737471</v>
      </c>
      <c r="E2383" s="507" t="s">
        <v>331</v>
      </c>
    </row>
    <row r="2384" spans="1:5" ht="15" x14ac:dyDescent="0.35">
      <c r="A2384" s="509">
        <v>8051</v>
      </c>
      <c r="B2384" s="510" t="s">
        <v>2759</v>
      </c>
      <c r="C2384" s="509" t="s">
        <v>32</v>
      </c>
      <c r="D2384" s="512">
        <v>7216190</v>
      </c>
      <c r="E2384" s="507" t="s">
        <v>6108</v>
      </c>
    </row>
    <row r="2385" spans="1:5" ht="15" x14ac:dyDescent="0.35">
      <c r="A2385" s="509">
        <v>8052</v>
      </c>
      <c r="B2385" s="510" t="s">
        <v>2760</v>
      </c>
      <c r="C2385" s="509" t="s">
        <v>32</v>
      </c>
      <c r="D2385" s="512">
        <v>9348578</v>
      </c>
      <c r="E2385" s="507" t="s">
        <v>6108</v>
      </c>
    </row>
    <row r="2386" spans="1:5" ht="15" x14ac:dyDescent="0.35">
      <c r="A2386" s="509">
        <v>8058</v>
      </c>
      <c r="B2386" s="510" t="s">
        <v>2761</v>
      </c>
      <c r="C2386" s="509" t="s">
        <v>328</v>
      </c>
      <c r="D2386" s="512">
        <v>45269</v>
      </c>
      <c r="E2386" s="507" t="s">
        <v>6108</v>
      </c>
    </row>
    <row r="2387" spans="1:5" ht="15" x14ac:dyDescent="0.35">
      <c r="A2387" s="509">
        <v>8060</v>
      </c>
      <c r="B2387" s="510" t="s">
        <v>2762</v>
      </c>
      <c r="C2387" s="509" t="s">
        <v>32</v>
      </c>
      <c r="D2387" s="512">
        <v>1490780</v>
      </c>
      <c r="E2387" s="507" t="s">
        <v>6108</v>
      </c>
    </row>
    <row r="2388" spans="1:5" ht="15" x14ac:dyDescent="0.35">
      <c r="A2388" s="509">
        <v>8076</v>
      </c>
      <c r="B2388" s="510" t="s">
        <v>2763</v>
      </c>
      <c r="C2388" s="509" t="s">
        <v>32</v>
      </c>
      <c r="D2388" s="512">
        <v>48240</v>
      </c>
      <c r="E2388" s="507" t="s">
        <v>6108</v>
      </c>
    </row>
    <row r="2389" spans="1:5" ht="15" x14ac:dyDescent="0.35">
      <c r="A2389" s="509">
        <v>8077</v>
      </c>
      <c r="B2389" s="510" t="s">
        <v>2764</v>
      </c>
      <c r="C2389" s="509" t="s">
        <v>32</v>
      </c>
      <c r="D2389" s="512">
        <v>296540</v>
      </c>
      <c r="E2389" s="507" t="s">
        <v>6108</v>
      </c>
    </row>
    <row r="2390" spans="1:5" ht="15" x14ac:dyDescent="0.35">
      <c r="A2390" s="509">
        <v>8078</v>
      </c>
      <c r="B2390" s="510" t="s">
        <v>2765</v>
      </c>
      <c r="C2390" s="509" t="s">
        <v>32</v>
      </c>
      <c r="D2390" s="511">
        <v>241280</v>
      </c>
      <c r="E2390" s="507" t="s">
        <v>6108</v>
      </c>
    </row>
    <row r="2391" spans="1:5" ht="15" x14ac:dyDescent="0.35">
      <c r="A2391" s="509">
        <v>8079</v>
      </c>
      <c r="B2391" s="510" t="s">
        <v>2766</v>
      </c>
      <c r="C2391" s="509" t="s">
        <v>32</v>
      </c>
      <c r="D2391" s="512">
        <v>347275</v>
      </c>
      <c r="E2391" s="507" t="s">
        <v>6108</v>
      </c>
    </row>
    <row r="2392" spans="1:5" ht="15" x14ac:dyDescent="0.35">
      <c r="A2392" s="509">
        <v>8080</v>
      </c>
      <c r="B2392" s="510" t="s">
        <v>2767</v>
      </c>
      <c r="C2392" s="509" t="s">
        <v>32</v>
      </c>
      <c r="D2392" s="512">
        <v>146044</v>
      </c>
      <c r="E2392" s="507" t="s">
        <v>6108</v>
      </c>
    </row>
    <row r="2393" spans="1:5" ht="15" x14ac:dyDescent="0.35">
      <c r="A2393" s="509">
        <v>8081</v>
      </c>
      <c r="B2393" s="510" t="s">
        <v>2768</v>
      </c>
      <c r="C2393" s="509" t="s">
        <v>32</v>
      </c>
      <c r="D2393" s="512">
        <v>32592</v>
      </c>
      <c r="E2393" s="507" t="s">
        <v>6108</v>
      </c>
    </row>
    <row r="2394" spans="1:5" ht="15" x14ac:dyDescent="0.35">
      <c r="A2394" s="509">
        <v>8082</v>
      </c>
      <c r="B2394" s="510" t="s">
        <v>2769</v>
      </c>
      <c r="C2394" s="509" t="s">
        <v>21</v>
      </c>
      <c r="D2394" s="512">
        <v>108365</v>
      </c>
      <c r="E2394" s="507" t="s">
        <v>6108</v>
      </c>
    </row>
    <row r="2395" spans="1:5" ht="15" x14ac:dyDescent="0.35">
      <c r="A2395" s="509">
        <v>8083</v>
      </c>
      <c r="B2395" s="510" t="s">
        <v>2770</v>
      </c>
      <c r="C2395" s="509" t="s">
        <v>21</v>
      </c>
      <c r="D2395" s="511">
        <v>85982</v>
      </c>
      <c r="E2395" s="507" t="s">
        <v>331</v>
      </c>
    </row>
    <row r="2396" spans="1:5" ht="15" x14ac:dyDescent="0.35">
      <c r="A2396" s="509">
        <v>8084</v>
      </c>
      <c r="B2396" s="510" t="s">
        <v>2771</v>
      </c>
      <c r="C2396" s="509" t="s">
        <v>21</v>
      </c>
      <c r="D2396" s="511">
        <v>59650</v>
      </c>
      <c r="E2396" s="507" t="s">
        <v>331</v>
      </c>
    </row>
    <row r="2397" spans="1:5" ht="15" x14ac:dyDescent="0.35">
      <c r="A2397" s="509">
        <v>8086</v>
      </c>
      <c r="B2397" s="510" t="s">
        <v>2772</v>
      </c>
      <c r="C2397" s="509" t="s">
        <v>30</v>
      </c>
      <c r="D2397" s="511">
        <v>1022583</v>
      </c>
      <c r="E2397" s="507" t="s">
        <v>6108</v>
      </c>
    </row>
    <row r="2398" spans="1:5" ht="15" x14ac:dyDescent="0.35">
      <c r="A2398" s="509">
        <v>8087</v>
      </c>
      <c r="B2398" s="510" t="s">
        <v>2773</v>
      </c>
      <c r="C2398" s="509" t="s">
        <v>30</v>
      </c>
      <c r="D2398" s="512">
        <v>1053748</v>
      </c>
      <c r="E2398" s="507" t="s">
        <v>6108</v>
      </c>
    </row>
    <row r="2399" spans="1:5" ht="15" x14ac:dyDescent="0.35">
      <c r="A2399" s="509">
        <v>8088</v>
      </c>
      <c r="B2399" s="510" t="s">
        <v>2774</v>
      </c>
      <c r="C2399" s="509" t="s">
        <v>30</v>
      </c>
      <c r="D2399" s="511">
        <v>1030547</v>
      </c>
      <c r="E2399" s="507" t="s">
        <v>6108</v>
      </c>
    </row>
    <row r="2400" spans="1:5" ht="15" x14ac:dyDescent="0.35">
      <c r="A2400" s="509">
        <v>8090</v>
      </c>
      <c r="B2400" s="510" t="s">
        <v>2775</v>
      </c>
      <c r="C2400" s="509" t="s">
        <v>21</v>
      </c>
      <c r="D2400" s="511">
        <v>503855</v>
      </c>
      <c r="E2400" s="507" t="s">
        <v>6108</v>
      </c>
    </row>
    <row r="2401" spans="1:5" ht="15" x14ac:dyDescent="0.35">
      <c r="A2401" s="509">
        <v>8091</v>
      </c>
      <c r="B2401" s="510" t="s">
        <v>2776</v>
      </c>
      <c r="C2401" s="509" t="s">
        <v>32</v>
      </c>
      <c r="D2401" s="511">
        <v>12606</v>
      </c>
      <c r="E2401" s="507" t="s">
        <v>6108</v>
      </c>
    </row>
    <row r="2402" spans="1:5" ht="15" x14ac:dyDescent="0.35">
      <c r="A2402" s="509">
        <v>8092</v>
      </c>
      <c r="B2402" s="510" t="s">
        <v>2777</v>
      </c>
      <c r="C2402" s="509" t="s">
        <v>32</v>
      </c>
      <c r="D2402" s="511">
        <v>45273</v>
      </c>
      <c r="E2402" s="507" t="s">
        <v>6108</v>
      </c>
    </row>
    <row r="2403" spans="1:5" ht="15" x14ac:dyDescent="0.35">
      <c r="A2403" s="509">
        <v>8093</v>
      </c>
      <c r="B2403" s="510" t="s">
        <v>2778</v>
      </c>
      <c r="C2403" s="509" t="s">
        <v>32</v>
      </c>
      <c r="D2403" s="511">
        <v>52749</v>
      </c>
      <c r="E2403" s="507" t="s">
        <v>6108</v>
      </c>
    </row>
    <row r="2404" spans="1:5" ht="15" x14ac:dyDescent="0.35">
      <c r="A2404" s="509">
        <v>8094</v>
      </c>
      <c r="B2404" s="510" t="s">
        <v>2779</v>
      </c>
      <c r="C2404" s="509" t="s">
        <v>32</v>
      </c>
      <c r="D2404" s="511">
        <v>415521</v>
      </c>
      <c r="E2404" s="507" t="s">
        <v>6108</v>
      </c>
    </row>
    <row r="2405" spans="1:5" ht="15" x14ac:dyDescent="0.35">
      <c r="A2405" s="509">
        <v>8098</v>
      </c>
      <c r="B2405" s="510" t="s">
        <v>2780</v>
      </c>
      <c r="C2405" s="509" t="s">
        <v>32</v>
      </c>
      <c r="D2405" s="511">
        <v>325822</v>
      </c>
      <c r="E2405" s="507" t="s">
        <v>6108</v>
      </c>
    </row>
    <row r="2406" spans="1:5" ht="15" x14ac:dyDescent="0.35">
      <c r="A2406" s="509">
        <v>8099</v>
      </c>
      <c r="B2406" s="510" t="s">
        <v>2781</v>
      </c>
      <c r="C2406" s="509" t="s">
        <v>30</v>
      </c>
      <c r="D2406" s="511">
        <v>241999</v>
      </c>
      <c r="E2406" s="507" t="s">
        <v>6108</v>
      </c>
    </row>
    <row r="2407" spans="1:5" ht="15" x14ac:dyDescent="0.35">
      <c r="A2407" s="509">
        <v>8100</v>
      </c>
      <c r="B2407" s="510" t="s">
        <v>2782</v>
      </c>
      <c r="C2407" s="509" t="s">
        <v>32</v>
      </c>
      <c r="D2407" s="511">
        <v>1122480</v>
      </c>
      <c r="E2407" s="507" t="s">
        <v>6108</v>
      </c>
    </row>
    <row r="2408" spans="1:5" ht="15" x14ac:dyDescent="0.35">
      <c r="A2408" s="509">
        <v>8101</v>
      </c>
      <c r="B2408" s="510" t="s">
        <v>2783</v>
      </c>
      <c r="C2408" s="509" t="s">
        <v>32</v>
      </c>
      <c r="D2408" s="511">
        <v>2639376</v>
      </c>
      <c r="E2408" s="507" t="s">
        <v>6108</v>
      </c>
    </row>
    <row r="2409" spans="1:5" ht="15" x14ac:dyDescent="0.35">
      <c r="A2409" s="509">
        <v>8103</v>
      </c>
      <c r="B2409" s="510" t="s">
        <v>2784</v>
      </c>
      <c r="C2409" s="509" t="s">
        <v>21</v>
      </c>
      <c r="D2409" s="512">
        <v>24504</v>
      </c>
      <c r="E2409" s="507" t="s">
        <v>6108</v>
      </c>
    </row>
    <row r="2410" spans="1:5" ht="15" x14ac:dyDescent="0.35">
      <c r="A2410" s="509">
        <v>8104</v>
      </c>
      <c r="B2410" s="510" t="s">
        <v>2785</v>
      </c>
      <c r="C2410" s="509" t="s">
        <v>21</v>
      </c>
      <c r="D2410" s="512">
        <v>102690</v>
      </c>
      <c r="E2410" s="507" t="s">
        <v>6108</v>
      </c>
    </row>
    <row r="2411" spans="1:5" ht="15" x14ac:dyDescent="0.35">
      <c r="A2411" s="509">
        <v>8106</v>
      </c>
      <c r="B2411" s="510" t="s">
        <v>2786</v>
      </c>
      <c r="C2411" s="509" t="s">
        <v>21</v>
      </c>
      <c r="D2411" s="512">
        <v>166351</v>
      </c>
      <c r="E2411" s="507" t="s">
        <v>6108</v>
      </c>
    </row>
    <row r="2412" spans="1:5" ht="15" x14ac:dyDescent="0.35">
      <c r="A2412" s="509">
        <v>8107</v>
      </c>
      <c r="B2412" s="510" t="s">
        <v>2787</v>
      </c>
      <c r="C2412" s="509" t="s">
        <v>32</v>
      </c>
      <c r="D2412" s="512">
        <v>58784</v>
      </c>
      <c r="E2412" s="507" t="s">
        <v>6108</v>
      </c>
    </row>
    <row r="2413" spans="1:5" ht="15" x14ac:dyDescent="0.35">
      <c r="A2413" s="509">
        <v>8109</v>
      </c>
      <c r="B2413" s="510" t="s">
        <v>2788</v>
      </c>
      <c r="C2413" s="509" t="s">
        <v>328</v>
      </c>
      <c r="D2413" s="511">
        <v>60259</v>
      </c>
      <c r="E2413" s="507" t="s">
        <v>6108</v>
      </c>
    </row>
    <row r="2414" spans="1:5" ht="15" x14ac:dyDescent="0.35">
      <c r="A2414" s="509">
        <v>8110</v>
      </c>
      <c r="B2414" s="510" t="s">
        <v>2789</v>
      </c>
      <c r="C2414" s="509" t="s">
        <v>328</v>
      </c>
      <c r="D2414" s="511">
        <v>76696</v>
      </c>
      <c r="E2414" s="507" t="s">
        <v>331</v>
      </c>
    </row>
    <row r="2415" spans="1:5" ht="15" x14ac:dyDescent="0.35">
      <c r="A2415" s="509">
        <v>8111</v>
      </c>
      <c r="B2415" s="510" t="s">
        <v>2790</v>
      </c>
      <c r="C2415" s="509" t="s">
        <v>328</v>
      </c>
      <c r="D2415" s="511">
        <v>208591</v>
      </c>
      <c r="E2415" s="507" t="s">
        <v>331</v>
      </c>
    </row>
    <row r="2416" spans="1:5" ht="15" x14ac:dyDescent="0.35">
      <c r="A2416" s="509">
        <v>8112</v>
      </c>
      <c r="B2416" s="510" t="s">
        <v>2791</v>
      </c>
      <c r="C2416" s="509" t="s">
        <v>32</v>
      </c>
      <c r="D2416" s="511">
        <v>263653</v>
      </c>
      <c r="E2416" s="507" t="s">
        <v>6108</v>
      </c>
    </row>
    <row r="2417" spans="1:5" ht="15" x14ac:dyDescent="0.35">
      <c r="A2417" s="509">
        <v>8113</v>
      </c>
      <c r="B2417" s="510" t="s">
        <v>2792</v>
      </c>
      <c r="C2417" s="509" t="s">
        <v>32</v>
      </c>
      <c r="D2417" s="511">
        <v>131827</v>
      </c>
      <c r="E2417" s="507" t="s">
        <v>6108</v>
      </c>
    </row>
    <row r="2418" spans="1:5" ht="15" x14ac:dyDescent="0.35">
      <c r="A2418" s="509">
        <v>8114</v>
      </c>
      <c r="B2418" s="510" t="s">
        <v>2793</v>
      </c>
      <c r="C2418" s="509" t="s">
        <v>328</v>
      </c>
      <c r="D2418" s="511">
        <v>28661</v>
      </c>
      <c r="E2418" s="507" t="s">
        <v>6108</v>
      </c>
    </row>
    <row r="2419" spans="1:5" ht="15" x14ac:dyDescent="0.35">
      <c r="A2419" s="509">
        <v>8115</v>
      </c>
      <c r="B2419" s="510" t="s">
        <v>2794</v>
      </c>
      <c r="C2419" s="509" t="s">
        <v>32</v>
      </c>
      <c r="D2419" s="511">
        <v>189995</v>
      </c>
      <c r="E2419" s="507" t="s">
        <v>331</v>
      </c>
    </row>
    <row r="2420" spans="1:5" ht="15" x14ac:dyDescent="0.35">
      <c r="A2420" s="509">
        <v>8116</v>
      </c>
      <c r="B2420" s="510" t="s">
        <v>2795</v>
      </c>
      <c r="C2420" s="509" t="s">
        <v>32</v>
      </c>
      <c r="D2420" s="512">
        <v>4333286</v>
      </c>
      <c r="E2420" s="507" t="s">
        <v>331</v>
      </c>
    </row>
    <row r="2421" spans="1:5" ht="15" x14ac:dyDescent="0.35">
      <c r="A2421" s="509">
        <v>8117</v>
      </c>
      <c r="B2421" s="510" t="s">
        <v>2796</v>
      </c>
      <c r="C2421" s="509" t="s">
        <v>328</v>
      </c>
      <c r="D2421" s="511">
        <v>44374</v>
      </c>
      <c r="E2421" s="507" t="s">
        <v>331</v>
      </c>
    </row>
    <row r="2422" spans="1:5" ht="15" x14ac:dyDescent="0.35">
      <c r="A2422" s="509">
        <v>8118</v>
      </c>
      <c r="B2422" s="510" t="s">
        <v>2797</v>
      </c>
      <c r="C2422" s="509" t="s">
        <v>328</v>
      </c>
      <c r="D2422" s="511">
        <v>38599</v>
      </c>
      <c r="E2422" s="507" t="s">
        <v>331</v>
      </c>
    </row>
    <row r="2423" spans="1:5" ht="15" x14ac:dyDescent="0.35">
      <c r="A2423" s="509">
        <v>8119</v>
      </c>
      <c r="B2423" s="510" t="s">
        <v>2798</v>
      </c>
      <c r="C2423" s="509" t="s">
        <v>32</v>
      </c>
      <c r="D2423" s="511">
        <v>406146</v>
      </c>
      <c r="E2423" s="507" t="s">
        <v>331</v>
      </c>
    </row>
    <row r="2424" spans="1:5" ht="15" x14ac:dyDescent="0.35">
      <c r="A2424" s="509">
        <v>8120</v>
      </c>
      <c r="B2424" s="510" t="s">
        <v>2799</v>
      </c>
      <c r="C2424" s="509" t="s">
        <v>32</v>
      </c>
      <c r="D2424" s="512">
        <v>2408892</v>
      </c>
      <c r="E2424" s="507" t="s">
        <v>331</v>
      </c>
    </row>
    <row r="2425" spans="1:5" ht="15" x14ac:dyDescent="0.35">
      <c r="A2425" s="509">
        <v>8121</v>
      </c>
      <c r="B2425" s="510" t="s">
        <v>2800</v>
      </c>
      <c r="C2425" s="509" t="s">
        <v>32</v>
      </c>
      <c r="D2425" s="512">
        <v>2637080</v>
      </c>
      <c r="E2425" s="507" t="s">
        <v>331</v>
      </c>
    </row>
    <row r="2426" spans="1:5" ht="15" x14ac:dyDescent="0.35">
      <c r="A2426" s="509">
        <v>8122</v>
      </c>
      <c r="B2426" s="510" t="s">
        <v>2801</v>
      </c>
      <c r="C2426" s="509" t="s">
        <v>32</v>
      </c>
      <c r="D2426" s="511">
        <v>1043703</v>
      </c>
      <c r="E2426" s="507" t="s">
        <v>331</v>
      </c>
    </row>
    <row r="2427" spans="1:5" ht="15" x14ac:dyDescent="0.35">
      <c r="A2427" s="509">
        <v>8123</v>
      </c>
      <c r="B2427" s="510" t="s">
        <v>2802</v>
      </c>
      <c r="C2427" s="509" t="s">
        <v>21</v>
      </c>
      <c r="D2427" s="511">
        <v>119632</v>
      </c>
      <c r="E2427" s="507" t="s">
        <v>6108</v>
      </c>
    </row>
    <row r="2428" spans="1:5" ht="15" x14ac:dyDescent="0.35">
      <c r="A2428" s="509">
        <v>8125</v>
      </c>
      <c r="B2428" s="510" t="s">
        <v>2803</v>
      </c>
      <c r="C2428" s="509" t="s">
        <v>32</v>
      </c>
      <c r="D2428" s="512">
        <v>97321</v>
      </c>
      <c r="E2428" s="507" t="s">
        <v>331</v>
      </c>
    </row>
    <row r="2429" spans="1:5" ht="15" x14ac:dyDescent="0.35">
      <c r="A2429" s="509">
        <v>8126</v>
      </c>
      <c r="B2429" s="510" t="s">
        <v>2804</v>
      </c>
      <c r="C2429" s="509" t="s">
        <v>328</v>
      </c>
      <c r="D2429" s="511">
        <v>185343</v>
      </c>
      <c r="E2429" s="507" t="s">
        <v>6108</v>
      </c>
    </row>
    <row r="2430" spans="1:5" ht="15" x14ac:dyDescent="0.35">
      <c r="A2430" s="509">
        <v>8129</v>
      </c>
      <c r="B2430" s="510" t="s">
        <v>2805</v>
      </c>
      <c r="C2430" s="509" t="s">
        <v>328</v>
      </c>
      <c r="D2430" s="511">
        <v>72661</v>
      </c>
      <c r="E2430" s="507" t="s">
        <v>6108</v>
      </c>
    </row>
    <row r="2431" spans="1:5" ht="15" x14ac:dyDescent="0.35">
      <c r="A2431" s="509">
        <v>8130</v>
      </c>
      <c r="B2431" s="510" t="s">
        <v>2806</v>
      </c>
      <c r="C2431" s="509" t="s">
        <v>328</v>
      </c>
      <c r="D2431" s="511">
        <v>51575</v>
      </c>
      <c r="E2431" s="507" t="s">
        <v>6108</v>
      </c>
    </row>
    <row r="2432" spans="1:5" ht="15" x14ac:dyDescent="0.35">
      <c r="A2432" s="509">
        <v>8131</v>
      </c>
      <c r="B2432" s="510" t="s">
        <v>2807</v>
      </c>
      <c r="C2432" s="509" t="s">
        <v>328</v>
      </c>
      <c r="D2432" s="512">
        <v>3923</v>
      </c>
      <c r="E2432" s="507" t="s">
        <v>6108</v>
      </c>
    </row>
    <row r="2433" spans="1:5" ht="15" x14ac:dyDescent="0.35">
      <c r="A2433" s="509">
        <v>8133</v>
      </c>
      <c r="B2433" s="510" t="s">
        <v>2808</v>
      </c>
      <c r="C2433" s="509" t="s">
        <v>328</v>
      </c>
      <c r="D2433" s="511">
        <v>8536</v>
      </c>
      <c r="E2433" s="507" t="s">
        <v>331</v>
      </c>
    </row>
    <row r="2434" spans="1:5" ht="15" x14ac:dyDescent="0.35">
      <c r="A2434" s="509">
        <v>8134</v>
      </c>
      <c r="B2434" s="510" t="s">
        <v>2809</v>
      </c>
      <c r="C2434" s="509" t="s">
        <v>32</v>
      </c>
      <c r="D2434" s="511">
        <v>995225</v>
      </c>
      <c r="E2434" s="507" t="s">
        <v>331</v>
      </c>
    </row>
    <row r="2435" spans="1:5" ht="15" x14ac:dyDescent="0.35">
      <c r="A2435" s="509">
        <v>8135</v>
      </c>
      <c r="B2435" s="510" t="s">
        <v>2810</v>
      </c>
      <c r="C2435" s="509" t="s">
        <v>328</v>
      </c>
      <c r="D2435" s="512">
        <v>851025</v>
      </c>
      <c r="E2435" s="507" t="s">
        <v>331</v>
      </c>
    </row>
    <row r="2436" spans="1:5" ht="15" x14ac:dyDescent="0.35">
      <c r="A2436" s="509">
        <v>8136</v>
      </c>
      <c r="B2436" s="510" t="s">
        <v>2811</v>
      </c>
      <c r="C2436" s="509" t="s">
        <v>328</v>
      </c>
      <c r="D2436" s="512">
        <v>81658</v>
      </c>
      <c r="E2436" s="507" t="s">
        <v>331</v>
      </c>
    </row>
    <row r="2437" spans="1:5" ht="15" x14ac:dyDescent="0.35">
      <c r="A2437" s="509">
        <v>8138</v>
      </c>
      <c r="B2437" s="510" t="s">
        <v>2812</v>
      </c>
      <c r="C2437" s="509" t="s">
        <v>328</v>
      </c>
      <c r="D2437" s="512">
        <v>109882</v>
      </c>
      <c r="E2437" s="507" t="s">
        <v>331</v>
      </c>
    </row>
    <row r="2438" spans="1:5" ht="15" x14ac:dyDescent="0.35">
      <c r="A2438" s="509">
        <v>8139</v>
      </c>
      <c r="B2438" s="510" t="s">
        <v>2813</v>
      </c>
      <c r="C2438" s="509" t="s">
        <v>30</v>
      </c>
      <c r="D2438" s="512">
        <v>740174</v>
      </c>
      <c r="E2438" s="507" t="s">
        <v>331</v>
      </c>
    </row>
    <row r="2439" spans="1:5" ht="15" x14ac:dyDescent="0.35">
      <c r="A2439" s="509">
        <v>8140</v>
      </c>
      <c r="B2439" s="510" t="s">
        <v>2814</v>
      </c>
      <c r="C2439" s="509" t="s">
        <v>32</v>
      </c>
      <c r="D2439" s="512">
        <v>1479110</v>
      </c>
      <c r="E2439" s="507" t="s">
        <v>331</v>
      </c>
    </row>
    <row r="2440" spans="1:5" ht="15" x14ac:dyDescent="0.35">
      <c r="A2440" s="509">
        <v>8142</v>
      </c>
      <c r="B2440" s="510" t="s">
        <v>2815</v>
      </c>
      <c r="C2440" s="509" t="s">
        <v>328</v>
      </c>
      <c r="D2440" s="512">
        <v>115909</v>
      </c>
      <c r="E2440" s="507" t="s">
        <v>331</v>
      </c>
    </row>
    <row r="2441" spans="1:5" ht="15" x14ac:dyDescent="0.35">
      <c r="A2441" s="509">
        <v>8143</v>
      </c>
      <c r="B2441" s="510" t="s">
        <v>2816</v>
      </c>
      <c r="C2441" s="509" t="s">
        <v>32</v>
      </c>
      <c r="D2441" s="512">
        <v>3105658</v>
      </c>
      <c r="E2441" s="507" t="s">
        <v>331</v>
      </c>
    </row>
    <row r="2442" spans="1:5" ht="15" x14ac:dyDescent="0.35">
      <c r="A2442" s="509">
        <v>8144</v>
      </c>
      <c r="B2442" s="510" t="s">
        <v>2817</v>
      </c>
      <c r="C2442" s="509" t="s">
        <v>32</v>
      </c>
      <c r="D2442" s="511">
        <v>1369243</v>
      </c>
      <c r="E2442" s="507" t="s">
        <v>331</v>
      </c>
    </row>
    <row r="2443" spans="1:5" ht="15" x14ac:dyDescent="0.35">
      <c r="A2443" s="509">
        <v>8145</v>
      </c>
      <c r="B2443" s="510" t="s">
        <v>2818</v>
      </c>
      <c r="C2443" s="509" t="s">
        <v>32</v>
      </c>
      <c r="D2443" s="512">
        <v>919611</v>
      </c>
      <c r="E2443" s="507" t="s">
        <v>331</v>
      </c>
    </row>
    <row r="2444" spans="1:5" ht="15" x14ac:dyDescent="0.35">
      <c r="A2444" s="509">
        <v>8146</v>
      </c>
      <c r="B2444" s="510" t="s">
        <v>2819</v>
      </c>
      <c r="C2444" s="509" t="s">
        <v>32</v>
      </c>
      <c r="D2444" s="512">
        <v>460906</v>
      </c>
      <c r="E2444" s="507" t="s">
        <v>331</v>
      </c>
    </row>
    <row r="2445" spans="1:5" ht="15" x14ac:dyDescent="0.35">
      <c r="A2445" s="509">
        <v>8148</v>
      </c>
      <c r="B2445" s="510" t="s">
        <v>2820</v>
      </c>
      <c r="C2445" s="509" t="s">
        <v>32</v>
      </c>
      <c r="D2445" s="511">
        <v>514808</v>
      </c>
      <c r="E2445" s="507" t="s">
        <v>331</v>
      </c>
    </row>
    <row r="2446" spans="1:5" ht="15" x14ac:dyDescent="0.35">
      <c r="A2446" s="509">
        <v>8150</v>
      </c>
      <c r="B2446" s="510" t="s">
        <v>2821</v>
      </c>
      <c r="C2446" s="509" t="s">
        <v>32</v>
      </c>
      <c r="D2446" s="511">
        <v>2371367</v>
      </c>
      <c r="E2446" s="507" t="s">
        <v>6108</v>
      </c>
    </row>
    <row r="2447" spans="1:5" ht="15" x14ac:dyDescent="0.35">
      <c r="A2447" s="509">
        <v>8151</v>
      </c>
      <c r="B2447" s="510" t="s">
        <v>2822</v>
      </c>
      <c r="C2447" s="509" t="s">
        <v>32</v>
      </c>
      <c r="D2447" s="511">
        <v>2052238</v>
      </c>
      <c r="E2447" s="507" t="s">
        <v>6108</v>
      </c>
    </row>
    <row r="2448" spans="1:5" ht="15" x14ac:dyDescent="0.35">
      <c r="A2448" s="509">
        <v>8152</v>
      </c>
      <c r="B2448" s="510" t="s">
        <v>2823</v>
      </c>
      <c r="C2448" s="509" t="s">
        <v>32</v>
      </c>
      <c r="D2448" s="511">
        <v>59133</v>
      </c>
      <c r="E2448" s="507" t="s">
        <v>6108</v>
      </c>
    </row>
    <row r="2449" spans="1:5" ht="15" x14ac:dyDescent="0.35">
      <c r="A2449" s="509">
        <v>8153</v>
      </c>
      <c r="B2449" s="510" t="s">
        <v>2824</v>
      </c>
      <c r="C2449" s="509" t="s">
        <v>32</v>
      </c>
      <c r="D2449" s="512">
        <v>29611117</v>
      </c>
      <c r="E2449" s="507" t="s">
        <v>6108</v>
      </c>
    </row>
    <row r="2450" spans="1:5" ht="15" x14ac:dyDescent="0.35">
      <c r="A2450" s="509">
        <v>8154</v>
      </c>
      <c r="B2450" s="510" t="s">
        <v>2825</v>
      </c>
      <c r="C2450" s="509" t="s">
        <v>32</v>
      </c>
      <c r="D2450" s="512">
        <v>1458127</v>
      </c>
      <c r="E2450" s="507" t="s">
        <v>6108</v>
      </c>
    </row>
    <row r="2451" spans="1:5" ht="15" x14ac:dyDescent="0.35">
      <c r="A2451" s="509">
        <v>8155</v>
      </c>
      <c r="B2451" s="510" t="s">
        <v>2826</v>
      </c>
      <c r="C2451" s="509" t="s">
        <v>32</v>
      </c>
      <c r="D2451" s="512">
        <v>1899192</v>
      </c>
      <c r="E2451" s="507" t="s">
        <v>6108</v>
      </c>
    </row>
    <row r="2452" spans="1:5" ht="15" x14ac:dyDescent="0.35">
      <c r="A2452" s="509">
        <v>8156</v>
      </c>
      <c r="B2452" s="510" t="s">
        <v>2827</v>
      </c>
      <c r="C2452" s="509" t="s">
        <v>32</v>
      </c>
      <c r="D2452" s="511">
        <v>6368</v>
      </c>
      <c r="E2452" s="507" t="s">
        <v>6108</v>
      </c>
    </row>
    <row r="2453" spans="1:5" ht="15" x14ac:dyDescent="0.35">
      <c r="A2453" s="509">
        <v>8157</v>
      </c>
      <c r="B2453" s="510" t="s">
        <v>2828</v>
      </c>
      <c r="C2453" s="509" t="s">
        <v>32</v>
      </c>
      <c r="D2453" s="511">
        <v>24072120</v>
      </c>
      <c r="E2453" s="507" t="s">
        <v>6108</v>
      </c>
    </row>
    <row r="2454" spans="1:5" ht="15" x14ac:dyDescent="0.35">
      <c r="A2454" s="509">
        <v>8158</v>
      </c>
      <c r="B2454" s="510" t="s">
        <v>2829</v>
      </c>
      <c r="C2454" s="509" t="s">
        <v>30</v>
      </c>
      <c r="D2454" s="512">
        <v>750363</v>
      </c>
      <c r="E2454" s="507" t="s">
        <v>6108</v>
      </c>
    </row>
    <row r="2455" spans="1:5" ht="15" x14ac:dyDescent="0.35">
      <c r="A2455" s="509">
        <v>8159</v>
      </c>
      <c r="B2455" s="510" t="s">
        <v>2830</v>
      </c>
      <c r="C2455" s="509" t="s">
        <v>32</v>
      </c>
      <c r="D2455" s="512">
        <v>61755852</v>
      </c>
      <c r="E2455" s="507" t="s">
        <v>6108</v>
      </c>
    </row>
    <row r="2456" spans="1:5" ht="15" x14ac:dyDescent="0.35">
      <c r="A2456" s="509">
        <v>8160</v>
      </c>
      <c r="B2456" s="510" t="s">
        <v>2831</v>
      </c>
      <c r="C2456" s="509" t="s">
        <v>328</v>
      </c>
      <c r="D2456" s="512">
        <v>28522</v>
      </c>
      <c r="E2456" s="507" t="s">
        <v>6108</v>
      </c>
    </row>
    <row r="2457" spans="1:5" ht="15" x14ac:dyDescent="0.35">
      <c r="A2457" s="509">
        <v>8161</v>
      </c>
      <c r="B2457" s="510" t="s">
        <v>2832</v>
      </c>
      <c r="C2457" s="509" t="s">
        <v>32</v>
      </c>
      <c r="D2457" s="512">
        <v>2293175</v>
      </c>
      <c r="E2457" s="507" t="s">
        <v>6108</v>
      </c>
    </row>
    <row r="2458" spans="1:5" ht="15" x14ac:dyDescent="0.35">
      <c r="A2458" s="509">
        <v>8162</v>
      </c>
      <c r="B2458" s="510" t="s">
        <v>2833</v>
      </c>
      <c r="C2458" s="509" t="s">
        <v>328</v>
      </c>
      <c r="D2458" s="511">
        <v>60491</v>
      </c>
      <c r="E2458" s="507" t="s">
        <v>6108</v>
      </c>
    </row>
    <row r="2459" spans="1:5" ht="15" x14ac:dyDescent="0.35">
      <c r="A2459" s="509">
        <v>8163</v>
      </c>
      <c r="B2459" s="510" t="s">
        <v>2834</v>
      </c>
      <c r="C2459" s="509" t="s">
        <v>328</v>
      </c>
      <c r="D2459" s="511">
        <v>222345</v>
      </c>
      <c r="E2459" s="507" t="s">
        <v>6108</v>
      </c>
    </row>
    <row r="2460" spans="1:5" ht="15" x14ac:dyDescent="0.35">
      <c r="A2460" s="509">
        <v>8165</v>
      </c>
      <c r="B2460" s="510" t="s">
        <v>2835</v>
      </c>
      <c r="C2460" s="509" t="s">
        <v>32</v>
      </c>
      <c r="D2460" s="511">
        <v>537914</v>
      </c>
      <c r="E2460" s="507" t="s">
        <v>6108</v>
      </c>
    </row>
    <row r="2461" spans="1:5" ht="15" x14ac:dyDescent="0.35">
      <c r="A2461" s="509">
        <v>8166</v>
      </c>
      <c r="B2461" s="510" t="s">
        <v>2836</v>
      </c>
      <c r="C2461" s="509" t="s">
        <v>21</v>
      </c>
      <c r="D2461" s="511">
        <v>114332</v>
      </c>
      <c r="E2461" s="507" t="s">
        <v>6108</v>
      </c>
    </row>
    <row r="2462" spans="1:5" ht="15" x14ac:dyDescent="0.35">
      <c r="A2462" s="509">
        <v>8167</v>
      </c>
      <c r="B2462" s="510" t="s">
        <v>2837</v>
      </c>
      <c r="C2462" s="509" t="s">
        <v>21</v>
      </c>
      <c r="D2462" s="511">
        <v>179596</v>
      </c>
      <c r="E2462" s="507" t="s">
        <v>6108</v>
      </c>
    </row>
    <row r="2463" spans="1:5" ht="15" x14ac:dyDescent="0.35">
      <c r="A2463" s="509">
        <v>8168</v>
      </c>
      <c r="B2463" s="510" t="s">
        <v>2838</v>
      </c>
      <c r="C2463" s="509" t="s">
        <v>32</v>
      </c>
      <c r="D2463" s="511">
        <v>2639974</v>
      </c>
      <c r="E2463" s="507" t="s">
        <v>6108</v>
      </c>
    </row>
    <row r="2464" spans="1:5" ht="15" x14ac:dyDescent="0.35">
      <c r="A2464" s="509">
        <v>8169</v>
      </c>
      <c r="B2464" s="510" t="s">
        <v>2839</v>
      </c>
      <c r="C2464" s="509" t="s">
        <v>21</v>
      </c>
      <c r="D2464" s="511">
        <v>114332</v>
      </c>
      <c r="E2464" s="507" t="s">
        <v>6108</v>
      </c>
    </row>
    <row r="2465" spans="1:5" ht="15" x14ac:dyDescent="0.35">
      <c r="A2465" s="509">
        <v>8170</v>
      </c>
      <c r="B2465" s="510" t="s">
        <v>2840</v>
      </c>
      <c r="C2465" s="509" t="s">
        <v>32</v>
      </c>
      <c r="D2465" s="511">
        <v>1150096</v>
      </c>
      <c r="E2465" s="507" t="s">
        <v>6108</v>
      </c>
    </row>
    <row r="2466" spans="1:5" ht="15" x14ac:dyDescent="0.35">
      <c r="A2466" s="509">
        <v>8171</v>
      </c>
      <c r="B2466" s="510" t="s">
        <v>2841</v>
      </c>
      <c r="C2466" s="509" t="s">
        <v>328</v>
      </c>
      <c r="D2466" s="511">
        <v>558979</v>
      </c>
      <c r="E2466" s="507" t="s">
        <v>6108</v>
      </c>
    </row>
    <row r="2467" spans="1:5" ht="15" x14ac:dyDescent="0.35">
      <c r="A2467" s="509">
        <v>8172</v>
      </c>
      <c r="B2467" s="510" t="s">
        <v>2842</v>
      </c>
      <c r="C2467" s="509" t="s">
        <v>32</v>
      </c>
      <c r="D2467" s="511">
        <v>1103218</v>
      </c>
      <c r="E2467" s="507" t="s">
        <v>6108</v>
      </c>
    </row>
    <row r="2468" spans="1:5" ht="15" x14ac:dyDescent="0.35">
      <c r="A2468" s="509">
        <v>8173</v>
      </c>
      <c r="B2468" s="510" t="s">
        <v>2843</v>
      </c>
      <c r="C2468" s="509" t="s">
        <v>32</v>
      </c>
      <c r="D2468" s="511">
        <v>1382525</v>
      </c>
      <c r="E2468" s="507" t="s">
        <v>6108</v>
      </c>
    </row>
    <row r="2469" spans="1:5" ht="15" x14ac:dyDescent="0.35">
      <c r="A2469" s="509">
        <v>8177</v>
      </c>
      <c r="B2469" s="510" t="s">
        <v>2844</v>
      </c>
      <c r="C2469" s="509" t="s">
        <v>328</v>
      </c>
      <c r="D2469" s="511">
        <v>370001</v>
      </c>
      <c r="E2469" s="507" t="s">
        <v>6108</v>
      </c>
    </row>
    <row r="2470" spans="1:5" ht="15" x14ac:dyDescent="0.35">
      <c r="A2470" s="509">
        <v>8181</v>
      </c>
      <c r="B2470" s="510" t="s">
        <v>2845</v>
      </c>
      <c r="C2470" s="509" t="s">
        <v>32</v>
      </c>
      <c r="D2470" s="511">
        <v>2349943</v>
      </c>
      <c r="E2470" s="507" t="s">
        <v>6108</v>
      </c>
    </row>
    <row r="2471" spans="1:5" ht="15" x14ac:dyDescent="0.35">
      <c r="A2471" s="509">
        <v>8182</v>
      </c>
      <c r="B2471" s="510" t="s">
        <v>2846</v>
      </c>
      <c r="C2471" s="509" t="s">
        <v>32</v>
      </c>
      <c r="D2471" s="511">
        <v>6295369</v>
      </c>
      <c r="E2471" s="507" t="s">
        <v>6108</v>
      </c>
    </row>
    <row r="2472" spans="1:5" ht="15" x14ac:dyDescent="0.35">
      <c r="A2472" s="509">
        <v>8184</v>
      </c>
      <c r="B2472" s="510" t="s">
        <v>2847</v>
      </c>
      <c r="C2472" s="509" t="s">
        <v>21</v>
      </c>
      <c r="D2472" s="511">
        <v>9264</v>
      </c>
      <c r="E2472" s="507" t="s">
        <v>6108</v>
      </c>
    </row>
    <row r="2473" spans="1:5" ht="15" x14ac:dyDescent="0.35">
      <c r="A2473" s="509">
        <v>8185</v>
      </c>
      <c r="B2473" s="510" t="s">
        <v>2848</v>
      </c>
      <c r="C2473" s="509" t="s">
        <v>32</v>
      </c>
      <c r="D2473" s="511">
        <v>50578</v>
      </c>
      <c r="E2473" s="507" t="s">
        <v>6108</v>
      </c>
    </row>
    <row r="2474" spans="1:5" ht="15" x14ac:dyDescent="0.35">
      <c r="A2474" s="509">
        <v>8186</v>
      </c>
      <c r="B2474" s="510" t="s">
        <v>2849</v>
      </c>
      <c r="C2474" s="509" t="s">
        <v>21</v>
      </c>
      <c r="D2474" s="512">
        <v>109831</v>
      </c>
      <c r="E2474" s="507" t="s">
        <v>6108</v>
      </c>
    </row>
    <row r="2475" spans="1:5" ht="15" x14ac:dyDescent="0.35">
      <c r="A2475" s="509">
        <v>8187</v>
      </c>
      <c r="B2475" s="510" t="s">
        <v>2850</v>
      </c>
      <c r="C2475" s="509" t="s">
        <v>32</v>
      </c>
      <c r="D2475" s="511">
        <v>5573732</v>
      </c>
      <c r="E2475" s="507" t="s">
        <v>6108</v>
      </c>
    </row>
    <row r="2476" spans="1:5" ht="15" x14ac:dyDescent="0.35">
      <c r="A2476" s="509">
        <v>8188</v>
      </c>
      <c r="B2476" s="510" t="s">
        <v>2851</v>
      </c>
      <c r="C2476" s="509" t="s">
        <v>32</v>
      </c>
      <c r="D2476" s="512">
        <v>5474980</v>
      </c>
      <c r="E2476" s="507" t="s">
        <v>6108</v>
      </c>
    </row>
    <row r="2477" spans="1:5" ht="15" x14ac:dyDescent="0.35">
      <c r="A2477" s="509">
        <v>8195</v>
      </c>
      <c r="B2477" s="510" t="s">
        <v>2853</v>
      </c>
      <c r="C2477" s="509" t="s">
        <v>30</v>
      </c>
      <c r="D2477" s="512">
        <v>1352385</v>
      </c>
      <c r="E2477" s="507" t="s">
        <v>6108</v>
      </c>
    </row>
    <row r="2478" spans="1:5" ht="15" x14ac:dyDescent="0.35">
      <c r="A2478" s="509">
        <v>8196</v>
      </c>
      <c r="B2478" s="510" t="s">
        <v>2854</v>
      </c>
      <c r="C2478" s="509" t="s">
        <v>30</v>
      </c>
      <c r="D2478" s="512">
        <v>925295</v>
      </c>
      <c r="E2478" s="507" t="s">
        <v>6108</v>
      </c>
    </row>
    <row r="2479" spans="1:5" ht="15" x14ac:dyDescent="0.35">
      <c r="A2479" s="509">
        <v>8200</v>
      </c>
      <c r="B2479" s="510" t="s">
        <v>2855</v>
      </c>
      <c r="C2479" s="509" t="s">
        <v>328</v>
      </c>
      <c r="D2479" s="512">
        <v>1047872</v>
      </c>
      <c r="E2479" s="507" t="s">
        <v>6108</v>
      </c>
    </row>
    <row r="2480" spans="1:5" ht="15" x14ac:dyDescent="0.35">
      <c r="A2480" s="509">
        <v>8202</v>
      </c>
      <c r="B2480" s="510" t="s">
        <v>2856</v>
      </c>
      <c r="C2480" s="509" t="s">
        <v>32</v>
      </c>
      <c r="D2480" s="511">
        <v>373763</v>
      </c>
      <c r="E2480" s="507" t="s">
        <v>6108</v>
      </c>
    </row>
    <row r="2481" spans="1:5" ht="15" x14ac:dyDescent="0.35">
      <c r="A2481" s="509">
        <v>8204</v>
      </c>
      <c r="B2481" s="510" t="s">
        <v>2857</v>
      </c>
      <c r="C2481" s="509" t="s">
        <v>30</v>
      </c>
      <c r="D2481" s="511">
        <v>865302</v>
      </c>
      <c r="E2481" s="507" t="s">
        <v>331</v>
      </c>
    </row>
    <row r="2482" spans="1:5" ht="15" x14ac:dyDescent="0.35">
      <c r="A2482" s="509">
        <v>8205</v>
      </c>
      <c r="B2482" s="510" t="s">
        <v>2858</v>
      </c>
      <c r="C2482" s="509" t="s">
        <v>21</v>
      </c>
      <c r="D2482" s="512">
        <v>230494</v>
      </c>
      <c r="E2482" s="507" t="s">
        <v>331</v>
      </c>
    </row>
    <row r="2483" spans="1:5" ht="15" x14ac:dyDescent="0.35">
      <c r="A2483" s="509">
        <v>8209</v>
      </c>
      <c r="B2483" s="510" t="s">
        <v>2859</v>
      </c>
      <c r="C2483" s="509" t="s">
        <v>32</v>
      </c>
      <c r="D2483" s="512">
        <v>667313</v>
      </c>
      <c r="E2483" s="507" t="s">
        <v>6108</v>
      </c>
    </row>
    <row r="2484" spans="1:5" ht="15" x14ac:dyDescent="0.35">
      <c r="A2484" s="509">
        <v>8210</v>
      </c>
      <c r="B2484" s="510" t="s">
        <v>2860</v>
      </c>
      <c r="C2484" s="509" t="s">
        <v>328</v>
      </c>
      <c r="D2484" s="512">
        <v>7623</v>
      </c>
      <c r="E2484" s="507" t="s">
        <v>331</v>
      </c>
    </row>
    <row r="2485" spans="1:5" ht="15" x14ac:dyDescent="0.35">
      <c r="A2485" s="509">
        <v>8212</v>
      </c>
      <c r="B2485" s="510" t="s">
        <v>2861</v>
      </c>
      <c r="C2485" s="509" t="s">
        <v>21</v>
      </c>
      <c r="D2485" s="512">
        <v>100886</v>
      </c>
      <c r="E2485" s="507" t="s">
        <v>331</v>
      </c>
    </row>
    <row r="2486" spans="1:5" ht="15" x14ac:dyDescent="0.35">
      <c r="A2486" s="509">
        <v>8213</v>
      </c>
      <c r="B2486" s="510" t="s">
        <v>2862</v>
      </c>
      <c r="C2486" s="509" t="s">
        <v>328</v>
      </c>
      <c r="D2486" s="512">
        <v>191505</v>
      </c>
      <c r="E2486" s="507" t="s">
        <v>6108</v>
      </c>
    </row>
    <row r="2487" spans="1:5" ht="15" x14ac:dyDescent="0.35">
      <c r="A2487" s="509">
        <v>8214</v>
      </c>
      <c r="B2487" s="510" t="s">
        <v>2863</v>
      </c>
      <c r="C2487" s="509" t="s">
        <v>328</v>
      </c>
      <c r="D2487" s="511">
        <v>178397</v>
      </c>
      <c r="E2487" s="507" t="s">
        <v>6108</v>
      </c>
    </row>
    <row r="2488" spans="1:5" ht="15" x14ac:dyDescent="0.35">
      <c r="A2488" s="509">
        <v>8217</v>
      </c>
      <c r="B2488" s="510" t="s">
        <v>2864</v>
      </c>
      <c r="C2488" s="509" t="s">
        <v>328</v>
      </c>
      <c r="D2488" s="512">
        <v>486352</v>
      </c>
      <c r="E2488" s="507" t="s">
        <v>331</v>
      </c>
    </row>
    <row r="2489" spans="1:5" ht="15" x14ac:dyDescent="0.35">
      <c r="A2489" s="509">
        <v>8218</v>
      </c>
      <c r="B2489" s="510" t="s">
        <v>2865</v>
      </c>
      <c r="C2489" s="509" t="s">
        <v>32</v>
      </c>
      <c r="D2489" s="512">
        <v>1776972</v>
      </c>
      <c r="E2489" s="507" t="s">
        <v>6108</v>
      </c>
    </row>
    <row r="2490" spans="1:5" ht="15" x14ac:dyDescent="0.35">
      <c r="A2490" s="509">
        <v>8219</v>
      </c>
      <c r="B2490" s="510" t="s">
        <v>2866</v>
      </c>
      <c r="C2490" s="509" t="s">
        <v>32</v>
      </c>
      <c r="D2490" s="511">
        <v>1865049</v>
      </c>
      <c r="E2490" s="507" t="s">
        <v>6108</v>
      </c>
    </row>
    <row r="2491" spans="1:5" ht="15" x14ac:dyDescent="0.35">
      <c r="A2491" s="509">
        <v>8220</v>
      </c>
      <c r="B2491" s="510" t="s">
        <v>2867</v>
      </c>
      <c r="C2491" s="509" t="s">
        <v>32</v>
      </c>
      <c r="D2491" s="511">
        <v>1753369</v>
      </c>
      <c r="E2491" s="507" t="s">
        <v>6108</v>
      </c>
    </row>
    <row r="2492" spans="1:5" ht="15" x14ac:dyDescent="0.35">
      <c r="A2492" s="509">
        <v>8221</v>
      </c>
      <c r="B2492" s="510" t="s">
        <v>2868</v>
      </c>
      <c r="C2492" s="509" t="s">
        <v>32</v>
      </c>
      <c r="D2492" s="511">
        <v>468255</v>
      </c>
      <c r="E2492" s="507" t="s">
        <v>6108</v>
      </c>
    </row>
    <row r="2493" spans="1:5" ht="15" x14ac:dyDescent="0.35">
      <c r="A2493" s="509">
        <v>8222</v>
      </c>
      <c r="B2493" s="510" t="s">
        <v>2869</v>
      </c>
      <c r="C2493" s="509" t="s">
        <v>21</v>
      </c>
      <c r="D2493" s="511">
        <v>79128</v>
      </c>
      <c r="E2493" s="507" t="s">
        <v>6108</v>
      </c>
    </row>
    <row r="2494" spans="1:5" ht="15" x14ac:dyDescent="0.35">
      <c r="A2494" s="509">
        <v>8223</v>
      </c>
      <c r="B2494" s="510" t="s">
        <v>2870</v>
      </c>
      <c r="C2494" s="509" t="s">
        <v>21</v>
      </c>
      <c r="D2494" s="511">
        <v>79128</v>
      </c>
      <c r="E2494" s="507" t="s">
        <v>6108</v>
      </c>
    </row>
    <row r="2495" spans="1:5" ht="15" x14ac:dyDescent="0.35">
      <c r="A2495" s="509">
        <v>8224</v>
      </c>
      <c r="B2495" s="510" t="s">
        <v>2871</v>
      </c>
      <c r="C2495" s="509" t="s">
        <v>32</v>
      </c>
      <c r="D2495" s="511">
        <v>8650901</v>
      </c>
      <c r="E2495" s="507" t="s">
        <v>6108</v>
      </c>
    </row>
    <row r="2496" spans="1:5" ht="15" x14ac:dyDescent="0.35">
      <c r="A2496" s="509">
        <v>8225</v>
      </c>
      <c r="B2496" s="510" t="s">
        <v>2872</v>
      </c>
      <c r="C2496" s="509" t="s">
        <v>32</v>
      </c>
      <c r="D2496" s="511">
        <v>1857898</v>
      </c>
      <c r="E2496" s="507" t="s">
        <v>6108</v>
      </c>
    </row>
    <row r="2497" spans="1:5" ht="15" x14ac:dyDescent="0.35">
      <c r="A2497" s="509">
        <v>8226</v>
      </c>
      <c r="B2497" s="510" t="s">
        <v>2873</v>
      </c>
      <c r="C2497" s="509" t="s">
        <v>21</v>
      </c>
      <c r="D2497" s="511">
        <v>66436</v>
      </c>
      <c r="E2497" s="507" t="s">
        <v>6108</v>
      </c>
    </row>
    <row r="2498" spans="1:5" ht="15" x14ac:dyDescent="0.35">
      <c r="A2498" s="509">
        <v>8227</v>
      </c>
      <c r="B2498" s="510" t="s">
        <v>2874</v>
      </c>
      <c r="C2498" s="509" t="s">
        <v>328</v>
      </c>
      <c r="D2498" s="511">
        <v>75274</v>
      </c>
      <c r="E2498" s="507" t="s">
        <v>6108</v>
      </c>
    </row>
    <row r="2499" spans="1:5" ht="15" x14ac:dyDescent="0.35">
      <c r="A2499" s="509">
        <v>8228</v>
      </c>
      <c r="B2499" s="510" t="s">
        <v>2875</v>
      </c>
      <c r="C2499" s="509" t="s">
        <v>328</v>
      </c>
      <c r="D2499" s="511">
        <v>29792</v>
      </c>
      <c r="E2499" s="507" t="s">
        <v>6108</v>
      </c>
    </row>
    <row r="2500" spans="1:5" ht="15" x14ac:dyDescent="0.35">
      <c r="A2500" s="509">
        <v>8229</v>
      </c>
      <c r="B2500" s="510" t="s">
        <v>2876</v>
      </c>
      <c r="C2500" s="509" t="s">
        <v>328</v>
      </c>
      <c r="D2500" s="511">
        <v>24012</v>
      </c>
      <c r="E2500" s="507" t="s">
        <v>6108</v>
      </c>
    </row>
    <row r="2501" spans="1:5" ht="15" x14ac:dyDescent="0.35">
      <c r="A2501" s="509">
        <v>8230</v>
      </c>
      <c r="B2501" s="510" t="s">
        <v>2877</v>
      </c>
      <c r="C2501" s="509" t="s">
        <v>21</v>
      </c>
      <c r="D2501" s="511">
        <v>153465</v>
      </c>
      <c r="E2501" s="507" t="s">
        <v>6108</v>
      </c>
    </row>
    <row r="2502" spans="1:5" ht="15" x14ac:dyDescent="0.35">
      <c r="A2502" s="509">
        <v>8231</v>
      </c>
      <c r="B2502" s="510" t="s">
        <v>2878</v>
      </c>
      <c r="C2502" s="509" t="s">
        <v>670</v>
      </c>
      <c r="D2502" s="511">
        <v>19100</v>
      </c>
      <c r="E2502" s="507" t="s">
        <v>6108</v>
      </c>
    </row>
    <row r="2503" spans="1:5" ht="15" x14ac:dyDescent="0.35">
      <c r="A2503" s="509">
        <v>8237</v>
      </c>
      <c r="B2503" s="510" t="s">
        <v>2879</v>
      </c>
      <c r="C2503" s="509" t="s">
        <v>328</v>
      </c>
      <c r="D2503" s="511">
        <v>25043</v>
      </c>
      <c r="E2503" s="507" t="s">
        <v>6108</v>
      </c>
    </row>
    <row r="2504" spans="1:5" ht="15" x14ac:dyDescent="0.35">
      <c r="A2504" s="509">
        <v>8241</v>
      </c>
      <c r="B2504" s="510" t="s">
        <v>2881</v>
      </c>
      <c r="C2504" s="509" t="s">
        <v>32</v>
      </c>
      <c r="D2504" s="512">
        <v>8595631</v>
      </c>
      <c r="E2504" s="507" t="s">
        <v>6108</v>
      </c>
    </row>
    <row r="2505" spans="1:5" ht="15" x14ac:dyDescent="0.35">
      <c r="A2505" s="509">
        <v>8242</v>
      </c>
      <c r="B2505" s="510" t="s">
        <v>2882</v>
      </c>
      <c r="C2505" s="509" t="s">
        <v>328</v>
      </c>
      <c r="D2505" s="511">
        <v>3715723</v>
      </c>
      <c r="E2505" s="507" t="s">
        <v>6108</v>
      </c>
    </row>
    <row r="2506" spans="1:5" ht="15" x14ac:dyDescent="0.35">
      <c r="A2506" s="509">
        <v>8243</v>
      </c>
      <c r="B2506" s="510" t="s">
        <v>2883</v>
      </c>
      <c r="C2506" s="509" t="s">
        <v>32</v>
      </c>
      <c r="D2506" s="511">
        <v>12099980</v>
      </c>
      <c r="E2506" s="507" t="s">
        <v>6108</v>
      </c>
    </row>
    <row r="2507" spans="1:5" ht="15" x14ac:dyDescent="0.35">
      <c r="A2507" s="509">
        <v>8244</v>
      </c>
      <c r="B2507" s="510" t="s">
        <v>2884</v>
      </c>
      <c r="C2507" s="509" t="s">
        <v>32</v>
      </c>
      <c r="D2507" s="512">
        <v>15537592</v>
      </c>
      <c r="E2507" s="507" t="s">
        <v>6108</v>
      </c>
    </row>
    <row r="2508" spans="1:5" ht="15" x14ac:dyDescent="0.35">
      <c r="A2508" s="509">
        <v>8245</v>
      </c>
      <c r="B2508" s="510" t="s">
        <v>2885</v>
      </c>
      <c r="C2508" s="509" t="s">
        <v>32</v>
      </c>
      <c r="D2508" s="512">
        <v>19292145</v>
      </c>
      <c r="E2508" s="507" t="s">
        <v>6108</v>
      </c>
    </row>
    <row r="2509" spans="1:5" ht="15" x14ac:dyDescent="0.35">
      <c r="A2509" s="509">
        <v>8246</v>
      </c>
      <c r="B2509" s="510" t="s">
        <v>2886</v>
      </c>
      <c r="C2509" s="509" t="s">
        <v>32</v>
      </c>
      <c r="D2509" s="512">
        <v>8581020</v>
      </c>
      <c r="E2509" s="507" t="s">
        <v>6108</v>
      </c>
    </row>
    <row r="2510" spans="1:5" ht="15" x14ac:dyDescent="0.35">
      <c r="A2510" s="509">
        <v>8247</v>
      </c>
      <c r="B2510" s="510" t="s">
        <v>2887</v>
      </c>
      <c r="C2510" s="509" t="s">
        <v>32</v>
      </c>
      <c r="D2510" s="512">
        <v>11792997</v>
      </c>
      <c r="E2510" s="507" t="s">
        <v>6108</v>
      </c>
    </row>
    <row r="2511" spans="1:5" ht="15" x14ac:dyDescent="0.35">
      <c r="A2511" s="509">
        <v>8252</v>
      </c>
      <c r="B2511" s="510" t="s">
        <v>2888</v>
      </c>
      <c r="C2511" s="509" t="s">
        <v>32</v>
      </c>
      <c r="D2511" s="512">
        <v>4764003</v>
      </c>
      <c r="E2511" s="507" t="s">
        <v>6108</v>
      </c>
    </row>
    <row r="2512" spans="1:5" ht="15" x14ac:dyDescent="0.35">
      <c r="A2512" s="509">
        <v>8253</v>
      </c>
      <c r="B2512" s="510" t="s">
        <v>2889</v>
      </c>
      <c r="C2512" s="509" t="s">
        <v>32</v>
      </c>
      <c r="D2512" s="512">
        <v>9960287</v>
      </c>
      <c r="E2512" s="507" t="s">
        <v>6108</v>
      </c>
    </row>
    <row r="2513" spans="1:5" ht="15" x14ac:dyDescent="0.35">
      <c r="A2513" s="509">
        <v>8255</v>
      </c>
      <c r="B2513" s="510" t="s">
        <v>2890</v>
      </c>
      <c r="C2513" s="509" t="s">
        <v>32</v>
      </c>
      <c r="D2513" s="511">
        <v>1015967</v>
      </c>
      <c r="E2513" s="507" t="s">
        <v>6108</v>
      </c>
    </row>
    <row r="2514" spans="1:5" ht="15" x14ac:dyDescent="0.35">
      <c r="A2514" s="509">
        <v>8257</v>
      </c>
      <c r="B2514" s="510" t="s">
        <v>2891</v>
      </c>
      <c r="C2514" s="509" t="s">
        <v>32</v>
      </c>
      <c r="D2514" s="511">
        <v>12093778</v>
      </c>
      <c r="E2514" s="507" t="s">
        <v>6108</v>
      </c>
    </row>
    <row r="2515" spans="1:5" ht="15" x14ac:dyDescent="0.35">
      <c r="A2515" s="509">
        <v>8258</v>
      </c>
      <c r="B2515" s="510" t="s">
        <v>2892</v>
      </c>
      <c r="C2515" s="509" t="s">
        <v>32</v>
      </c>
      <c r="D2515" s="511">
        <v>5852815</v>
      </c>
      <c r="E2515" s="507" t="s">
        <v>6108</v>
      </c>
    </row>
    <row r="2516" spans="1:5" ht="15" x14ac:dyDescent="0.35">
      <c r="A2516" s="509">
        <v>8259</v>
      </c>
      <c r="B2516" s="510" t="s">
        <v>2893</v>
      </c>
      <c r="C2516" s="509" t="s">
        <v>32</v>
      </c>
      <c r="D2516" s="511">
        <v>5352772</v>
      </c>
      <c r="E2516" s="507" t="s">
        <v>6108</v>
      </c>
    </row>
    <row r="2517" spans="1:5" ht="15" x14ac:dyDescent="0.35">
      <c r="A2517" s="509">
        <v>8262</v>
      </c>
      <c r="B2517" s="510" t="s">
        <v>2894</v>
      </c>
      <c r="C2517" s="509" t="s">
        <v>32</v>
      </c>
      <c r="D2517" s="511">
        <v>15224297</v>
      </c>
      <c r="E2517" s="507" t="s">
        <v>6108</v>
      </c>
    </row>
    <row r="2518" spans="1:5" ht="15" x14ac:dyDescent="0.35">
      <c r="A2518" s="509">
        <v>8263</v>
      </c>
      <c r="B2518" s="510" t="s">
        <v>2895</v>
      </c>
      <c r="C2518" s="509" t="s">
        <v>32</v>
      </c>
      <c r="D2518" s="511">
        <v>16532485</v>
      </c>
      <c r="E2518" s="507" t="s">
        <v>6108</v>
      </c>
    </row>
    <row r="2519" spans="1:5" ht="15" x14ac:dyDescent="0.35">
      <c r="A2519" s="509">
        <v>8265</v>
      </c>
      <c r="B2519" s="510" t="s">
        <v>2896</v>
      </c>
      <c r="C2519" s="509" t="s">
        <v>32</v>
      </c>
      <c r="D2519" s="511">
        <v>653659</v>
      </c>
      <c r="E2519" s="507" t="s">
        <v>6108</v>
      </c>
    </row>
    <row r="2520" spans="1:5" ht="15" x14ac:dyDescent="0.35">
      <c r="A2520" s="509">
        <v>8267</v>
      </c>
      <c r="B2520" s="510" t="s">
        <v>2897</v>
      </c>
      <c r="C2520" s="509" t="s">
        <v>32</v>
      </c>
      <c r="D2520" s="511">
        <v>9250649</v>
      </c>
      <c r="E2520" s="507" t="s">
        <v>6108</v>
      </c>
    </row>
    <row r="2521" spans="1:5" ht="15" x14ac:dyDescent="0.35">
      <c r="A2521" s="509">
        <v>8273</v>
      </c>
      <c r="B2521" s="510" t="s">
        <v>2898</v>
      </c>
      <c r="C2521" s="509" t="s">
        <v>32</v>
      </c>
      <c r="D2521" s="511">
        <v>2064442</v>
      </c>
      <c r="E2521" s="507" t="s">
        <v>6108</v>
      </c>
    </row>
    <row r="2522" spans="1:5" ht="15" x14ac:dyDescent="0.35">
      <c r="A2522" s="509">
        <v>8274</v>
      </c>
      <c r="B2522" s="510" t="s">
        <v>2899</v>
      </c>
      <c r="C2522" s="509" t="s">
        <v>328</v>
      </c>
      <c r="D2522" s="511">
        <v>23430508</v>
      </c>
      <c r="E2522" s="507" t="s">
        <v>6108</v>
      </c>
    </row>
    <row r="2523" spans="1:5" ht="15" x14ac:dyDescent="0.35">
      <c r="A2523" s="509">
        <v>8276</v>
      </c>
      <c r="B2523" s="510" t="s">
        <v>2900</v>
      </c>
      <c r="C2523" s="509" t="s">
        <v>32</v>
      </c>
      <c r="D2523" s="512">
        <v>406784</v>
      </c>
      <c r="E2523" s="507" t="s">
        <v>6108</v>
      </c>
    </row>
    <row r="2524" spans="1:5" ht="15" x14ac:dyDescent="0.35">
      <c r="A2524" s="509">
        <v>8278</v>
      </c>
      <c r="B2524" s="510" t="s">
        <v>2901</v>
      </c>
      <c r="C2524" s="509" t="s">
        <v>32</v>
      </c>
      <c r="D2524" s="512">
        <v>1224743</v>
      </c>
      <c r="E2524" s="507" t="s">
        <v>331</v>
      </c>
    </row>
    <row r="2525" spans="1:5" ht="15" x14ac:dyDescent="0.35">
      <c r="A2525" s="509">
        <v>8291</v>
      </c>
      <c r="B2525" s="510" t="s">
        <v>2902</v>
      </c>
      <c r="C2525" s="509" t="s">
        <v>328</v>
      </c>
      <c r="D2525" s="511">
        <v>6973774</v>
      </c>
      <c r="E2525" s="507" t="s">
        <v>6108</v>
      </c>
    </row>
    <row r="2526" spans="1:5" ht="15" x14ac:dyDescent="0.35">
      <c r="A2526" s="509">
        <v>8298</v>
      </c>
      <c r="B2526" s="510" t="s">
        <v>2903</v>
      </c>
      <c r="C2526" s="509" t="s">
        <v>32</v>
      </c>
      <c r="D2526" s="511">
        <v>3223542</v>
      </c>
      <c r="E2526" s="507" t="s">
        <v>6108</v>
      </c>
    </row>
    <row r="2527" spans="1:5" ht="15" x14ac:dyDescent="0.35">
      <c r="A2527" s="509">
        <v>8301</v>
      </c>
      <c r="B2527" s="510" t="s">
        <v>2904</v>
      </c>
      <c r="C2527" s="509" t="s">
        <v>32</v>
      </c>
      <c r="D2527" s="511">
        <v>385431</v>
      </c>
      <c r="E2527" s="507" t="s">
        <v>6108</v>
      </c>
    </row>
    <row r="2528" spans="1:5" ht="15" x14ac:dyDescent="0.35">
      <c r="A2528" s="509">
        <v>8304</v>
      </c>
      <c r="B2528" s="510" t="s">
        <v>2905</v>
      </c>
      <c r="C2528" s="509" t="s">
        <v>32</v>
      </c>
      <c r="D2528" s="511">
        <v>8406143</v>
      </c>
      <c r="E2528" s="507" t="s">
        <v>331</v>
      </c>
    </row>
    <row r="2529" spans="1:5" ht="15" x14ac:dyDescent="0.35">
      <c r="A2529" s="509">
        <v>8305</v>
      </c>
      <c r="B2529" s="510" t="s">
        <v>2906</v>
      </c>
      <c r="C2529" s="509" t="s">
        <v>32</v>
      </c>
      <c r="D2529" s="511">
        <v>4466389</v>
      </c>
      <c r="E2529" s="507" t="s">
        <v>331</v>
      </c>
    </row>
    <row r="2530" spans="1:5" ht="15" x14ac:dyDescent="0.35">
      <c r="A2530" s="509">
        <v>8306</v>
      </c>
      <c r="B2530" s="510" t="s">
        <v>2907</v>
      </c>
      <c r="C2530" s="509" t="s">
        <v>32</v>
      </c>
      <c r="D2530" s="511">
        <v>7960</v>
      </c>
      <c r="E2530" s="507" t="s">
        <v>331</v>
      </c>
    </row>
    <row r="2531" spans="1:5" ht="15" x14ac:dyDescent="0.35">
      <c r="A2531" s="509">
        <v>8307</v>
      </c>
      <c r="B2531" s="510" t="s">
        <v>2908</v>
      </c>
      <c r="C2531" s="509" t="s">
        <v>328</v>
      </c>
      <c r="D2531" s="511">
        <v>4124185</v>
      </c>
      <c r="E2531" s="507" t="s">
        <v>331</v>
      </c>
    </row>
    <row r="2532" spans="1:5" ht="15" x14ac:dyDescent="0.35">
      <c r="A2532" s="509">
        <v>8308</v>
      </c>
      <c r="B2532" s="510" t="s">
        <v>2909</v>
      </c>
      <c r="C2532" s="509" t="s">
        <v>32</v>
      </c>
      <c r="D2532" s="511">
        <v>9590277</v>
      </c>
      <c r="E2532" s="507" t="s">
        <v>331</v>
      </c>
    </row>
    <row r="2533" spans="1:5" ht="15" x14ac:dyDescent="0.35">
      <c r="A2533" s="509">
        <v>8309</v>
      </c>
      <c r="B2533" s="510" t="s">
        <v>2910</v>
      </c>
      <c r="C2533" s="509" t="s">
        <v>328</v>
      </c>
      <c r="D2533" s="511">
        <v>4506051</v>
      </c>
      <c r="E2533" s="507" t="s">
        <v>331</v>
      </c>
    </row>
    <row r="2534" spans="1:5" ht="15" x14ac:dyDescent="0.35">
      <c r="A2534" s="509">
        <v>8310</v>
      </c>
      <c r="B2534" s="510" t="s">
        <v>2911</v>
      </c>
      <c r="C2534" s="509" t="s">
        <v>328</v>
      </c>
      <c r="D2534" s="511">
        <v>5081717</v>
      </c>
      <c r="E2534" s="507" t="s">
        <v>6108</v>
      </c>
    </row>
    <row r="2535" spans="1:5" ht="15" x14ac:dyDescent="0.35">
      <c r="A2535" s="509">
        <v>8311</v>
      </c>
      <c r="B2535" s="510" t="s">
        <v>2912</v>
      </c>
      <c r="C2535" s="509" t="s">
        <v>328</v>
      </c>
      <c r="D2535" s="511">
        <v>5696564</v>
      </c>
      <c r="E2535" s="507" t="s">
        <v>6108</v>
      </c>
    </row>
    <row r="2536" spans="1:5" ht="15" x14ac:dyDescent="0.35">
      <c r="A2536" s="509">
        <v>8312</v>
      </c>
      <c r="B2536" s="510" t="s">
        <v>2913</v>
      </c>
      <c r="C2536" s="509" t="s">
        <v>328</v>
      </c>
      <c r="D2536" s="511">
        <v>7238809</v>
      </c>
      <c r="E2536" s="507" t="s">
        <v>6108</v>
      </c>
    </row>
    <row r="2537" spans="1:5" ht="15" x14ac:dyDescent="0.35">
      <c r="A2537" s="509">
        <v>8313</v>
      </c>
      <c r="B2537" s="510" t="s">
        <v>2914</v>
      </c>
      <c r="C2537" s="509" t="s">
        <v>328</v>
      </c>
      <c r="D2537" s="511">
        <v>8812161</v>
      </c>
      <c r="E2537" s="507" t="s">
        <v>6108</v>
      </c>
    </row>
    <row r="2538" spans="1:5" ht="15" x14ac:dyDescent="0.35">
      <c r="A2538" s="509">
        <v>8314</v>
      </c>
      <c r="B2538" s="510" t="s">
        <v>2915</v>
      </c>
      <c r="C2538" s="509" t="s">
        <v>32</v>
      </c>
      <c r="D2538" s="511">
        <v>881814</v>
      </c>
      <c r="E2538" s="507" t="s">
        <v>6108</v>
      </c>
    </row>
    <row r="2539" spans="1:5" ht="15" x14ac:dyDescent="0.35">
      <c r="A2539" s="509">
        <v>8315</v>
      </c>
      <c r="B2539" s="510" t="s">
        <v>2916</v>
      </c>
      <c r="C2539" s="509" t="s">
        <v>32</v>
      </c>
      <c r="D2539" s="512">
        <v>833000</v>
      </c>
      <c r="E2539" s="507" t="s">
        <v>6108</v>
      </c>
    </row>
    <row r="2540" spans="1:5" ht="15" x14ac:dyDescent="0.35">
      <c r="A2540" s="509">
        <v>8316</v>
      </c>
      <c r="B2540" s="510" t="s">
        <v>2917</v>
      </c>
      <c r="C2540" s="509" t="s">
        <v>32</v>
      </c>
      <c r="D2540" s="512">
        <v>20464</v>
      </c>
      <c r="E2540" s="507" t="s">
        <v>6108</v>
      </c>
    </row>
    <row r="2541" spans="1:5" ht="15" x14ac:dyDescent="0.35">
      <c r="A2541" s="509">
        <v>8317</v>
      </c>
      <c r="B2541" s="510" t="s">
        <v>2918</v>
      </c>
      <c r="C2541" s="509" t="s">
        <v>328</v>
      </c>
      <c r="D2541" s="511">
        <v>46896</v>
      </c>
      <c r="E2541" s="507" t="s">
        <v>6108</v>
      </c>
    </row>
    <row r="2542" spans="1:5" ht="15" x14ac:dyDescent="0.35">
      <c r="A2542" s="509">
        <v>8318</v>
      </c>
      <c r="B2542" s="510" t="s">
        <v>2919</v>
      </c>
      <c r="C2542" s="509" t="s">
        <v>328</v>
      </c>
      <c r="D2542" s="512">
        <v>66871</v>
      </c>
      <c r="E2542" s="507" t="s">
        <v>6108</v>
      </c>
    </row>
    <row r="2543" spans="1:5" ht="15" x14ac:dyDescent="0.35">
      <c r="A2543" s="509">
        <v>8319</v>
      </c>
      <c r="B2543" s="510" t="s">
        <v>2920</v>
      </c>
      <c r="C2543" s="509" t="s">
        <v>328</v>
      </c>
      <c r="D2543" s="512">
        <v>87212</v>
      </c>
      <c r="E2543" s="507" t="s">
        <v>6108</v>
      </c>
    </row>
    <row r="2544" spans="1:5" ht="15" x14ac:dyDescent="0.35">
      <c r="A2544" s="509">
        <v>8320</v>
      </c>
      <c r="B2544" s="510" t="s">
        <v>2921</v>
      </c>
      <c r="C2544" s="509" t="s">
        <v>32</v>
      </c>
      <c r="D2544" s="511">
        <v>183937</v>
      </c>
      <c r="E2544" s="507" t="s">
        <v>6108</v>
      </c>
    </row>
    <row r="2545" spans="1:5" ht="15" x14ac:dyDescent="0.35">
      <c r="A2545" s="509">
        <v>8321</v>
      </c>
      <c r="B2545" s="510" t="s">
        <v>2922</v>
      </c>
      <c r="C2545" s="509" t="s">
        <v>32</v>
      </c>
      <c r="D2545" s="512">
        <v>338543</v>
      </c>
      <c r="E2545" s="507" t="s">
        <v>6108</v>
      </c>
    </row>
    <row r="2546" spans="1:5" ht="15" x14ac:dyDescent="0.35">
      <c r="A2546" s="509">
        <v>8322</v>
      </c>
      <c r="B2546" s="510" t="s">
        <v>2923</v>
      </c>
      <c r="C2546" s="509" t="s">
        <v>32</v>
      </c>
      <c r="D2546" s="512">
        <v>399793</v>
      </c>
      <c r="E2546" s="507" t="s">
        <v>6108</v>
      </c>
    </row>
    <row r="2547" spans="1:5" ht="15" x14ac:dyDescent="0.35">
      <c r="A2547" s="509">
        <v>8323</v>
      </c>
      <c r="B2547" s="510" t="s">
        <v>2924</v>
      </c>
      <c r="C2547" s="509" t="s">
        <v>32</v>
      </c>
      <c r="D2547" s="511">
        <v>578104</v>
      </c>
      <c r="E2547" s="507" t="s">
        <v>6108</v>
      </c>
    </row>
    <row r="2548" spans="1:5" ht="15" x14ac:dyDescent="0.35">
      <c r="A2548" s="509">
        <v>8324</v>
      </c>
      <c r="B2548" s="510" t="s">
        <v>2925</v>
      </c>
      <c r="C2548" s="509" t="s">
        <v>32</v>
      </c>
      <c r="D2548" s="512">
        <v>4389243</v>
      </c>
      <c r="E2548" s="507" t="s">
        <v>6108</v>
      </c>
    </row>
    <row r="2549" spans="1:5" ht="15" x14ac:dyDescent="0.35">
      <c r="A2549" s="509">
        <v>8325</v>
      </c>
      <c r="B2549" s="510" t="s">
        <v>2926</v>
      </c>
      <c r="C2549" s="509" t="s">
        <v>32</v>
      </c>
      <c r="D2549" s="512">
        <v>4389243</v>
      </c>
      <c r="E2549" s="507" t="s">
        <v>331</v>
      </c>
    </row>
    <row r="2550" spans="1:5" ht="15" x14ac:dyDescent="0.35">
      <c r="A2550" s="509">
        <v>8330</v>
      </c>
      <c r="B2550" s="510" t="s">
        <v>2927</v>
      </c>
      <c r="C2550" s="509" t="s">
        <v>328</v>
      </c>
      <c r="D2550" s="511">
        <v>161061</v>
      </c>
      <c r="E2550" s="507" t="s">
        <v>331</v>
      </c>
    </row>
    <row r="2551" spans="1:5" ht="15" x14ac:dyDescent="0.35">
      <c r="A2551" s="509">
        <v>8331</v>
      </c>
      <c r="B2551" s="510" t="s">
        <v>2928</v>
      </c>
      <c r="C2551" s="509" t="s">
        <v>328</v>
      </c>
      <c r="D2551" s="511">
        <v>39785</v>
      </c>
      <c r="E2551" s="507" t="s">
        <v>6108</v>
      </c>
    </row>
    <row r="2552" spans="1:5" ht="15" x14ac:dyDescent="0.35">
      <c r="A2552" s="509">
        <v>8332</v>
      </c>
      <c r="B2552" s="510" t="s">
        <v>2929</v>
      </c>
      <c r="C2552" s="509" t="s">
        <v>328</v>
      </c>
      <c r="D2552" s="511">
        <v>159121</v>
      </c>
      <c r="E2552" s="507" t="s">
        <v>331</v>
      </c>
    </row>
    <row r="2553" spans="1:5" ht="15" x14ac:dyDescent="0.35">
      <c r="A2553" s="509">
        <v>8333</v>
      </c>
      <c r="B2553" s="510" t="s">
        <v>2930</v>
      </c>
      <c r="C2553" s="509" t="s">
        <v>328</v>
      </c>
      <c r="D2553" s="512">
        <v>98483</v>
      </c>
      <c r="E2553" s="507" t="s">
        <v>6108</v>
      </c>
    </row>
    <row r="2554" spans="1:5" ht="15" x14ac:dyDescent="0.35">
      <c r="A2554" s="509">
        <v>8335</v>
      </c>
      <c r="B2554" s="510" t="s">
        <v>2931</v>
      </c>
      <c r="C2554" s="509" t="s">
        <v>30</v>
      </c>
      <c r="D2554" s="512">
        <v>1187300</v>
      </c>
      <c r="E2554" s="507" t="s">
        <v>331</v>
      </c>
    </row>
    <row r="2555" spans="1:5" ht="15" x14ac:dyDescent="0.35">
      <c r="A2555" s="509">
        <v>8336</v>
      </c>
      <c r="B2555" s="510" t="s">
        <v>2932</v>
      </c>
      <c r="C2555" s="509" t="s">
        <v>30</v>
      </c>
      <c r="D2555" s="511">
        <v>162858</v>
      </c>
      <c r="E2555" s="507" t="s">
        <v>331</v>
      </c>
    </row>
    <row r="2556" spans="1:5" ht="15" x14ac:dyDescent="0.35">
      <c r="A2556" s="509">
        <v>8337</v>
      </c>
      <c r="B2556" s="510" t="s">
        <v>2933</v>
      </c>
      <c r="C2556" s="509" t="s">
        <v>328</v>
      </c>
      <c r="D2556" s="512">
        <v>52110</v>
      </c>
      <c r="E2556" s="507" t="s">
        <v>331</v>
      </c>
    </row>
    <row r="2557" spans="1:5" ht="15" x14ac:dyDescent="0.35">
      <c r="A2557" s="509">
        <v>8338</v>
      </c>
      <c r="B2557" s="510" t="s">
        <v>2934</v>
      </c>
      <c r="C2557" s="509" t="s">
        <v>32</v>
      </c>
      <c r="D2557" s="512">
        <v>119168</v>
      </c>
      <c r="E2557" s="507" t="s">
        <v>331</v>
      </c>
    </row>
    <row r="2558" spans="1:5" ht="15" x14ac:dyDescent="0.35">
      <c r="A2558" s="509">
        <v>8339</v>
      </c>
      <c r="B2558" s="510" t="s">
        <v>2935</v>
      </c>
      <c r="C2558" s="509" t="s">
        <v>32</v>
      </c>
      <c r="D2558" s="511">
        <v>743900</v>
      </c>
      <c r="E2558" s="507" t="s">
        <v>6108</v>
      </c>
    </row>
    <row r="2559" spans="1:5" ht="15" x14ac:dyDescent="0.35">
      <c r="A2559" s="509">
        <v>8342</v>
      </c>
      <c r="B2559" s="510" t="s">
        <v>2938</v>
      </c>
      <c r="C2559" s="509" t="s">
        <v>32</v>
      </c>
      <c r="D2559" s="511">
        <v>3444305</v>
      </c>
      <c r="E2559" s="507" t="s">
        <v>6108</v>
      </c>
    </row>
    <row r="2560" spans="1:5" ht="15" x14ac:dyDescent="0.35">
      <c r="A2560" s="509">
        <v>8344</v>
      </c>
      <c r="B2560" s="510" t="s">
        <v>2939</v>
      </c>
      <c r="C2560" s="509" t="s">
        <v>32</v>
      </c>
      <c r="D2560" s="511">
        <v>4606192</v>
      </c>
      <c r="E2560" s="507" t="s">
        <v>6108</v>
      </c>
    </row>
    <row r="2561" spans="1:5" ht="15" x14ac:dyDescent="0.35">
      <c r="A2561" s="509">
        <v>8345</v>
      </c>
      <c r="B2561" s="510" t="s">
        <v>2940</v>
      </c>
      <c r="C2561" s="509" t="s">
        <v>32</v>
      </c>
      <c r="D2561" s="511">
        <v>116873</v>
      </c>
      <c r="E2561" s="507" t="s">
        <v>6108</v>
      </c>
    </row>
    <row r="2562" spans="1:5" ht="15" x14ac:dyDescent="0.35">
      <c r="A2562" s="509">
        <v>8346</v>
      </c>
      <c r="B2562" s="510" t="s">
        <v>2941</v>
      </c>
      <c r="C2562" s="509" t="s">
        <v>32</v>
      </c>
      <c r="D2562" s="511">
        <v>2220458</v>
      </c>
      <c r="E2562" s="507" t="s">
        <v>6108</v>
      </c>
    </row>
    <row r="2563" spans="1:5" ht="15" x14ac:dyDescent="0.35">
      <c r="A2563" s="509">
        <v>8347</v>
      </c>
      <c r="B2563" s="510" t="s">
        <v>2942</v>
      </c>
      <c r="C2563" s="509" t="s">
        <v>32</v>
      </c>
      <c r="D2563" s="511">
        <v>1757283</v>
      </c>
      <c r="E2563" s="507" t="s">
        <v>6108</v>
      </c>
    </row>
    <row r="2564" spans="1:5" ht="15" x14ac:dyDescent="0.35">
      <c r="A2564" s="509">
        <v>8348</v>
      </c>
      <c r="B2564" s="510" t="s">
        <v>2943</v>
      </c>
      <c r="C2564" s="509" t="s">
        <v>32</v>
      </c>
      <c r="D2564" s="512">
        <v>828201</v>
      </c>
      <c r="E2564" s="507" t="s">
        <v>6108</v>
      </c>
    </row>
    <row r="2565" spans="1:5" ht="15" x14ac:dyDescent="0.35">
      <c r="A2565" s="509">
        <v>8349</v>
      </c>
      <c r="B2565" s="510" t="s">
        <v>2944</v>
      </c>
      <c r="C2565" s="509" t="s">
        <v>32</v>
      </c>
      <c r="D2565" s="512">
        <v>1187135</v>
      </c>
      <c r="E2565" s="507" t="s">
        <v>6108</v>
      </c>
    </row>
    <row r="2566" spans="1:5" ht="15" x14ac:dyDescent="0.35">
      <c r="A2566" s="509">
        <v>8351</v>
      </c>
      <c r="B2566" s="510" t="s">
        <v>2945</v>
      </c>
      <c r="C2566" s="509" t="s">
        <v>32</v>
      </c>
      <c r="D2566" s="511">
        <v>1964850</v>
      </c>
      <c r="E2566" s="507" t="s">
        <v>6108</v>
      </c>
    </row>
    <row r="2567" spans="1:5" ht="15" x14ac:dyDescent="0.35">
      <c r="A2567" s="509">
        <v>8352</v>
      </c>
      <c r="B2567" s="510" t="s">
        <v>2946</v>
      </c>
      <c r="C2567" s="509" t="s">
        <v>32</v>
      </c>
      <c r="D2567" s="512">
        <v>692548</v>
      </c>
      <c r="E2567" s="507" t="s">
        <v>6108</v>
      </c>
    </row>
    <row r="2568" spans="1:5" ht="15" x14ac:dyDescent="0.35">
      <c r="A2568" s="509">
        <v>8353</v>
      </c>
      <c r="B2568" s="510" t="s">
        <v>2947</v>
      </c>
      <c r="C2568" s="509" t="s">
        <v>32</v>
      </c>
      <c r="D2568" s="511">
        <v>3057143</v>
      </c>
      <c r="E2568" s="507" t="s">
        <v>6108</v>
      </c>
    </row>
    <row r="2569" spans="1:5" ht="15" x14ac:dyDescent="0.35">
      <c r="A2569" s="509">
        <v>8357</v>
      </c>
      <c r="B2569" s="510" t="s">
        <v>2948</v>
      </c>
      <c r="C2569" s="509" t="s">
        <v>32</v>
      </c>
      <c r="D2569" s="512">
        <v>3509136</v>
      </c>
      <c r="E2569" s="507" t="s">
        <v>6108</v>
      </c>
    </row>
    <row r="2570" spans="1:5" ht="15" x14ac:dyDescent="0.35">
      <c r="A2570" s="509">
        <v>8361</v>
      </c>
      <c r="B2570" s="510" t="s">
        <v>2949</v>
      </c>
      <c r="C2570" s="509" t="s">
        <v>32</v>
      </c>
      <c r="D2570" s="512">
        <v>763778</v>
      </c>
      <c r="E2570" s="507" t="s">
        <v>6108</v>
      </c>
    </row>
    <row r="2571" spans="1:5" ht="15" x14ac:dyDescent="0.35">
      <c r="A2571" s="509">
        <v>8362</v>
      </c>
      <c r="B2571" s="510" t="s">
        <v>2950</v>
      </c>
      <c r="C2571" s="509" t="s">
        <v>32</v>
      </c>
      <c r="D2571" s="511">
        <v>501609</v>
      </c>
      <c r="E2571" s="507" t="s">
        <v>6108</v>
      </c>
    </row>
    <row r="2572" spans="1:5" ht="15" x14ac:dyDescent="0.35">
      <c r="A2572" s="509">
        <v>8364</v>
      </c>
      <c r="B2572" s="510" t="s">
        <v>2951</v>
      </c>
      <c r="C2572" s="509" t="s">
        <v>32</v>
      </c>
      <c r="D2572" s="512">
        <v>1255339</v>
      </c>
      <c r="E2572" s="507" t="s">
        <v>6108</v>
      </c>
    </row>
    <row r="2573" spans="1:5" ht="15" x14ac:dyDescent="0.35">
      <c r="A2573" s="509">
        <v>8365</v>
      </c>
      <c r="B2573" s="510" t="s">
        <v>2952</v>
      </c>
      <c r="C2573" s="509" t="s">
        <v>32</v>
      </c>
      <c r="D2573" s="511">
        <v>234595</v>
      </c>
      <c r="E2573" s="507" t="s">
        <v>6108</v>
      </c>
    </row>
    <row r="2574" spans="1:5" ht="15" x14ac:dyDescent="0.35">
      <c r="A2574" s="509">
        <v>8366</v>
      </c>
      <c r="B2574" s="510" t="s">
        <v>2953</v>
      </c>
      <c r="C2574" s="509" t="s">
        <v>32</v>
      </c>
      <c r="D2574" s="511">
        <v>29255475</v>
      </c>
      <c r="E2574" s="507" t="s">
        <v>6108</v>
      </c>
    </row>
    <row r="2575" spans="1:5" ht="15" x14ac:dyDescent="0.35">
      <c r="A2575" s="509">
        <v>8367</v>
      </c>
      <c r="B2575" s="510" t="s">
        <v>2954</v>
      </c>
      <c r="C2575" s="509" t="s">
        <v>328</v>
      </c>
      <c r="D2575" s="511">
        <v>127110</v>
      </c>
      <c r="E2575" s="507" t="s">
        <v>6108</v>
      </c>
    </row>
    <row r="2576" spans="1:5" ht="15" x14ac:dyDescent="0.35">
      <c r="A2576" s="509">
        <v>8368</v>
      </c>
      <c r="B2576" s="510" t="s">
        <v>2955</v>
      </c>
      <c r="C2576" s="509" t="s">
        <v>328</v>
      </c>
      <c r="D2576" s="511">
        <v>186337</v>
      </c>
      <c r="E2576" s="507" t="s">
        <v>6108</v>
      </c>
    </row>
    <row r="2577" spans="1:5" ht="15" x14ac:dyDescent="0.35">
      <c r="A2577" s="509">
        <v>8369</v>
      </c>
      <c r="B2577" s="510" t="s">
        <v>2956</v>
      </c>
      <c r="C2577" s="509" t="s">
        <v>328</v>
      </c>
      <c r="D2577" s="512">
        <v>284657</v>
      </c>
      <c r="E2577" s="507" t="s">
        <v>6108</v>
      </c>
    </row>
    <row r="2578" spans="1:5" ht="15" x14ac:dyDescent="0.35">
      <c r="A2578" s="509">
        <v>8370</v>
      </c>
      <c r="B2578" s="510" t="s">
        <v>2957</v>
      </c>
      <c r="C2578" s="509" t="s">
        <v>328</v>
      </c>
      <c r="D2578" s="511">
        <v>434628</v>
      </c>
      <c r="E2578" s="507" t="s">
        <v>6108</v>
      </c>
    </row>
    <row r="2579" spans="1:5" ht="15" x14ac:dyDescent="0.35">
      <c r="A2579" s="509">
        <v>8371</v>
      </c>
      <c r="B2579" s="510" t="s">
        <v>2958</v>
      </c>
      <c r="C2579" s="509" t="s">
        <v>328</v>
      </c>
      <c r="D2579" s="511">
        <v>544911</v>
      </c>
      <c r="E2579" s="507" t="s">
        <v>6108</v>
      </c>
    </row>
    <row r="2580" spans="1:5" ht="15" x14ac:dyDescent="0.35">
      <c r="A2580" s="509">
        <v>8384</v>
      </c>
      <c r="B2580" s="510" t="s">
        <v>2959</v>
      </c>
      <c r="C2580" s="509" t="s">
        <v>328</v>
      </c>
      <c r="D2580" s="511">
        <v>2305744</v>
      </c>
      <c r="E2580" s="507" t="s">
        <v>6108</v>
      </c>
    </row>
    <row r="2581" spans="1:5" ht="15" x14ac:dyDescent="0.35">
      <c r="A2581" s="509">
        <v>8386</v>
      </c>
      <c r="B2581" s="510" t="s">
        <v>2960</v>
      </c>
      <c r="C2581" s="509" t="s">
        <v>32</v>
      </c>
      <c r="D2581" s="511">
        <v>2183836</v>
      </c>
      <c r="E2581" s="507" t="s">
        <v>6108</v>
      </c>
    </row>
    <row r="2582" spans="1:5" ht="15" x14ac:dyDescent="0.35">
      <c r="A2582" s="509">
        <v>8388</v>
      </c>
      <c r="B2582" s="510" t="s">
        <v>2961</v>
      </c>
      <c r="C2582" s="509" t="s">
        <v>32</v>
      </c>
      <c r="D2582" s="511">
        <v>34160</v>
      </c>
      <c r="E2582" s="507" t="s">
        <v>6108</v>
      </c>
    </row>
    <row r="2583" spans="1:5" ht="15" x14ac:dyDescent="0.35">
      <c r="A2583" s="509">
        <v>8389</v>
      </c>
      <c r="B2583" s="510" t="s">
        <v>2962</v>
      </c>
      <c r="C2583" s="509" t="s">
        <v>328</v>
      </c>
      <c r="D2583" s="511">
        <v>46711</v>
      </c>
      <c r="E2583" s="507" t="s">
        <v>6108</v>
      </c>
    </row>
    <row r="2584" spans="1:5" ht="15" x14ac:dyDescent="0.35">
      <c r="A2584" s="509">
        <v>8390</v>
      </c>
      <c r="B2584" s="510" t="s">
        <v>2963</v>
      </c>
      <c r="C2584" s="509" t="s">
        <v>328</v>
      </c>
      <c r="D2584" s="511">
        <v>87320</v>
      </c>
      <c r="E2584" s="507" t="s">
        <v>6108</v>
      </c>
    </row>
    <row r="2585" spans="1:5" ht="15" x14ac:dyDescent="0.35">
      <c r="A2585" s="509">
        <v>8392</v>
      </c>
      <c r="B2585" s="510" t="s">
        <v>2964</v>
      </c>
      <c r="C2585" s="509" t="s">
        <v>32</v>
      </c>
      <c r="D2585" s="512">
        <v>11699</v>
      </c>
      <c r="E2585" s="507" t="s">
        <v>6108</v>
      </c>
    </row>
    <row r="2586" spans="1:5" ht="15" x14ac:dyDescent="0.35">
      <c r="A2586" s="509">
        <v>8393</v>
      </c>
      <c r="B2586" s="510" t="s">
        <v>2965</v>
      </c>
      <c r="C2586" s="509" t="s">
        <v>32</v>
      </c>
      <c r="D2586" s="511">
        <v>454482</v>
      </c>
      <c r="E2586" s="507" t="s">
        <v>6108</v>
      </c>
    </row>
    <row r="2587" spans="1:5" ht="15" x14ac:dyDescent="0.35">
      <c r="A2587" s="509">
        <v>8402</v>
      </c>
      <c r="B2587" s="510" t="s">
        <v>2966</v>
      </c>
      <c r="C2587" s="509" t="s">
        <v>32</v>
      </c>
      <c r="D2587" s="511">
        <v>5990</v>
      </c>
      <c r="E2587" s="507" t="s">
        <v>6108</v>
      </c>
    </row>
    <row r="2588" spans="1:5" ht="15" x14ac:dyDescent="0.35">
      <c r="A2588" s="509">
        <v>8407</v>
      </c>
      <c r="B2588" s="510" t="s">
        <v>2967</v>
      </c>
      <c r="C2588" s="509" t="s">
        <v>328</v>
      </c>
      <c r="D2588" s="511">
        <v>1882434</v>
      </c>
      <c r="E2588" s="507" t="s">
        <v>6108</v>
      </c>
    </row>
    <row r="2589" spans="1:5" ht="15" x14ac:dyDescent="0.35">
      <c r="A2589" s="509">
        <v>8409</v>
      </c>
      <c r="B2589" s="510" t="s">
        <v>2968</v>
      </c>
      <c r="C2589" s="509" t="s">
        <v>32</v>
      </c>
      <c r="D2589" s="512">
        <v>6577842</v>
      </c>
      <c r="E2589" s="507" t="s">
        <v>6108</v>
      </c>
    </row>
    <row r="2590" spans="1:5" ht="15" x14ac:dyDescent="0.35">
      <c r="A2590" s="509">
        <v>8410</v>
      </c>
      <c r="B2590" s="510" t="s">
        <v>2969</v>
      </c>
      <c r="C2590" s="509" t="s">
        <v>32</v>
      </c>
      <c r="D2590" s="511">
        <v>5438065</v>
      </c>
      <c r="E2590" s="507" t="s">
        <v>6108</v>
      </c>
    </row>
    <row r="2591" spans="1:5" ht="15" x14ac:dyDescent="0.35">
      <c r="A2591" s="509">
        <v>8411</v>
      </c>
      <c r="B2591" s="510" t="s">
        <v>2970</v>
      </c>
      <c r="C2591" s="509" t="s">
        <v>328</v>
      </c>
      <c r="D2591" s="511">
        <v>738654</v>
      </c>
      <c r="E2591" s="507" t="s">
        <v>6108</v>
      </c>
    </row>
    <row r="2592" spans="1:5" ht="15" x14ac:dyDescent="0.35">
      <c r="A2592" s="509">
        <v>8412</v>
      </c>
      <c r="B2592" s="510" t="s">
        <v>2971</v>
      </c>
      <c r="C2592" s="509" t="s">
        <v>32</v>
      </c>
      <c r="D2592" s="511">
        <v>958295</v>
      </c>
      <c r="E2592" s="507" t="s">
        <v>6108</v>
      </c>
    </row>
    <row r="2593" spans="1:5" ht="15" x14ac:dyDescent="0.35">
      <c r="A2593" s="509">
        <v>8413</v>
      </c>
      <c r="B2593" s="510" t="s">
        <v>2972</v>
      </c>
      <c r="C2593" s="509" t="s">
        <v>32</v>
      </c>
      <c r="D2593" s="512">
        <v>510721</v>
      </c>
      <c r="E2593" s="507" t="s">
        <v>6108</v>
      </c>
    </row>
    <row r="2594" spans="1:5" ht="15" x14ac:dyDescent="0.35">
      <c r="A2594" s="509">
        <v>8414</v>
      </c>
      <c r="B2594" s="510" t="s">
        <v>2973</v>
      </c>
      <c r="C2594" s="509" t="s">
        <v>32</v>
      </c>
      <c r="D2594" s="511">
        <v>4629528</v>
      </c>
      <c r="E2594" s="507" t="s">
        <v>6108</v>
      </c>
    </row>
    <row r="2595" spans="1:5" ht="15" x14ac:dyDescent="0.35">
      <c r="A2595" s="509">
        <v>8415</v>
      </c>
      <c r="B2595" s="510" t="s">
        <v>2974</v>
      </c>
      <c r="C2595" s="509" t="s">
        <v>32</v>
      </c>
      <c r="D2595" s="512">
        <v>1155546</v>
      </c>
      <c r="E2595" s="507" t="s">
        <v>6108</v>
      </c>
    </row>
    <row r="2596" spans="1:5" ht="15" x14ac:dyDescent="0.35">
      <c r="A2596" s="509">
        <v>8416</v>
      </c>
      <c r="B2596" s="510" t="s">
        <v>2975</v>
      </c>
      <c r="C2596" s="509" t="s">
        <v>32</v>
      </c>
      <c r="D2596" s="512">
        <v>1304451</v>
      </c>
      <c r="E2596" s="507" t="s">
        <v>6108</v>
      </c>
    </row>
    <row r="2597" spans="1:5" ht="15" x14ac:dyDescent="0.35">
      <c r="A2597" s="509">
        <v>8418</v>
      </c>
      <c r="B2597" s="510" t="s">
        <v>2976</v>
      </c>
      <c r="C2597" s="509" t="s">
        <v>32</v>
      </c>
      <c r="D2597" s="511">
        <v>21324311</v>
      </c>
      <c r="E2597" s="507" t="s">
        <v>6108</v>
      </c>
    </row>
    <row r="2598" spans="1:5" ht="15" x14ac:dyDescent="0.35">
      <c r="A2598" s="509">
        <v>8419</v>
      </c>
      <c r="B2598" s="510" t="s">
        <v>2977</v>
      </c>
      <c r="C2598" s="509" t="s">
        <v>32</v>
      </c>
      <c r="D2598" s="512">
        <v>192779</v>
      </c>
      <c r="E2598" s="507" t="s">
        <v>6109</v>
      </c>
    </row>
    <row r="2599" spans="1:5" ht="15" x14ac:dyDescent="0.35">
      <c r="A2599" s="509">
        <v>8420</v>
      </c>
      <c r="B2599" s="510" t="s">
        <v>2978</v>
      </c>
      <c r="C2599" s="509" t="s">
        <v>32</v>
      </c>
      <c r="D2599" s="512">
        <v>192779</v>
      </c>
      <c r="E2599" s="507" t="s">
        <v>6109</v>
      </c>
    </row>
    <row r="2600" spans="1:5" ht="15" x14ac:dyDescent="0.35">
      <c r="A2600" s="509">
        <v>8421</v>
      </c>
      <c r="B2600" s="510" t="s">
        <v>2979</v>
      </c>
      <c r="C2600" s="509" t="s">
        <v>32</v>
      </c>
      <c r="D2600" s="511">
        <v>205899</v>
      </c>
      <c r="E2600" s="507" t="s">
        <v>6109</v>
      </c>
    </row>
    <row r="2601" spans="1:5" ht="15" x14ac:dyDescent="0.35">
      <c r="A2601" s="509">
        <v>8422</v>
      </c>
      <c r="B2601" s="510" t="s">
        <v>2980</v>
      </c>
      <c r="C2601" s="509" t="s">
        <v>32</v>
      </c>
      <c r="D2601" s="512">
        <v>647482</v>
      </c>
      <c r="E2601" s="507" t="s">
        <v>6109</v>
      </c>
    </row>
    <row r="2602" spans="1:5" ht="15" x14ac:dyDescent="0.35">
      <c r="A2602" s="509">
        <v>8423</v>
      </c>
      <c r="B2602" s="510" t="s">
        <v>2981</v>
      </c>
      <c r="C2602" s="509" t="s">
        <v>32</v>
      </c>
      <c r="D2602" s="512">
        <v>1185334</v>
      </c>
      <c r="E2602" s="507" t="s">
        <v>6109</v>
      </c>
    </row>
    <row r="2603" spans="1:5" ht="15" x14ac:dyDescent="0.35">
      <c r="A2603" s="509">
        <v>8425</v>
      </c>
      <c r="B2603" s="510" t="s">
        <v>2982</v>
      </c>
      <c r="C2603" s="509" t="s">
        <v>32</v>
      </c>
      <c r="D2603" s="512">
        <v>261769</v>
      </c>
      <c r="E2603" s="507" t="s">
        <v>6109</v>
      </c>
    </row>
    <row r="2604" spans="1:5" ht="15" x14ac:dyDescent="0.35">
      <c r="A2604" s="509">
        <v>8427</v>
      </c>
      <c r="B2604" s="510" t="s">
        <v>2983</v>
      </c>
      <c r="C2604" s="509" t="s">
        <v>32</v>
      </c>
      <c r="D2604" s="512">
        <v>947908</v>
      </c>
      <c r="E2604" s="507" t="s">
        <v>6109</v>
      </c>
    </row>
    <row r="2605" spans="1:5" ht="15" x14ac:dyDescent="0.35">
      <c r="A2605" s="509">
        <v>8436</v>
      </c>
      <c r="B2605" s="510" t="s">
        <v>2984</v>
      </c>
      <c r="C2605" s="509" t="s">
        <v>32</v>
      </c>
      <c r="D2605" s="512">
        <v>271749</v>
      </c>
      <c r="E2605" s="507" t="s">
        <v>6109</v>
      </c>
    </row>
    <row r="2606" spans="1:5" ht="15" x14ac:dyDescent="0.35">
      <c r="A2606" s="509">
        <v>8437</v>
      </c>
      <c r="B2606" s="510" t="s">
        <v>2985</v>
      </c>
      <c r="C2606" s="509" t="s">
        <v>32</v>
      </c>
      <c r="D2606" s="512">
        <v>606025</v>
      </c>
      <c r="E2606" s="507" t="s">
        <v>6108</v>
      </c>
    </row>
    <row r="2607" spans="1:5" ht="15" x14ac:dyDescent="0.35">
      <c r="A2607" s="509">
        <v>8438</v>
      </c>
      <c r="B2607" s="510" t="s">
        <v>2986</v>
      </c>
      <c r="C2607" s="509" t="s">
        <v>21</v>
      </c>
      <c r="D2607" s="511">
        <v>120179</v>
      </c>
      <c r="E2607" s="507" t="s">
        <v>6108</v>
      </c>
    </row>
    <row r="2608" spans="1:5" ht="15" x14ac:dyDescent="0.35">
      <c r="A2608" s="509">
        <v>8439</v>
      </c>
      <c r="B2608" s="510" t="s">
        <v>2987</v>
      </c>
      <c r="C2608" s="509" t="s">
        <v>21</v>
      </c>
      <c r="D2608" s="511">
        <v>120179</v>
      </c>
      <c r="E2608" s="507" t="s">
        <v>6108</v>
      </c>
    </row>
    <row r="2609" spans="1:5" ht="15" x14ac:dyDescent="0.35">
      <c r="A2609" s="509">
        <v>8440</v>
      </c>
      <c r="B2609" s="510" t="s">
        <v>2988</v>
      </c>
      <c r="C2609" s="509" t="s">
        <v>21</v>
      </c>
      <c r="D2609" s="511">
        <v>120179</v>
      </c>
      <c r="E2609" s="507" t="s">
        <v>6108</v>
      </c>
    </row>
    <row r="2610" spans="1:5" ht="15" x14ac:dyDescent="0.35">
      <c r="A2610" s="509">
        <v>8442</v>
      </c>
      <c r="B2610" s="510" t="s">
        <v>2989</v>
      </c>
      <c r="C2610" s="509" t="s">
        <v>328</v>
      </c>
      <c r="D2610" s="512">
        <v>9745</v>
      </c>
      <c r="E2610" s="507" t="s">
        <v>6108</v>
      </c>
    </row>
    <row r="2611" spans="1:5" ht="15" x14ac:dyDescent="0.35">
      <c r="A2611" s="509">
        <v>8445</v>
      </c>
      <c r="B2611" s="510" t="s">
        <v>2990</v>
      </c>
      <c r="C2611" s="509" t="s">
        <v>32</v>
      </c>
      <c r="D2611" s="511">
        <v>1105402</v>
      </c>
      <c r="E2611" s="507" t="s">
        <v>6108</v>
      </c>
    </row>
    <row r="2612" spans="1:5" ht="15" x14ac:dyDescent="0.35">
      <c r="A2612" s="509">
        <v>8448</v>
      </c>
      <c r="B2612" s="510" t="s">
        <v>2991</v>
      </c>
      <c r="C2612" s="509" t="s">
        <v>21</v>
      </c>
      <c r="D2612" s="512">
        <v>120179</v>
      </c>
      <c r="E2612" s="507" t="s">
        <v>6108</v>
      </c>
    </row>
    <row r="2613" spans="1:5" ht="15" x14ac:dyDescent="0.35">
      <c r="A2613" s="509">
        <v>8449</v>
      </c>
      <c r="B2613" s="510" t="s">
        <v>2992</v>
      </c>
      <c r="C2613" s="509" t="s">
        <v>21</v>
      </c>
      <c r="D2613" s="512">
        <v>120179</v>
      </c>
      <c r="E2613" s="507" t="s">
        <v>6108</v>
      </c>
    </row>
    <row r="2614" spans="1:5" ht="15" x14ac:dyDescent="0.35">
      <c r="A2614" s="509">
        <v>8452</v>
      </c>
      <c r="B2614" s="510" t="s">
        <v>2993</v>
      </c>
      <c r="C2614" s="509" t="s">
        <v>328</v>
      </c>
      <c r="D2614" s="511">
        <v>299621</v>
      </c>
      <c r="E2614" s="507" t="s">
        <v>6108</v>
      </c>
    </row>
    <row r="2615" spans="1:5" ht="15" x14ac:dyDescent="0.35">
      <c r="A2615" s="509">
        <v>8453</v>
      </c>
      <c r="B2615" s="510" t="s">
        <v>2994</v>
      </c>
      <c r="C2615" s="509" t="s">
        <v>328</v>
      </c>
      <c r="D2615" s="511">
        <v>29599</v>
      </c>
      <c r="E2615" s="507" t="s">
        <v>6108</v>
      </c>
    </row>
    <row r="2616" spans="1:5" ht="15" x14ac:dyDescent="0.35">
      <c r="A2616" s="509">
        <v>8455</v>
      </c>
      <c r="B2616" s="510" t="s">
        <v>2995</v>
      </c>
      <c r="C2616" s="509" t="s">
        <v>32</v>
      </c>
      <c r="D2616" s="511">
        <v>56231282</v>
      </c>
      <c r="E2616" s="507" t="s">
        <v>6108</v>
      </c>
    </row>
    <row r="2617" spans="1:5" ht="15" x14ac:dyDescent="0.35">
      <c r="A2617" s="509">
        <v>8456</v>
      </c>
      <c r="B2617" s="510" t="s">
        <v>2996</v>
      </c>
      <c r="C2617" s="509" t="s">
        <v>32</v>
      </c>
      <c r="D2617" s="512">
        <v>58627235</v>
      </c>
      <c r="E2617" s="507" t="s">
        <v>6108</v>
      </c>
    </row>
    <row r="2618" spans="1:5" ht="15" x14ac:dyDescent="0.35">
      <c r="A2618" s="509">
        <v>8457</v>
      </c>
      <c r="B2618" s="510" t="s">
        <v>2997</v>
      </c>
      <c r="C2618" s="509" t="s">
        <v>32</v>
      </c>
      <c r="D2618" s="512">
        <v>19975097</v>
      </c>
      <c r="E2618" s="507" t="s">
        <v>331</v>
      </c>
    </row>
    <row r="2619" spans="1:5" ht="15" x14ac:dyDescent="0.35">
      <c r="A2619" s="509">
        <v>8458</v>
      </c>
      <c r="B2619" s="510" t="s">
        <v>2998</v>
      </c>
      <c r="C2619" s="509" t="s">
        <v>32</v>
      </c>
      <c r="D2619" s="511">
        <v>6694414</v>
      </c>
      <c r="E2619" s="507" t="s">
        <v>331</v>
      </c>
    </row>
    <row r="2620" spans="1:5" ht="15" x14ac:dyDescent="0.35">
      <c r="A2620" s="509">
        <v>8459</v>
      </c>
      <c r="B2620" s="510" t="s">
        <v>2999</v>
      </c>
      <c r="C2620" s="509" t="s">
        <v>32</v>
      </c>
      <c r="D2620" s="512">
        <v>9132267</v>
      </c>
      <c r="E2620" s="507" t="s">
        <v>6108</v>
      </c>
    </row>
    <row r="2621" spans="1:5" ht="15" x14ac:dyDescent="0.35">
      <c r="A2621" s="509">
        <v>8460</v>
      </c>
      <c r="B2621" s="510" t="s">
        <v>3000</v>
      </c>
      <c r="C2621" s="509" t="s">
        <v>32</v>
      </c>
      <c r="D2621" s="511">
        <v>14133635</v>
      </c>
      <c r="E2621" s="507" t="s">
        <v>6108</v>
      </c>
    </row>
    <row r="2622" spans="1:5" ht="15" x14ac:dyDescent="0.35">
      <c r="A2622" s="509">
        <v>8464</v>
      </c>
      <c r="B2622" s="510" t="s">
        <v>3001</v>
      </c>
      <c r="C2622" s="509" t="s">
        <v>328</v>
      </c>
      <c r="D2622" s="512">
        <v>63519</v>
      </c>
      <c r="E2622" s="507" t="s">
        <v>6108</v>
      </c>
    </row>
    <row r="2623" spans="1:5" ht="15" x14ac:dyDescent="0.35">
      <c r="A2623" s="509">
        <v>8466</v>
      </c>
      <c r="B2623" s="510" t="s">
        <v>3002</v>
      </c>
      <c r="C2623" s="509" t="s">
        <v>328</v>
      </c>
      <c r="D2623" s="511">
        <v>119866</v>
      </c>
      <c r="E2623" s="507" t="s">
        <v>6108</v>
      </c>
    </row>
    <row r="2624" spans="1:5" ht="15" x14ac:dyDescent="0.35">
      <c r="A2624" s="509">
        <v>8467</v>
      </c>
      <c r="B2624" s="510" t="s">
        <v>3003</v>
      </c>
      <c r="C2624" s="509" t="s">
        <v>21</v>
      </c>
      <c r="D2624" s="511">
        <v>33601</v>
      </c>
      <c r="E2624" s="507" t="s">
        <v>6108</v>
      </c>
    </row>
    <row r="2625" spans="1:5" ht="15" x14ac:dyDescent="0.35">
      <c r="A2625" s="509">
        <v>8471</v>
      </c>
      <c r="B2625" s="510" t="s">
        <v>3004</v>
      </c>
      <c r="C2625" s="509" t="s">
        <v>670</v>
      </c>
      <c r="D2625" s="511">
        <v>7050</v>
      </c>
      <c r="E2625" s="507" t="s">
        <v>6108</v>
      </c>
    </row>
    <row r="2626" spans="1:5" ht="15" x14ac:dyDescent="0.35">
      <c r="A2626" s="509">
        <v>8472</v>
      </c>
      <c r="B2626" s="510" t="s">
        <v>3005</v>
      </c>
      <c r="C2626" s="509" t="s">
        <v>32</v>
      </c>
      <c r="D2626" s="512">
        <v>1506245</v>
      </c>
      <c r="E2626" s="507" t="s">
        <v>6108</v>
      </c>
    </row>
    <row r="2627" spans="1:5" ht="15" x14ac:dyDescent="0.35">
      <c r="A2627" s="509">
        <v>8474</v>
      </c>
      <c r="B2627" s="510" t="s">
        <v>3006</v>
      </c>
      <c r="C2627" s="509" t="s">
        <v>32</v>
      </c>
      <c r="D2627" s="511">
        <v>650375</v>
      </c>
      <c r="E2627" s="507" t="s">
        <v>6108</v>
      </c>
    </row>
    <row r="2628" spans="1:5" ht="15" x14ac:dyDescent="0.35">
      <c r="A2628" s="509">
        <v>8475</v>
      </c>
      <c r="B2628" s="510" t="s">
        <v>3007</v>
      </c>
      <c r="C2628" s="509" t="s">
        <v>328</v>
      </c>
      <c r="D2628" s="511">
        <v>65566</v>
      </c>
      <c r="E2628" s="507" t="s">
        <v>6108</v>
      </c>
    </row>
    <row r="2629" spans="1:5" ht="15" x14ac:dyDescent="0.35">
      <c r="A2629" s="509">
        <v>8476</v>
      </c>
      <c r="B2629" s="510" t="s">
        <v>3008</v>
      </c>
      <c r="C2629" s="509" t="s">
        <v>32</v>
      </c>
      <c r="D2629" s="511">
        <v>2172979</v>
      </c>
      <c r="E2629" s="507" t="s">
        <v>331</v>
      </c>
    </row>
    <row r="2630" spans="1:5" ht="15" x14ac:dyDescent="0.35">
      <c r="A2630" s="509">
        <v>8480</v>
      </c>
      <c r="B2630" s="510" t="s">
        <v>3009</v>
      </c>
      <c r="C2630" s="509" t="s">
        <v>32</v>
      </c>
      <c r="D2630" s="512">
        <v>650375</v>
      </c>
      <c r="E2630" s="507" t="s">
        <v>331</v>
      </c>
    </row>
    <row r="2631" spans="1:5" ht="15" x14ac:dyDescent="0.35">
      <c r="A2631" s="509">
        <v>8482</v>
      </c>
      <c r="B2631" s="510" t="s">
        <v>3010</v>
      </c>
      <c r="C2631" s="509" t="s">
        <v>32</v>
      </c>
      <c r="D2631" s="512">
        <v>1870553</v>
      </c>
      <c r="E2631" s="507" t="s">
        <v>331</v>
      </c>
    </row>
    <row r="2632" spans="1:5" ht="15" x14ac:dyDescent="0.35">
      <c r="A2632" s="509">
        <v>8483</v>
      </c>
      <c r="B2632" s="510" t="s">
        <v>3011</v>
      </c>
      <c r="C2632" s="509" t="s">
        <v>32</v>
      </c>
      <c r="D2632" s="512">
        <v>1299592</v>
      </c>
      <c r="E2632" s="507" t="s">
        <v>331</v>
      </c>
    </row>
    <row r="2633" spans="1:5" ht="15" x14ac:dyDescent="0.35">
      <c r="A2633" s="509">
        <v>8484</v>
      </c>
      <c r="B2633" s="510" t="s">
        <v>3012</v>
      </c>
      <c r="C2633" s="509" t="s">
        <v>32</v>
      </c>
      <c r="D2633" s="511">
        <v>184545</v>
      </c>
      <c r="E2633" s="507" t="s">
        <v>6108</v>
      </c>
    </row>
    <row r="2634" spans="1:5" ht="15" x14ac:dyDescent="0.35">
      <c r="A2634" s="509">
        <v>8486</v>
      </c>
      <c r="B2634" s="510" t="s">
        <v>3013</v>
      </c>
      <c r="C2634" s="509" t="s">
        <v>328</v>
      </c>
      <c r="D2634" s="511">
        <v>1153063</v>
      </c>
      <c r="E2634" s="507" t="s">
        <v>6108</v>
      </c>
    </row>
    <row r="2635" spans="1:5" ht="15" x14ac:dyDescent="0.35">
      <c r="A2635" s="509">
        <v>8487</v>
      </c>
      <c r="B2635" s="510" t="s">
        <v>3014</v>
      </c>
      <c r="C2635" s="509" t="s">
        <v>328</v>
      </c>
      <c r="D2635" s="512">
        <v>34860</v>
      </c>
      <c r="E2635" s="507" t="s">
        <v>331</v>
      </c>
    </row>
    <row r="2636" spans="1:5" ht="15" x14ac:dyDescent="0.35">
      <c r="A2636" s="509">
        <v>8488</v>
      </c>
      <c r="B2636" s="510" t="s">
        <v>3015</v>
      </c>
      <c r="C2636" s="509" t="s">
        <v>328</v>
      </c>
      <c r="D2636" s="511">
        <v>23597</v>
      </c>
      <c r="E2636" s="507" t="s">
        <v>6108</v>
      </c>
    </row>
    <row r="2637" spans="1:5" ht="15" x14ac:dyDescent="0.35">
      <c r="A2637" s="509">
        <v>8489</v>
      </c>
      <c r="B2637" s="510" t="s">
        <v>3016</v>
      </c>
      <c r="C2637" s="509" t="s">
        <v>32</v>
      </c>
      <c r="D2637" s="511">
        <v>55872</v>
      </c>
      <c r="E2637" s="507" t="s">
        <v>6108</v>
      </c>
    </row>
    <row r="2638" spans="1:5" ht="15" x14ac:dyDescent="0.35">
      <c r="A2638" s="509">
        <v>8491</v>
      </c>
      <c r="B2638" s="510" t="s">
        <v>3017</v>
      </c>
      <c r="C2638" s="509" t="s">
        <v>32</v>
      </c>
      <c r="D2638" s="511">
        <v>12180</v>
      </c>
      <c r="E2638" s="507" t="s">
        <v>6108</v>
      </c>
    </row>
    <row r="2639" spans="1:5" ht="15" x14ac:dyDescent="0.35">
      <c r="A2639" s="509">
        <v>8492</v>
      </c>
      <c r="B2639" s="510" t="s">
        <v>3018</v>
      </c>
      <c r="C2639" s="509" t="s">
        <v>32</v>
      </c>
      <c r="D2639" s="511">
        <v>201872</v>
      </c>
      <c r="E2639" s="507" t="s">
        <v>6108</v>
      </c>
    </row>
    <row r="2640" spans="1:5" ht="15" x14ac:dyDescent="0.35">
      <c r="A2640" s="509">
        <v>8493</v>
      </c>
      <c r="B2640" s="510" t="s">
        <v>3019</v>
      </c>
      <c r="C2640" s="509" t="s">
        <v>32</v>
      </c>
      <c r="D2640" s="512">
        <v>791690</v>
      </c>
      <c r="E2640" s="507" t="s">
        <v>6108</v>
      </c>
    </row>
    <row r="2641" spans="1:5" ht="15" x14ac:dyDescent="0.35">
      <c r="A2641" s="509">
        <v>8494</v>
      </c>
      <c r="B2641" s="510" t="s">
        <v>3020</v>
      </c>
      <c r="C2641" s="509" t="s">
        <v>32</v>
      </c>
      <c r="D2641" s="512">
        <v>1502802</v>
      </c>
      <c r="E2641" s="507" t="s">
        <v>6108</v>
      </c>
    </row>
    <row r="2642" spans="1:5" ht="15" x14ac:dyDescent="0.35">
      <c r="A2642" s="509">
        <v>8495</v>
      </c>
      <c r="B2642" s="510" t="s">
        <v>3021</v>
      </c>
      <c r="C2642" s="509" t="s">
        <v>328</v>
      </c>
      <c r="D2642" s="511">
        <v>33713</v>
      </c>
      <c r="E2642" s="507" t="s">
        <v>6108</v>
      </c>
    </row>
    <row r="2643" spans="1:5" ht="15" x14ac:dyDescent="0.35">
      <c r="A2643" s="509">
        <v>8496</v>
      </c>
      <c r="B2643" s="510" t="s">
        <v>3022</v>
      </c>
      <c r="C2643" s="509" t="s">
        <v>328</v>
      </c>
      <c r="D2643" s="511">
        <v>29997</v>
      </c>
      <c r="E2643" s="507" t="s">
        <v>6108</v>
      </c>
    </row>
    <row r="2644" spans="1:5" ht="15" x14ac:dyDescent="0.35">
      <c r="A2644" s="509">
        <v>8497</v>
      </c>
      <c r="B2644" s="510" t="s">
        <v>3023</v>
      </c>
      <c r="C2644" s="509" t="s">
        <v>328</v>
      </c>
      <c r="D2644" s="511">
        <v>29223</v>
      </c>
      <c r="E2644" s="507" t="s">
        <v>6108</v>
      </c>
    </row>
    <row r="2645" spans="1:5" ht="15" x14ac:dyDescent="0.35">
      <c r="A2645" s="509">
        <v>8498</v>
      </c>
      <c r="B2645" s="510" t="s">
        <v>3024</v>
      </c>
      <c r="C2645" s="509" t="s">
        <v>328</v>
      </c>
      <c r="D2645" s="511">
        <v>11972</v>
      </c>
      <c r="E2645" s="507" t="s">
        <v>6108</v>
      </c>
    </row>
    <row r="2646" spans="1:5" ht="15" x14ac:dyDescent="0.35">
      <c r="A2646" s="509">
        <v>8499</v>
      </c>
      <c r="B2646" s="510" t="s">
        <v>3025</v>
      </c>
      <c r="C2646" s="509" t="s">
        <v>21</v>
      </c>
      <c r="D2646" s="511">
        <v>134882</v>
      </c>
      <c r="E2646" s="507" t="s">
        <v>6108</v>
      </c>
    </row>
    <row r="2647" spans="1:5" ht="15" x14ac:dyDescent="0.35">
      <c r="A2647" s="509">
        <v>8500</v>
      </c>
      <c r="B2647" s="510" t="s">
        <v>3026</v>
      </c>
      <c r="C2647" s="509" t="s">
        <v>21</v>
      </c>
      <c r="D2647" s="511">
        <v>64579</v>
      </c>
      <c r="E2647" s="507" t="s">
        <v>6108</v>
      </c>
    </row>
    <row r="2648" spans="1:5" ht="15" x14ac:dyDescent="0.35">
      <c r="A2648" s="509">
        <v>8501</v>
      </c>
      <c r="B2648" s="510" t="s">
        <v>3027</v>
      </c>
      <c r="C2648" s="509" t="s">
        <v>32</v>
      </c>
      <c r="D2648" s="511">
        <v>133812</v>
      </c>
      <c r="E2648" s="507" t="s">
        <v>6108</v>
      </c>
    </row>
    <row r="2649" spans="1:5" ht="15" x14ac:dyDescent="0.35">
      <c r="A2649" s="509">
        <v>8503</v>
      </c>
      <c r="B2649" s="510" t="s">
        <v>3028</v>
      </c>
      <c r="C2649" s="509" t="s">
        <v>32</v>
      </c>
      <c r="D2649" s="512">
        <v>128650</v>
      </c>
      <c r="E2649" s="507" t="s">
        <v>6108</v>
      </c>
    </row>
    <row r="2650" spans="1:5" ht="15" x14ac:dyDescent="0.35">
      <c r="A2650" s="509">
        <v>8504</v>
      </c>
      <c r="B2650" s="510" t="s">
        <v>3029</v>
      </c>
      <c r="C2650" s="509" t="s">
        <v>32</v>
      </c>
      <c r="D2650" s="511">
        <v>335111</v>
      </c>
      <c r="E2650" s="507" t="s">
        <v>6108</v>
      </c>
    </row>
    <row r="2651" spans="1:5" ht="15" x14ac:dyDescent="0.35">
      <c r="A2651" s="509">
        <v>8505</v>
      </c>
      <c r="B2651" s="510" t="s">
        <v>3030</v>
      </c>
      <c r="C2651" s="509" t="s">
        <v>32</v>
      </c>
      <c r="D2651" s="511">
        <v>1089697</v>
      </c>
      <c r="E2651" s="507" t="s">
        <v>6108</v>
      </c>
    </row>
    <row r="2652" spans="1:5" ht="15" x14ac:dyDescent="0.35">
      <c r="A2652" s="509">
        <v>8506</v>
      </c>
      <c r="B2652" s="510" t="s">
        <v>3031</v>
      </c>
      <c r="C2652" s="509" t="s">
        <v>32</v>
      </c>
      <c r="D2652" s="511">
        <v>733098</v>
      </c>
      <c r="E2652" s="507" t="s">
        <v>6108</v>
      </c>
    </row>
    <row r="2653" spans="1:5" ht="15" x14ac:dyDescent="0.35">
      <c r="A2653" s="509">
        <v>8507</v>
      </c>
      <c r="B2653" s="510" t="s">
        <v>3032</v>
      </c>
      <c r="C2653" s="509" t="s">
        <v>328</v>
      </c>
      <c r="D2653" s="511">
        <v>870014</v>
      </c>
      <c r="E2653" s="507" t="s">
        <v>6108</v>
      </c>
    </row>
    <row r="2654" spans="1:5" ht="15" x14ac:dyDescent="0.35">
      <c r="A2654" s="509">
        <v>8508</v>
      </c>
      <c r="B2654" s="510" t="s">
        <v>3033</v>
      </c>
      <c r="C2654" s="509" t="s">
        <v>328</v>
      </c>
      <c r="D2654" s="512">
        <v>886981</v>
      </c>
      <c r="E2654" s="507" t="s">
        <v>6108</v>
      </c>
    </row>
    <row r="2655" spans="1:5" ht="15" x14ac:dyDescent="0.35">
      <c r="A2655" s="509">
        <v>8509</v>
      </c>
      <c r="B2655" s="510" t="s">
        <v>3034</v>
      </c>
      <c r="C2655" s="509" t="s">
        <v>328</v>
      </c>
      <c r="D2655" s="512">
        <v>1000717</v>
      </c>
      <c r="E2655" s="507" t="s">
        <v>6108</v>
      </c>
    </row>
    <row r="2656" spans="1:5" ht="15" x14ac:dyDescent="0.35">
      <c r="A2656" s="509">
        <v>8511</v>
      </c>
      <c r="B2656" s="510" t="s">
        <v>3035</v>
      </c>
      <c r="C2656" s="509" t="s">
        <v>328</v>
      </c>
      <c r="D2656" s="511">
        <v>530445</v>
      </c>
      <c r="E2656" s="507" t="s">
        <v>6108</v>
      </c>
    </row>
    <row r="2657" spans="1:5" ht="15" x14ac:dyDescent="0.35">
      <c r="A2657" s="509">
        <v>8512</v>
      </c>
      <c r="B2657" s="510" t="s">
        <v>3036</v>
      </c>
      <c r="C2657" s="509" t="s">
        <v>328</v>
      </c>
      <c r="D2657" s="511">
        <v>234681</v>
      </c>
      <c r="E2657" s="507" t="s">
        <v>6108</v>
      </c>
    </row>
    <row r="2658" spans="1:5" ht="15" x14ac:dyDescent="0.35">
      <c r="A2658" s="509">
        <v>8513</v>
      </c>
      <c r="B2658" s="510" t="s">
        <v>3037</v>
      </c>
      <c r="C2658" s="509" t="s">
        <v>32</v>
      </c>
      <c r="D2658" s="511">
        <v>708120</v>
      </c>
      <c r="E2658" s="507" t="s">
        <v>6108</v>
      </c>
    </row>
    <row r="2659" spans="1:5" ht="15" x14ac:dyDescent="0.35">
      <c r="A2659" s="509">
        <v>8514</v>
      </c>
      <c r="B2659" s="510" t="s">
        <v>3038</v>
      </c>
      <c r="C2659" s="509" t="s">
        <v>328</v>
      </c>
      <c r="D2659" s="511">
        <v>22971</v>
      </c>
      <c r="E2659" s="507" t="s">
        <v>6108</v>
      </c>
    </row>
    <row r="2660" spans="1:5" ht="15" x14ac:dyDescent="0.35">
      <c r="A2660" s="509">
        <v>8515</v>
      </c>
      <c r="B2660" s="510" t="s">
        <v>3039</v>
      </c>
      <c r="C2660" s="509" t="s">
        <v>32</v>
      </c>
      <c r="D2660" s="512">
        <v>22130</v>
      </c>
      <c r="E2660" s="507" t="s">
        <v>6108</v>
      </c>
    </row>
    <row r="2661" spans="1:5" ht="15" x14ac:dyDescent="0.35">
      <c r="A2661" s="509">
        <v>8516</v>
      </c>
      <c r="B2661" s="510" t="s">
        <v>3040</v>
      </c>
      <c r="C2661" s="509" t="s">
        <v>32</v>
      </c>
      <c r="D2661" s="512">
        <v>48362</v>
      </c>
      <c r="E2661" s="507" t="s">
        <v>6108</v>
      </c>
    </row>
    <row r="2662" spans="1:5" ht="15" x14ac:dyDescent="0.35">
      <c r="A2662" s="509">
        <v>8518</v>
      </c>
      <c r="B2662" s="510" t="s">
        <v>3041</v>
      </c>
      <c r="C2662" s="509" t="s">
        <v>32</v>
      </c>
      <c r="D2662" s="511">
        <v>36660</v>
      </c>
      <c r="E2662" s="507" t="s">
        <v>6108</v>
      </c>
    </row>
    <row r="2663" spans="1:5" ht="15" x14ac:dyDescent="0.35">
      <c r="A2663" s="509">
        <v>8519</v>
      </c>
      <c r="B2663" s="510" t="s">
        <v>3042</v>
      </c>
      <c r="C2663" s="509" t="s">
        <v>32</v>
      </c>
      <c r="D2663" s="512">
        <v>26746</v>
      </c>
      <c r="E2663" s="507" t="s">
        <v>6108</v>
      </c>
    </row>
    <row r="2664" spans="1:5" ht="15" x14ac:dyDescent="0.35">
      <c r="A2664" s="509">
        <v>8522</v>
      </c>
      <c r="B2664" s="510" t="s">
        <v>3043</v>
      </c>
      <c r="C2664" s="509" t="s">
        <v>328</v>
      </c>
      <c r="D2664" s="511">
        <v>16075</v>
      </c>
      <c r="E2664" s="507" t="s">
        <v>6108</v>
      </c>
    </row>
    <row r="2665" spans="1:5" ht="15" x14ac:dyDescent="0.35">
      <c r="A2665" s="509">
        <v>8523</v>
      </c>
      <c r="B2665" s="510" t="s">
        <v>3044</v>
      </c>
      <c r="C2665" s="509" t="s">
        <v>32</v>
      </c>
      <c r="D2665" s="512">
        <v>7480</v>
      </c>
      <c r="E2665" s="507" t="s">
        <v>6108</v>
      </c>
    </row>
    <row r="2666" spans="1:5" ht="15" x14ac:dyDescent="0.35">
      <c r="A2666" s="509">
        <v>8524</v>
      </c>
      <c r="B2666" s="510" t="s">
        <v>3045</v>
      </c>
      <c r="C2666" s="509" t="s">
        <v>32</v>
      </c>
      <c r="D2666" s="512">
        <v>8284</v>
      </c>
      <c r="E2666" s="507" t="s">
        <v>6108</v>
      </c>
    </row>
    <row r="2667" spans="1:5" ht="15" x14ac:dyDescent="0.35">
      <c r="A2667" s="509">
        <v>8525</v>
      </c>
      <c r="B2667" s="510" t="s">
        <v>3046</v>
      </c>
      <c r="C2667" s="509" t="s">
        <v>32</v>
      </c>
      <c r="D2667" s="511">
        <v>8637</v>
      </c>
      <c r="E2667" s="507" t="s">
        <v>6108</v>
      </c>
    </row>
    <row r="2668" spans="1:5" ht="15" x14ac:dyDescent="0.35">
      <c r="A2668" s="509">
        <v>8526</v>
      </c>
      <c r="B2668" s="510" t="s">
        <v>3047</v>
      </c>
      <c r="C2668" s="509" t="s">
        <v>32</v>
      </c>
      <c r="D2668" s="511">
        <v>19894</v>
      </c>
      <c r="E2668" s="507" t="s">
        <v>6108</v>
      </c>
    </row>
    <row r="2669" spans="1:5" ht="15" x14ac:dyDescent="0.35">
      <c r="A2669" s="509">
        <v>8527</v>
      </c>
      <c r="B2669" s="510" t="s">
        <v>3048</v>
      </c>
      <c r="C2669" s="509" t="s">
        <v>32</v>
      </c>
      <c r="D2669" s="511">
        <v>21694</v>
      </c>
      <c r="E2669" s="507" t="s">
        <v>6108</v>
      </c>
    </row>
    <row r="2670" spans="1:5" ht="15" x14ac:dyDescent="0.35">
      <c r="A2670" s="509">
        <v>8528</v>
      </c>
      <c r="B2670" s="510" t="s">
        <v>3049</v>
      </c>
      <c r="C2670" s="509" t="s">
        <v>32</v>
      </c>
      <c r="D2670" s="512">
        <v>26696</v>
      </c>
      <c r="E2670" s="507" t="s">
        <v>6108</v>
      </c>
    </row>
    <row r="2671" spans="1:5" ht="15" x14ac:dyDescent="0.35">
      <c r="A2671" s="509">
        <v>8529</v>
      </c>
      <c r="B2671" s="510" t="s">
        <v>3050</v>
      </c>
      <c r="C2671" s="509" t="s">
        <v>32</v>
      </c>
      <c r="D2671" s="511">
        <v>26914</v>
      </c>
      <c r="E2671" s="507" t="s">
        <v>6108</v>
      </c>
    </row>
    <row r="2672" spans="1:5" ht="15" x14ac:dyDescent="0.35">
      <c r="A2672" s="509">
        <v>8530</v>
      </c>
      <c r="B2672" s="510" t="s">
        <v>3051</v>
      </c>
      <c r="C2672" s="509" t="s">
        <v>32</v>
      </c>
      <c r="D2672" s="512">
        <v>64207</v>
      </c>
      <c r="E2672" s="507" t="s">
        <v>6108</v>
      </c>
    </row>
    <row r="2673" spans="1:5" ht="15" x14ac:dyDescent="0.35">
      <c r="A2673" s="509">
        <v>8531</v>
      </c>
      <c r="B2673" s="510" t="s">
        <v>3052</v>
      </c>
      <c r="C2673" s="509" t="s">
        <v>32</v>
      </c>
      <c r="D2673" s="512">
        <v>189565</v>
      </c>
      <c r="E2673" s="507" t="s">
        <v>6108</v>
      </c>
    </row>
    <row r="2674" spans="1:5" ht="15" x14ac:dyDescent="0.35">
      <c r="A2674" s="509">
        <v>8533</v>
      </c>
      <c r="B2674" s="510" t="s">
        <v>3053</v>
      </c>
      <c r="C2674" s="509" t="s">
        <v>32</v>
      </c>
      <c r="D2674" s="512">
        <v>31256</v>
      </c>
      <c r="E2674" s="507" t="s">
        <v>6108</v>
      </c>
    </row>
    <row r="2675" spans="1:5" ht="15" x14ac:dyDescent="0.35">
      <c r="A2675" s="509">
        <v>8534</v>
      </c>
      <c r="B2675" s="510" t="s">
        <v>3054</v>
      </c>
      <c r="C2675" s="509" t="s">
        <v>32</v>
      </c>
      <c r="D2675" s="512">
        <v>452729</v>
      </c>
      <c r="E2675" s="507" t="s">
        <v>6108</v>
      </c>
    </row>
    <row r="2676" spans="1:5" ht="15" x14ac:dyDescent="0.35">
      <c r="A2676" s="509">
        <v>8535</v>
      </c>
      <c r="B2676" s="510" t="s">
        <v>3055</v>
      </c>
      <c r="C2676" s="509" t="s">
        <v>32</v>
      </c>
      <c r="D2676" s="512">
        <v>540435</v>
      </c>
      <c r="E2676" s="507" t="s">
        <v>6108</v>
      </c>
    </row>
    <row r="2677" spans="1:5" ht="15" x14ac:dyDescent="0.35">
      <c r="A2677" s="509">
        <v>8536</v>
      </c>
      <c r="B2677" s="510" t="s">
        <v>3056</v>
      </c>
      <c r="C2677" s="509" t="s">
        <v>21</v>
      </c>
      <c r="D2677" s="511">
        <v>23023</v>
      </c>
      <c r="E2677" s="507" t="s">
        <v>331</v>
      </c>
    </row>
    <row r="2678" spans="1:5" ht="15" x14ac:dyDescent="0.35">
      <c r="A2678" s="509">
        <v>8537</v>
      </c>
      <c r="B2678" s="510" t="s">
        <v>3057</v>
      </c>
      <c r="C2678" s="509" t="s">
        <v>32</v>
      </c>
      <c r="D2678" s="512">
        <v>2145748</v>
      </c>
      <c r="E2678" s="507" t="s">
        <v>6108</v>
      </c>
    </row>
    <row r="2679" spans="1:5" ht="15" x14ac:dyDescent="0.35">
      <c r="A2679" s="509">
        <v>8538</v>
      </c>
      <c r="B2679" s="510" t="s">
        <v>3058</v>
      </c>
      <c r="C2679" s="509" t="s">
        <v>328</v>
      </c>
      <c r="D2679" s="511">
        <v>51812</v>
      </c>
      <c r="E2679" s="507" t="s">
        <v>6108</v>
      </c>
    </row>
    <row r="2680" spans="1:5" ht="15" x14ac:dyDescent="0.35">
      <c r="A2680" s="509">
        <v>8539</v>
      </c>
      <c r="B2680" s="510" t="s">
        <v>3059</v>
      </c>
      <c r="C2680" s="509" t="s">
        <v>328</v>
      </c>
      <c r="D2680" s="511">
        <v>57297</v>
      </c>
      <c r="E2680" s="507" t="s">
        <v>6108</v>
      </c>
    </row>
    <row r="2681" spans="1:5" ht="15" x14ac:dyDescent="0.35">
      <c r="A2681" s="509">
        <v>8540</v>
      </c>
      <c r="B2681" s="510" t="s">
        <v>3060</v>
      </c>
      <c r="C2681" s="509" t="s">
        <v>328</v>
      </c>
      <c r="D2681" s="511">
        <v>118392</v>
      </c>
      <c r="E2681" s="507" t="s">
        <v>6108</v>
      </c>
    </row>
    <row r="2682" spans="1:5" ht="15" x14ac:dyDescent="0.35">
      <c r="A2682" s="509">
        <v>8541</v>
      </c>
      <c r="B2682" s="510" t="s">
        <v>3061</v>
      </c>
      <c r="C2682" s="509" t="s">
        <v>328</v>
      </c>
      <c r="D2682" s="511">
        <v>492033</v>
      </c>
      <c r="E2682" s="507" t="s">
        <v>6108</v>
      </c>
    </row>
    <row r="2683" spans="1:5" ht="15" x14ac:dyDescent="0.35">
      <c r="A2683" s="509">
        <v>8542</v>
      </c>
      <c r="B2683" s="510" t="s">
        <v>3062</v>
      </c>
      <c r="C2683" s="509" t="s">
        <v>32</v>
      </c>
      <c r="D2683" s="512">
        <v>179223</v>
      </c>
      <c r="E2683" s="507" t="s">
        <v>6108</v>
      </c>
    </row>
    <row r="2684" spans="1:5" ht="15" x14ac:dyDescent="0.35">
      <c r="A2684" s="509">
        <v>8543</v>
      </c>
      <c r="B2684" s="510" t="s">
        <v>3063</v>
      </c>
      <c r="C2684" s="509" t="s">
        <v>32</v>
      </c>
      <c r="D2684" s="512">
        <v>1547</v>
      </c>
      <c r="E2684" s="507" t="s">
        <v>6108</v>
      </c>
    </row>
    <row r="2685" spans="1:5" ht="15" x14ac:dyDescent="0.35">
      <c r="A2685" s="509">
        <v>8544</v>
      </c>
      <c r="B2685" s="510" t="s">
        <v>3064</v>
      </c>
      <c r="C2685" s="509" t="s">
        <v>32</v>
      </c>
      <c r="D2685" s="512">
        <v>1547</v>
      </c>
      <c r="E2685" s="507" t="s">
        <v>6108</v>
      </c>
    </row>
    <row r="2686" spans="1:5" ht="15" x14ac:dyDescent="0.35">
      <c r="A2686" s="509">
        <v>8545</v>
      </c>
      <c r="B2686" s="510" t="s">
        <v>3065</v>
      </c>
      <c r="C2686" s="509" t="s">
        <v>30</v>
      </c>
      <c r="D2686" s="512">
        <v>60454</v>
      </c>
      <c r="E2686" s="507" t="s">
        <v>6108</v>
      </c>
    </row>
    <row r="2687" spans="1:5" ht="15" x14ac:dyDescent="0.35">
      <c r="A2687" s="509">
        <v>8546</v>
      </c>
      <c r="B2687" s="510" t="s">
        <v>3066</v>
      </c>
      <c r="C2687" s="509" t="s">
        <v>32</v>
      </c>
      <c r="D2687" s="511">
        <v>557644</v>
      </c>
      <c r="E2687" s="507" t="s">
        <v>6108</v>
      </c>
    </row>
    <row r="2688" spans="1:5" ht="15" x14ac:dyDescent="0.35">
      <c r="A2688" s="509">
        <v>8547</v>
      </c>
      <c r="B2688" s="510" t="s">
        <v>3067</v>
      </c>
      <c r="C2688" s="509" t="s">
        <v>32</v>
      </c>
      <c r="D2688" s="511">
        <v>557644</v>
      </c>
      <c r="E2688" s="507" t="s">
        <v>6108</v>
      </c>
    </row>
    <row r="2689" spans="1:5" ht="15" x14ac:dyDescent="0.35">
      <c r="A2689" s="509">
        <v>8548</v>
      </c>
      <c r="B2689" s="510" t="s">
        <v>3068</v>
      </c>
      <c r="C2689" s="509" t="s">
        <v>32</v>
      </c>
      <c r="D2689" s="511">
        <v>414360</v>
      </c>
      <c r="E2689" s="507" t="s">
        <v>6108</v>
      </c>
    </row>
    <row r="2690" spans="1:5" ht="15" x14ac:dyDescent="0.35">
      <c r="A2690" s="509">
        <v>8549</v>
      </c>
      <c r="B2690" s="510" t="s">
        <v>3069</v>
      </c>
      <c r="C2690" s="509" t="s">
        <v>32</v>
      </c>
      <c r="D2690" s="511">
        <v>644018</v>
      </c>
      <c r="E2690" s="507" t="s">
        <v>6108</v>
      </c>
    </row>
    <row r="2691" spans="1:5" ht="15" x14ac:dyDescent="0.35">
      <c r="A2691" s="509">
        <v>8553</v>
      </c>
      <c r="B2691" s="510" t="s">
        <v>3070</v>
      </c>
      <c r="C2691" s="509" t="s">
        <v>32</v>
      </c>
      <c r="D2691" s="511">
        <v>63390</v>
      </c>
      <c r="E2691" s="507" t="s">
        <v>331</v>
      </c>
    </row>
    <row r="2692" spans="1:5" ht="15" x14ac:dyDescent="0.35">
      <c r="A2692" s="509">
        <v>8556</v>
      </c>
      <c r="B2692" s="510" t="s">
        <v>3071</v>
      </c>
      <c r="C2692" s="509" t="s">
        <v>21</v>
      </c>
      <c r="D2692" s="512">
        <v>75735</v>
      </c>
      <c r="E2692" s="507" t="s">
        <v>331</v>
      </c>
    </row>
    <row r="2693" spans="1:5" ht="15" x14ac:dyDescent="0.35">
      <c r="A2693" s="509">
        <v>8557</v>
      </c>
      <c r="B2693" s="510" t="s">
        <v>3072</v>
      </c>
      <c r="C2693" s="509" t="s">
        <v>21</v>
      </c>
      <c r="D2693" s="512">
        <v>146188</v>
      </c>
      <c r="E2693" s="507" t="s">
        <v>331</v>
      </c>
    </row>
    <row r="2694" spans="1:5" ht="15" x14ac:dyDescent="0.35">
      <c r="A2694" s="509">
        <v>8558</v>
      </c>
      <c r="B2694" s="510" t="s">
        <v>3073</v>
      </c>
      <c r="C2694" s="509" t="s">
        <v>32</v>
      </c>
      <c r="D2694" s="511">
        <v>24593314</v>
      </c>
      <c r="E2694" s="507" t="s">
        <v>331</v>
      </c>
    </row>
    <row r="2695" spans="1:5" ht="15" x14ac:dyDescent="0.35">
      <c r="A2695" s="509">
        <v>8559</v>
      </c>
      <c r="B2695" s="510" t="s">
        <v>3074</v>
      </c>
      <c r="C2695" s="509" t="s">
        <v>32</v>
      </c>
      <c r="D2695" s="512">
        <v>18375897</v>
      </c>
      <c r="E2695" s="507" t="s">
        <v>331</v>
      </c>
    </row>
    <row r="2696" spans="1:5" ht="15" x14ac:dyDescent="0.35">
      <c r="A2696" s="509">
        <v>8560</v>
      </c>
      <c r="B2696" s="510" t="s">
        <v>3075</v>
      </c>
      <c r="C2696" s="509" t="s">
        <v>32</v>
      </c>
      <c r="D2696" s="512">
        <v>2553289</v>
      </c>
      <c r="E2696" s="507" t="s">
        <v>331</v>
      </c>
    </row>
    <row r="2697" spans="1:5" ht="15" x14ac:dyDescent="0.35">
      <c r="A2697" s="509">
        <v>8561</v>
      </c>
      <c r="B2697" s="510" t="s">
        <v>3076</v>
      </c>
      <c r="C2697" s="509" t="s">
        <v>32</v>
      </c>
      <c r="D2697" s="511">
        <v>419191</v>
      </c>
      <c r="E2697" s="507" t="s">
        <v>331</v>
      </c>
    </row>
    <row r="2698" spans="1:5" ht="15" x14ac:dyDescent="0.35">
      <c r="A2698" s="509">
        <v>8562</v>
      </c>
      <c r="B2698" s="510" t="s">
        <v>3077</v>
      </c>
      <c r="C2698" s="509" t="s">
        <v>32</v>
      </c>
      <c r="D2698" s="511">
        <v>394408</v>
      </c>
      <c r="E2698" s="507" t="s">
        <v>331</v>
      </c>
    </row>
    <row r="2699" spans="1:5" ht="15" x14ac:dyDescent="0.35">
      <c r="A2699" s="509">
        <v>8563</v>
      </c>
      <c r="B2699" s="510" t="s">
        <v>3078</v>
      </c>
      <c r="C2699" s="509" t="s">
        <v>32</v>
      </c>
      <c r="D2699" s="511">
        <v>419191</v>
      </c>
      <c r="E2699" s="507" t="s">
        <v>331</v>
      </c>
    </row>
    <row r="2700" spans="1:5" ht="15" x14ac:dyDescent="0.35">
      <c r="A2700" s="509">
        <v>8564</v>
      </c>
      <c r="B2700" s="510" t="s">
        <v>3079</v>
      </c>
      <c r="C2700" s="509" t="s">
        <v>32</v>
      </c>
      <c r="D2700" s="511">
        <v>419191</v>
      </c>
      <c r="E2700" s="507" t="s">
        <v>331</v>
      </c>
    </row>
    <row r="2701" spans="1:5" ht="15" x14ac:dyDescent="0.35">
      <c r="A2701" s="509">
        <v>8566</v>
      </c>
      <c r="B2701" s="510" t="s">
        <v>3080</v>
      </c>
      <c r="C2701" s="509" t="s">
        <v>21</v>
      </c>
      <c r="D2701" s="511">
        <v>147965</v>
      </c>
      <c r="E2701" s="507" t="s">
        <v>331</v>
      </c>
    </row>
    <row r="2702" spans="1:5" ht="15" x14ac:dyDescent="0.35">
      <c r="A2702" s="509">
        <v>8569</v>
      </c>
      <c r="B2702" s="510" t="s">
        <v>3081</v>
      </c>
      <c r="C2702" s="509" t="s">
        <v>32</v>
      </c>
      <c r="D2702" s="511">
        <v>26964928</v>
      </c>
      <c r="E2702" s="507" t="s">
        <v>331</v>
      </c>
    </row>
    <row r="2703" spans="1:5" ht="15" x14ac:dyDescent="0.35">
      <c r="A2703" s="509">
        <v>8574</v>
      </c>
      <c r="B2703" s="510" t="s">
        <v>3082</v>
      </c>
      <c r="C2703" s="509" t="s">
        <v>32</v>
      </c>
      <c r="D2703" s="511">
        <v>167392</v>
      </c>
      <c r="E2703" s="507" t="s">
        <v>6109</v>
      </c>
    </row>
    <row r="2704" spans="1:5" ht="15" x14ac:dyDescent="0.35">
      <c r="A2704" s="509">
        <v>8575</v>
      </c>
      <c r="B2704" s="510" t="s">
        <v>3083</v>
      </c>
      <c r="C2704" s="509" t="s">
        <v>32</v>
      </c>
      <c r="D2704" s="511">
        <v>9975</v>
      </c>
      <c r="E2704" s="507" t="s">
        <v>6109</v>
      </c>
    </row>
    <row r="2705" spans="1:5" ht="15" x14ac:dyDescent="0.35">
      <c r="A2705" s="509">
        <v>8576</v>
      </c>
      <c r="B2705" s="510" t="s">
        <v>3084</v>
      </c>
      <c r="C2705" s="509" t="s">
        <v>32</v>
      </c>
      <c r="D2705" s="511">
        <v>166755</v>
      </c>
      <c r="E2705" s="507" t="s">
        <v>6109</v>
      </c>
    </row>
    <row r="2706" spans="1:5" ht="15" x14ac:dyDescent="0.35">
      <c r="A2706" s="509">
        <v>8579</v>
      </c>
      <c r="B2706" s="510" t="s">
        <v>3085</v>
      </c>
      <c r="C2706" s="509" t="s">
        <v>32</v>
      </c>
      <c r="D2706" s="511">
        <v>191046</v>
      </c>
      <c r="E2706" s="507" t="s">
        <v>6109</v>
      </c>
    </row>
    <row r="2707" spans="1:5" ht="15" x14ac:dyDescent="0.35">
      <c r="A2707" s="509">
        <v>8581</v>
      </c>
      <c r="B2707" s="510" t="s">
        <v>3086</v>
      </c>
      <c r="C2707" s="509" t="s">
        <v>32</v>
      </c>
      <c r="D2707" s="511">
        <v>7373</v>
      </c>
      <c r="E2707" s="507" t="s">
        <v>6108</v>
      </c>
    </row>
    <row r="2708" spans="1:5" ht="15" x14ac:dyDescent="0.35">
      <c r="A2708" s="509">
        <v>8582</v>
      </c>
      <c r="B2708" s="510" t="s">
        <v>3087</v>
      </c>
      <c r="C2708" s="509" t="s">
        <v>32</v>
      </c>
      <c r="D2708" s="511">
        <v>9214</v>
      </c>
      <c r="E2708" s="507" t="s">
        <v>6108</v>
      </c>
    </row>
    <row r="2709" spans="1:5" ht="15" x14ac:dyDescent="0.35">
      <c r="A2709" s="509">
        <v>8583</v>
      </c>
      <c r="B2709" s="510" t="s">
        <v>3088</v>
      </c>
      <c r="C2709" s="509" t="s">
        <v>328</v>
      </c>
      <c r="D2709" s="511">
        <v>10665</v>
      </c>
      <c r="E2709" s="507" t="s">
        <v>6108</v>
      </c>
    </row>
    <row r="2710" spans="1:5" ht="15" x14ac:dyDescent="0.35">
      <c r="A2710" s="509">
        <v>8584</v>
      </c>
      <c r="B2710" s="510" t="s">
        <v>3089</v>
      </c>
      <c r="C2710" s="509" t="s">
        <v>32</v>
      </c>
      <c r="D2710" s="511">
        <v>9716</v>
      </c>
      <c r="E2710" s="507" t="s">
        <v>6108</v>
      </c>
    </row>
    <row r="2711" spans="1:5" ht="15" x14ac:dyDescent="0.35">
      <c r="A2711" s="509">
        <v>8585</v>
      </c>
      <c r="B2711" s="510" t="s">
        <v>3090</v>
      </c>
      <c r="C2711" s="509" t="s">
        <v>32</v>
      </c>
      <c r="D2711" s="511">
        <v>6759</v>
      </c>
      <c r="E2711" s="507" t="s">
        <v>6108</v>
      </c>
    </row>
    <row r="2712" spans="1:5" ht="15" x14ac:dyDescent="0.35">
      <c r="A2712" s="509">
        <v>8586</v>
      </c>
      <c r="B2712" s="510" t="s">
        <v>3091</v>
      </c>
      <c r="C2712" s="509" t="s">
        <v>32</v>
      </c>
      <c r="D2712" s="511">
        <v>9148</v>
      </c>
      <c r="E2712" s="507" t="s">
        <v>6108</v>
      </c>
    </row>
    <row r="2713" spans="1:5" ht="15" x14ac:dyDescent="0.35">
      <c r="A2713" s="509">
        <v>8587</v>
      </c>
      <c r="B2713" s="510" t="s">
        <v>3092</v>
      </c>
      <c r="C2713" s="509" t="s">
        <v>32</v>
      </c>
      <c r="D2713" s="512">
        <v>21135</v>
      </c>
      <c r="E2713" s="507" t="s">
        <v>6108</v>
      </c>
    </row>
    <row r="2714" spans="1:5" ht="15" x14ac:dyDescent="0.35">
      <c r="A2714" s="509">
        <v>8588</v>
      </c>
      <c r="B2714" s="510" t="s">
        <v>3093</v>
      </c>
      <c r="C2714" s="509" t="s">
        <v>32</v>
      </c>
      <c r="D2714" s="512">
        <v>21135</v>
      </c>
      <c r="E2714" s="507" t="s">
        <v>6108</v>
      </c>
    </row>
    <row r="2715" spans="1:5" ht="15" x14ac:dyDescent="0.35">
      <c r="A2715" s="509">
        <v>8589</v>
      </c>
      <c r="B2715" s="510" t="s">
        <v>3094</v>
      </c>
      <c r="C2715" s="509" t="s">
        <v>32</v>
      </c>
      <c r="D2715" s="511">
        <v>21135</v>
      </c>
      <c r="E2715" s="507" t="s">
        <v>331</v>
      </c>
    </row>
    <row r="2716" spans="1:5" ht="15" x14ac:dyDescent="0.35">
      <c r="A2716" s="509">
        <v>8590</v>
      </c>
      <c r="B2716" s="510" t="s">
        <v>3095</v>
      </c>
      <c r="C2716" s="509" t="s">
        <v>32</v>
      </c>
      <c r="D2716" s="512">
        <v>2667316</v>
      </c>
      <c r="E2716" s="507" t="s">
        <v>331</v>
      </c>
    </row>
    <row r="2717" spans="1:5" ht="15" x14ac:dyDescent="0.35">
      <c r="A2717" s="509">
        <v>8591</v>
      </c>
      <c r="B2717" s="510" t="s">
        <v>3096</v>
      </c>
      <c r="C2717" s="509" t="s">
        <v>21</v>
      </c>
      <c r="D2717" s="511">
        <v>81415</v>
      </c>
      <c r="E2717" s="507" t="s">
        <v>331</v>
      </c>
    </row>
    <row r="2718" spans="1:5" ht="15" x14ac:dyDescent="0.35">
      <c r="A2718" s="509">
        <v>8592</v>
      </c>
      <c r="B2718" s="510" t="s">
        <v>3097</v>
      </c>
      <c r="C2718" s="509" t="s">
        <v>328</v>
      </c>
      <c r="D2718" s="512">
        <v>137081</v>
      </c>
      <c r="E2718" s="507" t="s">
        <v>331</v>
      </c>
    </row>
    <row r="2719" spans="1:5" ht="15" x14ac:dyDescent="0.35">
      <c r="A2719" s="509">
        <v>8593</v>
      </c>
      <c r="B2719" s="510" t="s">
        <v>3098</v>
      </c>
      <c r="C2719" s="509" t="s">
        <v>32</v>
      </c>
      <c r="D2719" s="512">
        <v>61218</v>
      </c>
      <c r="E2719" s="507" t="s">
        <v>6108</v>
      </c>
    </row>
    <row r="2720" spans="1:5" ht="15" x14ac:dyDescent="0.35">
      <c r="A2720" s="509">
        <v>8594</v>
      </c>
      <c r="B2720" s="510" t="s">
        <v>3099</v>
      </c>
      <c r="C2720" s="509" t="s">
        <v>32</v>
      </c>
      <c r="D2720" s="512">
        <v>224998</v>
      </c>
      <c r="E2720" s="507" t="s">
        <v>6108</v>
      </c>
    </row>
    <row r="2721" spans="1:5" ht="15" x14ac:dyDescent="0.35">
      <c r="A2721" s="509">
        <v>8595</v>
      </c>
      <c r="B2721" s="510" t="s">
        <v>3100</v>
      </c>
      <c r="C2721" s="509" t="s">
        <v>32</v>
      </c>
      <c r="D2721" s="512">
        <v>245228</v>
      </c>
      <c r="E2721" s="507" t="s">
        <v>6108</v>
      </c>
    </row>
    <row r="2722" spans="1:5" ht="15" x14ac:dyDescent="0.35">
      <c r="A2722" s="509">
        <v>8597</v>
      </c>
      <c r="B2722" s="510" t="s">
        <v>3101</v>
      </c>
      <c r="C2722" s="509" t="s">
        <v>32</v>
      </c>
      <c r="D2722" s="512">
        <v>181268</v>
      </c>
      <c r="E2722" s="507" t="s">
        <v>6108</v>
      </c>
    </row>
    <row r="2723" spans="1:5" ht="15" x14ac:dyDescent="0.35">
      <c r="A2723" s="509">
        <v>8598</v>
      </c>
      <c r="B2723" s="510" t="s">
        <v>3102</v>
      </c>
      <c r="C2723" s="509" t="s">
        <v>32</v>
      </c>
      <c r="D2723" s="511">
        <v>434096</v>
      </c>
      <c r="E2723" s="507" t="s">
        <v>6108</v>
      </c>
    </row>
    <row r="2724" spans="1:5" ht="15" x14ac:dyDescent="0.35">
      <c r="A2724" s="509">
        <v>8599</v>
      </c>
      <c r="B2724" s="510" t="s">
        <v>3103</v>
      </c>
      <c r="C2724" s="509" t="s">
        <v>32</v>
      </c>
      <c r="D2724" s="512">
        <v>78600</v>
      </c>
      <c r="E2724" s="507" t="s">
        <v>6108</v>
      </c>
    </row>
    <row r="2725" spans="1:5" ht="15" x14ac:dyDescent="0.35">
      <c r="A2725" s="509">
        <v>8601</v>
      </c>
      <c r="B2725" s="510" t="s">
        <v>3104</v>
      </c>
      <c r="C2725" s="509" t="s">
        <v>32</v>
      </c>
      <c r="D2725" s="511">
        <v>300223</v>
      </c>
      <c r="E2725" s="507" t="s">
        <v>6108</v>
      </c>
    </row>
    <row r="2726" spans="1:5" ht="15" x14ac:dyDescent="0.35">
      <c r="A2726" s="509">
        <v>8603</v>
      </c>
      <c r="B2726" s="510" t="s">
        <v>3105</v>
      </c>
      <c r="C2726" s="509" t="s">
        <v>32</v>
      </c>
      <c r="D2726" s="511">
        <v>66989</v>
      </c>
      <c r="E2726" s="507" t="s">
        <v>6108</v>
      </c>
    </row>
    <row r="2727" spans="1:5" ht="15" x14ac:dyDescent="0.35">
      <c r="A2727" s="509">
        <v>8605</v>
      </c>
      <c r="B2727" s="510" t="s">
        <v>3106</v>
      </c>
      <c r="C2727" s="509" t="s">
        <v>21</v>
      </c>
      <c r="D2727" s="511">
        <v>84089</v>
      </c>
      <c r="E2727" s="507" t="s">
        <v>6108</v>
      </c>
    </row>
    <row r="2728" spans="1:5" ht="15" x14ac:dyDescent="0.35">
      <c r="A2728" s="509">
        <v>8606</v>
      </c>
      <c r="B2728" s="510" t="s">
        <v>3107</v>
      </c>
      <c r="C2728" s="509" t="s">
        <v>21</v>
      </c>
      <c r="D2728" s="511">
        <v>14370</v>
      </c>
      <c r="E2728" s="507" t="s">
        <v>6108</v>
      </c>
    </row>
    <row r="2729" spans="1:5" ht="15" x14ac:dyDescent="0.35">
      <c r="A2729" s="509">
        <v>8610</v>
      </c>
      <c r="B2729" s="510" t="s">
        <v>3108</v>
      </c>
      <c r="C2729" s="509" t="s">
        <v>32</v>
      </c>
      <c r="D2729" s="511">
        <v>37176711</v>
      </c>
      <c r="E2729" s="507" t="s">
        <v>6108</v>
      </c>
    </row>
    <row r="2730" spans="1:5" ht="15" x14ac:dyDescent="0.35">
      <c r="A2730" s="509">
        <v>8611</v>
      </c>
      <c r="B2730" s="510" t="s">
        <v>3109</v>
      </c>
      <c r="C2730" s="509" t="s">
        <v>670</v>
      </c>
      <c r="D2730" s="511">
        <v>5366</v>
      </c>
      <c r="E2730" s="507" t="s">
        <v>6108</v>
      </c>
    </row>
    <row r="2731" spans="1:5" ht="15" x14ac:dyDescent="0.35">
      <c r="A2731" s="509">
        <v>8612</v>
      </c>
      <c r="B2731" s="510" t="s">
        <v>3110</v>
      </c>
      <c r="C2731" s="509" t="s">
        <v>21</v>
      </c>
      <c r="D2731" s="511">
        <v>224119</v>
      </c>
      <c r="E2731" s="507" t="s">
        <v>6108</v>
      </c>
    </row>
    <row r="2732" spans="1:5" ht="15" x14ac:dyDescent="0.35">
      <c r="A2732" s="509">
        <v>8613</v>
      </c>
      <c r="B2732" s="510" t="s">
        <v>3111</v>
      </c>
      <c r="C2732" s="509" t="s">
        <v>30</v>
      </c>
      <c r="D2732" s="512">
        <v>1386406</v>
      </c>
      <c r="E2732" s="507" t="s">
        <v>6108</v>
      </c>
    </row>
    <row r="2733" spans="1:5" ht="15" x14ac:dyDescent="0.35">
      <c r="A2733" s="509">
        <v>8614</v>
      </c>
      <c r="B2733" s="510" t="s">
        <v>3112</v>
      </c>
      <c r="C2733" s="509" t="s">
        <v>30</v>
      </c>
      <c r="D2733" s="511">
        <v>1283363</v>
      </c>
      <c r="E2733" s="507" t="s">
        <v>6108</v>
      </c>
    </row>
    <row r="2734" spans="1:5" ht="15" x14ac:dyDescent="0.35">
      <c r="A2734" s="509">
        <v>8615</v>
      </c>
      <c r="B2734" s="510" t="s">
        <v>3113</v>
      </c>
      <c r="C2734" s="509" t="s">
        <v>30</v>
      </c>
      <c r="D2734" s="511">
        <v>216573</v>
      </c>
      <c r="E2734" s="507" t="s">
        <v>6108</v>
      </c>
    </row>
    <row r="2735" spans="1:5" ht="15" x14ac:dyDescent="0.35">
      <c r="A2735" s="509">
        <v>8616</v>
      </c>
      <c r="B2735" s="510" t="s">
        <v>3114</v>
      </c>
      <c r="C2735" s="509" t="s">
        <v>30</v>
      </c>
      <c r="D2735" s="512">
        <v>195225</v>
      </c>
      <c r="E2735" s="507" t="s">
        <v>6108</v>
      </c>
    </row>
    <row r="2736" spans="1:5" ht="15" x14ac:dyDescent="0.35">
      <c r="A2736" s="509">
        <v>8617</v>
      </c>
      <c r="B2736" s="510" t="s">
        <v>3115</v>
      </c>
      <c r="C2736" s="509" t="s">
        <v>30</v>
      </c>
      <c r="D2736" s="511">
        <v>191532</v>
      </c>
      <c r="E2736" s="507" t="s">
        <v>6108</v>
      </c>
    </row>
    <row r="2737" spans="1:5" ht="15" x14ac:dyDescent="0.35">
      <c r="A2737" s="509">
        <v>8618</v>
      </c>
      <c r="B2737" s="510" t="s">
        <v>3116</v>
      </c>
      <c r="C2737" s="509" t="s">
        <v>30</v>
      </c>
      <c r="D2737" s="511">
        <v>1257690</v>
      </c>
      <c r="E2737" s="507" t="s">
        <v>6108</v>
      </c>
    </row>
    <row r="2738" spans="1:5" ht="15" x14ac:dyDescent="0.35">
      <c r="A2738" s="509">
        <v>8619</v>
      </c>
      <c r="B2738" s="510" t="s">
        <v>3117</v>
      </c>
      <c r="C2738" s="509" t="s">
        <v>30</v>
      </c>
      <c r="D2738" s="511">
        <v>1424825</v>
      </c>
      <c r="E2738" s="507" t="s">
        <v>6108</v>
      </c>
    </row>
    <row r="2739" spans="1:5" ht="15" x14ac:dyDescent="0.35">
      <c r="A2739" s="509">
        <v>8620</v>
      </c>
      <c r="B2739" s="510" t="s">
        <v>3118</v>
      </c>
      <c r="C2739" s="509" t="s">
        <v>30</v>
      </c>
      <c r="D2739" s="511">
        <v>1299203</v>
      </c>
      <c r="E2739" s="507" t="s">
        <v>6108</v>
      </c>
    </row>
    <row r="2740" spans="1:5" ht="15" x14ac:dyDescent="0.35">
      <c r="A2740" s="509">
        <v>8621</v>
      </c>
      <c r="B2740" s="510" t="s">
        <v>3119</v>
      </c>
      <c r="C2740" s="509" t="s">
        <v>30</v>
      </c>
      <c r="D2740" s="511">
        <v>1260096</v>
      </c>
      <c r="E2740" s="507" t="s">
        <v>6108</v>
      </c>
    </row>
    <row r="2741" spans="1:5" ht="15" x14ac:dyDescent="0.35">
      <c r="A2741" s="509">
        <v>8624</v>
      </c>
      <c r="B2741" s="510" t="s">
        <v>3121</v>
      </c>
      <c r="C2741" s="509" t="s">
        <v>32</v>
      </c>
      <c r="D2741" s="512">
        <v>5772588</v>
      </c>
      <c r="E2741" s="507" t="s">
        <v>6108</v>
      </c>
    </row>
    <row r="2742" spans="1:5" ht="15" x14ac:dyDescent="0.35">
      <c r="A2742" s="509">
        <v>8625</v>
      </c>
      <c r="B2742" s="510" t="s">
        <v>3122</v>
      </c>
      <c r="C2742" s="509" t="s">
        <v>32</v>
      </c>
      <c r="D2742" s="511">
        <v>416264</v>
      </c>
      <c r="E2742" s="507" t="s">
        <v>6108</v>
      </c>
    </row>
    <row r="2743" spans="1:5" ht="15" x14ac:dyDescent="0.35">
      <c r="A2743" s="509">
        <v>8626</v>
      </c>
      <c r="B2743" s="510" t="s">
        <v>3123</v>
      </c>
      <c r="C2743" s="509" t="s">
        <v>32</v>
      </c>
      <c r="D2743" s="511">
        <v>2858484</v>
      </c>
      <c r="E2743" s="507" t="s">
        <v>6108</v>
      </c>
    </row>
    <row r="2744" spans="1:5" ht="15" x14ac:dyDescent="0.35">
      <c r="A2744" s="509">
        <v>8627</v>
      </c>
      <c r="B2744" s="510" t="s">
        <v>3124</v>
      </c>
      <c r="C2744" s="509" t="s">
        <v>32</v>
      </c>
      <c r="D2744" s="511">
        <v>699598</v>
      </c>
      <c r="E2744" s="507" t="s">
        <v>6108</v>
      </c>
    </row>
    <row r="2745" spans="1:5" ht="15" x14ac:dyDescent="0.35">
      <c r="A2745" s="509">
        <v>8628</v>
      </c>
      <c r="B2745" s="510" t="s">
        <v>3125</v>
      </c>
      <c r="C2745" s="509" t="s">
        <v>32</v>
      </c>
      <c r="D2745" s="511">
        <v>239603</v>
      </c>
      <c r="E2745" s="507" t="s">
        <v>6108</v>
      </c>
    </row>
    <row r="2746" spans="1:5" ht="15" x14ac:dyDescent="0.35">
      <c r="A2746" s="509">
        <v>8629</v>
      </c>
      <c r="B2746" s="510" t="s">
        <v>3126</v>
      </c>
      <c r="C2746" s="509" t="s">
        <v>328</v>
      </c>
      <c r="D2746" s="511">
        <v>1287020</v>
      </c>
    </row>
    <row r="2747" spans="1:5" ht="15" x14ac:dyDescent="0.35">
      <c r="A2747" s="509">
        <v>8631</v>
      </c>
      <c r="B2747" s="510" t="s">
        <v>3127</v>
      </c>
      <c r="C2747" s="509" t="s">
        <v>32</v>
      </c>
      <c r="D2747" s="512">
        <v>1279700</v>
      </c>
    </row>
    <row r="2748" spans="1:5" ht="15" x14ac:dyDescent="0.35">
      <c r="A2748" s="509">
        <v>8632</v>
      </c>
      <c r="B2748" s="510" t="s">
        <v>3128</v>
      </c>
      <c r="C2748" s="509" t="s">
        <v>328</v>
      </c>
      <c r="D2748" s="512">
        <v>580846</v>
      </c>
    </row>
    <row r="2749" spans="1:5" ht="15" x14ac:dyDescent="0.35">
      <c r="A2749" s="509">
        <v>8633</v>
      </c>
      <c r="B2749" s="510" t="s">
        <v>3129</v>
      </c>
      <c r="C2749" s="509" t="s">
        <v>328</v>
      </c>
      <c r="D2749" s="512">
        <v>1278605</v>
      </c>
    </row>
    <row r="2750" spans="1:5" ht="15" x14ac:dyDescent="0.35">
      <c r="A2750" s="509">
        <v>8634</v>
      </c>
      <c r="B2750" s="510" t="s">
        <v>3130</v>
      </c>
      <c r="C2750" s="509" t="s">
        <v>32</v>
      </c>
      <c r="D2750" s="512">
        <v>1304026</v>
      </c>
    </row>
    <row r="2751" spans="1:5" ht="15" x14ac:dyDescent="0.35">
      <c r="A2751" s="509">
        <v>8636</v>
      </c>
      <c r="B2751" s="510" t="s">
        <v>3131</v>
      </c>
      <c r="C2751" s="509" t="s">
        <v>32</v>
      </c>
      <c r="D2751" s="512">
        <v>724910</v>
      </c>
    </row>
    <row r="2752" spans="1:5" ht="15" x14ac:dyDescent="0.35">
      <c r="A2752" s="509">
        <v>8637</v>
      </c>
      <c r="B2752" s="510" t="s">
        <v>3132</v>
      </c>
      <c r="C2752" s="509" t="s">
        <v>32</v>
      </c>
      <c r="D2752" s="512">
        <v>2178690</v>
      </c>
    </row>
    <row r="2753" spans="1:4" ht="15" x14ac:dyDescent="0.35">
      <c r="A2753" s="509">
        <v>8638</v>
      </c>
      <c r="B2753" s="510" t="s">
        <v>3133</v>
      </c>
      <c r="C2753" s="509" t="s">
        <v>32</v>
      </c>
      <c r="D2753" s="512">
        <v>4814413</v>
      </c>
    </row>
    <row r="2754" spans="1:4" ht="15" x14ac:dyDescent="0.35">
      <c r="A2754" s="509">
        <v>8639</v>
      </c>
      <c r="B2754" s="510" t="s">
        <v>3134</v>
      </c>
      <c r="C2754" s="509" t="s">
        <v>32</v>
      </c>
      <c r="D2754" s="512">
        <v>8159104</v>
      </c>
    </row>
    <row r="2755" spans="1:4" ht="15" x14ac:dyDescent="0.35">
      <c r="A2755" s="509">
        <v>8640</v>
      </c>
      <c r="B2755" s="510" t="s">
        <v>3135</v>
      </c>
      <c r="C2755" s="509" t="s">
        <v>32</v>
      </c>
      <c r="D2755" s="511">
        <v>162462</v>
      </c>
    </row>
    <row r="2756" spans="1:4" ht="15" x14ac:dyDescent="0.35">
      <c r="A2756" s="509">
        <v>8641</v>
      </c>
      <c r="B2756" s="510" t="s">
        <v>3136</v>
      </c>
      <c r="C2756" s="509" t="s">
        <v>32</v>
      </c>
      <c r="D2756" s="512">
        <v>2019710</v>
      </c>
    </row>
    <row r="2757" spans="1:4" ht="15" x14ac:dyDescent="0.35">
      <c r="A2757" s="509">
        <v>8642</v>
      </c>
      <c r="B2757" s="510" t="s">
        <v>3137</v>
      </c>
      <c r="C2757" s="509" t="s">
        <v>32</v>
      </c>
      <c r="D2757" s="512">
        <v>134564</v>
      </c>
    </row>
    <row r="2758" spans="1:4" ht="15" x14ac:dyDescent="0.35">
      <c r="A2758" s="509">
        <v>8644</v>
      </c>
      <c r="B2758" s="510" t="s">
        <v>3138</v>
      </c>
      <c r="C2758" s="509" t="s">
        <v>32</v>
      </c>
      <c r="D2758" s="511">
        <v>4892780</v>
      </c>
    </row>
    <row r="2759" spans="1:4" ht="15" x14ac:dyDescent="0.35">
      <c r="A2759" s="509">
        <v>8645</v>
      </c>
      <c r="B2759" s="510" t="s">
        <v>3139</v>
      </c>
      <c r="C2759" s="509" t="s">
        <v>32</v>
      </c>
      <c r="D2759" s="511">
        <v>2662977</v>
      </c>
    </row>
    <row r="2760" spans="1:4" ht="15" x14ac:dyDescent="0.35">
      <c r="A2760" s="509">
        <v>8647</v>
      </c>
      <c r="B2760" s="510" t="s">
        <v>3140</v>
      </c>
      <c r="C2760" s="509" t="s">
        <v>32</v>
      </c>
      <c r="D2760" s="511">
        <v>5474965</v>
      </c>
    </row>
    <row r="2761" spans="1:4" ht="15" x14ac:dyDescent="0.35">
      <c r="A2761" s="509">
        <v>8648</v>
      </c>
      <c r="B2761" s="510" t="s">
        <v>3141</v>
      </c>
      <c r="C2761" s="509" t="s">
        <v>328</v>
      </c>
      <c r="D2761" s="511">
        <v>648632</v>
      </c>
    </row>
    <row r="2762" spans="1:4" ht="15" x14ac:dyDescent="0.35">
      <c r="A2762" s="509">
        <v>8649</v>
      </c>
      <c r="B2762" s="510" t="s">
        <v>3142</v>
      </c>
      <c r="C2762" s="509" t="s">
        <v>328</v>
      </c>
      <c r="D2762" s="511">
        <v>541164</v>
      </c>
    </row>
    <row r="2763" spans="1:4" ht="15" x14ac:dyDescent="0.35">
      <c r="A2763" s="509">
        <v>8650</v>
      </c>
      <c r="B2763" s="510" t="s">
        <v>3143</v>
      </c>
      <c r="C2763" s="509" t="s">
        <v>3144</v>
      </c>
      <c r="D2763" s="511">
        <v>65</v>
      </c>
    </row>
    <row r="2764" spans="1:4" ht="15" x14ac:dyDescent="0.35">
      <c r="A2764" s="509">
        <v>8651</v>
      </c>
      <c r="B2764" s="510" t="s">
        <v>3145</v>
      </c>
      <c r="C2764" s="509" t="s">
        <v>32</v>
      </c>
      <c r="D2764" s="511">
        <v>194857</v>
      </c>
    </row>
    <row r="2765" spans="1:4" ht="15" x14ac:dyDescent="0.35">
      <c r="A2765" s="509">
        <v>8652</v>
      </c>
      <c r="B2765" s="510" t="s">
        <v>3146</v>
      </c>
      <c r="C2765" s="509" t="s">
        <v>32</v>
      </c>
      <c r="D2765" s="511">
        <v>152681</v>
      </c>
    </row>
    <row r="2766" spans="1:4" ht="15" x14ac:dyDescent="0.35">
      <c r="A2766" s="509">
        <v>8653</v>
      </c>
      <c r="B2766" s="510" t="s">
        <v>3147</v>
      </c>
      <c r="C2766" s="509" t="s">
        <v>32</v>
      </c>
      <c r="D2766" s="511">
        <v>190908</v>
      </c>
    </row>
    <row r="2767" spans="1:4" ht="15" x14ac:dyDescent="0.35">
      <c r="A2767" s="509">
        <v>8654</v>
      </c>
      <c r="B2767" s="510" t="s">
        <v>3148</v>
      </c>
      <c r="C2767" s="509" t="s">
        <v>32</v>
      </c>
      <c r="D2767" s="511">
        <v>309401</v>
      </c>
    </row>
    <row r="2768" spans="1:4" ht="15" x14ac:dyDescent="0.35">
      <c r="A2768" s="509">
        <v>8655</v>
      </c>
      <c r="B2768" s="510" t="s">
        <v>3149</v>
      </c>
      <c r="C2768" s="509" t="s">
        <v>30</v>
      </c>
      <c r="D2768" s="512">
        <v>99163</v>
      </c>
    </row>
    <row r="2769" spans="1:4" ht="15" x14ac:dyDescent="0.35">
      <c r="A2769" s="509">
        <v>8656</v>
      </c>
      <c r="B2769" s="510" t="s">
        <v>3150</v>
      </c>
      <c r="C2769" s="509" t="s">
        <v>30</v>
      </c>
      <c r="D2769" s="512">
        <v>23870</v>
      </c>
    </row>
    <row r="2770" spans="1:4" ht="15" x14ac:dyDescent="0.35">
      <c r="A2770" s="509">
        <v>8657</v>
      </c>
      <c r="B2770" s="510" t="s">
        <v>3151</v>
      </c>
      <c r="C2770" s="509" t="s">
        <v>21</v>
      </c>
      <c r="D2770" s="512">
        <v>7985</v>
      </c>
    </row>
    <row r="2771" spans="1:4" ht="15" x14ac:dyDescent="0.35">
      <c r="A2771" s="509">
        <v>8659</v>
      </c>
      <c r="B2771" s="510" t="s">
        <v>3152</v>
      </c>
      <c r="C2771" s="509" t="s">
        <v>21</v>
      </c>
      <c r="D2771" s="512">
        <v>23291</v>
      </c>
    </row>
    <row r="2772" spans="1:4" ht="15" x14ac:dyDescent="0.35">
      <c r="A2772" s="509">
        <v>8660</v>
      </c>
      <c r="B2772" s="510" t="s">
        <v>3153</v>
      </c>
      <c r="C2772" s="509" t="s">
        <v>21</v>
      </c>
      <c r="D2772" s="511">
        <v>183075</v>
      </c>
    </row>
    <row r="2773" spans="1:4" ht="15" x14ac:dyDescent="0.35">
      <c r="A2773" s="509">
        <v>8661</v>
      </c>
      <c r="B2773" s="510" t="s">
        <v>3154</v>
      </c>
      <c r="C2773" s="509" t="s">
        <v>21</v>
      </c>
      <c r="D2773" s="512">
        <v>362197</v>
      </c>
    </row>
    <row r="2774" spans="1:4" ht="15" x14ac:dyDescent="0.35">
      <c r="A2774" s="509">
        <v>8662</v>
      </c>
      <c r="B2774" s="510" t="s">
        <v>3155</v>
      </c>
      <c r="C2774" s="509" t="s">
        <v>21</v>
      </c>
      <c r="D2774" s="512">
        <v>545419</v>
      </c>
    </row>
    <row r="2775" spans="1:4" ht="15" x14ac:dyDescent="0.35">
      <c r="A2775" s="509">
        <v>8663</v>
      </c>
      <c r="B2775" s="510" t="s">
        <v>3156</v>
      </c>
      <c r="C2775" s="509" t="s">
        <v>21</v>
      </c>
      <c r="D2775" s="512">
        <v>545726</v>
      </c>
    </row>
    <row r="2776" spans="1:4" ht="15" x14ac:dyDescent="0.35">
      <c r="A2776" s="509">
        <v>8664</v>
      </c>
      <c r="B2776" s="510" t="s">
        <v>3157</v>
      </c>
      <c r="C2776" s="509" t="s">
        <v>21</v>
      </c>
      <c r="D2776" s="512">
        <v>600882</v>
      </c>
    </row>
    <row r="2777" spans="1:4" ht="15" x14ac:dyDescent="0.35">
      <c r="A2777" s="509">
        <v>8665</v>
      </c>
      <c r="B2777" s="510" t="s">
        <v>3158</v>
      </c>
      <c r="C2777" s="509" t="s">
        <v>21</v>
      </c>
      <c r="D2777" s="511">
        <v>625997</v>
      </c>
    </row>
    <row r="2778" spans="1:4" ht="15" x14ac:dyDescent="0.35">
      <c r="A2778" s="509">
        <v>8667</v>
      </c>
      <c r="B2778" s="510" t="s">
        <v>3159</v>
      </c>
      <c r="C2778" s="509" t="s">
        <v>21</v>
      </c>
      <c r="D2778" s="511">
        <v>19886</v>
      </c>
    </row>
    <row r="2779" spans="1:4" ht="15" x14ac:dyDescent="0.35">
      <c r="A2779" s="509">
        <v>8668</v>
      </c>
      <c r="B2779" s="510" t="s">
        <v>3160</v>
      </c>
      <c r="C2779" s="509" t="s">
        <v>21</v>
      </c>
      <c r="D2779" s="511">
        <v>181054</v>
      </c>
    </row>
    <row r="2780" spans="1:4" ht="15" x14ac:dyDescent="0.35">
      <c r="A2780" s="509">
        <v>8669</v>
      </c>
      <c r="B2780" s="510" t="s">
        <v>3161</v>
      </c>
      <c r="C2780" s="509" t="s">
        <v>21</v>
      </c>
      <c r="D2780" s="511">
        <v>241560</v>
      </c>
    </row>
    <row r="2781" spans="1:4" ht="15" x14ac:dyDescent="0.35">
      <c r="A2781" s="509">
        <v>8670</v>
      </c>
      <c r="B2781" s="510" t="s">
        <v>3162</v>
      </c>
      <c r="C2781" s="509" t="s">
        <v>21</v>
      </c>
      <c r="D2781" s="511">
        <v>540740</v>
      </c>
    </row>
    <row r="2782" spans="1:4" ht="15" x14ac:dyDescent="0.35">
      <c r="A2782" s="509">
        <v>8671</v>
      </c>
      <c r="B2782" s="510" t="s">
        <v>3163</v>
      </c>
      <c r="C2782" s="509" t="s">
        <v>21</v>
      </c>
      <c r="D2782" s="512">
        <v>538805</v>
      </c>
    </row>
    <row r="2783" spans="1:4" ht="15" x14ac:dyDescent="0.35">
      <c r="A2783" s="509">
        <v>8672</v>
      </c>
      <c r="B2783" s="510" t="s">
        <v>3164</v>
      </c>
      <c r="C2783" s="509" t="s">
        <v>21</v>
      </c>
      <c r="D2783" s="511">
        <v>595770</v>
      </c>
    </row>
    <row r="2784" spans="1:4" ht="15" x14ac:dyDescent="0.35">
      <c r="A2784" s="509">
        <v>8673</v>
      </c>
      <c r="B2784" s="510" t="s">
        <v>3165</v>
      </c>
      <c r="C2784" s="509" t="s">
        <v>21</v>
      </c>
      <c r="D2784" s="511">
        <v>621541</v>
      </c>
    </row>
    <row r="2785" spans="1:4" ht="15" x14ac:dyDescent="0.35">
      <c r="A2785" s="509">
        <v>8675</v>
      </c>
      <c r="B2785" s="510" t="s">
        <v>3166</v>
      </c>
      <c r="C2785" s="509" t="s">
        <v>21</v>
      </c>
      <c r="D2785" s="512">
        <v>13270</v>
      </c>
    </row>
    <row r="2786" spans="1:4" ht="15" x14ac:dyDescent="0.35">
      <c r="A2786" s="509">
        <v>8676</v>
      </c>
      <c r="B2786" s="510" t="s">
        <v>3167</v>
      </c>
      <c r="C2786" s="509" t="s">
        <v>21</v>
      </c>
      <c r="D2786" s="512">
        <v>122189</v>
      </c>
    </row>
    <row r="2787" spans="1:4" ht="15" x14ac:dyDescent="0.35">
      <c r="A2787" s="509">
        <v>8677</v>
      </c>
      <c r="B2787" s="510" t="s">
        <v>3168</v>
      </c>
      <c r="C2787" s="509" t="s">
        <v>21</v>
      </c>
      <c r="D2787" s="512">
        <v>239670</v>
      </c>
    </row>
    <row r="2788" spans="1:4" ht="15" x14ac:dyDescent="0.35">
      <c r="A2788" s="509">
        <v>8678</v>
      </c>
      <c r="B2788" s="510" t="s">
        <v>3169</v>
      </c>
      <c r="C2788" s="509" t="s">
        <v>21</v>
      </c>
      <c r="D2788" s="511">
        <v>412123</v>
      </c>
    </row>
    <row r="2789" spans="1:4" ht="15" x14ac:dyDescent="0.35">
      <c r="A2789" s="509">
        <v>8679</v>
      </c>
      <c r="B2789" s="510" t="s">
        <v>3170</v>
      </c>
      <c r="C2789" s="509" t="s">
        <v>21</v>
      </c>
      <c r="D2789" s="512">
        <v>499241</v>
      </c>
    </row>
    <row r="2790" spans="1:4" ht="15" x14ac:dyDescent="0.35">
      <c r="A2790" s="509">
        <v>8680</v>
      </c>
      <c r="B2790" s="510" t="s">
        <v>3171</v>
      </c>
      <c r="C2790" s="509" t="s">
        <v>21</v>
      </c>
      <c r="D2790" s="511">
        <v>518666</v>
      </c>
    </row>
    <row r="2791" spans="1:4" ht="15" x14ac:dyDescent="0.35">
      <c r="A2791" s="509">
        <v>8681</v>
      </c>
      <c r="B2791" s="510" t="s">
        <v>3172</v>
      </c>
      <c r="C2791" s="509" t="s">
        <v>21</v>
      </c>
      <c r="D2791" s="512">
        <v>574872</v>
      </c>
    </row>
    <row r="2792" spans="1:4" ht="15" x14ac:dyDescent="0.35">
      <c r="A2792" s="509">
        <v>8683</v>
      </c>
      <c r="B2792" s="510" t="s">
        <v>3173</v>
      </c>
      <c r="C2792" s="509" t="s">
        <v>21</v>
      </c>
      <c r="D2792" s="512">
        <v>13270</v>
      </c>
    </row>
    <row r="2793" spans="1:4" ht="15" x14ac:dyDescent="0.35">
      <c r="A2793" s="509">
        <v>8684</v>
      </c>
      <c r="B2793" s="510" t="s">
        <v>3174</v>
      </c>
      <c r="C2793" s="509" t="s">
        <v>21</v>
      </c>
      <c r="D2793" s="512">
        <v>105361</v>
      </c>
    </row>
    <row r="2794" spans="1:4" ht="15" x14ac:dyDescent="0.35">
      <c r="A2794" s="509">
        <v>8685</v>
      </c>
      <c r="B2794" s="510" t="s">
        <v>3175</v>
      </c>
      <c r="C2794" s="509" t="s">
        <v>21</v>
      </c>
      <c r="D2794" s="511">
        <v>239670</v>
      </c>
    </row>
    <row r="2795" spans="1:4" ht="15" x14ac:dyDescent="0.35">
      <c r="A2795" s="509">
        <v>8686</v>
      </c>
      <c r="B2795" s="510" t="s">
        <v>3176</v>
      </c>
      <c r="C2795" s="509" t="s">
        <v>21</v>
      </c>
      <c r="D2795" s="511">
        <v>371175</v>
      </c>
    </row>
    <row r="2796" spans="1:4" ht="15" x14ac:dyDescent="0.35">
      <c r="A2796" s="509">
        <v>8687</v>
      </c>
      <c r="B2796" s="510" t="s">
        <v>3177</v>
      </c>
      <c r="C2796" s="509" t="s">
        <v>21</v>
      </c>
      <c r="D2796" s="511">
        <v>355379</v>
      </c>
    </row>
    <row r="2797" spans="1:4" ht="15" x14ac:dyDescent="0.35">
      <c r="A2797" s="509">
        <v>8688</v>
      </c>
      <c r="B2797" s="510" t="s">
        <v>3178</v>
      </c>
      <c r="C2797" s="509" t="s">
        <v>21</v>
      </c>
      <c r="D2797" s="511">
        <v>477614</v>
      </c>
    </row>
    <row r="2798" spans="1:4" ht="15" x14ac:dyDescent="0.35">
      <c r="A2798" s="509">
        <v>8689</v>
      </c>
      <c r="B2798" s="510" t="s">
        <v>3179</v>
      </c>
      <c r="C2798" s="509" t="s">
        <v>21</v>
      </c>
      <c r="D2798" s="511">
        <v>429541</v>
      </c>
    </row>
    <row r="2799" spans="1:4" ht="15" x14ac:dyDescent="0.35">
      <c r="A2799" s="509">
        <v>8690</v>
      </c>
      <c r="B2799" s="510" t="s">
        <v>3180</v>
      </c>
      <c r="C2799" s="509" t="s">
        <v>21</v>
      </c>
      <c r="D2799" s="512">
        <v>23236</v>
      </c>
    </row>
    <row r="2800" spans="1:4" ht="15" x14ac:dyDescent="0.35">
      <c r="A2800" s="509">
        <v>8691</v>
      </c>
      <c r="B2800" s="510" t="s">
        <v>3181</v>
      </c>
      <c r="C2800" s="509" t="s">
        <v>21</v>
      </c>
      <c r="D2800" s="512">
        <v>53088</v>
      </c>
    </row>
    <row r="2801" spans="1:4" ht="15" x14ac:dyDescent="0.35">
      <c r="A2801" s="509">
        <v>8692</v>
      </c>
      <c r="B2801" s="510" t="s">
        <v>3182</v>
      </c>
      <c r="C2801" s="509" t="s">
        <v>21</v>
      </c>
      <c r="D2801" s="512">
        <v>72079</v>
      </c>
    </row>
    <row r="2802" spans="1:4" ht="15" x14ac:dyDescent="0.35">
      <c r="A2802" s="509">
        <v>8693</v>
      </c>
      <c r="B2802" s="510" t="s">
        <v>3183</v>
      </c>
      <c r="C2802" s="509" t="s">
        <v>21</v>
      </c>
      <c r="D2802" s="511">
        <v>23026</v>
      </c>
    </row>
    <row r="2803" spans="1:4" ht="15" x14ac:dyDescent="0.35">
      <c r="A2803" s="509">
        <v>8694</v>
      </c>
      <c r="B2803" s="510" t="s">
        <v>3184</v>
      </c>
      <c r="C2803" s="509" t="s">
        <v>21</v>
      </c>
      <c r="D2803" s="512">
        <v>56230</v>
      </c>
    </row>
    <row r="2804" spans="1:4" ht="15" x14ac:dyDescent="0.35">
      <c r="A2804" s="509">
        <v>8695</v>
      </c>
      <c r="B2804" s="510" t="s">
        <v>3185</v>
      </c>
      <c r="C2804" s="509" t="s">
        <v>21</v>
      </c>
      <c r="D2804" s="511">
        <v>72079</v>
      </c>
    </row>
    <row r="2805" spans="1:4" ht="15" x14ac:dyDescent="0.35">
      <c r="A2805" s="509">
        <v>8697</v>
      </c>
      <c r="B2805" s="510" t="s">
        <v>3186</v>
      </c>
      <c r="C2805" s="509" t="s">
        <v>21</v>
      </c>
      <c r="D2805" s="511">
        <v>20068</v>
      </c>
    </row>
    <row r="2806" spans="1:4" ht="15" x14ac:dyDescent="0.35">
      <c r="A2806" s="509">
        <v>8698</v>
      </c>
      <c r="B2806" s="510" t="s">
        <v>3187</v>
      </c>
      <c r="C2806" s="509" t="s">
        <v>21</v>
      </c>
      <c r="D2806" s="511">
        <v>59111</v>
      </c>
    </row>
    <row r="2807" spans="1:4" ht="15" x14ac:dyDescent="0.35">
      <c r="A2807" s="509">
        <v>8699</v>
      </c>
      <c r="B2807" s="510" t="s">
        <v>3188</v>
      </c>
      <c r="C2807" s="509" t="s">
        <v>21</v>
      </c>
      <c r="D2807" s="511">
        <v>192359</v>
      </c>
    </row>
    <row r="2808" spans="1:4" ht="15" x14ac:dyDescent="0.35">
      <c r="A2808" s="509">
        <v>8700</v>
      </c>
      <c r="B2808" s="510" t="s">
        <v>3189</v>
      </c>
      <c r="C2808" s="509" t="s">
        <v>21</v>
      </c>
      <c r="D2808" s="511">
        <v>378506</v>
      </c>
    </row>
    <row r="2809" spans="1:4" ht="15" x14ac:dyDescent="0.35">
      <c r="A2809" s="509">
        <v>8701</v>
      </c>
      <c r="B2809" s="510" t="s">
        <v>3190</v>
      </c>
      <c r="C2809" s="509" t="s">
        <v>21</v>
      </c>
      <c r="D2809" s="512">
        <v>405163</v>
      </c>
    </row>
    <row r="2810" spans="1:4" ht="15" x14ac:dyDescent="0.35">
      <c r="A2810" s="509">
        <v>8702</v>
      </c>
      <c r="B2810" s="510" t="s">
        <v>3191</v>
      </c>
      <c r="C2810" s="509" t="s">
        <v>21</v>
      </c>
      <c r="D2810" s="511">
        <v>433609</v>
      </c>
    </row>
    <row r="2811" spans="1:4" ht="15" x14ac:dyDescent="0.35">
      <c r="A2811" s="509">
        <v>8703</v>
      </c>
      <c r="B2811" s="510" t="s">
        <v>3192</v>
      </c>
      <c r="C2811" s="509" t="s">
        <v>21</v>
      </c>
      <c r="D2811" s="511">
        <v>460626</v>
      </c>
    </row>
    <row r="2812" spans="1:4" ht="15" x14ac:dyDescent="0.35">
      <c r="A2812" s="509">
        <v>8705</v>
      </c>
      <c r="B2812" s="510" t="s">
        <v>3193</v>
      </c>
      <c r="C2812" s="509" t="s">
        <v>21</v>
      </c>
      <c r="D2812" s="511">
        <v>11912</v>
      </c>
    </row>
    <row r="2813" spans="1:4" ht="15" x14ac:dyDescent="0.35">
      <c r="A2813" s="509">
        <v>8706</v>
      </c>
      <c r="B2813" s="510" t="s">
        <v>3194</v>
      </c>
      <c r="C2813" s="509" t="s">
        <v>21</v>
      </c>
      <c r="D2813" s="511">
        <v>34581</v>
      </c>
    </row>
    <row r="2814" spans="1:4" ht="15" x14ac:dyDescent="0.35">
      <c r="A2814" s="509">
        <v>8707</v>
      </c>
      <c r="B2814" s="510" t="s">
        <v>3195</v>
      </c>
      <c r="C2814" s="509" t="s">
        <v>21</v>
      </c>
      <c r="D2814" s="511">
        <v>202001</v>
      </c>
    </row>
    <row r="2815" spans="1:4" ht="15" x14ac:dyDescent="0.35">
      <c r="A2815" s="509">
        <v>8708</v>
      </c>
      <c r="B2815" s="510" t="s">
        <v>3196</v>
      </c>
      <c r="C2815" s="509" t="s">
        <v>21</v>
      </c>
      <c r="D2815" s="511">
        <v>370016</v>
      </c>
    </row>
    <row r="2816" spans="1:4" ht="15" x14ac:dyDescent="0.35">
      <c r="A2816" s="509">
        <v>8709</v>
      </c>
      <c r="B2816" s="510" t="s">
        <v>3197</v>
      </c>
      <c r="C2816" s="509" t="s">
        <v>21</v>
      </c>
      <c r="D2816" s="511">
        <v>424665</v>
      </c>
    </row>
    <row r="2817" spans="1:4" ht="15" x14ac:dyDescent="0.35">
      <c r="A2817" s="509">
        <v>8710</v>
      </c>
      <c r="B2817" s="510" t="s">
        <v>3198</v>
      </c>
      <c r="C2817" s="509" t="s">
        <v>21</v>
      </c>
      <c r="D2817" s="511">
        <v>425070</v>
      </c>
    </row>
    <row r="2818" spans="1:4" ht="15" x14ac:dyDescent="0.35">
      <c r="A2818" s="509">
        <v>8711</v>
      </c>
      <c r="B2818" s="510" t="s">
        <v>3199</v>
      </c>
      <c r="C2818" s="509" t="s">
        <v>21</v>
      </c>
      <c r="D2818" s="511">
        <v>480129</v>
      </c>
    </row>
    <row r="2819" spans="1:4" ht="15" x14ac:dyDescent="0.35">
      <c r="A2819" s="509">
        <v>8712</v>
      </c>
      <c r="B2819" s="510" t="s">
        <v>3200</v>
      </c>
      <c r="C2819" s="509" t="s">
        <v>328</v>
      </c>
      <c r="D2819" s="511">
        <v>413615</v>
      </c>
    </row>
    <row r="2820" spans="1:4" ht="15" x14ac:dyDescent="0.35">
      <c r="A2820" s="509">
        <v>8713</v>
      </c>
      <c r="B2820" s="510" t="s">
        <v>3201</v>
      </c>
      <c r="C2820" s="509" t="s">
        <v>328</v>
      </c>
      <c r="D2820" s="511">
        <v>171339</v>
      </c>
    </row>
    <row r="2821" spans="1:4" ht="15" x14ac:dyDescent="0.35">
      <c r="A2821" s="509">
        <v>8714</v>
      </c>
      <c r="B2821" s="510" t="s">
        <v>3202</v>
      </c>
      <c r="C2821" s="509" t="s">
        <v>328</v>
      </c>
      <c r="D2821" s="511">
        <v>213558</v>
      </c>
    </row>
    <row r="2822" spans="1:4" ht="15" x14ac:dyDescent="0.35">
      <c r="A2822" s="509">
        <v>8715</v>
      </c>
      <c r="B2822" s="510" t="s">
        <v>3203</v>
      </c>
      <c r="C2822" s="509" t="s">
        <v>32</v>
      </c>
      <c r="D2822" s="512">
        <v>736370</v>
      </c>
    </row>
    <row r="2823" spans="1:4" ht="15" x14ac:dyDescent="0.35">
      <c r="A2823" s="509">
        <v>8716</v>
      </c>
      <c r="B2823" s="510" t="s">
        <v>3204</v>
      </c>
      <c r="C2823" s="509" t="s">
        <v>328</v>
      </c>
      <c r="D2823" s="512">
        <v>67028</v>
      </c>
    </row>
    <row r="2824" spans="1:4" ht="15" x14ac:dyDescent="0.35">
      <c r="A2824" s="509">
        <v>8717</v>
      </c>
      <c r="B2824" s="510" t="s">
        <v>3205</v>
      </c>
      <c r="C2824" s="509" t="s">
        <v>32</v>
      </c>
      <c r="D2824" s="511">
        <v>1212665</v>
      </c>
    </row>
    <row r="2825" spans="1:4" ht="15" x14ac:dyDescent="0.35">
      <c r="A2825" s="509">
        <v>8718</v>
      </c>
      <c r="B2825" s="510" t="s">
        <v>3206</v>
      </c>
      <c r="C2825" s="509" t="s">
        <v>32</v>
      </c>
      <c r="D2825" s="511">
        <v>1875349</v>
      </c>
    </row>
    <row r="2826" spans="1:4" ht="15" x14ac:dyDescent="0.35">
      <c r="A2826" s="509">
        <v>8719</v>
      </c>
      <c r="B2826" s="510" t="s">
        <v>3207</v>
      </c>
      <c r="C2826" s="509" t="s">
        <v>32</v>
      </c>
      <c r="D2826" s="511">
        <v>1801019</v>
      </c>
    </row>
    <row r="2827" spans="1:4" ht="15" x14ac:dyDescent="0.35">
      <c r="A2827" s="509">
        <v>8720</v>
      </c>
      <c r="B2827" s="510" t="s">
        <v>3208</v>
      </c>
      <c r="C2827" s="509" t="s">
        <v>32</v>
      </c>
      <c r="D2827" s="511">
        <v>768943</v>
      </c>
    </row>
    <row r="2828" spans="1:4" ht="15" x14ac:dyDescent="0.35">
      <c r="A2828" s="509">
        <v>8722</v>
      </c>
      <c r="B2828" s="510" t="s">
        <v>3209</v>
      </c>
      <c r="C2828" s="509" t="s">
        <v>32</v>
      </c>
      <c r="D2828" s="512">
        <v>226605</v>
      </c>
    </row>
    <row r="2829" spans="1:4" ht="15" x14ac:dyDescent="0.35">
      <c r="A2829" s="509">
        <v>8724</v>
      </c>
      <c r="B2829" s="510" t="s">
        <v>3210</v>
      </c>
      <c r="C2829" s="509" t="s">
        <v>32</v>
      </c>
      <c r="D2829" s="512">
        <v>146044</v>
      </c>
    </row>
    <row r="2830" spans="1:4" ht="15" x14ac:dyDescent="0.35">
      <c r="A2830" s="509">
        <v>8725</v>
      </c>
      <c r="B2830" s="510" t="s">
        <v>3211</v>
      </c>
      <c r="C2830" s="509" t="s">
        <v>328</v>
      </c>
      <c r="D2830" s="512">
        <v>65386</v>
      </c>
    </row>
    <row r="2831" spans="1:4" ht="15" x14ac:dyDescent="0.35">
      <c r="A2831" s="509">
        <v>8726</v>
      </c>
      <c r="B2831" s="510" t="s">
        <v>3212</v>
      </c>
      <c r="C2831" s="509" t="s">
        <v>32</v>
      </c>
      <c r="D2831" s="512">
        <v>1268482</v>
      </c>
    </row>
    <row r="2832" spans="1:4" ht="15" x14ac:dyDescent="0.35">
      <c r="A2832" s="509">
        <v>8727</v>
      </c>
      <c r="B2832" s="510" t="s">
        <v>3213</v>
      </c>
      <c r="C2832" s="509" t="s">
        <v>21</v>
      </c>
      <c r="D2832" s="511">
        <v>759802</v>
      </c>
    </row>
    <row r="2833" spans="1:4" ht="15" x14ac:dyDescent="0.35">
      <c r="A2833" s="509">
        <v>8728</v>
      </c>
      <c r="B2833" s="510" t="s">
        <v>3214</v>
      </c>
      <c r="C2833" s="509" t="s">
        <v>328</v>
      </c>
      <c r="D2833" s="511">
        <v>758400</v>
      </c>
    </row>
    <row r="2834" spans="1:4" ht="15" x14ac:dyDescent="0.35">
      <c r="A2834" s="509">
        <v>8729</v>
      </c>
      <c r="B2834" s="510" t="s">
        <v>3215</v>
      </c>
      <c r="C2834" s="509" t="s">
        <v>328</v>
      </c>
      <c r="D2834" s="511">
        <v>1519349</v>
      </c>
    </row>
    <row r="2835" spans="1:4" ht="15" x14ac:dyDescent="0.35">
      <c r="A2835" s="509">
        <v>8730</v>
      </c>
      <c r="B2835" s="510" t="s">
        <v>3216</v>
      </c>
      <c r="C2835" s="509" t="s">
        <v>32</v>
      </c>
      <c r="D2835" s="511">
        <v>5096491</v>
      </c>
    </row>
    <row r="2836" spans="1:4" ht="15" x14ac:dyDescent="0.35">
      <c r="A2836" s="509">
        <v>8731</v>
      </c>
      <c r="B2836" s="510" t="s">
        <v>3217</v>
      </c>
      <c r="C2836" s="509" t="s">
        <v>32</v>
      </c>
      <c r="D2836" s="512">
        <v>413772</v>
      </c>
    </row>
    <row r="2837" spans="1:4" ht="15" x14ac:dyDescent="0.35">
      <c r="A2837" s="509">
        <v>8732</v>
      </c>
      <c r="B2837" s="510" t="s">
        <v>3218</v>
      </c>
      <c r="C2837" s="509" t="s">
        <v>32</v>
      </c>
      <c r="D2837" s="511">
        <v>699563</v>
      </c>
    </row>
    <row r="2838" spans="1:4" ht="15" x14ac:dyDescent="0.35">
      <c r="A2838" s="509">
        <v>8733</v>
      </c>
      <c r="B2838" s="510" t="s">
        <v>3219</v>
      </c>
      <c r="C2838" s="509" t="s">
        <v>328</v>
      </c>
      <c r="D2838" s="512">
        <v>253767</v>
      </c>
    </row>
    <row r="2839" spans="1:4" ht="15" x14ac:dyDescent="0.35">
      <c r="A2839" s="509">
        <v>8734</v>
      </c>
      <c r="B2839" s="510" t="s">
        <v>3220</v>
      </c>
      <c r="C2839" s="509" t="s">
        <v>328</v>
      </c>
      <c r="D2839" s="511">
        <v>320988</v>
      </c>
    </row>
    <row r="2840" spans="1:4" ht="15" x14ac:dyDescent="0.35">
      <c r="A2840" s="509">
        <v>8735</v>
      </c>
      <c r="B2840" s="510" t="s">
        <v>3221</v>
      </c>
      <c r="C2840" s="509" t="s">
        <v>328</v>
      </c>
      <c r="D2840" s="511">
        <v>683280</v>
      </c>
    </row>
    <row r="2841" spans="1:4" ht="15" x14ac:dyDescent="0.35">
      <c r="A2841" s="509">
        <v>8736</v>
      </c>
      <c r="B2841" s="510" t="s">
        <v>3222</v>
      </c>
      <c r="C2841" s="509" t="s">
        <v>328</v>
      </c>
      <c r="D2841" s="511">
        <v>346929</v>
      </c>
    </row>
    <row r="2842" spans="1:4" ht="15" x14ac:dyDescent="0.35">
      <c r="A2842" s="509">
        <v>8737</v>
      </c>
      <c r="B2842" s="510" t="s">
        <v>3223</v>
      </c>
      <c r="C2842" s="509" t="s">
        <v>32</v>
      </c>
      <c r="D2842" s="511">
        <v>8708</v>
      </c>
    </row>
    <row r="2843" spans="1:4" ht="15" x14ac:dyDescent="0.35">
      <c r="A2843" s="509">
        <v>8738</v>
      </c>
      <c r="B2843" s="510" t="s">
        <v>3224</v>
      </c>
      <c r="C2843" s="509" t="s">
        <v>32</v>
      </c>
      <c r="D2843" s="511">
        <v>440057</v>
      </c>
    </row>
    <row r="2844" spans="1:4" ht="15" x14ac:dyDescent="0.35">
      <c r="A2844" s="509">
        <v>8739</v>
      </c>
      <c r="B2844" s="510" t="s">
        <v>3225</v>
      </c>
      <c r="C2844" s="509" t="s">
        <v>328</v>
      </c>
      <c r="D2844" s="511">
        <v>186911</v>
      </c>
    </row>
    <row r="2845" spans="1:4" ht="15" x14ac:dyDescent="0.35">
      <c r="A2845" s="509">
        <v>8740</v>
      </c>
      <c r="B2845" s="510" t="s">
        <v>3226</v>
      </c>
      <c r="C2845" s="509" t="s">
        <v>328</v>
      </c>
      <c r="D2845" s="511">
        <v>387260</v>
      </c>
    </row>
    <row r="2846" spans="1:4" ht="15" x14ac:dyDescent="0.35">
      <c r="A2846" s="509">
        <v>8741</v>
      </c>
      <c r="B2846" s="510" t="s">
        <v>3227</v>
      </c>
      <c r="C2846" s="509" t="s">
        <v>328</v>
      </c>
      <c r="D2846" s="511">
        <v>119786</v>
      </c>
    </row>
    <row r="2847" spans="1:4" ht="15" x14ac:dyDescent="0.35">
      <c r="A2847" s="509">
        <v>8742</v>
      </c>
      <c r="B2847" s="510" t="s">
        <v>3228</v>
      </c>
      <c r="C2847" s="509" t="s">
        <v>328</v>
      </c>
      <c r="D2847" s="512">
        <v>280073</v>
      </c>
    </row>
    <row r="2848" spans="1:4" ht="15" x14ac:dyDescent="0.35">
      <c r="A2848" s="509">
        <v>8743</v>
      </c>
      <c r="B2848" s="510" t="s">
        <v>3229</v>
      </c>
      <c r="C2848" s="509" t="s">
        <v>32</v>
      </c>
      <c r="D2848" s="511">
        <v>5366633</v>
      </c>
    </row>
    <row r="2849" spans="1:4" ht="15" x14ac:dyDescent="0.35">
      <c r="A2849" s="509">
        <v>8744</v>
      </c>
      <c r="B2849" s="510" t="s">
        <v>3230</v>
      </c>
      <c r="C2849" s="509" t="s">
        <v>32</v>
      </c>
      <c r="D2849" s="511">
        <v>2482025</v>
      </c>
    </row>
    <row r="2850" spans="1:4" ht="15" x14ac:dyDescent="0.35">
      <c r="A2850" s="509">
        <v>8745</v>
      </c>
      <c r="B2850" s="510" t="s">
        <v>3231</v>
      </c>
      <c r="C2850" s="509" t="s">
        <v>32</v>
      </c>
      <c r="D2850" s="511">
        <v>4164168</v>
      </c>
    </row>
    <row r="2851" spans="1:4" ht="15" x14ac:dyDescent="0.35">
      <c r="A2851" s="509">
        <v>8746</v>
      </c>
      <c r="B2851" s="510" t="s">
        <v>3232</v>
      </c>
      <c r="C2851" s="509" t="s">
        <v>32</v>
      </c>
      <c r="D2851" s="511">
        <v>1334418</v>
      </c>
    </row>
    <row r="2852" spans="1:4" ht="15" x14ac:dyDescent="0.35">
      <c r="A2852" s="509">
        <v>8747</v>
      </c>
      <c r="B2852" s="510" t="s">
        <v>3233</v>
      </c>
      <c r="C2852" s="509" t="s">
        <v>32</v>
      </c>
      <c r="D2852" s="511">
        <v>863227</v>
      </c>
    </row>
    <row r="2853" spans="1:4" ht="15" x14ac:dyDescent="0.35">
      <c r="A2853" s="509">
        <v>8748</v>
      </c>
      <c r="B2853" s="510" t="s">
        <v>3234</v>
      </c>
      <c r="C2853" s="509" t="s">
        <v>32</v>
      </c>
      <c r="D2853" s="511">
        <v>654756</v>
      </c>
    </row>
    <row r="2854" spans="1:4" ht="15" x14ac:dyDescent="0.35">
      <c r="A2854" s="509">
        <v>8749</v>
      </c>
      <c r="B2854" s="510" t="s">
        <v>3235</v>
      </c>
      <c r="C2854" s="509" t="s">
        <v>32</v>
      </c>
      <c r="D2854" s="511">
        <v>235296</v>
      </c>
    </row>
    <row r="2855" spans="1:4" ht="15" x14ac:dyDescent="0.35">
      <c r="A2855" s="509">
        <v>8750</v>
      </c>
      <c r="B2855" s="510" t="s">
        <v>3236</v>
      </c>
      <c r="C2855" s="509" t="s">
        <v>32</v>
      </c>
      <c r="D2855" s="511">
        <v>1581755</v>
      </c>
    </row>
    <row r="2856" spans="1:4" ht="15" x14ac:dyDescent="0.35">
      <c r="A2856" s="509">
        <v>8753</v>
      </c>
      <c r="B2856" s="510" t="s">
        <v>3237</v>
      </c>
      <c r="C2856" s="509" t="s">
        <v>32</v>
      </c>
      <c r="D2856" s="511">
        <v>177216</v>
      </c>
    </row>
    <row r="2857" spans="1:4" ht="15" x14ac:dyDescent="0.35">
      <c r="A2857" s="509">
        <v>8754</v>
      </c>
      <c r="B2857" s="510" t="s">
        <v>3238</v>
      </c>
      <c r="C2857" s="509" t="s">
        <v>32</v>
      </c>
      <c r="D2857" s="511">
        <v>84220</v>
      </c>
    </row>
    <row r="2858" spans="1:4" ht="15" x14ac:dyDescent="0.35">
      <c r="A2858" s="509">
        <v>8755</v>
      </c>
      <c r="B2858" s="510" t="s">
        <v>3239</v>
      </c>
      <c r="C2858" s="509" t="s">
        <v>32</v>
      </c>
      <c r="D2858" s="511">
        <v>39616</v>
      </c>
    </row>
    <row r="2859" spans="1:4" ht="15" x14ac:dyDescent="0.35">
      <c r="A2859" s="509">
        <v>8756</v>
      </c>
      <c r="B2859" s="510" t="s">
        <v>3240</v>
      </c>
      <c r="C2859" s="509" t="s">
        <v>32</v>
      </c>
      <c r="D2859" s="511">
        <v>39616</v>
      </c>
    </row>
    <row r="2860" spans="1:4" ht="15" x14ac:dyDescent="0.35">
      <c r="A2860" s="509">
        <v>8764</v>
      </c>
      <c r="B2860" s="510" t="s">
        <v>3241</v>
      </c>
      <c r="C2860" s="509" t="s">
        <v>307</v>
      </c>
      <c r="D2860" s="511">
        <v>4443</v>
      </c>
    </row>
    <row r="2861" spans="1:4" ht="15" x14ac:dyDescent="0.35">
      <c r="A2861" s="509">
        <v>8765</v>
      </c>
      <c r="B2861" s="510" t="s">
        <v>3242</v>
      </c>
      <c r="C2861" s="509" t="s">
        <v>307</v>
      </c>
      <c r="D2861" s="511">
        <v>8093</v>
      </c>
    </row>
    <row r="2862" spans="1:4" ht="15" x14ac:dyDescent="0.35">
      <c r="A2862" s="509">
        <v>8766</v>
      </c>
      <c r="B2862" s="510" t="s">
        <v>3243</v>
      </c>
      <c r="C2862" s="509" t="s">
        <v>307</v>
      </c>
      <c r="D2862" s="511">
        <v>5858</v>
      </c>
    </row>
    <row r="2863" spans="1:4" ht="15" x14ac:dyDescent="0.35">
      <c r="A2863" s="509">
        <v>8768</v>
      </c>
      <c r="B2863" s="510" t="s">
        <v>3244</v>
      </c>
      <c r="C2863" s="509" t="s">
        <v>307</v>
      </c>
      <c r="D2863" s="511">
        <v>82500</v>
      </c>
    </row>
    <row r="2864" spans="1:4" ht="15" x14ac:dyDescent="0.35">
      <c r="A2864" s="509">
        <v>8771</v>
      </c>
      <c r="B2864" s="510" t="s">
        <v>3245</v>
      </c>
      <c r="C2864" s="509" t="s">
        <v>307</v>
      </c>
      <c r="D2864" s="512">
        <v>11850</v>
      </c>
    </row>
    <row r="2865" spans="1:4" ht="15" x14ac:dyDescent="0.35">
      <c r="A2865" s="509">
        <v>8772</v>
      </c>
      <c r="B2865" s="510" t="s">
        <v>3246</v>
      </c>
      <c r="C2865" s="509" t="s">
        <v>307</v>
      </c>
      <c r="D2865" s="511">
        <v>7827</v>
      </c>
    </row>
    <row r="2866" spans="1:4" ht="15" x14ac:dyDescent="0.35">
      <c r="A2866" s="509">
        <v>8773</v>
      </c>
      <c r="B2866" s="510" t="s">
        <v>3247</v>
      </c>
      <c r="C2866" s="509" t="s">
        <v>307</v>
      </c>
      <c r="D2866" s="511">
        <v>785384</v>
      </c>
    </row>
    <row r="2867" spans="1:4" ht="15" x14ac:dyDescent="0.35">
      <c r="A2867" s="509">
        <v>8774</v>
      </c>
      <c r="B2867" s="510" t="s">
        <v>3248</v>
      </c>
      <c r="C2867" s="509" t="s">
        <v>307</v>
      </c>
      <c r="D2867" s="511">
        <v>582884</v>
      </c>
    </row>
    <row r="2868" spans="1:4" ht="15" x14ac:dyDescent="0.35">
      <c r="A2868" s="509">
        <v>8775</v>
      </c>
      <c r="B2868" s="510" t="s">
        <v>3249</v>
      </c>
      <c r="C2868" s="509" t="s">
        <v>307</v>
      </c>
      <c r="D2868" s="511">
        <v>53400</v>
      </c>
    </row>
    <row r="2869" spans="1:4" ht="15" x14ac:dyDescent="0.35">
      <c r="A2869" s="509">
        <v>8776</v>
      </c>
      <c r="B2869" s="510" t="s">
        <v>3250</v>
      </c>
      <c r="C2869" s="509" t="s">
        <v>328</v>
      </c>
      <c r="D2869" s="512">
        <v>34361</v>
      </c>
    </row>
    <row r="2870" spans="1:4" ht="15" x14ac:dyDescent="0.35">
      <c r="A2870" s="509">
        <v>8779</v>
      </c>
      <c r="B2870" s="510" t="s">
        <v>3251</v>
      </c>
      <c r="C2870" s="509" t="s">
        <v>21</v>
      </c>
      <c r="D2870" s="512">
        <v>3823</v>
      </c>
    </row>
    <row r="2871" spans="1:4" ht="15" x14ac:dyDescent="0.35">
      <c r="A2871" s="509">
        <v>8780</v>
      </c>
      <c r="B2871" s="510" t="s">
        <v>3252</v>
      </c>
      <c r="C2871" s="509" t="s">
        <v>30</v>
      </c>
      <c r="D2871" s="512">
        <v>103996</v>
      </c>
    </row>
    <row r="2872" spans="1:4" ht="15" x14ac:dyDescent="0.35">
      <c r="A2872" s="509">
        <v>8781</v>
      </c>
      <c r="B2872" s="510" t="s">
        <v>3253</v>
      </c>
      <c r="C2872" s="509" t="s">
        <v>32</v>
      </c>
      <c r="D2872" s="511">
        <v>3449286</v>
      </c>
    </row>
    <row r="2873" spans="1:4" ht="15" x14ac:dyDescent="0.35">
      <c r="A2873" s="509">
        <v>8782</v>
      </c>
      <c r="B2873" s="510" t="s">
        <v>3254</v>
      </c>
      <c r="C2873" s="509" t="s">
        <v>32</v>
      </c>
      <c r="D2873" s="512">
        <v>148724</v>
      </c>
    </row>
    <row r="2874" spans="1:4" ht="15" x14ac:dyDescent="0.35">
      <c r="A2874" s="509">
        <v>8785</v>
      </c>
      <c r="B2874" s="510" t="s">
        <v>3255</v>
      </c>
      <c r="C2874" s="509" t="s">
        <v>32</v>
      </c>
      <c r="D2874" s="511">
        <v>644752</v>
      </c>
    </row>
    <row r="2875" spans="1:4" ht="15" x14ac:dyDescent="0.35">
      <c r="A2875" s="509">
        <v>8786</v>
      </c>
      <c r="B2875" s="510" t="s">
        <v>3256</v>
      </c>
      <c r="C2875" s="509" t="s">
        <v>32</v>
      </c>
      <c r="D2875" s="512">
        <v>1120482</v>
      </c>
    </row>
    <row r="2876" spans="1:4" ht="15" x14ac:dyDescent="0.35">
      <c r="A2876" s="509">
        <v>8787</v>
      </c>
      <c r="B2876" s="510" t="s">
        <v>3257</v>
      </c>
      <c r="C2876" s="509" t="s">
        <v>32</v>
      </c>
      <c r="D2876" s="512">
        <v>3466876</v>
      </c>
    </row>
    <row r="2877" spans="1:4" ht="15" x14ac:dyDescent="0.35">
      <c r="A2877" s="509">
        <v>8788</v>
      </c>
      <c r="B2877" s="510" t="s">
        <v>3258</v>
      </c>
      <c r="C2877" s="509" t="s">
        <v>32</v>
      </c>
      <c r="D2877" s="511">
        <v>3466876</v>
      </c>
    </row>
    <row r="2878" spans="1:4" ht="15" x14ac:dyDescent="0.35">
      <c r="A2878" s="509">
        <v>8789</v>
      </c>
      <c r="B2878" s="510" t="s">
        <v>3259</v>
      </c>
      <c r="C2878" s="509" t="s">
        <v>30</v>
      </c>
      <c r="D2878" s="511">
        <v>11901745</v>
      </c>
    </row>
    <row r="2879" spans="1:4" ht="15" x14ac:dyDescent="0.35">
      <c r="A2879" s="509">
        <v>8791</v>
      </c>
      <c r="B2879" s="510" t="s">
        <v>3260</v>
      </c>
      <c r="C2879" s="509" t="s">
        <v>328</v>
      </c>
      <c r="D2879" s="511">
        <v>885595</v>
      </c>
    </row>
    <row r="2880" spans="1:4" ht="15" x14ac:dyDescent="0.35">
      <c r="A2880" s="509">
        <v>8792</v>
      </c>
      <c r="B2880" s="510" t="s">
        <v>3261</v>
      </c>
      <c r="C2880" s="509" t="s">
        <v>328</v>
      </c>
      <c r="D2880" s="512">
        <v>242305</v>
      </c>
    </row>
    <row r="2881" spans="1:4" ht="15" x14ac:dyDescent="0.35">
      <c r="A2881" s="509">
        <v>8793</v>
      </c>
      <c r="B2881" s="510" t="s">
        <v>3262</v>
      </c>
      <c r="C2881" s="509" t="s">
        <v>32</v>
      </c>
      <c r="D2881" s="512">
        <v>260514</v>
      </c>
    </row>
    <row r="2882" spans="1:4" ht="15" x14ac:dyDescent="0.35">
      <c r="A2882" s="509">
        <v>8799</v>
      </c>
      <c r="B2882" s="510" t="s">
        <v>3263</v>
      </c>
      <c r="C2882" s="509" t="s">
        <v>32</v>
      </c>
      <c r="D2882" s="512">
        <v>441234</v>
      </c>
    </row>
    <row r="2883" spans="1:4" ht="15" x14ac:dyDescent="0.35">
      <c r="A2883" s="509">
        <v>8827</v>
      </c>
      <c r="B2883" s="510" t="s">
        <v>3264</v>
      </c>
      <c r="C2883" s="509" t="s">
        <v>21</v>
      </c>
      <c r="D2883" s="512">
        <v>115782</v>
      </c>
    </row>
    <row r="2884" spans="1:4" ht="15" x14ac:dyDescent="0.35">
      <c r="A2884" s="509">
        <v>8830</v>
      </c>
      <c r="B2884" s="510" t="s">
        <v>3265</v>
      </c>
      <c r="C2884" s="509" t="s">
        <v>21</v>
      </c>
      <c r="D2884" s="512">
        <v>42650</v>
      </c>
    </row>
    <row r="2885" spans="1:4" ht="15" x14ac:dyDescent="0.35">
      <c r="A2885" s="509">
        <v>8831</v>
      </c>
      <c r="B2885" s="510" t="s">
        <v>3266</v>
      </c>
      <c r="C2885" s="509" t="s">
        <v>21</v>
      </c>
      <c r="D2885" s="512">
        <v>40043</v>
      </c>
    </row>
    <row r="2886" spans="1:4" ht="15" x14ac:dyDescent="0.35">
      <c r="A2886" s="509">
        <v>8832</v>
      </c>
      <c r="B2886" s="510" t="s">
        <v>3267</v>
      </c>
      <c r="C2886" s="509" t="s">
        <v>21</v>
      </c>
      <c r="D2886" s="512">
        <v>13617</v>
      </c>
    </row>
    <row r="2887" spans="1:4" ht="15" x14ac:dyDescent="0.35">
      <c r="A2887" s="509">
        <v>8833</v>
      </c>
      <c r="B2887" s="510" t="s">
        <v>3268</v>
      </c>
      <c r="C2887" s="509" t="s">
        <v>21</v>
      </c>
      <c r="D2887" s="512">
        <v>17069</v>
      </c>
    </row>
    <row r="2888" spans="1:4" ht="15" x14ac:dyDescent="0.35">
      <c r="A2888" s="509">
        <v>8834</v>
      </c>
      <c r="B2888" s="510" t="s">
        <v>3269</v>
      </c>
      <c r="C2888" s="509" t="s">
        <v>21</v>
      </c>
      <c r="D2888" s="512">
        <v>11494</v>
      </c>
    </row>
    <row r="2889" spans="1:4" ht="15" x14ac:dyDescent="0.35">
      <c r="A2889" s="509">
        <v>8835</v>
      </c>
      <c r="B2889" s="510" t="s">
        <v>3270</v>
      </c>
      <c r="C2889" s="509" t="s">
        <v>21</v>
      </c>
      <c r="D2889" s="512">
        <v>13642</v>
      </c>
    </row>
    <row r="2890" spans="1:4" ht="15" x14ac:dyDescent="0.35">
      <c r="A2890" s="509">
        <v>8951</v>
      </c>
      <c r="B2890" s="510" t="s">
        <v>3271</v>
      </c>
      <c r="C2890" s="509" t="s">
        <v>32</v>
      </c>
      <c r="D2890" s="511">
        <v>510365</v>
      </c>
    </row>
    <row r="2891" spans="1:4" ht="15" x14ac:dyDescent="0.35">
      <c r="A2891" s="509">
        <v>8953</v>
      </c>
      <c r="B2891" s="510" t="s">
        <v>3272</v>
      </c>
      <c r="C2891" s="509" t="s">
        <v>328</v>
      </c>
      <c r="D2891" s="512">
        <v>615989</v>
      </c>
    </row>
    <row r="2892" spans="1:4" ht="15" x14ac:dyDescent="0.35">
      <c r="A2892" s="509">
        <v>8955</v>
      </c>
      <c r="B2892" s="510" t="s">
        <v>3273</v>
      </c>
      <c r="C2892" s="509" t="s">
        <v>328</v>
      </c>
      <c r="D2892" s="511">
        <v>587559</v>
      </c>
    </row>
    <row r="2893" spans="1:4" ht="15" x14ac:dyDescent="0.35">
      <c r="A2893" s="509">
        <v>8958</v>
      </c>
      <c r="B2893" s="510" t="s">
        <v>3274</v>
      </c>
      <c r="C2893" s="509" t="s">
        <v>21</v>
      </c>
      <c r="D2893" s="512">
        <v>123642</v>
      </c>
    </row>
    <row r="2894" spans="1:4" ht="15" x14ac:dyDescent="0.35">
      <c r="A2894" s="509">
        <v>8960</v>
      </c>
      <c r="B2894" s="510" t="s">
        <v>3275</v>
      </c>
      <c r="C2894" s="509" t="s">
        <v>307</v>
      </c>
      <c r="D2894" s="512">
        <v>82343</v>
      </c>
    </row>
    <row r="2895" spans="1:4" ht="15" x14ac:dyDescent="0.35">
      <c r="A2895" s="509">
        <v>8961</v>
      </c>
      <c r="B2895" s="510" t="s">
        <v>3276</v>
      </c>
      <c r="C2895" s="509" t="s">
        <v>307</v>
      </c>
      <c r="D2895" s="512">
        <v>74862</v>
      </c>
    </row>
    <row r="2896" spans="1:4" ht="15" x14ac:dyDescent="0.35">
      <c r="A2896" s="509">
        <v>8962</v>
      </c>
      <c r="B2896" s="510" t="s">
        <v>3277</v>
      </c>
      <c r="C2896" s="509" t="s">
        <v>307</v>
      </c>
      <c r="D2896" s="511">
        <v>7200</v>
      </c>
    </row>
    <row r="2897" spans="1:4" ht="15" x14ac:dyDescent="0.35">
      <c r="A2897" s="509">
        <v>8963</v>
      </c>
      <c r="B2897" s="510" t="s">
        <v>3278</v>
      </c>
      <c r="C2897" s="509" t="s">
        <v>307</v>
      </c>
      <c r="D2897" s="512">
        <v>4443</v>
      </c>
    </row>
    <row r="2898" spans="1:4" ht="15" x14ac:dyDescent="0.35">
      <c r="A2898" s="509">
        <v>8964</v>
      </c>
      <c r="B2898" s="510" t="s">
        <v>3279</v>
      </c>
      <c r="C2898" s="509" t="s">
        <v>307</v>
      </c>
      <c r="D2898" s="512">
        <v>657188</v>
      </c>
    </row>
    <row r="2899" spans="1:4" ht="15" x14ac:dyDescent="0.35">
      <c r="A2899" s="509">
        <v>8965</v>
      </c>
      <c r="B2899" s="510" t="s">
        <v>3280</v>
      </c>
      <c r="C2899" s="509" t="s">
        <v>30</v>
      </c>
      <c r="D2899" s="511">
        <v>371137</v>
      </c>
    </row>
    <row r="2900" spans="1:4" ht="15" x14ac:dyDescent="0.35">
      <c r="A2900" s="509">
        <v>8966</v>
      </c>
      <c r="B2900" s="510" t="s">
        <v>3281</v>
      </c>
      <c r="C2900" s="509" t="s">
        <v>307</v>
      </c>
      <c r="D2900" s="511">
        <v>29093</v>
      </c>
    </row>
    <row r="2901" spans="1:4" ht="15" x14ac:dyDescent="0.35">
      <c r="A2901" s="509">
        <v>8970</v>
      </c>
      <c r="B2901" s="510" t="s">
        <v>3282</v>
      </c>
      <c r="C2901" s="509" t="s">
        <v>32</v>
      </c>
      <c r="D2901" s="511">
        <v>421286</v>
      </c>
    </row>
    <row r="2902" spans="1:4" ht="15" x14ac:dyDescent="0.35">
      <c r="A2902" s="509">
        <v>8972</v>
      </c>
      <c r="B2902" s="510" t="s">
        <v>3283</v>
      </c>
      <c r="C2902" s="509" t="s">
        <v>979</v>
      </c>
      <c r="D2902" s="511">
        <v>251285</v>
      </c>
    </row>
    <row r="2903" spans="1:4" ht="15" x14ac:dyDescent="0.35">
      <c r="A2903" s="509">
        <v>9030</v>
      </c>
      <c r="B2903" s="510" t="s">
        <v>3284</v>
      </c>
      <c r="C2903" s="509" t="s">
        <v>32</v>
      </c>
      <c r="D2903" s="511">
        <v>1205404</v>
      </c>
    </row>
    <row r="2904" spans="1:4" ht="15" x14ac:dyDescent="0.35">
      <c r="A2904" s="509">
        <v>9031</v>
      </c>
      <c r="B2904" s="510" t="s">
        <v>3285</v>
      </c>
      <c r="C2904" s="509" t="s">
        <v>32</v>
      </c>
      <c r="D2904" s="511">
        <v>2308832</v>
      </c>
    </row>
    <row r="2905" spans="1:4" ht="15" x14ac:dyDescent="0.35">
      <c r="A2905" s="509">
        <v>9032</v>
      </c>
      <c r="B2905" s="510" t="s">
        <v>3286</v>
      </c>
      <c r="C2905" s="509" t="s">
        <v>32</v>
      </c>
      <c r="D2905" s="511">
        <v>3791721</v>
      </c>
    </row>
    <row r="2906" spans="1:4" ht="15" x14ac:dyDescent="0.35">
      <c r="A2906" s="509">
        <v>9033</v>
      </c>
      <c r="B2906" s="510" t="s">
        <v>3287</v>
      </c>
      <c r="C2906" s="509" t="s">
        <v>32</v>
      </c>
      <c r="D2906" s="511">
        <v>5057254</v>
      </c>
    </row>
    <row r="2907" spans="1:4" ht="15" x14ac:dyDescent="0.35">
      <c r="A2907" s="509">
        <v>9034</v>
      </c>
      <c r="B2907" s="510" t="s">
        <v>3288</v>
      </c>
      <c r="C2907" s="509" t="s">
        <v>32</v>
      </c>
      <c r="D2907" s="511">
        <v>4986122</v>
      </c>
    </row>
    <row r="2908" spans="1:4" ht="15" x14ac:dyDescent="0.35">
      <c r="A2908" s="509">
        <v>9035</v>
      </c>
      <c r="B2908" s="510" t="s">
        <v>3289</v>
      </c>
      <c r="C2908" s="509" t="s">
        <v>32</v>
      </c>
      <c r="D2908" s="511">
        <v>8158962</v>
      </c>
    </row>
    <row r="2909" spans="1:4" ht="15" x14ac:dyDescent="0.35">
      <c r="A2909" s="509">
        <v>9042</v>
      </c>
      <c r="B2909" s="510" t="s">
        <v>3290</v>
      </c>
      <c r="C2909" s="509" t="s">
        <v>328</v>
      </c>
      <c r="D2909" s="512">
        <v>87871</v>
      </c>
    </row>
    <row r="2910" spans="1:4" ht="15" x14ac:dyDescent="0.35">
      <c r="A2910" s="509">
        <v>9045</v>
      </c>
      <c r="B2910" s="510" t="s">
        <v>3291</v>
      </c>
      <c r="C2910" s="509" t="s">
        <v>328</v>
      </c>
      <c r="D2910" s="511">
        <v>10395</v>
      </c>
    </row>
    <row r="2911" spans="1:4" ht="15" x14ac:dyDescent="0.35">
      <c r="A2911" s="509">
        <v>9046</v>
      </c>
      <c r="B2911" s="510" t="s">
        <v>3292</v>
      </c>
      <c r="C2911" s="509" t="s">
        <v>32</v>
      </c>
      <c r="D2911" s="512">
        <v>38372</v>
      </c>
    </row>
    <row r="2912" spans="1:4" ht="15" x14ac:dyDescent="0.35">
      <c r="A2912" s="509">
        <v>9047</v>
      </c>
      <c r="B2912" s="510" t="s">
        <v>3293</v>
      </c>
      <c r="C2912" s="509" t="s">
        <v>32</v>
      </c>
      <c r="D2912" s="512">
        <v>109203</v>
      </c>
    </row>
    <row r="2913" spans="1:4" ht="15" x14ac:dyDescent="0.35">
      <c r="A2913" s="509">
        <v>9048</v>
      </c>
      <c r="B2913" s="510" t="s">
        <v>3294</v>
      </c>
      <c r="C2913" s="509" t="s">
        <v>328</v>
      </c>
      <c r="D2913" s="512">
        <v>5198</v>
      </c>
    </row>
    <row r="2914" spans="1:4" ht="15" x14ac:dyDescent="0.35">
      <c r="A2914" s="509">
        <v>9052</v>
      </c>
      <c r="B2914" s="510" t="s">
        <v>3295</v>
      </c>
      <c r="C2914" s="509" t="s">
        <v>2125</v>
      </c>
      <c r="D2914" s="511">
        <v>3556</v>
      </c>
    </row>
    <row r="2915" spans="1:4" ht="15" x14ac:dyDescent="0.35">
      <c r="A2915" s="509">
        <v>9055</v>
      </c>
      <c r="B2915" s="510" t="s">
        <v>3296</v>
      </c>
      <c r="C2915" s="509" t="s">
        <v>328</v>
      </c>
      <c r="D2915" s="511">
        <v>19113</v>
      </c>
    </row>
    <row r="2916" spans="1:4" ht="15" x14ac:dyDescent="0.35">
      <c r="A2916" s="509">
        <v>9056</v>
      </c>
      <c r="B2916" s="510" t="s">
        <v>3297</v>
      </c>
      <c r="C2916" s="509" t="s">
        <v>328</v>
      </c>
      <c r="D2916" s="511">
        <v>769886</v>
      </c>
    </row>
    <row r="2917" spans="1:4" ht="15" x14ac:dyDescent="0.35">
      <c r="A2917" s="509">
        <v>9058</v>
      </c>
      <c r="B2917" s="510" t="s">
        <v>3298</v>
      </c>
      <c r="C2917" s="509" t="s">
        <v>21</v>
      </c>
      <c r="D2917" s="511">
        <v>137080</v>
      </c>
    </row>
    <row r="2918" spans="1:4" ht="15" x14ac:dyDescent="0.35">
      <c r="A2918" s="509">
        <v>9072</v>
      </c>
      <c r="B2918" s="510" t="s">
        <v>3299</v>
      </c>
      <c r="C2918" s="509" t="s">
        <v>30</v>
      </c>
      <c r="D2918" s="512">
        <v>957315</v>
      </c>
    </row>
    <row r="2919" spans="1:4" ht="15" x14ac:dyDescent="0.35">
      <c r="A2919" s="509">
        <v>9075</v>
      </c>
      <c r="B2919" s="510" t="s">
        <v>3300</v>
      </c>
      <c r="C2919" s="509" t="s">
        <v>32</v>
      </c>
      <c r="D2919" s="512">
        <v>3133739</v>
      </c>
    </row>
    <row r="2920" spans="1:4" ht="15" x14ac:dyDescent="0.35">
      <c r="A2920" s="509">
        <v>9076</v>
      </c>
      <c r="B2920" s="510" t="s">
        <v>3301</v>
      </c>
      <c r="C2920" s="509" t="s">
        <v>32</v>
      </c>
      <c r="D2920" s="512">
        <v>11133827</v>
      </c>
    </row>
    <row r="2921" spans="1:4" ht="15" x14ac:dyDescent="0.35">
      <c r="A2921" s="509">
        <v>9077</v>
      </c>
      <c r="B2921" s="510" t="s">
        <v>3302</v>
      </c>
      <c r="C2921" s="509" t="s">
        <v>32</v>
      </c>
      <c r="D2921" s="511">
        <v>839957</v>
      </c>
    </row>
    <row r="2922" spans="1:4" ht="15" x14ac:dyDescent="0.35">
      <c r="A2922" s="509">
        <v>9087</v>
      </c>
      <c r="B2922" s="510" t="s">
        <v>3303</v>
      </c>
      <c r="C2922" s="509" t="s">
        <v>328</v>
      </c>
      <c r="D2922" s="511">
        <v>4003131</v>
      </c>
    </row>
    <row r="2923" spans="1:4" ht="15" x14ac:dyDescent="0.35">
      <c r="A2923" s="509">
        <v>9088</v>
      </c>
      <c r="B2923" s="510" t="s">
        <v>3304</v>
      </c>
      <c r="C2923" s="509" t="s">
        <v>328</v>
      </c>
      <c r="D2923" s="511">
        <v>7182819</v>
      </c>
    </row>
    <row r="2924" spans="1:4" ht="15" x14ac:dyDescent="0.35">
      <c r="A2924" s="509">
        <v>9094</v>
      </c>
      <c r="B2924" s="510" t="s">
        <v>3305</v>
      </c>
      <c r="C2924" s="509" t="s">
        <v>30</v>
      </c>
      <c r="D2924" s="511">
        <v>1102333</v>
      </c>
    </row>
    <row r="2925" spans="1:4" ht="15" x14ac:dyDescent="0.35">
      <c r="A2925" s="509">
        <v>9095</v>
      </c>
      <c r="B2925" s="510" t="s">
        <v>3306</v>
      </c>
      <c r="C2925" s="509" t="s">
        <v>30</v>
      </c>
      <c r="D2925" s="511">
        <v>841279</v>
      </c>
    </row>
    <row r="2926" spans="1:4" ht="15" x14ac:dyDescent="0.35">
      <c r="A2926" s="509">
        <v>9096</v>
      </c>
      <c r="B2926" s="510" t="s">
        <v>3307</v>
      </c>
      <c r="C2926" s="509" t="s">
        <v>30</v>
      </c>
      <c r="D2926" s="511">
        <v>1258469</v>
      </c>
    </row>
    <row r="2927" spans="1:4" ht="15" x14ac:dyDescent="0.35">
      <c r="A2927" s="509">
        <v>9097</v>
      </c>
      <c r="B2927" s="510" t="s">
        <v>3308</v>
      </c>
      <c r="C2927" s="509" t="s">
        <v>32</v>
      </c>
      <c r="D2927" s="511">
        <v>2320500</v>
      </c>
    </row>
    <row r="2928" spans="1:4" ht="15" x14ac:dyDescent="0.35">
      <c r="A2928" s="509">
        <v>9098</v>
      </c>
      <c r="B2928" s="510" t="s">
        <v>3309</v>
      </c>
      <c r="C2928" s="509" t="s">
        <v>32</v>
      </c>
      <c r="D2928" s="511">
        <v>5048618</v>
      </c>
    </row>
    <row r="2929" spans="1:4" ht="15" x14ac:dyDescent="0.35">
      <c r="A2929" s="509">
        <v>9099</v>
      </c>
      <c r="B2929" s="510" t="s">
        <v>3310</v>
      </c>
      <c r="C2929" s="509" t="s">
        <v>32</v>
      </c>
      <c r="D2929" s="511">
        <v>1433935</v>
      </c>
    </row>
    <row r="2930" spans="1:4" ht="15" x14ac:dyDescent="0.35">
      <c r="A2930" s="509">
        <v>9100</v>
      </c>
      <c r="B2930" s="510" t="s">
        <v>3311</v>
      </c>
      <c r="C2930" s="509" t="s">
        <v>32</v>
      </c>
      <c r="D2930" s="511">
        <v>19499839</v>
      </c>
    </row>
    <row r="2931" spans="1:4" ht="15" x14ac:dyDescent="0.35">
      <c r="A2931" s="509">
        <v>9101</v>
      </c>
      <c r="B2931" s="510" t="s">
        <v>3312</v>
      </c>
      <c r="C2931" s="509" t="s">
        <v>32</v>
      </c>
      <c r="D2931" s="511">
        <v>2750000</v>
      </c>
    </row>
    <row r="2932" spans="1:4" ht="15" x14ac:dyDescent="0.35">
      <c r="A2932" s="509">
        <v>9109</v>
      </c>
      <c r="B2932" s="510" t="s">
        <v>3313</v>
      </c>
      <c r="C2932" s="509" t="s">
        <v>30</v>
      </c>
      <c r="D2932" s="511">
        <v>634226</v>
      </c>
    </row>
    <row r="2933" spans="1:4" ht="15" x14ac:dyDescent="0.35">
      <c r="A2933" s="509">
        <v>9122</v>
      </c>
      <c r="B2933" s="510" t="s">
        <v>3314</v>
      </c>
      <c r="C2933" s="509" t="s">
        <v>670</v>
      </c>
      <c r="D2933" s="511">
        <v>5767</v>
      </c>
    </row>
    <row r="2934" spans="1:4" ht="15" x14ac:dyDescent="0.35">
      <c r="A2934" s="509">
        <v>9129</v>
      </c>
      <c r="B2934" s="510" t="s">
        <v>3315</v>
      </c>
      <c r="C2934" s="509" t="s">
        <v>307</v>
      </c>
      <c r="D2934" s="511">
        <v>483319</v>
      </c>
    </row>
    <row r="2935" spans="1:4" ht="15" x14ac:dyDescent="0.35">
      <c r="A2935" s="509">
        <v>9130</v>
      </c>
      <c r="B2935" s="510" t="s">
        <v>3316</v>
      </c>
      <c r="C2935" s="509" t="s">
        <v>307</v>
      </c>
      <c r="D2935" s="512">
        <v>672647</v>
      </c>
    </row>
    <row r="2936" spans="1:4" ht="15" x14ac:dyDescent="0.35">
      <c r="A2936" s="509">
        <v>9131</v>
      </c>
      <c r="B2936" s="510" t="s">
        <v>3317</v>
      </c>
      <c r="C2936" s="509" t="s">
        <v>307</v>
      </c>
      <c r="D2936" s="511">
        <v>571431</v>
      </c>
    </row>
    <row r="2937" spans="1:4" ht="15" x14ac:dyDescent="0.35">
      <c r="A2937" s="509">
        <v>9132</v>
      </c>
      <c r="B2937" s="510" t="s">
        <v>3318</v>
      </c>
      <c r="C2937" s="509" t="s">
        <v>30</v>
      </c>
      <c r="D2937" s="511">
        <v>311880</v>
      </c>
    </row>
    <row r="2938" spans="1:4" ht="15" x14ac:dyDescent="0.35">
      <c r="A2938" s="509">
        <v>9133</v>
      </c>
      <c r="B2938" s="510" t="s">
        <v>6600</v>
      </c>
      <c r="C2938" s="509" t="s">
        <v>307</v>
      </c>
      <c r="D2938" s="511">
        <v>9959</v>
      </c>
    </row>
    <row r="2939" spans="1:4" ht="15" x14ac:dyDescent="0.35">
      <c r="A2939" s="509">
        <v>9134</v>
      </c>
      <c r="B2939" s="510" t="s">
        <v>3320</v>
      </c>
      <c r="C2939" s="509" t="s">
        <v>307</v>
      </c>
      <c r="D2939" s="511">
        <v>143032</v>
      </c>
    </row>
    <row r="2940" spans="1:4" ht="15" x14ac:dyDescent="0.35">
      <c r="A2940" s="509">
        <v>9135</v>
      </c>
      <c r="B2940" s="510" t="s">
        <v>3321</v>
      </c>
      <c r="C2940" s="509" t="s">
        <v>307</v>
      </c>
      <c r="D2940" s="511">
        <v>6051</v>
      </c>
    </row>
    <row r="2941" spans="1:4" ht="15" x14ac:dyDescent="0.35">
      <c r="A2941" s="509">
        <v>9136</v>
      </c>
      <c r="B2941" s="510" t="s">
        <v>3322</v>
      </c>
      <c r="C2941" s="509" t="s">
        <v>307</v>
      </c>
      <c r="D2941" s="511">
        <v>4406</v>
      </c>
    </row>
    <row r="2942" spans="1:4" ht="15" x14ac:dyDescent="0.35">
      <c r="A2942" s="509">
        <v>9137</v>
      </c>
      <c r="B2942" s="510" t="s">
        <v>3323</v>
      </c>
      <c r="C2942" s="509" t="s">
        <v>307</v>
      </c>
      <c r="D2942" s="512">
        <v>3734</v>
      </c>
    </row>
    <row r="2943" spans="1:4" ht="15" x14ac:dyDescent="0.35">
      <c r="A2943" s="509">
        <v>9138</v>
      </c>
      <c r="B2943" s="510" t="s">
        <v>3324</v>
      </c>
      <c r="C2943" s="509" t="s">
        <v>307</v>
      </c>
      <c r="D2943" s="511">
        <v>3734</v>
      </c>
    </row>
    <row r="2944" spans="1:4" ht="15" x14ac:dyDescent="0.35">
      <c r="A2944" s="509">
        <v>9139</v>
      </c>
      <c r="B2944" s="510" t="s">
        <v>3325</v>
      </c>
      <c r="C2944" s="509" t="s">
        <v>307</v>
      </c>
      <c r="D2944" s="511">
        <v>47122</v>
      </c>
    </row>
    <row r="2945" spans="1:4" ht="15" x14ac:dyDescent="0.35">
      <c r="A2945" s="509">
        <v>9140</v>
      </c>
      <c r="B2945" s="510" t="s">
        <v>3326</v>
      </c>
      <c r="C2945" s="509" t="s">
        <v>307</v>
      </c>
      <c r="D2945" s="511">
        <v>69196</v>
      </c>
    </row>
    <row r="2946" spans="1:4" ht="15" x14ac:dyDescent="0.35">
      <c r="A2946" s="509">
        <v>9141</v>
      </c>
      <c r="B2946" s="510" t="s">
        <v>3327</v>
      </c>
      <c r="C2946" s="509" t="s">
        <v>307</v>
      </c>
      <c r="D2946" s="511">
        <v>6801</v>
      </c>
    </row>
    <row r="2947" spans="1:4" ht="15" x14ac:dyDescent="0.35">
      <c r="A2947" s="509">
        <v>9142</v>
      </c>
      <c r="B2947" s="510" t="s">
        <v>3328</v>
      </c>
      <c r="C2947" s="509" t="s">
        <v>307</v>
      </c>
      <c r="D2947" s="511">
        <v>2554</v>
      </c>
    </row>
    <row r="2948" spans="1:4" ht="15" x14ac:dyDescent="0.35">
      <c r="A2948" s="509">
        <v>9143</v>
      </c>
      <c r="B2948" s="510" t="s">
        <v>3329</v>
      </c>
      <c r="C2948" s="509" t="s">
        <v>307</v>
      </c>
      <c r="D2948" s="511">
        <v>62910</v>
      </c>
    </row>
    <row r="2949" spans="1:4" ht="15" x14ac:dyDescent="0.35">
      <c r="A2949" s="509">
        <v>9144</v>
      </c>
      <c r="B2949" s="510" t="s">
        <v>3330</v>
      </c>
      <c r="C2949" s="509" t="s">
        <v>307</v>
      </c>
      <c r="D2949" s="512">
        <v>4923</v>
      </c>
    </row>
    <row r="2950" spans="1:4" ht="15" x14ac:dyDescent="0.35">
      <c r="A2950" s="509">
        <v>9145</v>
      </c>
      <c r="B2950" s="510" t="s">
        <v>3331</v>
      </c>
      <c r="C2950" s="509" t="s">
        <v>307</v>
      </c>
      <c r="D2950" s="512">
        <v>69328</v>
      </c>
    </row>
    <row r="2951" spans="1:4" ht="15" x14ac:dyDescent="0.35">
      <c r="A2951" s="509">
        <v>9146</v>
      </c>
      <c r="B2951" s="510" t="s">
        <v>3332</v>
      </c>
      <c r="C2951" s="509" t="s">
        <v>21</v>
      </c>
      <c r="D2951" s="511">
        <v>30710</v>
      </c>
    </row>
    <row r="2952" spans="1:4" ht="15" x14ac:dyDescent="0.35">
      <c r="A2952" s="509">
        <v>9147</v>
      </c>
      <c r="B2952" s="510" t="s">
        <v>3333</v>
      </c>
      <c r="C2952" s="509" t="s">
        <v>21</v>
      </c>
      <c r="D2952" s="512">
        <v>33559</v>
      </c>
    </row>
    <row r="2953" spans="1:4" ht="15" x14ac:dyDescent="0.35">
      <c r="A2953" s="509">
        <v>9148</v>
      </c>
      <c r="B2953" s="510" t="s">
        <v>3334</v>
      </c>
      <c r="C2953" s="509" t="s">
        <v>32</v>
      </c>
      <c r="D2953" s="512">
        <v>1246744</v>
      </c>
    </row>
    <row r="2954" spans="1:4" ht="15" x14ac:dyDescent="0.35">
      <c r="A2954" s="509">
        <v>9149</v>
      </c>
      <c r="B2954" s="510" t="s">
        <v>3335</v>
      </c>
      <c r="C2954" s="509" t="s">
        <v>30</v>
      </c>
      <c r="D2954" s="511">
        <v>311880</v>
      </c>
    </row>
    <row r="2955" spans="1:4" ht="15" x14ac:dyDescent="0.35">
      <c r="A2955" s="509">
        <v>9150</v>
      </c>
      <c r="B2955" s="510" t="s">
        <v>3336</v>
      </c>
      <c r="C2955" s="509" t="s">
        <v>307</v>
      </c>
      <c r="D2955" s="512">
        <v>3734</v>
      </c>
    </row>
    <row r="2956" spans="1:4" ht="15" x14ac:dyDescent="0.35">
      <c r="A2956" s="509">
        <v>9151</v>
      </c>
      <c r="B2956" s="510" t="s">
        <v>3337</v>
      </c>
      <c r="C2956" s="509" t="s">
        <v>307</v>
      </c>
      <c r="D2956" s="511">
        <v>47122</v>
      </c>
    </row>
    <row r="2957" spans="1:4" ht="15" x14ac:dyDescent="0.35">
      <c r="A2957" s="509">
        <v>9152</v>
      </c>
      <c r="B2957" s="510" t="s">
        <v>3338</v>
      </c>
      <c r="C2957" s="509" t="s">
        <v>307</v>
      </c>
      <c r="D2957" s="511">
        <v>69196</v>
      </c>
    </row>
    <row r="2958" spans="1:4" ht="15" x14ac:dyDescent="0.35">
      <c r="A2958" s="509">
        <v>9153</v>
      </c>
      <c r="B2958" s="510" t="s">
        <v>3339</v>
      </c>
      <c r="C2958" s="509" t="s">
        <v>307</v>
      </c>
      <c r="D2958" s="511">
        <v>434484</v>
      </c>
    </row>
    <row r="2959" spans="1:4" ht="15" x14ac:dyDescent="0.35">
      <c r="A2959" s="509">
        <v>9154</v>
      </c>
      <c r="B2959" s="510" t="s">
        <v>3340</v>
      </c>
      <c r="C2959" s="509" t="s">
        <v>307</v>
      </c>
      <c r="D2959" s="511">
        <v>6051</v>
      </c>
    </row>
    <row r="2960" spans="1:4" ht="15" x14ac:dyDescent="0.35">
      <c r="A2960" s="509">
        <v>9322</v>
      </c>
      <c r="B2960" s="510" t="s">
        <v>3341</v>
      </c>
      <c r="C2960" s="509" t="s">
        <v>21</v>
      </c>
      <c r="D2960" s="511">
        <v>1815285</v>
      </c>
    </row>
    <row r="2961" spans="1:4" ht="15" x14ac:dyDescent="0.35">
      <c r="A2961" s="509">
        <v>9323</v>
      </c>
      <c r="B2961" s="510" t="s">
        <v>3342</v>
      </c>
      <c r="C2961" s="509" t="s">
        <v>21</v>
      </c>
      <c r="D2961" s="511">
        <v>2573293</v>
      </c>
    </row>
    <row r="2962" spans="1:4" ht="15" x14ac:dyDescent="0.35">
      <c r="A2962" s="509">
        <v>9324</v>
      </c>
      <c r="B2962" s="510" t="s">
        <v>3343</v>
      </c>
      <c r="C2962" s="509" t="s">
        <v>21</v>
      </c>
      <c r="D2962" s="512">
        <v>2568472</v>
      </c>
    </row>
    <row r="2963" spans="1:4" ht="15" x14ac:dyDescent="0.35">
      <c r="A2963" s="509">
        <v>9325</v>
      </c>
      <c r="B2963" s="510" t="s">
        <v>3344</v>
      </c>
      <c r="C2963" s="509" t="s">
        <v>328</v>
      </c>
      <c r="D2963" s="511">
        <v>937270</v>
      </c>
    </row>
    <row r="2964" spans="1:4" ht="15" x14ac:dyDescent="0.35">
      <c r="A2964" s="509">
        <v>9326</v>
      </c>
      <c r="B2964" s="510" t="s">
        <v>3345</v>
      </c>
      <c r="C2964" s="509" t="s">
        <v>328</v>
      </c>
      <c r="D2964" s="511">
        <v>1443970</v>
      </c>
    </row>
    <row r="2965" spans="1:4" ht="15" x14ac:dyDescent="0.35">
      <c r="A2965" s="509">
        <v>9327</v>
      </c>
      <c r="B2965" s="510" t="s">
        <v>3346</v>
      </c>
      <c r="C2965" s="509" t="s">
        <v>328</v>
      </c>
      <c r="D2965" s="511">
        <v>1442138</v>
      </c>
    </row>
    <row r="2966" spans="1:4" ht="15" x14ac:dyDescent="0.35">
      <c r="A2966" s="509">
        <v>9394</v>
      </c>
      <c r="B2966" s="510" t="s">
        <v>3347</v>
      </c>
      <c r="C2966" s="509" t="s">
        <v>328</v>
      </c>
      <c r="D2966" s="511">
        <v>2100563</v>
      </c>
    </row>
    <row r="2967" spans="1:4" ht="15" x14ac:dyDescent="0.35">
      <c r="A2967" s="509">
        <v>9395</v>
      </c>
      <c r="B2967" s="510" t="s">
        <v>3348</v>
      </c>
      <c r="C2967" s="509" t="s">
        <v>328</v>
      </c>
      <c r="D2967" s="511">
        <v>2742721</v>
      </c>
    </row>
    <row r="2968" spans="1:4" ht="15" x14ac:dyDescent="0.35">
      <c r="A2968" s="509">
        <v>9396</v>
      </c>
      <c r="B2968" s="510" t="s">
        <v>3349</v>
      </c>
      <c r="C2968" s="509" t="s">
        <v>328</v>
      </c>
      <c r="D2968" s="511">
        <v>863451</v>
      </c>
    </row>
    <row r="2969" spans="1:4" ht="15" x14ac:dyDescent="0.35">
      <c r="A2969" s="509">
        <v>9397</v>
      </c>
      <c r="B2969" s="510" t="s">
        <v>3350</v>
      </c>
      <c r="C2969" s="509" t="s">
        <v>328</v>
      </c>
      <c r="D2969" s="511">
        <v>863451</v>
      </c>
    </row>
    <row r="2970" spans="1:4" ht="15" x14ac:dyDescent="0.35">
      <c r="A2970" s="509">
        <v>9398</v>
      </c>
      <c r="B2970" s="510" t="s">
        <v>3351</v>
      </c>
      <c r="C2970" s="509" t="s">
        <v>328</v>
      </c>
      <c r="D2970" s="511">
        <v>932256</v>
      </c>
    </row>
    <row r="2971" spans="1:4" ht="15" x14ac:dyDescent="0.35">
      <c r="A2971" s="509">
        <v>9425</v>
      </c>
      <c r="B2971" s="510" t="s">
        <v>3352</v>
      </c>
      <c r="C2971" s="509" t="s">
        <v>328</v>
      </c>
      <c r="D2971" s="511">
        <v>2696606</v>
      </c>
    </row>
    <row r="2972" spans="1:4" ht="15" x14ac:dyDescent="0.35">
      <c r="A2972" s="509">
        <v>9466</v>
      </c>
      <c r="B2972" s="510" t="s">
        <v>3354</v>
      </c>
      <c r="C2972" s="509" t="s">
        <v>307</v>
      </c>
      <c r="D2972" s="512">
        <v>434484</v>
      </c>
    </row>
    <row r="2973" spans="1:4" ht="15" x14ac:dyDescent="0.35">
      <c r="A2973" s="509">
        <v>9467</v>
      </c>
      <c r="B2973" s="510" t="s">
        <v>3355</v>
      </c>
      <c r="C2973" s="509" t="s">
        <v>30</v>
      </c>
      <c r="D2973" s="511">
        <v>311880</v>
      </c>
    </row>
    <row r="2974" spans="1:4" ht="15" x14ac:dyDescent="0.35">
      <c r="A2974" s="509">
        <v>9468</v>
      </c>
      <c r="B2974" s="510" t="s">
        <v>3356</v>
      </c>
      <c r="C2974" s="509" t="s">
        <v>307</v>
      </c>
      <c r="D2974" s="512">
        <v>69196</v>
      </c>
    </row>
    <row r="2975" spans="1:4" ht="15" x14ac:dyDescent="0.35">
      <c r="A2975" s="509">
        <v>9469</v>
      </c>
      <c r="B2975" s="510" t="s">
        <v>3357</v>
      </c>
      <c r="C2975" s="509" t="s">
        <v>307</v>
      </c>
      <c r="D2975" s="511">
        <v>6051</v>
      </c>
    </row>
    <row r="2976" spans="1:4" ht="15" x14ac:dyDescent="0.35">
      <c r="A2976" s="509">
        <v>9470</v>
      </c>
      <c r="B2976" s="510" t="s">
        <v>3358</v>
      </c>
      <c r="C2976" s="509" t="s">
        <v>307</v>
      </c>
      <c r="D2976" s="511">
        <v>3734</v>
      </c>
    </row>
    <row r="2977" spans="1:4" ht="15" x14ac:dyDescent="0.35">
      <c r="A2977" s="509">
        <v>9563</v>
      </c>
      <c r="B2977" s="510" t="s">
        <v>3359</v>
      </c>
      <c r="C2977" s="509" t="s">
        <v>328</v>
      </c>
      <c r="D2977" s="511">
        <v>164571</v>
      </c>
    </row>
    <row r="2978" spans="1:4" ht="15" x14ac:dyDescent="0.35">
      <c r="A2978" s="509">
        <v>9997</v>
      </c>
      <c r="B2978" s="510" t="s">
        <v>3360</v>
      </c>
      <c r="C2978" s="509" t="s">
        <v>21</v>
      </c>
      <c r="D2978" s="511">
        <v>2781</v>
      </c>
    </row>
    <row r="2979" spans="1:4" ht="15" x14ac:dyDescent="0.35">
      <c r="A2979" s="509">
        <v>9998</v>
      </c>
      <c r="B2979" s="510" t="s">
        <v>3361</v>
      </c>
      <c r="C2979" s="509" t="s">
        <v>30</v>
      </c>
      <c r="D2979" s="512">
        <v>1556717</v>
      </c>
    </row>
    <row r="2980" spans="1:4" ht="15" x14ac:dyDescent="0.35">
      <c r="A2980" s="509">
        <v>9999</v>
      </c>
      <c r="B2980" s="510" t="s">
        <v>3362</v>
      </c>
      <c r="C2980" s="509" t="s">
        <v>21</v>
      </c>
      <c r="D2980" s="511">
        <v>170676</v>
      </c>
    </row>
    <row r="2981" spans="1:4" ht="15" x14ac:dyDescent="0.35">
      <c r="A2981" s="509">
        <v>10000</v>
      </c>
      <c r="B2981" s="510" t="s">
        <v>3363</v>
      </c>
      <c r="C2981" s="509" t="s">
        <v>21</v>
      </c>
      <c r="D2981" s="511">
        <v>135101</v>
      </c>
    </row>
    <row r="2982" spans="1:4" ht="15" x14ac:dyDescent="0.35">
      <c r="A2982" s="509">
        <v>10014</v>
      </c>
      <c r="B2982" s="510" t="s">
        <v>3364</v>
      </c>
      <c r="C2982" s="509" t="s">
        <v>30</v>
      </c>
      <c r="D2982" s="512">
        <v>176119</v>
      </c>
    </row>
    <row r="2983" spans="1:4" ht="15" x14ac:dyDescent="0.35">
      <c r="A2983" s="509">
        <v>10015</v>
      </c>
      <c r="B2983" s="510" t="s">
        <v>3365</v>
      </c>
      <c r="C2983" s="509" t="s">
        <v>30</v>
      </c>
      <c r="D2983" s="511">
        <v>175642</v>
      </c>
    </row>
    <row r="2984" spans="1:4" ht="15" x14ac:dyDescent="0.35">
      <c r="A2984" s="509">
        <v>10016</v>
      </c>
      <c r="B2984" s="510" t="s">
        <v>3366</v>
      </c>
      <c r="C2984" s="509" t="s">
        <v>30</v>
      </c>
      <c r="D2984" s="512">
        <v>184603</v>
      </c>
    </row>
    <row r="2985" spans="1:4" ht="15" x14ac:dyDescent="0.35">
      <c r="A2985" s="509">
        <v>10017</v>
      </c>
      <c r="B2985" s="510" t="s">
        <v>3367</v>
      </c>
      <c r="C2985" s="509" t="s">
        <v>30</v>
      </c>
      <c r="D2985" s="512">
        <v>176715</v>
      </c>
    </row>
    <row r="2986" spans="1:4" ht="15" x14ac:dyDescent="0.35">
      <c r="A2986" s="509">
        <v>10018</v>
      </c>
      <c r="B2986" s="510" t="s">
        <v>3368</v>
      </c>
      <c r="C2986" s="509" t="s">
        <v>30</v>
      </c>
      <c r="D2986" s="512">
        <v>176237</v>
      </c>
    </row>
    <row r="2987" spans="1:4" ht="15" x14ac:dyDescent="0.35">
      <c r="A2987" s="509">
        <v>10019</v>
      </c>
      <c r="B2987" s="510" t="s">
        <v>3369</v>
      </c>
      <c r="C2987" s="509" t="s">
        <v>30</v>
      </c>
      <c r="D2987" s="512">
        <v>185198</v>
      </c>
    </row>
    <row r="2988" spans="1:4" ht="15" x14ac:dyDescent="0.35">
      <c r="A2988" s="509">
        <v>10020</v>
      </c>
      <c r="B2988" s="510" t="s">
        <v>3370</v>
      </c>
      <c r="C2988" s="509" t="s">
        <v>30</v>
      </c>
      <c r="D2988" s="512">
        <v>180764</v>
      </c>
    </row>
    <row r="2989" spans="1:4" ht="15" x14ac:dyDescent="0.35">
      <c r="A2989" s="509">
        <v>10021</v>
      </c>
      <c r="B2989" s="510" t="s">
        <v>3371</v>
      </c>
      <c r="C2989" s="509" t="s">
        <v>30</v>
      </c>
      <c r="D2989" s="511">
        <v>180286</v>
      </c>
    </row>
    <row r="2990" spans="1:4" ht="15" x14ac:dyDescent="0.35">
      <c r="A2990" s="509">
        <v>10022</v>
      </c>
      <c r="B2990" s="510" t="s">
        <v>3372</v>
      </c>
      <c r="C2990" s="509" t="s">
        <v>30</v>
      </c>
      <c r="D2990" s="511">
        <v>189247</v>
      </c>
    </row>
    <row r="2991" spans="1:4" ht="15" x14ac:dyDescent="0.35">
      <c r="A2991" s="509">
        <v>10030</v>
      </c>
      <c r="B2991" s="510" t="s">
        <v>3373</v>
      </c>
      <c r="C2991" s="509" t="s">
        <v>30</v>
      </c>
      <c r="D2991" s="511">
        <v>209648</v>
      </c>
    </row>
    <row r="2992" spans="1:4" ht="15" x14ac:dyDescent="0.35">
      <c r="A2992" s="509">
        <v>10072</v>
      </c>
      <c r="B2992" s="510" t="s">
        <v>3374</v>
      </c>
      <c r="C2992" s="509" t="s">
        <v>30</v>
      </c>
      <c r="D2992" s="511">
        <v>189991</v>
      </c>
    </row>
    <row r="2993" spans="1:4" ht="15" x14ac:dyDescent="0.35">
      <c r="A2993" s="509">
        <v>10074</v>
      </c>
      <c r="B2993" s="510" t="s">
        <v>3375</v>
      </c>
      <c r="C2993" s="509" t="s">
        <v>32</v>
      </c>
      <c r="D2993" s="511">
        <v>6942537</v>
      </c>
    </row>
    <row r="2994" spans="1:4" ht="15" x14ac:dyDescent="0.35">
      <c r="A2994" s="509">
        <v>10075</v>
      </c>
      <c r="B2994" s="510" t="s">
        <v>3376</v>
      </c>
      <c r="C2994" s="509" t="s">
        <v>32</v>
      </c>
      <c r="D2994" s="512">
        <v>9254630</v>
      </c>
    </row>
    <row r="2995" spans="1:4" ht="15" x14ac:dyDescent="0.35">
      <c r="A2995" s="509">
        <v>10214</v>
      </c>
      <c r="B2995" s="510" t="s">
        <v>3377</v>
      </c>
      <c r="C2995" s="509" t="s">
        <v>328</v>
      </c>
      <c r="D2995" s="511">
        <v>375992</v>
      </c>
    </row>
    <row r="2996" spans="1:4" ht="15" x14ac:dyDescent="0.35">
      <c r="A2996" s="509">
        <v>10246</v>
      </c>
      <c r="B2996" s="510" t="s">
        <v>3378</v>
      </c>
      <c r="C2996" s="509" t="s">
        <v>21</v>
      </c>
      <c r="D2996" s="511">
        <v>117803</v>
      </c>
    </row>
    <row r="2997" spans="1:4" ht="15" x14ac:dyDescent="0.35">
      <c r="A2997" s="509">
        <v>10247</v>
      </c>
      <c r="B2997" s="510" t="s">
        <v>3379</v>
      </c>
      <c r="C2997" s="509" t="s">
        <v>21</v>
      </c>
      <c r="D2997" s="511">
        <v>121851</v>
      </c>
    </row>
    <row r="2998" spans="1:4" ht="15" x14ac:dyDescent="0.35">
      <c r="A2998" s="509">
        <v>10248</v>
      </c>
      <c r="B2998" s="510" t="s">
        <v>3380</v>
      </c>
      <c r="C2998" s="509" t="s">
        <v>21</v>
      </c>
      <c r="D2998" s="511">
        <v>122813</v>
      </c>
    </row>
    <row r="2999" spans="1:4" ht="15" x14ac:dyDescent="0.35">
      <c r="A2999" s="509">
        <v>10249</v>
      </c>
      <c r="B2999" s="510" t="s">
        <v>3381</v>
      </c>
      <c r="C2999" s="509" t="s">
        <v>21</v>
      </c>
      <c r="D2999" s="511">
        <v>120405</v>
      </c>
    </row>
    <row r="3000" spans="1:4" ht="15" x14ac:dyDescent="0.35">
      <c r="A3000" s="509">
        <v>10250</v>
      </c>
      <c r="B3000" s="510" t="s">
        <v>3382</v>
      </c>
      <c r="C3000" s="509" t="s">
        <v>21</v>
      </c>
      <c r="D3000" s="511">
        <v>107617</v>
      </c>
    </row>
    <row r="3001" spans="1:4" ht="15" x14ac:dyDescent="0.35">
      <c r="A3001" s="509">
        <v>10251</v>
      </c>
      <c r="B3001" s="510" t="s">
        <v>3383</v>
      </c>
      <c r="C3001" s="509" t="s">
        <v>21</v>
      </c>
      <c r="D3001" s="511">
        <v>116407</v>
      </c>
    </row>
    <row r="3002" spans="1:4" ht="15" x14ac:dyDescent="0.35">
      <c r="A3002" s="509">
        <v>10252</v>
      </c>
      <c r="B3002" s="510" t="s">
        <v>3384</v>
      </c>
      <c r="C3002" s="509" t="s">
        <v>2145</v>
      </c>
      <c r="D3002" s="512">
        <v>8432</v>
      </c>
    </row>
    <row r="3003" spans="1:4" ht="15" x14ac:dyDescent="0.35">
      <c r="A3003" s="509">
        <v>10253</v>
      </c>
      <c r="B3003" s="510" t="s">
        <v>3385</v>
      </c>
      <c r="C3003" s="509" t="s">
        <v>32</v>
      </c>
      <c r="D3003" s="511">
        <v>138895773</v>
      </c>
    </row>
    <row r="3004" spans="1:4" ht="15" x14ac:dyDescent="0.35">
      <c r="A3004" s="509">
        <v>10254</v>
      </c>
      <c r="B3004" s="510" t="s">
        <v>3386</v>
      </c>
      <c r="C3004" s="509" t="s">
        <v>32</v>
      </c>
      <c r="D3004" s="511">
        <v>157526933</v>
      </c>
    </row>
    <row r="3005" spans="1:4" ht="15" x14ac:dyDescent="0.35">
      <c r="A3005" s="509">
        <v>10255</v>
      </c>
      <c r="B3005" s="510" t="s">
        <v>3387</v>
      </c>
      <c r="C3005" s="509" t="s">
        <v>32</v>
      </c>
      <c r="D3005" s="512">
        <v>175052625</v>
      </c>
    </row>
    <row r="3006" spans="1:4" ht="15" x14ac:dyDescent="0.35">
      <c r="A3006" s="509">
        <v>10256</v>
      </c>
      <c r="B3006" s="510" t="s">
        <v>3388</v>
      </c>
      <c r="C3006" s="509" t="s">
        <v>32</v>
      </c>
      <c r="D3006" s="511">
        <v>1758579</v>
      </c>
    </row>
    <row r="3007" spans="1:4" ht="15" x14ac:dyDescent="0.35">
      <c r="A3007" s="509">
        <v>10257</v>
      </c>
      <c r="B3007" s="510" t="s">
        <v>3389</v>
      </c>
      <c r="C3007" s="509" t="s">
        <v>21</v>
      </c>
      <c r="D3007" s="511">
        <v>142562</v>
      </c>
    </row>
    <row r="3008" spans="1:4" ht="15" x14ac:dyDescent="0.35">
      <c r="A3008" s="509">
        <v>10258</v>
      </c>
      <c r="B3008" s="510" t="s">
        <v>3390</v>
      </c>
      <c r="C3008" s="509" t="s">
        <v>670</v>
      </c>
      <c r="D3008" s="512">
        <v>18199</v>
      </c>
    </row>
    <row r="3009" spans="1:4" ht="15" x14ac:dyDescent="0.35">
      <c r="A3009" s="509">
        <v>10259</v>
      </c>
      <c r="B3009" s="510" t="s">
        <v>3391</v>
      </c>
      <c r="C3009" s="509" t="s">
        <v>21</v>
      </c>
      <c r="D3009" s="511">
        <v>2066</v>
      </c>
    </row>
    <row r="3010" spans="1:4" ht="15" x14ac:dyDescent="0.35">
      <c r="A3010" s="509">
        <v>10260</v>
      </c>
      <c r="B3010" s="510" t="s">
        <v>3392</v>
      </c>
      <c r="C3010" s="509" t="s">
        <v>21</v>
      </c>
      <c r="D3010" s="511">
        <v>49351</v>
      </c>
    </row>
    <row r="3011" spans="1:4" ht="15" x14ac:dyDescent="0.35">
      <c r="A3011" s="509">
        <v>10261</v>
      </c>
      <c r="B3011" s="510" t="s">
        <v>3393</v>
      </c>
      <c r="C3011" s="509" t="s">
        <v>21</v>
      </c>
      <c r="D3011" s="512">
        <v>96723</v>
      </c>
    </row>
    <row r="3012" spans="1:4" ht="15" x14ac:dyDescent="0.35">
      <c r="A3012" s="509">
        <v>10262</v>
      </c>
      <c r="B3012" s="510" t="s">
        <v>3394</v>
      </c>
      <c r="C3012" s="509" t="s">
        <v>328</v>
      </c>
      <c r="D3012" s="512">
        <v>57658</v>
      </c>
    </row>
    <row r="3013" spans="1:4" ht="15" x14ac:dyDescent="0.35">
      <c r="A3013" s="509">
        <v>10263</v>
      </c>
      <c r="B3013" s="510" t="s">
        <v>3395</v>
      </c>
      <c r="C3013" s="509" t="s">
        <v>21</v>
      </c>
      <c r="D3013" s="512">
        <v>231838</v>
      </c>
    </row>
    <row r="3014" spans="1:4" ht="15" x14ac:dyDescent="0.35">
      <c r="A3014" s="509">
        <v>10264</v>
      </c>
      <c r="B3014" s="510" t="s">
        <v>3396</v>
      </c>
      <c r="C3014" s="509" t="s">
        <v>21</v>
      </c>
      <c r="D3014" s="512">
        <v>232836</v>
      </c>
    </row>
    <row r="3015" spans="1:4" ht="15" x14ac:dyDescent="0.35">
      <c r="A3015" s="509">
        <v>10265</v>
      </c>
      <c r="B3015" s="510" t="s">
        <v>3397</v>
      </c>
      <c r="C3015" s="509" t="s">
        <v>30</v>
      </c>
      <c r="D3015" s="511">
        <v>1267495</v>
      </c>
    </row>
    <row r="3016" spans="1:4" ht="15" x14ac:dyDescent="0.35">
      <c r="A3016" s="509">
        <v>10266</v>
      </c>
      <c r="B3016" s="510" t="s">
        <v>3398</v>
      </c>
      <c r="C3016" s="509" t="s">
        <v>30</v>
      </c>
      <c r="D3016" s="511">
        <v>1050422</v>
      </c>
    </row>
    <row r="3017" spans="1:4" ht="15" x14ac:dyDescent="0.35">
      <c r="A3017" s="509">
        <v>10267</v>
      </c>
      <c r="B3017" s="510" t="s">
        <v>3399</v>
      </c>
      <c r="C3017" s="509" t="s">
        <v>21</v>
      </c>
      <c r="D3017" s="511">
        <v>152082</v>
      </c>
    </row>
    <row r="3018" spans="1:4" ht="15" x14ac:dyDescent="0.35">
      <c r="A3018" s="509">
        <v>10268</v>
      </c>
      <c r="B3018" s="510" t="s">
        <v>3400</v>
      </c>
      <c r="C3018" s="509" t="s">
        <v>21</v>
      </c>
      <c r="D3018" s="511">
        <v>220753</v>
      </c>
    </row>
    <row r="3019" spans="1:4" ht="15" x14ac:dyDescent="0.35">
      <c r="A3019" s="509">
        <v>10269</v>
      </c>
      <c r="B3019" s="510" t="s">
        <v>3401</v>
      </c>
      <c r="C3019" s="509" t="s">
        <v>21</v>
      </c>
      <c r="D3019" s="512">
        <v>309914</v>
      </c>
    </row>
    <row r="3020" spans="1:4" ht="15" x14ac:dyDescent="0.35">
      <c r="A3020" s="509">
        <v>10270</v>
      </c>
      <c r="B3020" s="510" t="s">
        <v>3402</v>
      </c>
      <c r="C3020" s="509" t="s">
        <v>21</v>
      </c>
      <c r="D3020" s="512">
        <v>282043</v>
      </c>
    </row>
    <row r="3021" spans="1:4" ht="15" x14ac:dyDescent="0.35">
      <c r="A3021" s="509">
        <v>10271</v>
      </c>
      <c r="B3021" s="510" t="s">
        <v>3403</v>
      </c>
      <c r="C3021" s="509" t="s">
        <v>21</v>
      </c>
      <c r="D3021" s="511">
        <v>50954</v>
      </c>
    </row>
    <row r="3022" spans="1:4" ht="15" x14ac:dyDescent="0.35">
      <c r="A3022" s="509">
        <v>10272</v>
      </c>
      <c r="B3022" s="510" t="s">
        <v>3404</v>
      </c>
      <c r="C3022" s="509" t="s">
        <v>21</v>
      </c>
      <c r="D3022" s="512">
        <v>193891</v>
      </c>
    </row>
    <row r="3023" spans="1:4" ht="15" x14ac:dyDescent="0.35">
      <c r="A3023" s="509">
        <v>10273</v>
      </c>
      <c r="B3023" s="510" t="s">
        <v>3405</v>
      </c>
      <c r="C3023" s="509" t="s">
        <v>30</v>
      </c>
      <c r="D3023" s="511">
        <v>1489876</v>
      </c>
    </row>
    <row r="3024" spans="1:4" ht="15" x14ac:dyDescent="0.35">
      <c r="A3024" s="509">
        <v>10274</v>
      </c>
      <c r="B3024" s="510" t="s">
        <v>3406</v>
      </c>
      <c r="C3024" s="509" t="s">
        <v>30</v>
      </c>
      <c r="D3024" s="511">
        <v>1559740</v>
      </c>
    </row>
    <row r="3025" spans="1:4" ht="15" x14ac:dyDescent="0.35">
      <c r="A3025" s="509">
        <v>10275</v>
      </c>
      <c r="B3025" s="510" t="s">
        <v>3407</v>
      </c>
      <c r="C3025" s="509" t="s">
        <v>21</v>
      </c>
      <c r="D3025" s="511">
        <v>312496</v>
      </c>
    </row>
    <row r="3026" spans="1:4" ht="15" x14ac:dyDescent="0.35">
      <c r="A3026" s="509">
        <v>10276</v>
      </c>
      <c r="B3026" s="510" t="s">
        <v>3408</v>
      </c>
      <c r="C3026" s="509" t="s">
        <v>30</v>
      </c>
      <c r="D3026" s="511">
        <v>1097144</v>
      </c>
    </row>
    <row r="3027" spans="1:4" ht="15" x14ac:dyDescent="0.35">
      <c r="A3027" s="509">
        <v>10277</v>
      </c>
      <c r="B3027" s="510" t="s">
        <v>3409</v>
      </c>
      <c r="C3027" s="509" t="s">
        <v>30</v>
      </c>
      <c r="D3027" s="511">
        <v>1185168</v>
      </c>
    </row>
    <row r="3028" spans="1:4" ht="15" x14ac:dyDescent="0.35">
      <c r="A3028" s="509">
        <v>10321</v>
      </c>
      <c r="B3028" s="510" t="s">
        <v>3410</v>
      </c>
      <c r="C3028" s="509" t="s">
        <v>32</v>
      </c>
      <c r="D3028" s="511">
        <v>46053</v>
      </c>
    </row>
    <row r="3029" spans="1:4" ht="15" x14ac:dyDescent="0.35">
      <c r="A3029" s="509">
        <v>10322</v>
      </c>
      <c r="B3029" s="510" t="s">
        <v>3411</v>
      </c>
      <c r="C3029" s="509" t="s">
        <v>32</v>
      </c>
      <c r="D3029" s="512">
        <v>66457</v>
      </c>
    </row>
    <row r="3030" spans="1:4" ht="15" x14ac:dyDescent="0.35">
      <c r="A3030" s="509">
        <v>10323</v>
      </c>
      <c r="B3030" s="510" t="s">
        <v>3412</v>
      </c>
      <c r="C3030" s="509" t="s">
        <v>32</v>
      </c>
      <c r="D3030" s="512">
        <v>50403</v>
      </c>
    </row>
    <row r="3031" spans="1:4" ht="15" x14ac:dyDescent="0.35">
      <c r="A3031" s="509">
        <v>10324</v>
      </c>
      <c r="B3031" s="510" t="s">
        <v>3413</v>
      </c>
      <c r="C3031" s="509" t="s">
        <v>32</v>
      </c>
      <c r="D3031" s="511">
        <v>209976</v>
      </c>
    </row>
    <row r="3032" spans="1:4" ht="15" x14ac:dyDescent="0.35">
      <c r="A3032" s="509">
        <v>10325</v>
      </c>
      <c r="B3032" s="510" t="s">
        <v>3414</v>
      </c>
      <c r="C3032" s="509" t="s">
        <v>328</v>
      </c>
      <c r="D3032" s="511">
        <v>212493</v>
      </c>
    </row>
    <row r="3033" spans="1:4" ht="15" x14ac:dyDescent="0.35">
      <c r="A3033" s="509">
        <v>10326</v>
      </c>
      <c r="B3033" s="510" t="s">
        <v>3415</v>
      </c>
      <c r="C3033" s="509" t="s">
        <v>32</v>
      </c>
      <c r="D3033" s="511">
        <v>1365965</v>
      </c>
    </row>
    <row r="3034" spans="1:4" ht="15" x14ac:dyDescent="0.35">
      <c r="A3034" s="509">
        <v>10327</v>
      </c>
      <c r="B3034" s="510" t="s">
        <v>3416</v>
      </c>
      <c r="C3034" s="509" t="s">
        <v>32</v>
      </c>
      <c r="D3034" s="512">
        <v>1175068</v>
      </c>
    </row>
    <row r="3035" spans="1:4" ht="15" x14ac:dyDescent="0.35">
      <c r="A3035" s="509">
        <v>10328</v>
      </c>
      <c r="B3035" s="510" t="s">
        <v>3417</v>
      </c>
      <c r="C3035" s="509" t="s">
        <v>32</v>
      </c>
      <c r="D3035" s="512">
        <v>1106552</v>
      </c>
    </row>
    <row r="3036" spans="1:4" ht="15" x14ac:dyDescent="0.35">
      <c r="A3036" s="509">
        <v>10329</v>
      </c>
      <c r="B3036" s="510" t="s">
        <v>3418</v>
      </c>
      <c r="C3036" s="509" t="s">
        <v>32</v>
      </c>
      <c r="D3036" s="511">
        <v>1126277</v>
      </c>
    </row>
    <row r="3037" spans="1:4" ht="15" x14ac:dyDescent="0.35">
      <c r="A3037" s="509">
        <v>10330</v>
      </c>
      <c r="B3037" s="510" t="s">
        <v>3419</v>
      </c>
      <c r="C3037" s="509" t="s">
        <v>32</v>
      </c>
      <c r="D3037" s="511">
        <v>1126277</v>
      </c>
    </row>
    <row r="3038" spans="1:4" ht="15" x14ac:dyDescent="0.35">
      <c r="A3038" s="509">
        <v>10331</v>
      </c>
      <c r="B3038" s="510" t="s">
        <v>3420</v>
      </c>
      <c r="C3038" s="509" t="s">
        <v>32</v>
      </c>
      <c r="D3038" s="511">
        <v>2962588</v>
      </c>
    </row>
    <row r="3039" spans="1:4" ht="15" x14ac:dyDescent="0.35">
      <c r="A3039" s="509">
        <v>10332</v>
      </c>
      <c r="B3039" s="510" t="s">
        <v>3421</v>
      </c>
      <c r="C3039" s="509" t="s">
        <v>32</v>
      </c>
      <c r="D3039" s="511">
        <v>3425487</v>
      </c>
    </row>
    <row r="3040" spans="1:4" ht="15" x14ac:dyDescent="0.35">
      <c r="A3040" s="509">
        <v>10333</v>
      </c>
      <c r="B3040" s="510" t="s">
        <v>3422</v>
      </c>
      <c r="C3040" s="509" t="s">
        <v>32</v>
      </c>
      <c r="D3040" s="511">
        <v>3814768</v>
      </c>
    </row>
    <row r="3041" spans="1:4" ht="15" x14ac:dyDescent="0.35">
      <c r="A3041" s="509">
        <v>10334</v>
      </c>
      <c r="B3041" s="510" t="s">
        <v>3423</v>
      </c>
      <c r="C3041" s="509" t="s">
        <v>32</v>
      </c>
      <c r="D3041" s="511">
        <v>4028327</v>
      </c>
    </row>
    <row r="3042" spans="1:4" ht="15" x14ac:dyDescent="0.35">
      <c r="A3042" s="509">
        <v>10335</v>
      </c>
      <c r="B3042" s="510" t="s">
        <v>3424</v>
      </c>
      <c r="C3042" s="509" t="s">
        <v>32</v>
      </c>
      <c r="D3042" s="512">
        <v>11276899</v>
      </c>
    </row>
    <row r="3043" spans="1:4" ht="15" x14ac:dyDescent="0.35">
      <c r="A3043" s="509">
        <v>10336</v>
      </c>
      <c r="B3043" s="510" t="s">
        <v>3425</v>
      </c>
      <c r="C3043" s="509" t="s">
        <v>32</v>
      </c>
      <c r="D3043" s="511">
        <v>14430814</v>
      </c>
    </row>
    <row r="3044" spans="1:4" ht="15" x14ac:dyDescent="0.35">
      <c r="A3044" s="509">
        <v>10338</v>
      </c>
      <c r="B3044" s="510" t="s">
        <v>3426</v>
      </c>
      <c r="C3044" s="509" t="s">
        <v>30</v>
      </c>
      <c r="D3044" s="511">
        <v>147410</v>
      </c>
    </row>
    <row r="3045" spans="1:4" ht="15" x14ac:dyDescent="0.35">
      <c r="A3045" s="509">
        <v>10339</v>
      </c>
      <c r="B3045" s="510" t="s">
        <v>3427</v>
      </c>
      <c r="C3045" s="509" t="s">
        <v>30</v>
      </c>
      <c r="D3045" s="511">
        <v>164396</v>
      </c>
    </row>
    <row r="3046" spans="1:4" ht="15" x14ac:dyDescent="0.35">
      <c r="A3046" s="509">
        <v>10340</v>
      </c>
      <c r="B3046" s="510" t="s">
        <v>3428</v>
      </c>
      <c r="C3046" s="509" t="s">
        <v>30</v>
      </c>
      <c r="D3046" s="512">
        <v>139313</v>
      </c>
    </row>
    <row r="3047" spans="1:4" ht="15" x14ac:dyDescent="0.35">
      <c r="A3047" s="509">
        <v>10341</v>
      </c>
      <c r="B3047" s="510" t="s">
        <v>3429</v>
      </c>
      <c r="C3047" s="509" t="s">
        <v>30</v>
      </c>
      <c r="D3047" s="512">
        <v>156299</v>
      </c>
    </row>
    <row r="3048" spans="1:4" ht="15" x14ac:dyDescent="0.35">
      <c r="A3048" s="509">
        <v>10342</v>
      </c>
      <c r="B3048" s="510" t="s">
        <v>3430</v>
      </c>
      <c r="C3048" s="509" t="s">
        <v>32</v>
      </c>
      <c r="D3048" s="512">
        <v>1924738</v>
      </c>
    </row>
    <row r="3049" spans="1:4" ht="15" x14ac:dyDescent="0.35">
      <c r="A3049" s="509">
        <v>10343</v>
      </c>
      <c r="B3049" s="510" t="s">
        <v>3431</v>
      </c>
      <c r="C3049" s="509" t="s">
        <v>32</v>
      </c>
      <c r="D3049" s="512">
        <v>2322649</v>
      </c>
    </row>
    <row r="3050" spans="1:4" ht="15" x14ac:dyDescent="0.35">
      <c r="A3050" s="509">
        <v>10344</v>
      </c>
      <c r="B3050" s="510" t="s">
        <v>3432</v>
      </c>
      <c r="C3050" s="509" t="s">
        <v>32</v>
      </c>
      <c r="D3050" s="512">
        <v>273700</v>
      </c>
    </row>
    <row r="3051" spans="1:4" ht="15" x14ac:dyDescent="0.35">
      <c r="A3051" s="509">
        <v>10345</v>
      </c>
      <c r="B3051" s="510" t="s">
        <v>3433</v>
      </c>
      <c r="C3051" s="509" t="s">
        <v>32</v>
      </c>
      <c r="D3051" s="512">
        <v>196350</v>
      </c>
    </row>
    <row r="3052" spans="1:4" ht="15" x14ac:dyDescent="0.35">
      <c r="A3052" s="509">
        <v>10346</v>
      </c>
      <c r="B3052" s="510" t="s">
        <v>3434</v>
      </c>
      <c r="C3052" s="509" t="s">
        <v>32</v>
      </c>
      <c r="D3052" s="512">
        <v>856800</v>
      </c>
    </row>
    <row r="3053" spans="1:4" ht="15" x14ac:dyDescent="0.35">
      <c r="A3053" s="509">
        <v>10347</v>
      </c>
      <c r="B3053" s="510" t="s">
        <v>3435</v>
      </c>
      <c r="C3053" s="509" t="s">
        <v>32</v>
      </c>
      <c r="D3053" s="511">
        <v>214200</v>
      </c>
    </row>
    <row r="3054" spans="1:4" ht="15" x14ac:dyDescent="0.35">
      <c r="A3054" s="509">
        <v>10348</v>
      </c>
      <c r="B3054" s="510" t="s">
        <v>3436</v>
      </c>
      <c r="C3054" s="509" t="s">
        <v>32</v>
      </c>
      <c r="D3054" s="512">
        <v>388075</v>
      </c>
    </row>
    <row r="3055" spans="1:4" ht="15" x14ac:dyDescent="0.35">
      <c r="A3055" s="509">
        <v>10349</v>
      </c>
      <c r="B3055" s="510" t="s">
        <v>3437</v>
      </c>
      <c r="C3055" s="509" t="s">
        <v>328</v>
      </c>
      <c r="D3055" s="511">
        <v>511856</v>
      </c>
    </row>
    <row r="3056" spans="1:4" ht="15" x14ac:dyDescent="0.35">
      <c r="A3056" s="509">
        <v>10350</v>
      </c>
      <c r="B3056" s="510" t="s">
        <v>3438</v>
      </c>
      <c r="C3056" s="509" t="s">
        <v>30</v>
      </c>
      <c r="D3056" s="511">
        <v>187906</v>
      </c>
    </row>
    <row r="3057" spans="1:4" ht="15" x14ac:dyDescent="0.35">
      <c r="A3057" s="509">
        <v>10351</v>
      </c>
      <c r="B3057" s="510" t="s">
        <v>3439</v>
      </c>
      <c r="C3057" s="509" t="s">
        <v>30</v>
      </c>
      <c r="D3057" s="511">
        <v>166558</v>
      </c>
    </row>
    <row r="3058" spans="1:4" ht="15" x14ac:dyDescent="0.35">
      <c r="A3058" s="509">
        <v>10352</v>
      </c>
      <c r="B3058" s="510" t="s">
        <v>3440</v>
      </c>
      <c r="C3058" s="509" t="s">
        <v>328</v>
      </c>
      <c r="D3058" s="511">
        <v>903770</v>
      </c>
    </row>
    <row r="3059" spans="1:4" ht="15" x14ac:dyDescent="0.35">
      <c r="A3059" s="509">
        <v>10353</v>
      </c>
      <c r="B3059" s="510" t="s">
        <v>3441</v>
      </c>
      <c r="C3059" s="509" t="s">
        <v>328</v>
      </c>
      <c r="D3059" s="511">
        <v>928318</v>
      </c>
    </row>
    <row r="3060" spans="1:4" ht="15" x14ac:dyDescent="0.35">
      <c r="A3060" s="509">
        <v>10354</v>
      </c>
      <c r="B3060" s="510" t="s">
        <v>3442</v>
      </c>
      <c r="C3060" s="509" t="s">
        <v>328</v>
      </c>
      <c r="D3060" s="511">
        <v>1014020</v>
      </c>
    </row>
    <row r="3061" spans="1:4" ht="15" x14ac:dyDescent="0.35">
      <c r="A3061" s="509">
        <v>10355</v>
      </c>
      <c r="B3061" s="510" t="s">
        <v>3443</v>
      </c>
      <c r="C3061" s="509" t="s">
        <v>328</v>
      </c>
      <c r="D3061" s="511">
        <v>1246672</v>
      </c>
    </row>
    <row r="3062" spans="1:4" ht="15" x14ac:dyDescent="0.35">
      <c r="A3062" s="509">
        <v>10356</v>
      </c>
      <c r="B3062" s="510" t="s">
        <v>3444</v>
      </c>
      <c r="C3062" s="509" t="s">
        <v>328</v>
      </c>
      <c r="D3062" s="511">
        <v>1310808</v>
      </c>
    </row>
    <row r="3063" spans="1:4" ht="15" x14ac:dyDescent="0.35">
      <c r="A3063" s="509">
        <v>10357</v>
      </c>
      <c r="B3063" s="510" t="s">
        <v>3445</v>
      </c>
      <c r="C3063" s="509" t="s">
        <v>328</v>
      </c>
      <c r="D3063" s="511">
        <v>1423373</v>
      </c>
    </row>
    <row r="3064" spans="1:4" ht="15" x14ac:dyDescent="0.35">
      <c r="A3064" s="509">
        <v>10358</v>
      </c>
      <c r="B3064" s="510" t="s">
        <v>3446</v>
      </c>
      <c r="C3064" s="509" t="s">
        <v>328</v>
      </c>
      <c r="D3064" s="511">
        <v>1677828</v>
      </c>
    </row>
    <row r="3065" spans="1:4" ht="15" x14ac:dyDescent="0.35">
      <c r="A3065" s="509">
        <v>10359</v>
      </c>
      <c r="B3065" s="510" t="s">
        <v>3447</v>
      </c>
      <c r="C3065" s="509" t="s">
        <v>328</v>
      </c>
      <c r="D3065" s="511">
        <v>2048314</v>
      </c>
    </row>
    <row r="3066" spans="1:4" ht="15" x14ac:dyDescent="0.35">
      <c r="A3066" s="509">
        <v>10360</v>
      </c>
      <c r="B3066" s="510" t="s">
        <v>3448</v>
      </c>
      <c r="C3066" s="509" t="s">
        <v>328</v>
      </c>
      <c r="D3066" s="511">
        <v>2222315</v>
      </c>
    </row>
    <row r="3067" spans="1:4" ht="15" x14ac:dyDescent="0.35">
      <c r="A3067" s="509">
        <v>10361</v>
      </c>
      <c r="B3067" s="510" t="s">
        <v>3449</v>
      </c>
      <c r="C3067" s="509" t="s">
        <v>328</v>
      </c>
      <c r="D3067" s="511">
        <v>2348076</v>
      </c>
    </row>
    <row r="3068" spans="1:4" ht="15" x14ac:dyDescent="0.35">
      <c r="A3068" s="509">
        <v>10362</v>
      </c>
      <c r="B3068" s="510" t="s">
        <v>3450</v>
      </c>
      <c r="C3068" s="509" t="s">
        <v>328</v>
      </c>
      <c r="D3068" s="511">
        <v>2464043</v>
      </c>
    </row>
    <row r="3069" spans="1:4" ht="15" x14ac:dyDescent="0.35">
      <c r="A3069" s="509">
        <v>10363</v>
      </c>
      <c r="B3069" s="510" t="s">
        <v>3451</v>
      </c>
      <c r="C3069" s="509" t="s">
        <v>328</v>
      </c>
      <c r="D3069" s="511">
        <v>936072</v>
      </c>
    </row>
    <row r="3070" spans="1:4" ht="15" x14ac:dyDescent="0.35">
      <c r="A3070" s="509">
        <v>10364</v>
      </c>
      <c r="B3070" s="510" t="s">
        <v>3452</v>
      </c>
      <c r="C3070" s="509" t="s">
        <v>328</v>
      </c>
      <c r="D3070" s="511">
        <v>982310</v>
      </c>
    </row>
    <row r="3071" spans="1:4" ht="15" x14ac:dyDescent="0.35">
      <c r="A3071" s="509">
        <v>10365</v>
      </c>
      <c r="B3071" s="510" t="s">
        <v>3453</v>
      </c>
      <c r="C3071" s="509" t="s">
        <v>328</v>
      </c>
      <c r="D3071" s="511">
        <v>1080018</v>
      </c>
    </row>
    <row r="3072" spans="1:4" ht="15" x14ac:dyDescent="0.35">
      <c r="A3072" s="509">
        <v>10366</v>
      </c>
      <c r="B3072" s="510" t="s">
        <v>3454</v>
      </c>
      <c r="C3072" s="509" t="s">
        <v>328</v>
      </c>
      <c r="D3072" s="511">
        <v>1303481</v>
      </c>
    </row>
    <row r="3073" spans="1:4" ht="15" x14ac:dyDescent="0.35">
      <c r="A3073" s="509">
        <v>10367</v>
      </c>
      <c r="B3073" s="510" t="s">
        <v>3455</v>
      </c>
      <c r="C3073" s="509" t="s">
        <v>328</v>
      </c>
      <c r="D3073" s="511">
        <v>1393404</v>
      </c>
    </row>
    <row r="3074" spans="1:4" ht="15" x14ac:dyDescent="0.35">
      <c r="A3074" s="509">
        <v>10368</v>
      </c>
      <c r="B3074" s="510" t="s">
        <v>3456</v>
      </c>
      <c r="C3074" s="509" t="s">
        <v>328</v>
      </c>
      <c r="D3074" s="511">
        <v>1535030</v>
      </c>
    </row>
    <row r="3075" spans="1:4" ht="15" x14ac:dyDescent="0.35">
      <c r="A3075" s="509">
        <v>10369</v>
      </c>
      <c r="B3075" s="510" t="s">
        <v>3457</v>
      </c>
      <c r="C3075" s="509" t="s">
        <v>328</v>
      </c>
      <c r="D3075" s="512">
        <v>1698069</v>
      </c>
    </row>
    <row r="3076" spans="1:4" ht="15" x14ac:dyDescent="0.35">
      <c r="A3076" s="509">
        <v>10370</v>
      </c>
      <c r="B3076" s="510" t="s">
        <v>3458</v>
      </c>
      <c r="C3076" s="509" t="s">
        <v>328</v>
      </c>
      <c r="D3076" s="512">
        <v>2045826</v>
      </c>
    </row>
    <row r="3077" spans="1:4" ht="15" x14ac:dyDescent="0.35">
      <c r="A3077" s="509">
        <v>10371</v>
      </c>
      <c r="B3077" s="510" t="s">
        <v>3459</v>
      </c>
      <c r="C3077" s="509" t="s">
        <v>328</v>
      </c>
      <c r="D3077" s="511">
        <v>2218958</v>
      </c>
    </row>
    <row r="3078" spans="1:4" ht="15" x14ac:dyDescent="0.35">
      <c r="A3078" s="509">
        <v>10372</v>
      </c>
      <c r="B3078" s="510" t="s">
        <v>3460</v>
      </c>
      <c r="C3078" s="509" t="s">
        <v>328</v>
      </c>
      <c r="D3078" s="511">
        <v>2333384</v>
      </c>
    </row>
    <row r="3079" spans="1:4" ht="15" x14ac:dyDescent="0.35">
      <c r="A3079" s="509">
        <v>10373</v>
      </c>
      <c r="B3079" s="510" t="s">
        <v>3461</v>
      </c>
      <c r="C3079" s="509" t="s">
        <v>328</v>
      </c>
      <c r="D3079" s="511">
        <v>2470722</v>
      </c>
    </row>
    <row r="3080" spans="1:4" ht="15" x14ac:dyDescent="0.35">
      <c r="A3080" s="509">
        <v>10374</v>
      </c>
      <c r="B3080" s="510" t="s">
        <v>3462</v>
      </c>
      <c r="C3080" s="509" t="s">
        <v>32</v>
      </c>
      <c r="D3080" s="512">
        <v>269686</v>
      </c>
    </row>
    <row r="3081" spans="1:4" ht="15" x14ac:dyDescent="0.35">
      <c r="A3081" s="509">
        <v>10375</v>
      </c>
      <c r="B3081" s="510" t="s">
        <v>3463</v>
      </c>
      <c r="C3081" s="509" t="s">
        <v>32</v>
      </c>
      <c r="D3081" s="511">
        <v>624853</v>
      </c>
    </row>
    <row r="3082" spans="1:4" ht="15" x14ac:dyDescent="0.35">
      <c r="A3082" s="509">
        <v>10376</v>
      </c>
      <c r="B3082" s="510" t="s">
        <v>3464</v>
      </c>
      <c r="C3082" s="509" t="s">
        <v>32</v>
      </c>
      <c r="D3082" s="512">
        <v>1371726</v>
      </c>
    </row>
    <row r="3083" spans="1:4" ht="15" x14ac:dyDescent="0.35">
      <c r="A3083" s="509">
        <v>10377</v>
      </c>
      <c r="B3083" s="510" t="s">
        <v>3465</v>
      </c>
      <c r="C3083" s="509" t="s">
        <v>32</v>
      </c>
      <c r="D3083" s="512">
        <v>1934713</v>
      </c>
    </row>
    <row r="3084" spans="1:4" ht="15" x14ac:dyDescent="0.35">
      <c r="A3084" s="509">
        <v>10378</v>
      </c>
      <c r="B3084" s="510" t="s">
        <v>3466</v>
      </c>
      <c r="C3084" s="509" t="s">
        <v>32</v>
      </c>
      <c r="D3084" s="512">
        <v>2217607</v>
      </c>
    </row>
    <row r="3085" spans="1:4" ht="15" x14ac:dyDescent="0.35">
      <c r="A3085" s="509">
        <v>10454</v>
      </c>
      <c r="B3085" s="510" t="s">
        <v>3467</v>
      </c>
      <c r="C3085" s="509" t="s">
        <v>328</v>
      </c>
      <c r="D3085" s="512">
        <v>235505</v>
      </c>
    </row>
    <row r="3086" spans="1:4" ht="15" x14ac:dyDescent="0.35">
      <c r="A3086" s="509">
        <v>10455</v>
      </c>
      <c r="B3086" s="510" t="s">
        <v>3468</v>
      </c>
      <c r="C3086" s="509" t="s">
        <v>328</v>
      </c>
      <c r="D3086" s="511">
        <v>293069</v>
      </c>
    </row>
    <row r="3087" spans="1:4" ht="15" x14ac:dyDescent="0.35">
      <c r="A3087" s="509">
        <v>10456</v>
      </c>
      <c r="B3087" s="510" t="s">
        <v>3469</v>
      </c>
      <c r="C3087" s="509" t="s">
        <v>328</v>
      </c>
      <c r="D3087" s="512">
        <v>348215</v>
      </c>
    </row>
    <row r="3088" spans="1:4" ht="15" x14ac:dyDescent="0.35">
      <c r="A3088" s="509">
        <v>10457</v>
      </c>
      <c r="B3088" s="510" t="s">
        <v>3470</v>
      </c>
      <c r="C3088" s="509" t="s">
        <v>328</v>
      </c>
      <c r="D3088" s="512">
        <v>378730</v>
      </c>
    </row>
    <row r="3089" spans="1:4" ht="15" x14ac:dyDescent="0.35">
      <c r="A3089" s="509">
        <v>10458</v>
      </c>
      <c r="B3089" s="510" t="s">
        <v>3471</v>
      </c>
      <c r="C3089" s="509" t="s">
        <v>328</v>
      </c>
      <c r="D3089" s="512">
        <v>246776</v>
      </c>
    </row>
    <row r="3090" spans="1:4" ht="15" x14ac:dyDescent="0.35">
      <c r="A3090" s="509">
        <v>10459</v>
      </c>
      <c r="B3090" s="510" t="s">
        <v>3472</v>
      </c>
      <c r="C3090" s="509" t="s">
        <v>328</v>
      </c>
      <c r="D3090" s="512">
        <v>309898</v>
      </c>
    </row>
    <row r="3091" spans="1:4" ht="15" x14ac:dyDescent="0.35">
      <c r="A3091" s="509">
        <v>10460</v>
      </c>
      <c r="B3091" s="510" t="s">
        <v>3473</v>
      </c>
      <c r="C3091" s="509" t="s">
        <v>328</v>
      </c>
      <c r="D3091" s="512">
        <v>366691</v>
      </c>
    </row>
    <row r="3092" spans="1:4" ht="15" x14ac:dyDescent="0.35">
      <c r="A3092" s="509">
        <v>10461</v>
      </c>
      <c r="B3092" s="510" t="s">
        <v>3474</v>
      </c>
      <c r="C3092" s="509" t="s">
        <v>328</v>
      </c>
      <c r="D3092" s="512">
        <v>397591</v>
      </c>
    </row>
    <row r="3093" spans="1:4" ht="15" x14ac:dyDescent="0.35">
      <c r="A3093" s="509">
        <v>10462</v>
      </c>
      <c r="B3093" s="510" t="s">
        <v>3475</v>
      </c>
      <c r="C3093" s="509" t="s">
        <v>21</v>
      </c>
      <c r="D3093" s="512">
        <v>326205</v>
      </c>
    </row>
    <row r="3094" spans="1:4" ht="15" x14ac:dyDescent="0.35">
      <c r="A3094" s="509">
        <v>10465</v>
      </c>
      <c r="B3094" s="510" t="s">
        <v>3476</v>
      </c>
      <c r="C3094" s="509" t="s">
        <v>21</v>
      </c>
      <c r="D3094" s="512">
        <v>97889</v>
      </c>
    </row>
    <row r="3095" spans="1:4" ht="15" x14ac:dyDescent="0.35">
      <c r="A3095" s="509">
        <v>10484</v>
      </c>
      <c r="B3095" s="510" t="s">
        <v>3477</v>
      </c>
      <c r="C3095" s="509" t="s">
        <v>328</v>
      </c>
      <c r="D3095" s="512">
        <v>333498</v>
      </c>
    </row>
    <row r="3096" spans="1:4" ht="15" x14ac:dyDescent="0.35">
      <c r="A3096" s="509">
        <v>10485</v>
      </c>
      <c r="B3096" s="510" t="s">
        <v>3478</v>
      </c>
      <c r="C3096" s="509" t="s">
        <v>328</v>
      </c>
      <c r="D3096" s="512">
        <v>430100</v>
      </c>
    </row>
    <row r="3097" spans="1:4" ht="15" x14ac:dyDescent="0.35">
      <c r="A3097" s="509">
        <v>10486</v>
      </c>
      <c r="B3097" s="510" t="s">
        <v>3479</v>
      </c>
      <c r="C3097" s="509" t="s">
        <v>328</v>
      </c>
      <c r="D3097" s="512">
        <v>516707</v>
      </c>
    </row>
    <row r="3098" spans="1:4" ht="15" x14ac:dyDescent="0.35">
      <c r="A3098" s="509">
        <v>10487</v>
      </c>
      <c r="B3098" s="510" t="s">
        <v>3480</v>
      </c>
      <c r="C3098" s="509" t="s">
        <v>328</v>
      </c>
      <c r="D3098" s="512">
        <v>562323</v>
      </c>
    </row>
    <row r="3099" spans="1:4" ht="15" x14ac:dyDescent="0.35">
      <c r="A3099" s="509">
        <v>10488</v>
      </c>
      <c r="B3099" s="510" t="s">
        <v>3481</v>
      </c>
      <c r="C3099" s="509" t="s">
        <v>328</v>
      </c>
      <c r="D3099" s="512">
        <v>357064</v>
      </c>
    </row>
    <row r="3100" spans="1:4" ht="15" x14ac:dyDescent="0.35">
      <c r="A3100" s="509">
        <v>10489</v>
      </c>
      <c r="B3100" s="510" t="s">
        <v>3482</v>
      </c>
      <c r="C3100" s="509" t="s">
        <v>328</v>
      </c>
      <c r="D3100" s="512">
        <v>464009</v>
      </c>
    </row>
    <row r="3101" spans="1:4" ht="15" x14ac:dyDescent="0.35">
      <c r="A3101" s="509">
        <v>10490</v>
      </c>
      <c r="B3101" s="510" t="s">
        <v>3483</v>
      </c>
      <c r="C3101" s="509" t="s">
        <v>328</v>
      </c>
      <c r="D3101" s="512">
        <v>559730</v>
      </c>
    </row>
    <row r="3102" spans="1:4" ht="15" x14ac:dyDescent="0.35">
      <c r="A3102" s="509">
        <v>10491</v>
      </c>
      <c r="B3102" s="510" t="s">
        <v>3484</v>
      </c>
      <c r="C3102" s="509" t="s">
        <v>328</v>
      </c>
      <c r="D3102" s="512">
        <v>606402</v>
      </c>
    </row>
    <row r="3103" spans="1:4" ht="15" x14ac:dyDescent="0.35">
      <c r="A3103" s="509">
        <v>10492</v>
      </c>
      <c r="B3103" s="510" t="s">
        <v>3485</v>
      </c>
      <c r="C3103" s="509" t="s">
        <v>328</v>
      </c>
      <c r="D3103" s="512">
        <v>402672</v>
      </c>
    </row>
    <row r="3104" spans="1:4" ht="15" x14ac:dyDescent="0.35">
      <c r="A3104" s="509">
        <v>10493</v>
      </c>
      <c r="B3104" s="510" t="s">
        <v>3486</v>
      </c>
      <c r="C3104" s="509" t="s">
        <v>328</v>
      </c>
      <c r="D3104" s="512">
        <v>521702</v>
      </c>
    </row>
    <row r="3105" spans="1:4" ht="15" x14ac:dyDescent="0.35">
      <c r="A3105" s="509">
        <v>10494</v>
      </c>
      <c r="B3105" s="510" t="s">
        <v>3487</v>
      </c>
      <c r="C3105" s="509" t="s">
        <v>328</v>
      </c>
      <c r="D3105" s="512">
        <v>625388</v>
      </c>
    </row>
    <row r="3106" spans="1:4" ht="15" x14ac:dyDescent="0.35">
      <c r="A3106" s="509">
        <v>10495</v>
      </c>
      <c r="B3106" s="510" t="s">
        <v>3488</v>
      </c>
      <c r="C3106" s="509" t="s">
        <v>328</v>
      </c>
      <c r="D3106" s="512">
        <v>761846</v>
      </c>
    </row>
    <row r="3107" spans="1:4" ht="15" x14ac:dyDescent="0.35">
      <c r="A3107" s="509">
        <v>10496</v>
      </c>
      <c r="B3107" s="510" t="s">
        <v>3489</v>
      </c>
      <c r="C3107" s="509" t="s">
        <v>328</v>
      </c>
      <c r="D3107" s="512">
        <v>431957</v>
      </c>
    </row>
    <row r="3108" spans="1:4" ht="15" x14ac:dyDescent="0.35">
      <c r="A3108" s="509">
        <v>10497</v>
      </c>
      <c r="B3108" s="510" t="s">
        <v>3490</v>
      </c>
      <c r="C3108" s="509" t="s">
        <v>328</v>
      </c>
      <c r="D3108" s="512">
        <v>563200</v>
      </c>
    </row>
    <row r="3109" spans="1:4" ht="15" x14ac:dyDescent="0.35">
      <c r="A3109" s="509">
        <v>10498</v>
      </c>
      <c r="B3109" s="510" t="s">
        <v>3491</v>
      </c>
      <c r="C3109" s="509" t="s">
        <v>328</v>
      </c>
      <c r="D3109" s="512">
        <v>679448</v>
      </c>
    </row>
    <row r="3110" spans="1:4" ht="15" x14ac:dyDescent="0.35">
      <c r="A3110" s="509">
        <v>10499</v>
      </c>
      <c r="B3110" s="510" t="s">
        <v>3492</v>
      </c>
      <c r="C3110" s="509" t="s">
        <v>328</v>
      </c>
      <c r="D3110" s="512">
        <v>822624</v>
      </c>
    </row>
    <row r="3111" spans="1:4" ht="15" x14ac:dyDescent="0.35">
      <c r="A3111" s="509">
        <v>10500</v>
      </c>
      <c r="B3111" s="510" t="s">
        <v>3493</v>
      </c>
      <c r="C3111" s="509" t="s">
        <v>328</v>
      </c>
      <c r="D3111" s="512">
        <v>470171</v>
      </c>
    </row>
    <row r="3112" spans="1:4" ht="15" x14ac:dyDescent="0.35">
      <c r="A3112" s="509">
        <v>10501</v>
      </c>
      <c r="B3112" s="510" t="s">
        <v>3494</v>
      </c>
      <c r="C3112" s="509" t="s">
        <v>328</v>
      </c>
      <c r="D3112" s="512">
        <v>628273</v>
      </c>
    </row>
    <row r="3113" spans="1:4" ht="15" x14ac:dyDescent="0.35">
      <c r="A3113" s="509">
        <v>10502</v>
      </c>
      <c r="B3113" s="510" t="s">
        <v>3495</v>
      </c>
      <c r="C3113" s="509" t="s">
        <v>328</v>
      </c>
      <c r="D3113" s="511">
        <v>731560</v>
      </c>
    </row>
    <row r="3114" spans="1:4" ht="15" x14ac:dyDescent="0.35">
      <c r="A3114" s="509">
        <v>10503</v>
      </c>
      <c r="B3114" s="510" t="s">
        <v>3496</v>
      </c>
      <c r="C3114" s="509" t="s">
        <v>328</v>
      </c>
      <c r="D3114" s="511">
        <v>892620</v>
      </c>
    </row>
    <row r="3115" spans="1:4" ht="15" x14ac:dyDescent="0.35">
      <c r="A3115" s="509">
        <v>10504</v>
      </c>
      <c r="B3115" s="510" t="s">
        <v>3497</v>
      </c>
      <c r="C3115" s="509" t="s">
        <v>328</v>
      </c>
      <c r="D3115" s="511">
        <v>502938</v>
      </c>
    </row>
    <row r="3116" spans="1:4" ht="15" x14ac:dyDescent="0.35">
      <c r="A3116" s="509">
        <v>10505</v>
      </c>
      <c r="B3116" s="510" t="s">
        <v>3498</v>
      </c>
      <c r="C3116" s="509" t="s">
        <v>328</v>
      </c>
      <c r="D3116" s="512">
        <v>664035</v>
      </c>
    </row>
    <row r="3117" spans="1:4" ht="15" x14ac:dyDescent="0.35">
      <c r="A3117" s="509">
        <v>10506</v>
      </c>
      <c r="B3117" s="510" t="s">
        <v>3499</v>
      </c>
      <c r="C3117" s="509" t="s">
        <v>328</v>
      </c>
      <c r="D3117" s="511">
        <v>791397</v>
      </c>
    </row>
    <row r="3118" spans="1:4" ht="15" x14ac:dyDescent="0.35">
      <c r="A3118" s="509">
        <v>10507</v>
      </c>
      <c r="B3118" s="510" t="s">
        <v>3500</v>
      </c>
      <c r="C3118" s="509" t="s">
        <v>328</v>
      </c>
      <c r="D3118" s="511">
        <v>962462</v>
      </c>
    </row>
    <row r="3119" spans="1:4" ht="15" x14ac:dyDescent="0.35">
      <c r="A3119" s="509">
        <v>10508</v>
      </c>
      <c r="B3119" s="510" t="s">
        <v>3501</v>
      </c>
      <c r="C3119" s="509" t="s">
        <v>328</v>
      </c>
      <c r="D3119" s="512">
        <v>775086</v>
      </c>
    </row>
    <row r="3120" spans="1:4" ht="15" x14ac:dyDescent="0.35">
      <c r="A3120" s="509">
        <v>10509</v>
      </c>
      <c r="B3120" s="510" t="s">
        <v>3502</v>
      </c>
      <c r="C3120" s="509" t="s">
        <v>328</v>
      </c>
      <c r="D3120" s="511">
        <v>1155887</v>
      </c>
    </row>
    <row r="3121" spans="1:4" ht="15" x14ac:dyDescent="0.35">
      <c r="A3121" s="509">
        <v>10510</v>
      </c>
      <c r="B3121" s="510" t="s">
        <v>3503</v>
      </c>
      <c r="C3121" s="509" t="s">
        <v>328</v>
      </c>
      <c r="D3121" s="512">
        <v>1482411</v>
      </c>
    </row>
    <row r="3122" spans="1:4" ht="15" x14ac:dyDescent="0.35">
      <c r="A3122" s="509">
        <v>10511</v>
      </c>
      <c r="B3122" s="510" t="s">
        <v>3504</v>
      </c>
      <c r="C3122" s="509" t="s">
        <v>328</v>
      </c>
      <c r="D3122" s="512">
        <v>1969460</v>
      </c>
    </row>
    <row r="3123" spans="1:4" ht="15" x14ac:dyDescent="0.35">
      <c r="A3123" s="509">
        <v>10512</v>
      </c>
      <c r="B3123" s="510" t="s">
        <v>3505</v>
      </c>
      <c r="C3123" s="509" t="s">
        <v>328</v>
      </c>
      <c r="D3123" s="512">
        <v>2754669</v>
      </c>
    </row>
    <row r="3124" spans="1:4" ht="15" x14ac:dyDescent="0.35">
      <c r="A3124" s="509">
        <v>10513</v>
      </c>
      <c r="B3124" s="510" t="s">
        <v>3506</v>
      </c>
      <c r="C3124" s="509" t="s">
        <v>328</v>
      </c>
      <c r="D3124" s="512">
        <v>4401649</v>
      </c>
    </row>
    <row r="3125" spans="1:4" ht="15" x14ac:dyDescent="0.35">
      <c r="A3125" s="509">
        <v>10514</v>
      </c>
      <c r="B3125" s="510" t="s">
        <v>3507</v>
      </c>
      <c r="C3125" s="509" t="s">
        <v>328</v>
      </c>
      <c r="D3125" s="511">
        <v>7186863</v>
      </c>
    </row>
    <row r="3126" spans="1:4" ht="15" x14ac:dyDescent="0.35">
      <c r="A3126" s="509">
        <v>10515</v>
      </c>
      <c r="B3126" s="510" t="s">
        <v>3508</v>
      </c>
      <c r="C3126" s="509" t="s">
        <v>328</v>
      </c>
      <c r="D3126" s="512">
        <v>7190907</v>
      </c>
    </row>
    <row r="3127" spans="1:4" ht="15" x14ac:dyDescent="0.35">
      <c r="A3127" s="509">
        <v>10516</v>
      </c>
      <c r="B3127" s="510" t="s">
        <v>3509</v>
      </c>
      <c r="C3127" s="509" t="s">
        <v>328</v>
      </c>
      <c r="D3127" s="512">
        <v>8473166</v>
      </c>
    </row>
    <row r="3128" spans="1:4" ht="15" x14ac:dyDescent="0.35">
      <c r="A3128" s="509">
        <v>10529</v>
      </c>
      <c r="B3128" s="510" t="s">
        <v>3510</v>
      </c>
      <c r="C3128" s="509" t="s">
        <v>32</v>
      </c>
      <c r="D3128" s="512">
        <v>874099</v>
      </c>
    </row>
    <row r="3129" spans="1:4" ht="15" x14ac:dyDescent="0.35">
      <c r="A3129" s="509">
        <v>10530</v>
      </c>
      <c r="B3129" s="510" t="s">
        <v>3511</v>
      </c>
      <c r="C3129" s="509" t="s">
        <v>32</v>
      </c>
      <c r="D3129" s="512">
        <v>61575</v>
      </c>
    </row>
    <row r="3130" spans="1:4" ht="15" x14ac:dyDescent="0.35">
      <c r="A3130" s="509">
        <v>10531</v>
      </c>
      <c r="B3130" s="510" t="s">
        <v>3512</v>
      </c>
      <c r="C3130" s="509" t="s">
        <v>32</v>
      </c>
      <c r="D3130" s="512">
        <v>40357</v>
      </c>
    </row>
    <row r="3131" spans="1:4" ht="15" x14ac:dyDescent="0.35">
      <c r="A3131" s="509">
        <v>10540</v>
      </c>
      <c r="B3131" s="510" t="s">
        <v>3513</v>
      </c>
      <c r="C3131" s="509" t="s">
        <v>32</v>
      </c>
      <c r="D3131" s="511">
        <v>88075</v>
      </c>
    </row>
    <row r="3132" spans="1:4" ht="15" x14ac:dyDescent="0.35">
      <c r="A3132" s="509">
        <v>10541</v>
      </c>
      <c r="B3132" s="510" t="s">
        <v>3514</v>
      </c>
      <c r="C3132" s="509" t="s">
        <v>32</v>
      </c>
      <c r="D3132" s="512">
        <v>231203</v>
      </c>
    </row>
    <row r="3133" spans="1:4" ht="15" x14ac:dyDescent="0.35">
      <c r="A3133" s="509">
        <v>10542</v>
      </c>
      <c r="B3133" s="510" t="s">
        <v>3515</v>
      </c>
      <c r="C3133" s="509" t="s">
        <v>32</v>
      </c>
      <c r="D3133" s="512">
        <v>361468</v>
      </c>
    </row>
    <row r="3134" spans="1:4" ht="15" x14ac:dyDescent="0.35">
      <c r="A3134" s="509">
        <v>10543</v>
      </c>
      <c r="B3134" s="510" t="s">
        <v>3516</v>
      </c>
      <c r="C3134" s="509" t="s">
        <v>30</v>
      </c>
      <c r="D3134" s="512">
        <v>914039</v>
      </c>
    </row>
    <row r="3135" spans="1:4" ht="15" x14ac:dyDescent="0.35">
      <c r="A3135" s="509">
        <v>10544</v>
      </c>
      <c r="B3135" s="510" t="s">
        <v>3517</v>
      </c>
      <c r="C3135" s="509" t="s">
        <v>328</v>
      </c>
      <c r="D3135" s="512">
        <v>189541</v>
      </c>
    </row>
    <row r="3136" spans="1:4" ht="15" x14ac:dyDescent="0.35">
      <c r="A3136" s="509">
        <v>10545</v>
      </c>
      <c r="B3136" s="510" t="s">
        <v>3518</v>
      </c>
      <c r="C3136" s="509" t="s">
        <v>21</v>
      </c>
      <c r="D3136" s="512">
        <v>14361</v>
      </c>
    </row>
    <row r="3137" spans="1:4" ht="15" x14ac:dyDescent="0.35">
      <c r="A3137" s="509">
        <v>10546</v>
      </c>
      <c r="B3137" s="510" t="s">
        <v>3519</v>
      </c>
      <c r="C3137" s="509" t="s">
        <v>21</v>
      </c>
      <c r="D3137" s="512">
        <v>3241</v>
      </c>
    </row>
    <row r="3138" spans="1:4" ht="15" x14ac:dyDescent="0.35">
      <c r="A3138" s="509">
        <v>10547</v>
      </c>
      <c r="B3138" s="510" t="s">
        <v>3520</v>
      </c>
      <c r="C3138" s="509" t="s">
        <v>21</v>
      </c>
      <c r="D3138" s="512">
        <v>2887</v>
      </c>
    </row>
    <row r="3139" spans="1:4" ht="15" x14ac:dyDescent="0.35">
      <c r="A3139" s="509">
        <v>10548</v>
      </c>
      <c r="B3139" s="510" t="s">
        <v>3521</v>
      </c>
      <c r="C3139" s="509" t="s">
        <v>328</v>
      </c>
      <c r="D3139" s="512">
        <v>1965</v>
      </c>
    </row>
    <row r="3140" spans="1:4" ht="15" x14ac:dyDescent="0.35">
      <c r="A3140" s="509">
        <v>10549</v>
      </c>
      <c r="B3140" s="510" t="s">
        <v>3522</v>
      </c>
      <c r="C3140" s="509" t="s">
        <v>32</v>
      </c>
      <c r="D3140" s="512">
        <v>6038</v>
      </c>
    </row>
    <row r="3141" spans="1:4" ht="15" x14ac:dyDescent="0.35">
      <c r="A3141" s="509">
        <v>10550</v>
      </c>
      <c r="B3141" s="510" t="s">
        <v>3523</v>
      </c>
      <c r="C3141" s="509" t="s">
        <v>32</v>
      </c>
      <c r="D3141" s="512">
        <v>6955</v>
      </c>
    </row>
    <row r="3142" spans="1:4" ht="15" x14ac:dyDescent="0.35">
      <c r="A3142" s="509">
        <v>10551</v>
      </c>
      <c r="B3142" s="510" t="s">
        <v>3524</v>
      </c>
      <c r="C3142" s="509" t="s">
        <v>21</v>
      </c>
      <c r="D3142" s="512">
        <v>5130</v>
      </c>
    </row>
    <row r="3143" spans="1:4" ht="15" x14ac:dyDescent="0.35">
      <c r="A3143" s="509">
        <v>10552</v>
      </c>
      <c r="B3143" s="510" t="s">
        <v>3525</v>
      </c>
      <c r="C3143" s="509" t="s">
        <v>21</v>
      </c>
      <c r="D3143" s="512">
        <v>9761</v>
      </c>
    </row>
    <row r="3144" spans="1:4" ht="15" x14ac:dyDescent="0.35">
      <c r="A3144" s="509">
        <v>10553</v>
      </c>
      <c r="B3144" s="510" t="s">
        <v>3526</v>
      </c>
      <c r="C3144" s="509" t="s">
        <v>21</v>
      </c>
      <c r="D3144" s="512">
        <v>54638</v>
      </c>
    </row>
    <row r="3145" spans="1:4" ht="15" x14ac:dyDescent="0.35">
      <c r="A3145" s="509">
        <v>10554</v>
      </c>
      <c r="B3145" s="510" t="s">
        <v>3527</v>
      </c>
      <c r="C3145" s="509" t="s">
        <v>3528</v>
      </c>
      <c r="D3145" s="512">
        <v>82435</v>
      </c>
    </row>
    <row r="3146" spans="1:4" ht="15" x14ac:dyDescent="0.35">
      <c r="A3146" s="509">
        <v>10555</v>
      </c>
      <c r="B3146" s="510" t="s">
        <v>3529</v>
      </c>
      <c r="C3146" s="509" t="s">
        <v>3528</v>
      </c>
      <c r="D3146" s="512">
        <v>152167</v>
      </c>
    </row>
    <row r="3147" spans="1:4" ht="15" x14ac:dyDescent="0.35">
      <c r="A3147" s="509">
        <v>10556</v>
      </c>
      <c r="B3147" s="510" t="s">
        <v>3530</v>
      </c>
      <c r="C3147" s="509" t="s">
        <v>3528</v>
      </c>
      <c r="D3147" s="511">
        <v>138267</v>
      </c>
    </row>
    <row r="3148" spans="1:4" ht="15" x14ac:dyDescent="0.35">
      <c r="A3148" s="509">
        <v>10557</v>
      </c>
      <c r="B3148" s="510" t="s">
        <v>3531</v>
      </c>
      <c r="C3148" s="509" t="s">
        <v>3532</v>
      </c>
      <c r="D3148" s="511">
        <v>1342</v>
      </c>
    </row>
    <row r="3149" spans="1:4" ht="15" x14ac:dyDescent="0.35">
      <c r="A3149" s="509">
        <v>10558</v>
      </c>
      <c r="B3149" s="510" t="s">
        <v>3533</v>
      </c>
      <c r="C3149" s="509" t="s">
        <v>21</v>
      </c>
      <c r="D3149" s="512">
        <v>46944</v>
      </c>
    </row>
    <row r="3150" spans="1:4" ht="15" x14ac:dyDescent="0.35">
      <c r="A3150" s="509">
        <v>10559</v>
      </c>
      <c r="B3150" s="510" t="s">
        <v>3534</v>
      </c>
      <c r="C3150" s="509" t="s">
        <v>21</v>
      </c>
      <c r="D3150" s="511">
        <v>1867</v>
      </c>
    </row>
    <row r="3151" spans="1:4" ht="15" x14ac:dyDescent="0.35">
      <c r="A3151" s="509">
        <v>10596</v>
      </c>
      <c r="B3151" s="510" t="s">
        <v>6601</v>
      </c>
      <c r="C3151" s="509" t="s">
        <v>32</v>
      </c>
      <c r="D3151" s="511">
        <v>321945</v>
      </c>
    </row>
    <row r="3152" spans="1:4" ht="15" x14ac:dyDescent="0.35">
      <c r="A3152" s="509">
        <v>10597</v>
      </c>
      <c r="B3152" s="510" t="s">
        <v>6602</v>
      </c>
      <c r="C3152" s="509" t="s">
        <v>32</v>
      </c>
      <c r="D3152" s="511">
        <v>242650</v>
      </c>
    </row>
    <row r="3153" spans="1:4" ht="15" x14ac:dyDescent="0.35">
      <c r="A3153" s="509">
        <v>10598</v>
      </c>
      <c r="B3153" s="510" t="s">
        <v>6603</v>
      </c>
      <c r="C3153" s="509" t="s">
        <v>32</v>
      </c>
      <c r="D3153" s="511">
        <v>340003</v>
      </c>
    </row>
    <row r="3154" spans="1:4" ht="15" x14ac:dyDescent="0.35">
      <c r="A3154" s="509">
        <v>10599</v>
      </c>
      <c r="B3154" s="510" t="s">
        <v>6604</v>
      </c>
      <c r="C3154" s="509" t="s">
        <v>32</v>
      </c>
      <c r="D3154" s="511">
        <v>122609</v>
      </c>
    </row>
    <row r="3155" spans="1:4" ht="15" x14ac:dyDescent="0.35">
      <c r="A3155" s="509">
        <v>10600</v>
      </c>
      <c r="B3155" s="510" t="s">
        <v>6605</v>
      </c>
      <c r="C3155" s="509" t="s">
        <v>32</v>
      </c>
      <c r="D3155" s="511">
        <v>108702</v>
      </c>
    </row>
    <row r="3156" spans="1:4" ht="15" x14ac:dyDescent="0.35">
      <c r="A3156" s="509">
        <v>10601</v>
      </c>
      <c r="B3156" s="510" t="s">
        <v>6606</v>
      </c>
      <c r="C3156" s="509" t="s">
        <v>32</v>
      </c>
      <c r="D3156" s="512">
        <v>244844</v>
      </c>
    </row>
    <row r="3157" spans="1:4" ht="15" x14ac:dyDescent="0.35">
      <c r="A3157" s="509">
        <v>10602</v>
      </c>
      <c r="B3157" s="510" t="s">
        <v>6607</v>
      </c>
      <c r="C3157" s="509" t="s">
        <v>32</v>
      </c>
      <c r="D3157" s="512">
        <v>117393</v>
      </c>
    </row>
    <row r="3158" spans="1:4" ht="15" x14ac:dyDescent="0.35">
      <c r="A3158" s="509">
        <v>10603</v>
      </c>
      <c r="B3158" s="510" t="s">
        <v>6608</v>
      </c>
      <c r="C3158" s="509" t="s">
        <v>32</v>
      </c>
      <c r="D3158" s="512">
        <v>754878</v>
      </c>
    </row>
    <row r="3159" spans="1:4" ht="15" x14ac:dyDescent="0.35">
      <c r="A3159" s="509">
        <v>10604</v>
      </c>
      <c r="B3159" s="510" t="s">
        <v>6609</v>
      </c>
      <c r="C3159" s="509" t="s">
        <v>32</v>
      </c>
      <c r="D3159" s="512">
        <v>720890</v>
      </c>
    </row>
    <row r="3160" spans="1:4" ht="15" x14ac:dyDescent="0.35">
      <c r="A3160" s="509">
        <v>10605</v>
      </c>
      <c r="B3160" s="510" t="s">
        <v>6610</v>
      </c>
      <c r="C3160" s="509" t="s">
        <v>32</v>
      </c>
      <c r="D3160" s="512">
        <v>397070</v>
      </c>
    </row>
    <row r="3161" spans="1:4" ht="15" x14ac:dyDescent="0.35">
      <c r="A3161" s="509">
        <v>10606</v>
      </c>
      <c r="B3161" s="510" t="s">
        <v>6611</v>
      </c>
      <c r="C3161" s="509" t="s">
        <v>32</v>
      </c>
      <c r="D3161" s="511">
        <v>185801</v>
      </c>
    </row>
    <row r="3162" spans="1:4" ht="15" x14ac:dyDescent="0.35">
      <c r="A3162" s="509">
        <v>10607</v>
      </c>
      <c r="B3162" s="510" t="s">
        <v>6612</v>
      </c>
      <c r="C3162" s="509" t="s">
        <v>32</v>
      </c>
      <c r="D3162" s="511">
        <v>884551</v>
      </c>
    </row>
    <row r="3163" spans="1:4" ht="15" x14ac:dyDescent="0.35">
      <c r="A3163" s="509">
        <v>10608</v>
      </c>
      <c r="B3163" s="510" t="s">
        <v>6613</v>
      </c>
      <c r="C3163" s="509" t="s">
        <v>32</v>
      </c>
      <c r="D3163" s="511">
        <v>806775</v>
      </c>
    </row>
    <row r="3164" spans="1:4" ht="15" x14ac:dyDescent="0.35">
      <c r="A3164" s="509">
        <v>10609</v>
      </c>
      <c r="B3164" s="510" t="s">
        <v>6614</v>
      </c>
      <c r="C3164" s="509" t="s">
        <v>32</v>
      </c>
      <c r="D3164" s="511">
        <v>893332</v>
      </c>
    </row>
    <row r="3165" spans="1:4" ht="15" x14ac:dyDescent="0.35">
      <c r="A3165" s="509">
        <v>10610</v>
      </c>
      <c r="B3165" s="510" t="s">
        <v>6615</v>
      </c>
      <c r="C3165" s="509" t="s">
        <v>32</v>
      </c>
      <c r="D3165" s="511">
        <v>145513</v>
      </c>
    </row>
    <row r="3166" spans="1:4" ht="15" x14ac:dyDescent="0.35">
      <c r="A3166" s="509">
        <v>10611</v>
      </c>
      <c r="B3166" s="510" t="s">
        <v>6595</v>
      </c>
      <c r="C3166" s="509" t="s">
        <v>2721</v>
      </c>
      <c r="D3166" s="511">
        <v>180258</v>
      </c>
    </row>
    <row r="3167" spans="1:4" ht="15" x14ac:dyDescent="0.35">
      <c r="A3167" s="509">
        <v>10612</v>
      </c>
      <c r="B3167" s="510" t="s">
        <v>1318</v>
      </c>
      <c r="C3167" s="509" t="s">
        <v>328</v>
      </c>
      <c r="D3167" s="511">
        <v>196392</v>
      </c>
    </row>
    <row r="3168" spans="1:4" ht="15" x14ac:dyDescent="0.35">
      <c r="A3168" s="509">
        <v>10613</v>
      </c>
      <c r="B3168" s="510" t="s">
        <v>6616</v>
      </c>
      <c r="C3168" s="509" t="s">
        <v>30</v>
      </c>
      <c r="D3168" s="511">
        <v>945928</v>
      </c>
    </row>
    <row r="3169" spans="1:4" ht="15" x14ac:dyDescent="0.35">
      <c r="A3169" s="509">
        <v>10614</v>
      </c>
      <c r="B3169" s="510" t="s">
        <v>6617</v>
      </c>
      <c r="C3169" s="509" t="s">
        <v>30</v>
      </c>
      <c r="D3169" s="511">
        <v>949141</v>
      </c>
    </row>
    <row r="3170" spans="1:4" ht="15" x14ac:dyDescent="0.35">
      <c r="A3170" s="509">
        <v>10636</v>
      </c>
      <c r="B3170" s="510" t="s">
        <v>6618</v>
      </c>
      <c r="C3170" s="509" t="s">
        <v>6619</v>
      </c>
      <c r="D3170" s="511">
        <v>26840595</v>
      </c>
    </row>
    <row r="3171" spans="1:4" ht="15" x14ac:dyDescent="0.35">
      <c r="A3171" s="509">
        <v>10637</v>
      </c>
      <c r="B3171" s="510" t="s">
        <v>6620</v>
      </c>
      <c r="C3171" s="509" t="s">
        <v>6619</v>
      </c>
      <c r="D3171" s="511">
        <v>26631155</v>
      </c>
    </row>
    <row r="3172" spans="1:4" ht="15" x14ac:dyDescent="0.35">
      <c r="A3172" s="509">
        <v>10638</v>
      </c>
      <c r="B3172" s="510" t="s">
        <v>6621</v>
      </c>
      <c r="C3172" s="509" t="s">
        <v>6619</v>
      </c>
      <c r="D3172" s="511">
        <v>29947355</v>
      </c>
    </row>
    <row r="3173" spans="1:4" ht="15" x14ac:dyDescent="0.35">
      <c r="A3173" s="509">
        <v>10639</v>
      </c>
      <c r="B3173" s="510" t="s">
        <v>6622</v>
      </c>
      <c r="C3173" s="509" t="s">
        <v>6619</v>
      </c>
      <c r="D3173" s="511">
        <v>12093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BD484-42F0-46E2-B09D-3E0EEC840DF0}">
  <sheetPr>
    <tabColor rgb="FF00B0F0"/>
  </sheetPr>
  <dimension ref="A1:E3173"/>
  <sheetViews>
    <sheetView topLeftCell="A3154" workbookViewId="0">
      <selection sqref="A1:F3173"/>
    </sheetView>
  </sheetViews>
  <sheetFormatPr baseColWidth="10" defaultRowHeight="14.4" x14ac:dyDescent="0.3"/>
  <cols>
    <col min="4" max="4" width="13.88671875" bestFit="1" customWidth="1"/>
  </cols>
  <sheetData>
    <row r="1" spans="1:5" ht="15" x14ac:dyDescent="0.3">
      <c r="A1" s="506">
        <v>322</v>
      </c>
      <c r="B1" s="507" t="s">
        <v>3535</v>
      </c>
      <c r="C1" s="506" t="s">
        <v>30</v>
      </c>
      <c r="D1" s="508">
        <v>536920</v>
      </c>
      <c r="E1" s="507" t="s">
        <v>331</v>
      </c>
    </row>
    <row r="2" spans="1:5" ht="15" x14ac:dyDescent="0.3">
      <c r="A2" s="506">
        <v>323</v>
      </c>
      <c r="B2" s="507" t="s">
        <v>3536</v>
      </c>
      <c r="C2" s="506" t="s">
        <v>30</v>
      </c>
      <c r="D2" s="508">
        <v>575187</v>
      </c>
      <c r="E2" s="507" t="s">
        <v>331</v>
      </c>
    </row>
    <row r="3" spans="1:5" ht="15" x14ac:dyDescent="0.3">
      <c r="A3" s="506">
        <v>324</v>
      </c>
      <c r="B3" s="507" t="s">
        <v>3537</v>
      </c>
      <c r="C3" s="506" t="s">
        <v>30</v>
      </c>
      <c r="D3" s="508">
        <v>573851</v>
      </c>
      <c r="E3" s="507" t="s">
        <v>331</v>
      </c>
    </row>
    <row r="4" spans="1:5" ht="15" x14ac:dyDescent="0.3">
      <c r="A4" s="506">
        <v>325</v>
      </c>
      <c r="B4" s="507" t="s">
        <v>3538</v>
      </c>
      <c r="C4" s="506" t="s">
        <v>30</v>
      </c>
      <c r="D4" s="508">
        <v>589499</v>
      </c>
      <c r="E4" s="507" t="s">
        <v>331</v>
      </c>
    </row>
    <row r="5" spans="1:5" ht="15" x14ac:dyDescent="0.3">
      <c r="A5" s="506">
        <v>326</v>
      </c>
      <c r="B5" s="507" t="s">
        <v>3539</v>
      </c>
      <c r="C5" s="506" t="s">
        <v>30</v>
      </c>
      <c r="D5" s="508">
        <v>610583</v>
      </c>
      <c r="E5" s="507" t="s">
        <v>331</v>
      </c>
    </row>
    <row r="6" spans="1:5" ht="15" x14ac:dyDescent="0.3">
      <c r="A6" s="506">
        <v>328</v>
      </c>
      <c r="B6" s="507" t="s">
        <v>3540</v>
      </c>
      <c r="C6" s="506" t="s">
        <v>30</v>
      </c>
      <c r="D6" s="508">
        <v>637049</v>
      </c>
      <c r="E6" s="507" t="s">
        <v>331</v>
      </c>
    </row>
    <row r="7" spans="1:5" ht="15" x14ac:dyDescent="0.3">
      <c r="A7" s="506">
        <v>333</v>
      </c>
      <c r="B7" s="507" t="s">
        <v>3541</v>
      </c>
      <c r="C7" s="506" t="s">
        <v>30</v>
      </c>
      <c r="D7" s="508">
        <v>586995</v>
      </c>
      <c r="E7" s="507" t="s">
        <v>331</v>
      </c>
    </row>
    <row r="8" spans="1:5" ht="15" x14ac:dyDescent="0.3">
      <c r="A8" s="506">
        <v>366</v>
      </c>
      <c r="B8" s="507" t="s">
        <v>3542</v>
      </c>
      <c r="C8" s="506" t="s">
        <v>30</v>
      </c>
      <c r="D8" s="508">
        <v>623456</v>
      </c>
      <c r="E8" s="507" t="s">
        <v>331</v>
      </c>
    </row>
    <row r="9" spans="1:5" ht="15" x14ac:dyDescent="0.3">
      <c r="A9" s="506">
        <v>1505</v>
      </c>
      <c r="B9" s="507" t="s">
        <v>3543</v>
      </c>
      <c r="C9" s="506" t="s">
        <v>979</v>
      </c>
      <c r="D9" s="508">
        <v>189970</v>
      </c>
      <c r="E9" s="507" t="s">
        <v>331</v>
      </c>
    </row>
    <row r="10" spans="1:5" ht="15" x14ac:dyDescent="0.3">
      <c r="A10" s="506">
        <v>1512</v>
      </c>
      <c r="B10" s="507" t="s">
        <v>3544</v>
      </c>
      <c r="C10" s="506" t="s">
        <v>21</v>
      </c>
      <c r="D10" s="508">
        <v>18794</v>
      </c>
      <c r="E10" s="507" t="s">
        <v>6108</v>
      </c>
    </row>
    <row r="11" spans="1:5" ht="15" x14ac:dyDescent="0.3">
      <c r="A11" s="506">
        <v>1515</v>
      </c>
      <c r="B11" s="507" t="s">
        <v>3545</v>
      </c>
      <c r="C11" s="506" t="s">
        <v>3546</v>
      </c>
      <c r="D11" s="508">
        <v>1131</v>
      </c>
      <c r="E11" s="507" t="s">
        <v>331</v>
      </c>
    </row>
    <row r="12" spans="1:5" ht="15" x14ac:dyDescent="0.3">
      <c r="A12" s="506">
        <v>1794</v>
      </c>
      <c r="B12" s="507" t="s">
        <v>3547</v>
      </c>
      <c r="C12" s="506" t="s">
        <v>670</v>
      </c>
      <c r="D12" s="508">
        <v>5501</v>
      </c>
      <c r="E12" s="507" t="s">
        <v>331</v>
      </c>
    </row>
    <row r="13" spans="1:5" ht="15" x14ac:dyDescent="0.3">
      <c r="A13" s="506">
        <v>2273</v>
      </c>
      <c r="B13" s="507" t="s">
        <v>3548</v>
      </c>
      <c r="C13" s="506" t="s">
        <v>32</v>
      </c>
      <c r="D13" s="508">
        <v>967</v>
      </c>
      <c r="E13" s="507" t="s">
        <v>331</v>
      </c>
    </row>
    <row r="14" spans="1:5" ht="15" x14ac:dyDescent="0.3">
      <c r="A14" s="506">
        <v>2307</v>
      </c>
      <c r="B14" s="507" t="s">
        <v>3549</v>
      </c>
      <c r="C14" s="506" t="s">
        <v>30</v>
      </c>
      <c r="D14" s="508">
        <v>65450</v>
      </c>
      <c r="E14" s="507" t="s">
        <v>331</v>
      </c>
    </row>
    <row r="15" spans="1:5" ht="15" x14ac:dyDescent="0.3">
      <c r="A15" s="506">
        <v>2308</v>
      </c>
      <c r="B15" s="507" t="s">
        <v>3550</v>
      </c>
      <c r="C15" s="506" t="s">
        <v>30</v>
      </c>
      <c r="D15" s="508">
        <v>130900</v>
      </c>
      <c r="E15" s="507" t="s">
        <v>331</v>
      </c>
    </row>
    <row r="16" spans="1:5" ht="15" x14ac:dyDescent="0.3">
      <c r="A16" s="506">
        <v>2551</v>
      </c>
      <c r="B16" s="507" t="s">
        <v>3551</v>
      </c>
      <c r="C16" s="506" t="s">
        <v>32</v>
      </c>
      <c r="D16" s="508">
        <v>178500</v>
      </c>
      <c r="E16" s="507" t="s">
        <v>331</v>
      </c>
    </row>
    <row r="17" spans="1:5" ht="15" x14ac:dyDescent="0.3">
      <c r="A17" s="506">
        <v>2798</v>
      </c>
      <c r="B17" s="507" t="s">
        <v>3552</v>
      </c>
      <c r="C17" s="506" t="s">
        <v>32</v>
      </c>
      <c r="D17" s="508">
        <v>700</v>
      </c>
      <c r="E17" s="507" t="s">
        <v>331</v>
      </c>
    </row>
    <row r="18" spans="1:5" ht="15" x14ac:dyDescent="0.3">
      <c r="A18" s="506">
        <v>2910</v>
      </c>
      <c r="B18" s="507" t="s">
        <v>3553</v>
      </c>
      <c r="C18" s="506" t="s">
        <v>30</v>
      </c>
      <c r="D18" s="508">
        <v>7140</v>
      </c>
      <c r="E18" s="507" t="s">
        <v>331</v>
      </c>
    </row>
    <row r="19" spans="1:5" ht="15" x14ac:dyDescent="0.3">
      <c r="A19" s="506">
        <v>3386</v>
      </c>
      <c r="B19" s="507" t="s">
        <v>3554</v>
      </c>
      <c r="C19" s="506" t="s">
        <v>3528</v>
      </c>
      <c r="D19" s="508">
        <v>12134</v>
      </c>
      <c r="E19" s="507" t="s">
        <v>331</v>
      </c>
    </row>
    <row r="20" spans="1:5" ht="15" x14ac:dyDescent="0.3">
      <c r="A20" s="506">
        <v>3995</v>
      </c>
      <c r="B20" s="507" t="s">
        <v>3555</v>
      </c>
      <c r="C20" s="506" t="s">
        <v>21</v>
      </c>
      <c r="D20" s="508">
        <v>30615</v>
      </c>
      <c r="E20" s="507" t="s">
        <v>331</v>
      </c>
    </row>
    <row r="21" spans="1:5" ht="15" x14ac:dyDescent="0.3">
      <c r="A21" s="506">
        <v>4513</v>
      </c>
      <c r="B21" s="507" t="s">
        <v>3556</v>
      </c>
      <c r="C21" s="506" t="s">
        <v>328</v>
      </c>
      <c r="D21" s="508">
        <v>16925</v>
      </c>
      <c r="E21" s="507" t="s">
        <v>331</v>
      </c>
    </row>
    <row r="22" spans="1:5" ht="15" x14ac:dyDescent="0.3">
      <c r="A22" s="506">
        <v>4514</v>
      </c>
      <c r="B22" s="507" t="s">
        <v>3557</v>
      </c>
      <c r="C22" s="506" t="s">
        <v>328</v>
      </c>
      <c r="D22" s="508">
        <v>29139</v>
      </c>
      <c r="E22" s="507" t="s">
        <v>331</v>
      </c>
    </row>
    <row r="23" spans="1:5" ht="15" x14ac:dyDescent="0.3">
      <c r="A23" s="506">
        <v>4520</v>
      </c>
      <c r="B23" s="507" t="s">
        <v>3558</v>
      </c>
      <c r="C23" s="506" t="s">
        <v>328</v>
      </c>
      <c r="D23" s="508">
        <v>24074</v>
      </c>
      <c r="E23" s="507" t="s">
        <v>331</v>
      </c>
    </row>
    <row r="24" spans="1:5" ht="15" x14ac:dyDescent="0.3">
      <c r="A24" s="506">
        <v>4521</v>
      </c>
      <c r="B24" s="507" t="s">
        <v>3559</v>
      </c>
      <c r="C24" s="506" t="s">
        <v>328</v>
      </c>
      <c r="D24" s="508">
        <v>28524</v>
      </c>
      <c r="E24" s="507" t="s">
        <v>331</v>
      </c>
    </row>
    <row r="25" spans="1:5" ht="15" x14ac:dyDescent="0.3">
      <c r="A25" s="506">
        <v>4594</v>
      </c>
      <c r="B25" s="507" t="s">
        <v>3560</v>
      </c>
      <c r="C25" s="506" t="s">
        <v>32</v>
      </c>
      <c r="D25" s="508">
        <v>88599</v>
      </c>
      <c r="E25" s="507" t="s">
        <v>331</v>
      </c>
    </row>
    <row r="26" spans="1:5" ht="15" x14ac:dyDescent="0.3">
      <c r="A26" s="506">
        <v>4596</v>
      </c>
      <c r="B26" s="507" t="s">
        <v>3561</v>
      </c>
      <c r="C26" s="506" t="s">
        <v>32</v>
      </c>
      <c r="D26" s="508">
        <v>176735</v>
      </c>
      <c r="E26" s="507" t="s">
        <v>331</v>
      </c>
    </row>
    <row r="27" spans="1:5" ht="15" x14ac:dyDescent="0.3">
      <c r="A27" s="506">
        <v>4598</v>
      </c>
      <c r="B27" s="507" t="s">
        <v>3562</v>
      </c>
      <c r="C27" s="506" t="s">
        <v>32</v>
      </c>
      <c r="D27" s="508">
        <v>1323832</v>
      </c>
      <c r="E27" s="507" t="s">
        <v>331</v>
      </c>
    </row>
    <row r="28" spans="1:5" ht="15" x14ac:dyDescent="0.3">
      <c r="A28" s="506">
        <v>4600</v>
      </c>
      <c r="B28" s="507" t="s">
        <v>3563</v>
      </c>
      <c r="C28" s="506" t="s">
        <v>32</v>
      </c>
      <c r="D28" s="508">
        <v>3907698</v>
      </c>
      <c r="E28" s="507" t="s">
        <v>331</v>
      </c>
    </row>
    <row r="29" spans="1:5" ht="15" x14ac:dyDescent="0.3">
      <c r="A29" s="506">
        <v>4608</v>
      </c>
      <c r="B29" s="507" t="s">
        <v>3564</v>
      </c>
      <c r="C29" s="506" t="s">
        <v>32</v>
      </c>
      <c r="D29" s="508">
        <v>42792</v>
      </c>
      <c r="E29" s="507" t="s">
        <v>331</v>
      </c>
    </row>
    <row r="30" spans="1:5" ht="15" x14ac:dyDescent="0.3">
      <c r="A30" s="506">
        <v>4609</v>
      </c>
      <c r="B30" s="507" t="s">
        <v>3565</v>
      </c>
      <c r="C30" s="506" t="s">
        <v>32</v>
      </c>
      <c r="D30" s="508">
        <v>70485</v>
      </c>
      <c r="E30" s="507" t="s">
        <v>331</v>
      </c>
    </row>
    <row r="31" spans="1:5" ht="15" x14ac:dyDescent="0.3">
      <c r="A31" s="506">
        <v>4610</v>
      </c>
      <c r="B31" s="507" t="s">
        <v>3566</v>
      </c>
      <c r="C31" s="506" t="s">
        <v>32</v>
      </c>
      <c r="D31" s="508">
        <v>102656</v>
      </c>
      <c r="E31" s="507" t="s">
        <v>331</v>
      </c>
    </row>
    <row r="32" spans="1:5" ht="15" x14ac:dyDescent="0.3">
      <c r="A32" s="506">
        <v>4611</v>
      </c>
      <c r="B32" s="507" t="s">
        <v>3567</v>
      </c>
      <c r="C32" s="506" t="s">
        <v>32</v>
      </c>
      <c r="D32" s="508">
        <v>239697</v>
      </c>
      <c r="E32" s="507" t="s">
        <v>331</v>
      </c>
    </row>
    <row r="33" spans="1:5" ht="15" x14ac:dyDescent="0.3">
      <c r="A33" s="506">
        <v>4612</v>
      </c>
      <c r="B33" s="507" t="s">
        <v>3568</v>
      </c>
      <c r="C33" s="506" t="s">
        <v>32</v>
      </c>
      <c r="D33" s="508">
        <v>440388</v>
      </c>
      <c r="E33" s="507" t="s">
        <v>331</v>
      </c>
    </row>
    <row r="34" spans="1:5" ht="15" x14ac:dyDescent="0.3">
      <c r="A34" s="506">
        <v>4613</v>
      </c>
      <c r="B34" s="507" t="s">
        <v>3569</v>
      </c>
      <c r="C34" s="506" t="s">
        <v>32</v>
      </c>
      <c r="D34" s="508">
        <v>786838</v>
      </c>
      <c r="E34" s="507" t="s">
        <v>331</v>
      </c>
    </row>
    <row r="35" spans="1:5" ht="15" x14ac:dyDescent="0.3">
      <c r="A35" s="506">
        <v>4614</v>
      </c>
      <c r="B35" s="507" t="s">
        <v>3570</v>
      </c>
      <c r="C35" s="506" t="s">
        <v>32</v>
      </c>
      <c r="D35" s="508">
        <v>1219423</v>
      </c>
      <c r="E35" s="507" t="s">
        <v>331</v>
      </c>
    </row>
    <row r="36" spans="1:5" ht="15" x14ac:dyDescent="0.3">
      <c r="A36" s="506">
        <v>4675</v>
      </c>
      <c r="B36" s="507" t="s">
        <v>3571</v>
      </c>
      <c r="C36" s="506" t="s">
        <v>32</v>
      </c>
      <c r="D36" s="508">
        <v>32500</v>
      </c>
      <c r="E36" s="507" t="s">
        <v>331</v>
      </c>
    </row>
    <row r="37" spans="1:5" ht="15" x14ac:dyDescent="0.3">
      <c r="A37" s="506">
        <v>4694</v>
      </c>
      <c r="B37" s="507" t="s">
        <v>3572</v>
      </c>
      <c r="C37" s="506" t="s">
        <v>328</v>
      </c>
      <c r="D37" s="508">
        <v>40737</v>
      </c>
      <c r="E37" s="507" t="s">
        <v>6108</v>
      </c>
    </row>
    <row r="38" spans="1:5" ht="15" x14ac:dyDescent="0.3">
      <c r="A38" s="506">
        <v>4697</v>
      </c>
      <c r="B38" s="507" t="s">
        <v>3573</v>
      </c>
      <c r="C38" s="506" t="s">
        <v>328</v>
      </c>
      <c r="D38" s="508">
        <v>43372</v>
      </c>
      <c r="E38" s="507" t="s">
        <v>6108</v>
      </c>
    </row>
    <row r="39" spans="1:5" ht="15" x14ac:dyDescent="0.3">
      <c r="A39" s="506">
        <v>5038</v>
      </c>
      <c r="B39" s="507" t="s">
        <v>3574</v>
      </c>
      <c r="C39" s="506" t="s">
        <v>670</v>
      </c>
      <c r="D39" s="508">
        <v>4657</v>
      </c>
      <c r="E39" s="507" t="s">
        <v>331</v>
      </c>
    </row>
    <row r="40" spans="1:5" ht="15" x14ac:dyDescent="0.3">
      <c r="A40" s="506">
        <v>5041</v>
      </c>
      <c r="B40" s="507" t="s">
        <v>3575</v>
      </c>
      <c r="C40" s="506" t="s">
        <v>670</v>
      </c>
      <c r="D40" s="508">
        <v>4665</v>
      </c>
      <c r="E40" s="507" t="s">
        <v>331</v>
      </c>
    </row>
    <row r="41" spans="1:5" ht="15" x14ac:dyDescent="0.3">
      <c r="A41" s="506">
        <v>5042</v>
      </c>
      <c r="B41" s="507" t="s">
        <v>3576</v>
      </c>
      <c r="C41" s="506" t="s">
        <v>670</v>
      </c>
      <c r="D41" s="508">
        <v>4665</v>
      </c>
      <c r="E41" s="507" t="s">
        <v>331</v>
      </c>
    </row>
    <row r="42" spans="1:5" ht="15" x14ac:dyDescent="0.3">
      <c r="A42" s="506">
        <v>5056</v>
      </c>
      <c r="B42" s="507" t="s">
        <v>3577</v>
      </c>
      <c r="C42" s="506" t="s">
        <v>30</v>
      </c>
      <c r="D42" s="508">
        <v>612389</v>
      </c>
      <c r="E42" s="507" t="s">
        <v>331</v>
      </c>
    </row>
    <row r="43" spans="1:5" ht="15" x14ac:dyDescent="0.3">
      <c r="A43" s="506">
        <v>5115</v>
      </c>
      <c r="B43" s="507" t="s">
        <v>3578</v>
      </c>
      <c r="C43" s="506" t="s">
        <v>3579</v>
      </c>
      <c r="D43" s="508">
        <v>10481</v>
      </c>
      <c r="E43" s="507" t="s">
        <v>331</v>
      </c>
    </row>
    <row r="44" spans="1:5" ht="15" x14ac:dyDescent="0.3">
      <c r="A44" s="506">
        <v>5481</v>
      </c>
      <c r="B44" s="507" t="s">
        <v>3580</v>
      </c>
      <c r="C44" s="506" t="s">
        <v>32</v>
      </c>
      <c r="D44" s="508">
        <v>9500</v>
      </c>
      <c r="E44" s="507" t="s">
        <v>331</v>
      </c>
    </row>
    <row r="45" spans="1:5" ht="15" x14ac:dyDescent="0.3">
      <c r="A45" s="506">
        <v>5661</v>
      </c>
      <c r="B45" s="507" t="s">
        <v>3581</v>
      </c>
      <c r="C45" s="506" t="s">
        <v>3582</v>
      </c>
      <c r="D45" s="508">
        <v>61982</v>
      </c>
      <c r="E45" s="507" t="s">
        <v>6108</v>
      </c>
    </row>
    <row r="46" spans="1:5" ht="15" x14ac:dyDescent="0.3">
      <c r="A46" s="506">
        <v>5890</v>
      </c>
      <c r="B46" s="507" t="s">
        <v>3583</v>
      </c>
      <c r="C46" s="506" t="s">
        <v>979</v>
      </c>
      <c r="D46" s="508">
        <v>88387</v>
      </c>
      <c r="E46" s="507" t="s">
        <v>331</v>
      </c>
    </row>
    <row r="47" spans="1:5" ht="15" x14ac:dyDescent="0.3">
      <c r="A47" s="506">
        <v>5915</v>
      </c>
      <c r="B47" s="507" t="s">
        <v>3584</v>
      </c>
      <c r="C47" s="506" t="s">
        <v>30</v>
      </c>
      <c r="D47" s="508">
        <v>95081</v>
      </c>
      <c r="E47" s="507" t="s">
        <v>331</v>
      </c>
    </row>
    <row r="48" spans="1:5" ht="15" x14ac:dyDescent="0.3">
      <c r="A48" s="506">
        <v>6013</v>
      </c>
      <c r="B48" s="507" t="s">
        <v>3585</v>
      </c>
      <c r="C48" s="506" t="s">
        <v>979</v>
      </c>
      <c r="D48" s="508">
        <v>302067</v>
      </c>
      <c r="E48" s="507" t="s">
        <v>331</v>
      </c>
    </row>
    <row r="49" spans="1:5" ht="15" x14ac:dyDescent="0.3">
      <c r="A49" s="506">
        <v>6026</v>
      </c>
      <c r="B49" s="507" t="s">
        <v>3586</v>
      </c>
      <c r="C49" s="506" t="s">
        <v>979</v>
      </c>
      <c r="D49" s="508">
        <v>164951</v>
      </c>
      <c r="E49" s="507" t="s">
        <v>331</v>
      </c>
    </row>
    <row r="50" spans="1:5" ht="15" x14ac:dyDescent="0.3">
      <c r="A50" s="506">
        <v>6062</v>
      </c>
      <c r="B50" s="507" t="s">
        <v>3587</v>
      </c>
      <c r="C50" s="506" t="s">
        <v>979</v>
      </c>
      <c r="D50" s="508">
        <v>194119</v>
      </c>
      <c r="E50" s="507" t="s">
        <v>331</v>
      </c>
    </row>
    <row r="51" spans="1:5" ht="15" x14ac:dyDescent="0.3">
      <c r="A51" s="506">
        <v>6072</v>
      </c>
      <c r="B51" s="507" t="s">
        <v>3588</v>
      </c>
      <c r="C51" s="506" t="s">
        <v>30</v>
      </c>
      <c r="D51" s="508">
        <v>702338</v>
      </c>
      <c r="E51" s="507" t="s">
        <v>331</v>
      </c>
    </row>
    <row r="52" spans="1:5" ht="15" x14ac:dyDescent="0.3">
      <c r="A52" s="506">
        <v>6073</v>
      </c>
      <c r="B52" s="507" t="s">
        <v>3589</v>
      </c>
      <c r="C52" s="506" t="s">
        <v>30</v>
      </c>
      <c r="D52" s="508">
        <v>716425</v>
      </c>
      <c r="E52" s="507" t="s">
        <v>331</v>
      </c>
    </row>
    <row r="53" spans="1:5" ht="15" x14ac:dyDescent="0.3">
      <c r="A53" s="506">
        <v>6087</v>
      </c>
      <c r="B53" s="507" t="s">
        <v>3590</v>
      </c>
      <c r="C53" s="506" t="s">
        <v>692</v>
      </c>
      <c r="D53" s="508">
        <v>97414</v>
      </c>
      <c r="E53" s="507" t="s">
        <v>6109</v>
      </c>
    </row>
    <row r="54" spans="1:5" ht="15" x14ac:dyDescent="0.3">
      <c r="A54" s="506">
        <v>6088</v>
      </c>
      <c r="B54" s="507" t="s">
        <v>3591</v>
      </c>
      <c r="C54" s="506" t="s">
        <v>692</v>
      </c>
      <c r="D54" s="508">
        <v>121212</v>
      </c>
      <c r="E54" s="507" t="s">
        <v>6109</v>
      </c>
    </row>
    <row r="55" spans="1:5" ht="15" x14ac:dyDescent="0.3">
      <c r="A55" s="506">
        <v>6092</v>
      </c>
      <c r="B55" s="507" t="s">
        <v>3592</v>
      </c>
      <c r="C55" s="506" t="s">
        <v>3593</v>
      </c>
      <c r="D55" s="508">
        <v>2000</v>
      </c>
      <c r="E55" s="507" t="s">
        <v>3594</v>
      </c>
    </row>
    <row r="56" spans="1:5" ht="15" x14ac:dyDescent="0.3">
      <c r="A56" s="506">
        <v>6098</v>
      </c>
      <c r="B56" s="507" t="s">
        <v>3595</v>
      </c>
      <c r="C56" s="506" t="s">
        <v>3596</v>
      </c>
      <c r="D56" s="508">
        <v>25</v>
      </c>
      <c r="E56" s="507" t="s">
        <v>331</v>
      </c>
    </row>
    <row r="57" spans="1:5" ht="15" x14ac:dyDescent="0.3">
      <c r="A57" s="506">
        <v>6107</v>
      </c>
      <c r="B57" s="507" t="s">
        <v>3597</v>
      </c>
      <c r="C57" s="506" t="s">
        <v>30</v>
      </c>
      <c r="D57" s="508">
        <v>838593</v>
      </c>
      <c r="E57" s="507" t="s">
        <v>331</v>
      </c>
    </row>
    <row r="58" spans="1:5" ht="15" x14ac:dyDescent="0.3">
      <c r="A58" s="506">
        <v>6109</v>
      </c>
      <c r="B58" s="507" t="s">
        <v>3598</v>
      </c>
      <c r="C58" s="506" t="s">
        <v>32</v>
      </c>
      <c r="D58" s="508">
        <v>48991</v>
      </c>
      <c r="E58" s="507" t="s">
        <v>331</v>
      </c>
    </row>
    <row r="59" spans="1:5" ht="15" x14ac:dyDescent="0.3">
      <c r="A59" s="506">
        <v>6115</v>
      </c>
      <c r="B59" s="507" t="s">
        <v>3599</v>
      </c>
      <c r="C59" s="506" t="s">
        <v>21</v>
      </c>
      <c r="D59" s="508">
        <v>95223</v>
      </c>
      <c r="E59" s="507" t="s">
        <v>331</v>
      </c>
    </row>
    <row r="60" spans="1:5" ht="15" x14ac:dyDescent="0.3">
      <c r="A60" s="506">
        <v>6116</v>
      </c>
      <c r="B60" s="507" t="s">
        <v>3600</v>
      </c>
      <c r="C60" s="506" t="s">
        <v>32</v>
      </c>
      <c r="D60" s="508">
        <v>40004</v>
      </c>
      <c r="E60" s="507" t="s">
        <v>331</v>
      </c>
    </row>
    <row r="61" spans="1:5" ht="15" x14ac:dyDescent="0.3">
      <c r="A61" s="506">
        <v>6117</v>
      </c>
      <c r="B61" s="507" t="s">
        <v>3601</v>
      </c>
      <c r="C61" s="506" t="s">
        <v>32</v>
      </c>
      <c r="D61" s="508">
        <v>81601</v>
      </c>
      <c r="E61" s="507" t="s">
        <v>331</v>
      </c>
    </row>
    <row r="62" spans="1:5" ht="15" x14ac:dyDescent="0.3">
      <c r="A62" s="506">
        <v>6118</v>
      </c>
      <c r="B62" s="507" t="s">
        <v>3602</v>
      </c>
      <c r="C62" s="506" t="s">
        <v>32</v>
      </c>
      <c r="D62" s="508">
        <v>42280</v>
      </c>
      <c r="E62" s="507" t="s">
        <v>331</v>
      </c>
    </row>
    <row r="63" spans="1:5" ht="15" x14ac:dyDescent="0.3">
      <c r="A63" s="506">
        <v>6122</v>
      </c>
      <c r="B63" s="507" t="s">
        <v>3603</v>
      </c>
      <c r="C63" s="506" t="s">
        <v>32</v>
      </c>
      <c r="D63" s="508">
        <v>380800</v>
      </c>
      <c r="E63" s="507" t="s">
        <v>331</v>
      </c>
    </row>
    <row r="64" spans="1:5" ht="15" x14ac:dyDescent="0.3">
      <c r="A64" s="506">
        <v>6126</v>
      </c>
      <c r="B64" s="507" t="s">
        <v>3604</v>
      </c>
      <c r="C64" s="506" t="s">
        <v>328</v>
      </c>
      <c r="D64" s="508">
        <v>27659</v>
      </c>
      <c r="E64" s="507" t="s">
        <v>331</v>
      </c>
    </row>
    <row r="65" spans="1:5" ht="15" x14ac:dyDescent="0.3">
      <c r="A65" s="506">
        <v>6127</v>
      </c>
      <c r="B65" s="507" t="s">
        <v>3605</v>
      </c>
      <c r="C65" s="506" t="s">
        <v>328</v>
      </c>
      <c r="D65" s="508">
        <v>52567</v>
      </c>
      <c r="E65" s="507" t="s">
        <v>331</v>
      </c>
    </row>
    <row r="66" spans="1:5" ht="15" x14ac:dyDescent="0.3">
      <c r="A66" s="506">
        <v>6128</v>
      </c>
      <c r="B66" s="507" t="s">
        <v>3606</v>
      </c>
      <c r="C66" s="506" t="s">
        <v>328</v>
      </c>
      <c r="D66" s="508">
        <v>75144</v>
      </c>
      <c r="E66" s="507" t="s">
        <v>331</v>
      </c>
    </row>
    <row r="67" spans="1:5" ht="15" x14ac:dyDescent="0.3">
      <c r="A67" s="506">
        <v>6129</v>
      </c>
      <c r="B67" s="507" t="s">
        <v>3607</v>
      </c>
      <c r="C67" s="506" t="s">
        <v>328</v>
      </c>
      <c r="D67" s="508">
        <v>109752</v>
      </c>
      <c r="E67" s="507" t="s">
        <v>331</v>
      </c>
    </row>
    <row r="68" spans="1:5" ht="15" x14ac:dyDescent="0.3">
      <c r="A68" s="506">
        <v>6130</v>
      </c>
      <c r="B68" s="507" t="s">
        <v>3608</v>
      </c>
      <c r="C68" s="506" t="s">
        <v>328</v>
      </c>
      <c r="D68" s="508">
        <v>157926</v>
      </c>
      <c r="E68" s="507" t="s">
        <v>331</v>
      </c>
    </row>
    <row r="69" spans="1:5" ht="15" x14ac:dyDescent="0.3">
      <c r="A69" s="506">
        <v>6131</v>
      </c>
      <c r="B69" s="507" t="s">
        <v>3609</v>
      </c>
      <c r="C69" s="506" t="s">
        <v>328</v>
      </c>
      <c r="D69" s="508">
        <v>289477</v>
      </c>
      <c r="E69" s="507" t="s">
        <v>331</v>
      </c>
    </row>
    <row r="70" spans="1:5" ht="15" x14ac:dyDescent="0.3">
      <c r="A70" s="506">
        <v>6132</v>
      </c>
      <c r="B70" s="507" t="s">
        <v>3610</v>
      </c>
      <c r="C70" s="506" t="s">
        <v>328</v>
      </c>
      <c r="D70" s="508">
        <v>397651</v>
      </c>
      <c r="E70" s="507" t="s">
        <v>331</v>
      </c>
    </row>
    <row r="71" spans="1:5" ht="15" x14ac:dyDescent="0.3">
      <c r="A71" s="506">
        <v>6133</v>
      </c>
      <c r="B71" s="507" t="s">
        <v>3611</v>
      </c>
      <c r="C71" s="506" t="s">
        <v>328</v>
      </c>
      <c r="D71" s="508">
        <v>487403</v>
      </c>
      <c r="E71" s="507" t="s">
        <v>331</v>
      </c>
    </row>
    <row r="72" spans="1:5" ht="15" x14ac:dyDescent="0.3">
      <c r="A72" s="506">
        <v>6140</v>
      </c>
      <c r="B72" s="507" t="s">
        <v>3612</v>
      </c>
      <c r="C72" s="506" t="s">
        <v>979</v>
      </c>
      <c r="D72" s="508">
        <v>70709</v>
      </c>
      <c r="E72" s="507" t="s">
        <v>6108</v>
      </c>
    </row>
    <row r="73" spans="1:5" ht="15" x14ac:dyDescent="0.3">
      <c r="A73" s="506">
        <v>6143</v>
      </c>
      <c r="B73" s="507" t="s">
        <v>3613</v>
      </c>
      <c r="C73" s="506" t="s">
        <v>670</v>
      </c>
      <c r="D73" s="508">
        <v>15545</v>
      </c>
      <c r="E73" s="507" t="s">
        <v>6108</v>
      </c>
    </row>
    <row r="74" spans="1:5" ht="15" x14ac:dyDescent="0.3">
      <c r="A74" s="506">
        <v>6147</v>
      </c>
      <c r="B74" s="507" t="s">
        <v>3614</v>
      </c>
      <c r="C74" s="506" t="s">
        <v>328</v>
      </c>
      <c r="D74" s="508">
        <v>47841</v>
      </c>
      <c r="E74" s="507" t="s">
        <v>331</v>
      </c>
    </row>
    <row r="75" spans="1:5" ht="15" x14ac:dyDescent="0.3">
      <c r="A75" s="506">
        <v>6148</v>
      </c>
      <c r="B75" s="507" t="s">
        <v>3615</v>
      </c>
      <c r="C75" s="506" t="s">
        <v>328</v>
      </c>
      <c r="D75" s="508">
        <v>80018</v>
      </c>
      <c r="E75" s="507" t="s">
        <v>331</v>
      </c>
    </row>
    <row r="76" spans="1:5" ht="15" x14ac:dyDescent="0.3">
      <c r="A76" s="506">
        <v>6149</v>
      </c>
      <c r="B76" s="507" t="s">
        <v>3616</v>
      </c>
      <c r="C76" s="506" t="s">
        <v>328</v>
      </c>
      <c r="D76" s="508">
        <v>98207</v>
      </c>
      <c r="E76" s="507" t="s">
        <v>331</v>
      </c>
    </row>
    <row r="77" spans="1:5" ht="15" x14ac:dyDescent="0.3">
      <c r="A77" s="506">
        <v>6150</v>
      </c>
      <c r="B77" s="507" t="s">
        <v>3617</v>
      </c>
      <c r="C77" s="506" t="s">
        <v>328</v>
      </c>
      <c r="D77" s="508">
        <v>116626</v>
      </c>
      <c r="E77" s="507" t="s">
        <v>331</v>
      </c>
    </row>
    <row r="78" spans="1:5" ht="15" x14ac:dyDescent="0.3">
      <c r="A78" s="506">
        <v>6151</v>
      </c>
      <c r="B78" s="507" t="s">
        <v>3618</v>
      </c>
      <c r="C78" s="506" t="s">
        <v>328</v>
      </c>
      <c r="D78" s="508">
        <v>146782</v>
      </c>
      <c r="E78" s="507" t="s">
        <v>331</v>
      </c>
    </row>
    <row r="79" spans="1:5" ht="15" x14ac:dyDescent="0.3">
      <c r="A79" s="506">
        <v>6152</v>
      </c>
      <c r="B79" s="507" t="s">
        <v>3619</v>
      </c>
      <c r="C79" s="506" t="s">
        <v>328</v>
      </c>
      <c r="D79" s="508">
        <v>193351</v>
      </c>
      <c r="E79" s="507" t="s">
        <v>331</v>
      </c>
    </row>
    <row r="80" spans="1:5" ht="15" x14ac:dyDescent="0.3">
      <c r="A80" s="506">
        <v>6153</v>
      </c>
      <c r="B80" s="507" t="s">
        <v>3620</v>
      </c>
      <c r="C80" s="506" t="s">
        <v>328</v>
      </c>
      <c r="D80" s="508">
        <v>251003</v>
      </c>
      <c r="E80" s="507" t="s">
        <v>331</v>
      </c>
    </row>
    <row r="81" spans="1:5" ht="15" x14ac:dyDescent="0.3">
      <c r="A81" s="506">
        <v>6154</v>
      </c>
      <c r="B81" s="507" t="s">
        <v>3621</v>
      </c>
      <c r="C81" s="506" t="s">
        <v>328</v>
      </c>
      <c r="D81" s="508">
        <v>324890</v>
      </c>
      <c r="E81" s="507" t="s">
        <v>331</v>
      </c>
    </row>
    <row r="82" spans="1:5" ht="15" x14ac:dyDescent="0.3">
      <c r="A82" s="506">
        <v>6155</v>
      </c>
      <c r="B82" s="507" t="s">
        <v>3622</v>
      </c>
      <c r="C82" s="506" t="s">
        <v>328</v>
      </c>
      <c r="D82" s="508">
        <v>478755</v>
      </c>
      <c r="E82" s="507" t="s">
        <v>331</v>
      </c>
    </row>
    <row r="83" spans="1:5" ht="15" x14ac:dyDescent="0.3">
      <c r="A83" s="506">
        <v>6156</v>
      </c>
      <c r="B83" s="507" t="s">
        <v>3623</v>
      </c>
      <c r="C83" s="506" t="s">
        <v>328</v>
      </c>
      <c r="D83" s="508">
        <v>58027</v>
      </c>
      <c r="E83" s="507" t="s">
        <v>331</v>
      </c>
    </row>
    <row r="84" spans="1:5" ht="15" x14ac:dyDescent="0.3">
      <c r="A84" s="506">
        <v>6157</v>
      </c>
      <c r="B84" s="507" t="s">
        <v>3624</v>
      </c>
      <c r="C84" s="506" t="s">
        <v>328</v>
      </c>
      <c r="D84" s="508">
        <v>98392</v>
      </c>
      <c r="E84" s="507" t="s">
        <v>331</v>
      </c>
    </row>
    <row r="85" spans="1:5" ht="15" x14ac:dyDescent="0.3">
      <c r="A85" s="506">
        <v>6158</v>
      </c>
      <c r="B85" s="507" t="s">
        <v>3625</v>
      </c>
      <c r="C85" s="506" t="s">
        <v>328</v>
      </c>
      <c r="D85" s="508">
        <v>126006</v>
      </c>
      <c r="E85" s="507" t="s">
        <v>331</v>
      </c>
    </row>
    <row r="86" spans="1:5" ht="15" x14ac:dyDescent="0.3">
      <c r="A86" s="506">
        <v>6159</v>
      </c>
      <c r="B86" s="507" t="s">
        <v>3626</v>
      </c>
      <c r="C86" s="506" t="s">
        <v>328</v>
      </c>
      <c r="D86" s="508">
        <v>160742</v>
      </c>
      <c r="E86" s="507" t="s">
        <v>331</v>
      </c>
    </row>
    <row r="87" spans="1:5" ht="15" x14ac:dyDescent="0.3">
      <c r="A87" s="506">
        <v>6160</v>
      </c>
      <c r="B87" s="507" t="s">
        <v>3627</v>
      </c>
      <c r="C87" s="506" t="s">
        <v>328</v>
      </c>
      <c r="D87" s="508">
        <v>213366</v>
      </c>
      <c r="E87" s="507" t="s">
        <v>331</v>
      </c>
    </row>
    <row r="88" spans="1:5" ht="15" x14ac:dyDescent="0.3">
      <c r="A88" s="506">
        <v>6161</v>
      </c>
      <c r="B88" s="507" t="s">
        <v>3628</v>
      </c>
      <c r="C88" s="506" t="s">
        <v>328</v>
      </c>
      <c r="D88" s="508">
        <v>277502</v>
      </c>
      <c r="E88" s="507" t="s">
        <v>331</v>
      </c>
    </row>
    <row r="89" spans="1:5" ht="15" x14ac:dyDescent="0.3">
      <c r="A89" s="506">
        <v>6162</v>
      </c>
      <c r="B89" s="507" t="s">
        <v>3629</v>
      </c>
      <c r="C89" s="506" t="s">
        <v>328</v>
      </c>
      <c r="D89" s="508">
        <v>373794</v>
      </c>
      <c r="E89" s="507" t="s">
        <v>331</v>
      </c>
    </row>
    <row r="90" spans="1:5" ht="15" x14ac:dyDescent="0.3">
      <c r="A90" s="506">
        <v>6163</v>
      </c>
      <c r="B90" s="507" t="s">
        <v>3630</v>
      </c>
      <c r="C90" s="506" t="s">
        <v>328</v>
      </c>
      <c r="D90" s="508">
        <v>447630</v>
      </c>
      <c r="E90" s="507" t="s">
        <v>331</v>
      </c>
    </row>
    <row r="91" spans="1:5" ht="15" x14ac:dyDescent="0.3">
      <c r="A91" s="506">
        <v>6164</v>
      </c>
      <c r="B91" s="507" t="s">
        <v>3631</v>
      </c>
      <c r="C91" s="506" t="s">
        <v>328</v>
      </c>
      <c r="D91" s="508">
        <v>643742</v>
      </c>
      <c r="E91" s="507" t="s">
        <v>331</v>
      </c>
    </row>
    <row r="92" spans="1:5" ht="15" x14ac:dyDescent="0.3">
      <c r="A92" s="506">
        <v>6165</v>
      </c>
      <c r="B92" s="507" t="s">
        <v>3632</v>
      </c>
      <c r="C92" s="506" t="s">
        <v>328</v>
      </c>
      <c r="D92" s="508">
        <v>701999</v>
      </c>
      <c r="E92" s="507" t="s">
        <v>331</v>
      </c>
    </row>
    <row r="93" spans="1:5" ht="15" x14ac:dyDescent="0.3">
      <c r="A93" s="506">
        <v>6166</v>
      </c>
      <c r="B93" s="507" t="s">
        <v>3633</v>
      </c>
      <c r="C93" s="506" t="s">
        <v>328</v>
      </c>
      <c r="D93" s="508">
        <v>856954</v>
      </c>
      <c r="E93" s="507" t="s">
        <v>331</v>
      </c>
    </row>
    <row r="94" spans="1:5" ht="15" x14ac:dyDescent="0.3">
      <c r="A94" s="506">
        <v>6167</v>
      </c>
      <c r="B94" s="507" t="s">
        <v>3634</v>
      </c>
      <c r="C94" s="506" t="s">
        <v>328</v>
      </c>
      <c r="D94" s="508">
        <v>1070247</v>
      </c>
      <c r="E94" s="507" t="s">
        <v>331</v>
      </c>
    </row>
    <row r="95" spans="1:5" ht="15" x14ac:dyDescent="0.3">
      <c r="A95" s="506">
        <v>6168</v>
      </c>
      <c r="B95" s="507" t="s">
        <v>3635</v>
      </c>
      <c r="C95" s="506" t="s">
        <v>328</v>
      </c>
      <c r="D95" s="508">
        <v>1346405</v>
      </c>
      <c r="E95" s="507" t="s">
        <v>331</v>
      </c>
    </row>
    <row r="96" spans="1:5" ht="15" x14ac:dyDescent="0.3">
      <c r="A96" s="506">
        <v>6169</v>
      </c>
      <c r="B96" s="507" t="s">
        <v>3636</v>
      </c>
      <c r="C96" s="506" t="s">
        <v>328</v>
      </c>
      <c r="D96" s="508">
        <v>1684080</v>
      </c>
      <c r="E96" s="507" t="s">
        <v>331</v>
      </c>
    </row>
    <row r="97" spans="1:5" ht="15" x14ac:dyDescent="0.3">
      <c r="A97" s="506">
        <v>6170</v>
      </c>
      <c r="B97" s="507" t="s">
        <v>3637</v>
      </c>
      <c r="C97" s="506" t="s">
        <v>328</v>
      </c>
      <c r="D97" s="508">
        <v>1895037</v>
      </c>
      <c r="E97" s="507" t="s">
        <v>331</v>
      </c>
    </row>
    <row r="98" spans="1:5" ht="15" x14ac:dyDescent="0.3">
      <c r="A98" s="506">
        <v>6171</v>
      </c>
      <c r="B98" s="507" t="s">
        <v>3638</v>
      </c>
      <c r="C98" s="506" t="s">
        <v>328</v>
      </c>
      <c r="D98" s="508">
        <v>2211051</v>
      </c>
      <c r="E98" s="507" t="s">
        <v>331</v>
      </c>
    </row>
    <row r="99" spans="1:5" ht="15" x14ac:dyDescent="0.3">
      <c r="A99" s="506">
        <v>6172</v>
      </c>
      <c r="B99" s="507" t="s">
        <v>3639</v>
      </c>
      <c r="C99" s="506" t="s">
        <v>328</v>
      </c>
      <c r="D99" s="508">
        <v>2448244</v>
      </c>
      <c r="E99" s="507" t="s">
        <v>331</v>
      </c>
    </row>
    <row r="100" spans="1:5" ht="15" x14ac:dyDescent="0.3">
      <c r="A100" s="506">
        <v>6173</v>
      </c>
      <c r="B100" s="507" t="s">
        <v>3640</v>
      </c>
      <c r="C100" s="506" t="s">
        <v>328</v>
      </c>
      <c r="D100" s="508">
        <v>2748707</v>
      </c>
      <c r="E100" s="507" t="s">
        <v>331</v>
      </c>
    </row>
    <row r="101" spans="1:5" ht="15" x14ac:dyDescent="0.3">
      <c r="A101" s="506">
        <v>6174</v>
      </c>
      <c r="B101" s="507" t="s">
        <v>3641</v>
      </c>
      <c r="C101" s="506" t="s">
        <v>328</v>
      </c>
      <c r="D101" s="508">
        <v>3052879</v>
      </c>
      <c r="E101" s="507" t="s">
        <v>331</v>
      </c>
    </row>
    <row r="102" spans="1:5" ht="15" x14ac:dyDescent="0.3">
      <c r="A102" s="506">
        <v>6175</v>
      </c>
      <c r="B102" s="507" t="s">
        <v>3642</v>
      </c>
      <c r="C102" s="506" t="s">
        <v>328</v>
      </c>
      <c r="D102" s="508">
        <v>3454091</v>
      </c>
      <c r="E102" s="507" t="s">
        <v>331</v>
      </c>
    </row>
    <row r="103" spans="1:5" ht="15" x14ac:dyDescent="0.3">
      <c r="A103" s="506">
        <v>6176</v>
      </c>
      <c r="B103" s="507" t="s">
        <v>3643</v>
      </c>
      <c r="C103" s="506" t="s">
        <v>328</v>
      </c>
      <c r="D103" s="508">
        <v>3904172</v>
      </c>
      <c r="E103" s="507" t="s">
        <v>331</v>
      </c>
    </row>
    <row r="104" spans="1:5" ht="15" x14ac:dyDescent="0.3">
      <c r="A104" s="506">
        <v>6177</v>
      </c>
      <c r="B104" s="507" t="s">
        <v>3644</v>
      </c>
      <c r="C104" s="506" t="s">
        <v>328</v>
      </c>
      <c r="D104" s="508">
        <v>4404663</v>
      </c>
      <c r="E104" s="507" t="s">
        <v>331</v>
      </c>
    </row>
    <row r="105" spans="1:5" ht="15" x14ac:dyDescent="0.3">
      <c r="A105" s="506">
        <v>6178</v>
      </c>
      <c r="B105" s="507" t="s">
        <v>3645</v>
      </c>
      <c r="C105" s="506" t="s">
        <v>328</v>
      </c>
      <c r="D105" s="508">
        <v>5536994</v>
      </c>
      <c r="E105" s="507" t="s">
        <v>331</v>
      </c>
    </row>
    <row r="106" spans="1:5" ht="15" x14ac:dyDescent="0.3">
      <c r="A106" s="506">
        <v>6179</v>
      </c>
      <c r="B106" s="507" t="s">
        <v>3646</v>
      </c>
      <c r="C106" s="506" t="s">
        <v>328</v>
      </c>
      <c r="D106" s="508">
        <v>6248396</v>
      </c>
      <c r="E106" s="507" t="s">
        <v>331</v>
      </c>
    </row>
    <row r="107" spans="1:5" ht="15" x14ac:dyDescent="0.3">
      <c r="A107" s="506">
        <v>6180</v>
      </c>
      <c r="B107" s="507" t="s">
        <v>3647</v>
      </c>
      <c r="C107" s="506" t="s">
        <v>328</v>
      </c>
      <c r="D107" s="508">
        <v>7032110</v>
      </c>
      <c r="E107" s="507" t="s">
        <v>331</v>
      </c>
    </row>
    <row r="108" spans="1:5" ht="15" x14ac:dyDescent="0.3">
      <c r="A108" s="506">
        <v>6181</v>
      </c>
      <c r="B108" s="507" t="s">
        <v>3648</v>
      </c>
      <c r="C108" s="506" t="s">
        <v>328</v>
      </c>
      <c r="D108" s="508">
        <v>701999</v>
      </c>
      <c r="E108" s="507" t="s">
        <v>331</v>
      </c>
    </row>
    <row r="109" spans="1:5" ht="15" x14ac:dyDescent="0.3">
      <c r="A109" s="506">
        <v>6182</v>
      </c>
      <c r="B109" s="507" t="s">
        <v>3649</v>
      </c>
      <c r="C109" s="506" t="s">
        <v>328</v>
      </c>
      <c r="D109" s="508">
        <v>881896</v>
      </c>
      <c r="E109" s="507" t="s">
        <v>331</v>
      </c>
    </row>
    <row r="110" spans="1:5" ht="15" x14ac:dyDescent="0.3">
      <c r="A110" s="506">
        <v>6183</v>
      </c>
      <c r="B110" s="507" t="s">
        <v>3650</v>
      </c>
      <c r="C110" s="506" t="s">
        <v>328</v>
      </c>
      <c r="D110" s="508">
        <v>1101139</v>
      </c>
      <c r="E110" s="507" t="s">
        <v>331</v>
      </c>
    </row>
    <row r="111" spans="1:5" ht="15" x14ac:dyDescent="0.3">
      <c r="A111" s="506">
        <v>6184</v>
      </c>
      <c r="B111" s="507" t="s">
        <v>3651</v>
      </c>
      <c r="C111" s="506" t="s">
        <v>328</v>
      </c>
      <c r="D111" s="508">
        <v>1381058</v>
      </c>
      <c r="E111" s="507" t="s">
        <v>331</v>
      </c>
    </row>
    <row r="112" spans="1:5" ht="15" x14ac:dyDescent="0.3">
      <c r="A112" s="506">
        <v>6185</v>
      </c>
      <c r="B112" s="507" t="s">
        <v>3652</v>
      </c>
      <c r="C112" s="506" t="s">
        <v>328</v>
      </c>
      <c r="D112" s="508">
        <v>1728300</v>
      </c>
      <c r="E112" s="507" t="s">
        <v>331</v>
      </c>
    </row>
    <row r="113" spans="1:5" ht="15" x14ac:dyDescent="0.3">
      <c r="A113" s="506">
        <v>6188</v>
      </c>
      <c r="B113" s="507" t="s">
        <v>3653</v>
      </c>
      <c r="C113" s="506" t="s">
        <v>328</v>
      </c>
      <c r="D113" s="508">
        <v>1935545</v>
      </c>
      <c r="E113" s="507" t="s">
        <v>331</v>
      </c>
    </row>
    <row r="114" spans="1:5" ht="15" x14ac:dyDescent="0.3">
      <c r="A114" s="506">
        <v>6189</v>
      </c>
      <c r="B114" s="507" t="s">
        <v>3654</v>
      </c>
      <c r="C114" s="506" t="s">
        <v>328</v>
      </c>
      <c r="D114" s="508">
        <v>2268790</v>
      </c>
      <c r="E114" s="507" t="s">
        <v>331</v>
      </c>
    </row>
    <row r="115" spans="1:5" ht="15" x14ac:dyDescent="0.3">
      <c r="A115" s="506">
        <v>6190</v>
      </c>
      <c r="B115" s="507" t="s">
        <v>3655</v>
      </c>
      <c r="C115" s="506" t="s">
        <v>328</v>
      </c>
      <c r="D115" s="508">
        <v>2517502</v>
      </c>
      <c r="E115" s="507" t="s">
        <v>331</v>
      </c>
    </row>
    <row r="116" spans="1:5" ht="15" x14ac:dyDescent="0.3">
      <c r="A116" s="506">
        <v>6191</v>
      </c>
      <c r="B116" s="507" t="s">
        <v>3656</v>
      </c>
      <c r="C116" s="506" t="s">
        <v>328</v>
      </c>
      <c r="D116" s="508">
        <v>2789262</v>
      </c>
      <c r="E116" s="507" t="s">
        <v>331</v>
      </c>
    </row>
    <row r="117" spans="1:5" ht="15" x14ac:dyDescent="0.3">
      <c r="A117" s="506">
        <v>6192</v>
      </c>
      <c r="B117" s="507" t="s">
        <v>3657</v>
      </c>
      <c r="C117" s="506" t="s">
        <v>328</v>
      </c>
      <c r="D117" s="508">
        <v>3116473</v>
      </c>
      <c r="E117" s="507" t="s">
        <v>331</v>
      </c>
    </row>
    <row r="118" spans="1:5" ht="15" x14ac:dyDescent="0.3">
      <c r="A118" s="506">
        <v>6193</v>
      </c>
      <c r="B118" s="507" t="s">
        <v>3658</v>
      </c>
      <c r="C118" s="506" t="s">
        <v>328</v>
      </c>
      <c r="D118" s="508">
        <v>3542532</v>
      </c>
      <c r="E118" s="507" t="s">
        <v>331</v>
      </c>
    </row>
    <row r="119" spans="1:5" ht="15" x14ac:dyDescent="0.3">
      <c r="A119" s="506">
        <v>6194</v>
      </c>
      <c r="B119" s="507" t="s">
        <v>3659</v>
      </c>
      <c r="C119" s="506" t="s">
        <v>328</v>
      </c>
      <c r="D119" s="508">
        <v>4004179</v>
      </c>
      <c r="E119" s="507" t="s">
        <v>331</v>
      </c>
    </row>
    <row r="120" spans="1:5" ht="15" x14ac:dyDescent="0.3">
      <c r="A120" s="506">
        <v>6195</v>
      </c>
      <c r="B120" s="507" t="s">
        <v>3660</v>
      </c>
      <c r="C120" s="506" t="s">
        <v>328</v>
      </c>
      <c r="D120" s="508">
        <v>4425750</v>
      </c>
      <c r="E120" s="507" t="s">
        <v>331</v>
      </c>
    </row>
    <row r="121" spans="1:5" ht="15" x14ac:dyDescent="0.3">
      <c r="A121" s="506">
        <v>6196</v>
      </c>
      <c r="B121" s="507" t="s">
        <v>3661</v>
      </c>
      <c r="C121" s="506" t="s">
        <v>328</v>
      </c>
      <c r="D121" s="508">
        <v>5563888</v>
      </c>
      <c r="E121" s="507" t="s">
        <v>331</v>
      </c>
    </row>
    <row r="122" spans="1:5" ht="15" x14ac:dyDescent="0.3">
      <c r="A122" s="506">
        <v>6197</v>
      </c>
      <c r="B122" s="507" t="s">
        <v>3662</v>
      </c>
      <c r="C122" s="506" t="s">
        <v>328</v>
      </c>
      <c r="D122" s="508">
        <v>6352354</v>
      </c>
      <c r="E122" s="507" t="s">
        <v>331</v>
      </c>
    </row>
    <row r="123" spans="1:5" ht="15" x14ac:dyDescent="0.3">
      <c r="A123" s="506">
        <v>6198</v>
      </c>
      <c r="B123" s="507" t="s">
        <v>3663</v>
      </c>
      <c r="C123" s="506" t="s">
        <v>328</v>
      </c>
      <c r="D123" s="508">
        <v>7147683</v>
      </c>
      <c r="E123" s="507" t="s">
        <v>331</v>
      </c>
    </row>
    <row r="124" spans="1:5" ht="15" x14ac:dyDescent="0.3">
      <c r="A124" s="506">
        <v>6199</v>
      </c>
      <c r="B124" s="507" t="s">
        <v>3664</v>
      </c>
      <c r="C124" s="506" t="s">
        <v>328</v>
      </c>
      <c r="D124" s="508">
        <v>701999</v>
      </c>
      <c r="E124" s="507" t="s">
        <v>331</v>
      </c>
    </row>
    <row r="125" spans="1:5" ht="15" x14ac:dyDescent="0.3">
      <c r="A125" s="506">
        <v>6200</v>
      </c>
      <c r="B125" s="507" t="s">
        <v>3665</v>
      </c>
      <c r="C125" s="506" t="s">
        <v>328</v>
      </c>
      <c r="D125" s="508">
        <v>934114</v>
      </c>
      <c r="E125" s="507" t="s">
        <v>331</v>
      </c>
    </row>
    <row r="126" spans="1:5" ht="15" x14ac:dyDescent="0.3">
      <c r="A126" s="506">
        <v>6201</v>
      </c>
      <c r="B126" s="507" t="s">
        <v>3666</v>
      </c>
      <c r="C126" s="506" t="s">
        <v>328</v>
      </c>
      <c r="D126" s="508">
        <v>1164638</v>
      </c>
      <c r="E126" s="507" t="s">
        <v>331</v>
      </c>
    </row>
    <row r="127" spans="1:5" ht="15" x14ac:dyDescent="0.3">
      <c r="A127" s="506">
        <v>6202</v>
      </c>
      <c r="B127" s="507" t="s">
        <v>3667</v>
      </c>
      <c r="C127" s="506" t="s">
        <v>328</v>
      </c>
      <c r="D127" s="508">
        <v>1460026</v>
      </c>
      <c r="E127" s="507" t="s">
        <v>331</v>
      </c>
    </row>
    <row r="128" spans="1:5" ht="15" x14ac:dyDescent="0.3">
      <c r="A128" s="506">
        <v>6203</v>
      </c>
      <c r="B128" s="507" t="s">
        <v>3668</v>
      </c>
      <c r="C128" s="506" t="s">
        <v>328</v>
      </c>
      <c r="D128" s="508">
        <v>1830212</v>
      </c>
      <c r="E128" s="507" t="s">
        <v>331</v>
      </c>
    </row>
    <row r="129" spans="1:5" ht="15" x14ac:dyDescent="0.3">
      <c r="A129" s="506">
        <v>6204</v>
      </c>
      <c r="B129" s="507" t="s">
        <v>3669</v>
      </c>
      <c r="C129" s="506" t="s">
        <v>328</v>
      </c>
      <c r="D129" s="508">
        <v>2046929</v>
      </c>
      <c r="E129" s="507" t="s">
        <v>331</v>
      </c>
    </row>
    <row r="130" spans="1:5" ht="15" x14ac:dyDescent="0.3">
      <c r="A130" s="506">
        <v>6205</v>
      </c>
      <c r="B130" s="507" t="s">
        <v>3670</v>
      </c>
      <c r="C130" s="506" t="s">
        <v>328</v>
      </c>
      <c r="D130" s="508">
        <v>2401689</v>
      </c>
      <c r="E130" s="507" t="s">
        <v>331</v>
      </c>
    </row>
    <row r="131" spans="1:5" ht="15" x14ac:dyDescent="0.3">
      <c r="A131" s="506">
        <v>6206</v>
      </c>
      <c r="B131" s="507" t="s">
        <v>3671</v>
      </c>
      <c r="C131" s="506" t="s">
        <v>328</v>
      </c>
      <c r="D131" s="508">
        <v>2663872</v>
      </c>
      <c r="E131" s="507" t="s">
        <v>331</v>
      </c>
    </row>
    <row r="132" spans="1:5" ht="15" x14ac:dyDescent="0.3">
      <c r="A132" s="506">
        <v>6207</v>
      </c>
      <c r="B132" s="507" t="s">
        <v>3672</v>
      </c>
      <c r="C132" s="506" t="s">
        <v>328</v>
      </c>
      <c r="D132" s="508">
        <v>2947104</v>
      </c>
      <c r="E132" s="507" t="s">
        <v>331</v>
      </c>
    </row>
    <row r="133" spans="1:5" ht="15" x14ac:dyDescent="0.3">
      <c r="A133" s="506">
        <v>6208</v>
      </c>
      <c r="B133" s="507" t="s">
        <v>3673</v>
      </c>
      <c r="C133" s="506" t="s">
        <v>328</v>
      </c>
      <c r="D133" s="508">
        <v>3514885</v>
      </c>
      <c r="E133" s="507" t="s">
        <v>331</v>
      </c>
    </row>
    <row r="134" spans="1:5" ht="15" x14ac:dyDescent="0.3">
      <c r="A134" s="506">
        <v>6209</v>
      </c>
      <c r="B134" s="507" t="s">
        <v>3674</v>
      </c>
      <c r="C134" s="506" t="s">
        <v>328</v>
      </c>
      <c r="D134" s="508">
        <v>3702278</v>
      </c>
      <c r="E134" s="507" t="s">
        <v>331</v>
      </c>
    </row>
    <row r="135" spans="1:5" ht="15" x14ac:dyDescent="0.3">
      <c r="A135" s="506">
        <v>6210</v>
      </c>
      <c r="B135" s="507" t="s">
        <v>3675</v>
      </c>
      <c r="C135" s="506" t="s">
        <v>328</v>
      </c>
      <c r="D135" s="508">
        <v>4187058</v>
      </c>
      <c r="E135" s="507" t="s">
        <v>331</v>
      </c>
    </row>
    <row r="136" spans="1:5" ht="15" x14ac:dyDescent="0.3">
      <c r="A136" s="506">
        <v>6211</v>
      </c>
      <c r="B136" s="507" t="s">
        <v>3676</v>
      </c>
      <c r="C136" s="506" t="s">
        <v>328</v>
      </c>
      <c r="D136" s="508">
        <v>4889660</v>
      </c>
      <c r="E136" s="507" t="s">
        <v>331</v>
      </c>
    </row>
    <row r="137" spans="1:5" ht="15" x14ac:dyDescent="0.3">
      <c r="A137" s="506">
        <v>6212</v>
      </c>
      <c r="B137" s="507" t="s">
        <v>3677</v>
      </c>
      <c r="C137" s="506" t="s">
        <v>328</v>
      </c>
      <c r="D137" s="508">
        <v>5808362</v>
      </c>
      <c r="E137" s="507" t="s">
        <v>331</v>
      </c>
    </row>
    <row r="138" spans="1:5" ht="15" x14ac:dyDescent="0.3">
      <c r="A138" s="506">
        <v>6213</v>
      </c>
      <c r="B138" s="507" t="s">
        <v>3678</v>
      </c>
      <c r="C138" s="506" t="s">
        <v>328</v>
      </c>
      <c r="D138" s="508">
        <v>6519764</v>
      </c>
      <c r="E138" s="507" t="s">
        <v>331</v>
      </c>
    </row>
    <row r="139" spans="1:5" ht="15" x14ac:dyDescent="0.3">
      <c r="A139" s="506">
        <v>6214</v>
      </c>
      <c r="B139" s="507" t="s">
        <v>3679</v>
      </c>
      <c r="C139" s="506" t="s">
        <v>328</v>
      </c>
      <c r="D139" s="508">
        <v>7272728</v>
      </c>
      <c r="E139" s="507" t="s">
        <v>331</v>
      </c>
    </row>
    <row r="140" spans="1:5" ht="15" x14ac:dyDescent="0.3">
      <c r="A140" s="506">
        <v>6215</v>
      </c>
      <c r="B140" s="507" t="s">
        <v>3680</v>
      </c>
      <c r="C140" s="506" t="s">
        <v>328</v>
      </c>
      <c r="D140" s="508">
        <v>796295</v>
      </c>
      <c r="E140" s="507" t="s">
        <v>331</v>
      </c>
    </row>
    <row r="141" spans="1:5" ht="15" x14ac:dyDescent="0.3">
      <c r="A141" s="506">
        <v>6216</v>
      </c>
      <c r="B141" s="507" t="s">
        <v>3681</v>
      </c>
      <c r="C141" s="506" t="s">
        <v>328</v>
      </c>
      <c r="D141" s="508">
        <v>1062872</v>
      </c>
      <c r="E141" s="507" t="s">
        <v>331</v>
      </c>
    </row>
    <row r="142" spans="1:5" ht="15" x14ac:dyDescent="0.3">
      <c r="A142" s="506">
        <v>6217</v>
      </c>
      <c r="B142" s="507" t="s">
        <v>3682</v>
      </c>
      <c r="C142" s="506" t="s">
        <v>328</v>
      </c>
      <c r="D142" s="508">
        <v>1331952</v>
      </c>
      <c r="E142" s="507" t="s">
        <v>331</v>
      </c>
    </row>
    <row r="143" spans="1:5" ht="15" x14ac:dyDescent="0.3">
      <c r="A143" s="506">
        <v>6218</v>
      </c>
      <c r="B143" s="507" t="s">
        <v>3683</v>
      </c>
      <c r="C143" s="506" t="s">
        <v>328</v>
      </c>
      <c r="D143" s="508">
        <v>1669562</v>
      </c>
      <c r="E143" s="507" t="s">
        <v>331</v>
      </c>
    </row>
    <row r="144" spans="1:5" ht="15" x14ac:dyDescent="0.3">
      <c r="A144" s="506">
        <v>6219</v>
      </c>
      <c r="B144" s="507" t="s">
        <v>3684</v>
      </c>
      <c r="C144" s="506" t="s">
        <v>328</v>
      </c>
      <c r="D144" s="508">
        <v>2090155</v>
      </c>
      <c r="E144" s="507" t="s">
        <v>331</v>
      </c>
    </row>
    <row r="145" spans="1:5" ht="15" x14ac:dyDescent="0.3">
      <c r="A145" s="506">
        <v>6220</v>
      </c>
      <c r="B145" s="507" t="s">
        <v>3685</v>
      </c>
      <c r="C145" s="506" t="s">
        <v>328</v>
      </c>
      <c r="D145" s="508">
        <v>2339574</v>
      </c>
      <c r="E145" s="507" t="s">
        <v>331</v>
      </c>
    </row>
    <row r="146" spans="1:5" ht="15" x14ac:dyDescent="0.3">
      <c r="A146" s="506">
        <v>6221</v>
      </c>
      <c r="B146" s="507" t="s">
        <v>3686</v>
      </c>
      <c r="C146" s="506" t="s">
        <v>328</v>
      </c>
      <c r="D146" s="508">
        <v>2744504</v>
      </c>
      <c r="E146" s="507" t="s">
        <v>331</v>
      </c>
    </row>
    <row r="147" spans="1:5" ht="15" x14ac:dyDescent="0.3">
      <c r="A147" s="506">
        <v>6222</v>
      </c>
      <c r="B147" s="507" t="s">
        <v>3687</v>
      </c>
      <c r="C147" s="506" t="s">
        <v>328</v>
      </c>
      <c r="D147" s="508">
        <v>3067996</v>
      </c>
      <c r="E147" s="507" t="s">
        <v>331</v>
      </c>
    </row>
    <row r="148" spans="1:5" ht="15" x14ac:dyDescent="0.3">
      <c r="A148" s="506">
        <v>6223</v>
      </c>
      <c r="B148" s="507" t="s">
        <v>3688</v>
      </c>
      <c r="C148" s="506" t="s">
        <v>328</v>
      </c>
      <c r="D148" s="508">
        <v>3251125</v>
      </c>
      <c r="E148" s="507" t="s">
        <v>331</v>
      </c>
    </row>
    <row r="149" spans="1:5" ht="15" x14ac:dyDescent="0.3">
      <c r="A149" s="506">
        <v>6224</v>
      </c>
      <c r="B149" s="507" t="s">
        <v>3689</v>
      </c>
      <c r="C149" s="506" t="s">
        <v>328</v>
      </c>
      <c r="D149" s="508">
        <v>3724563</v>
      </c>
      <c r="E149" s="507" t="s">
        <v>331</v>
      </c>
    </row>
    <row r="150" spans="1:5" ht="15" x14ac:dyDescent="0.3">
      <c r="A150" s="506">
        <v>6225</v>
      </c>
      <c r="B150" s="507" t="s">
        <v>3690</v>
      </c>
      <c r="C150" s="506" t="s">
        <v>328</v>
      </c>
      <c r="D150" s="508">
        <v>4235445</v>
      </c>
      <c r="E150" s="507" t="s">
        <v>331</v>
      </c>
    </row>
    <row r="151" spans="1:5" ht="15" x14ac:dyDescent="0.3">
      <c r="A151" s="506">
        <v>6226</v>
      </c>
      <c r="B151" s="507" t="s">
        <v>3691</v>
      </c>
      <c r="C151" s="506" t="s">
        <v>328</v>
      </c>
      <c r="D151" s="508">
        <v>4793340</v>
      </c>
      <c r="E151" s="507" t="s">
        <v>331</v>
      </c>
    </row>
    <row r="152" spans="1:5" ht="15" x14ac:dyDescent="0.3">
      <c r="A152" s="506">
        <v>6227</v>
      </c>
      <c r="B152" s="507" t="s">
        <v>3692</v>
      </c>
      <c r="C152" s="506" t="s">
        <v>328</v>
      </c>
      <c r="D152" s="508">
        <v>5359472</v>
      </c>
      <c r="E152" s="507" t="s">
        <v>331</v>
      </c>
    </row>
    <row r="153" spans="1:5" ht="15" x14ac:dyDescent="0.3">
      <c r="A153" s="506">
        <v>6228</v>
      </c>
      <c r="B153" s="507" t="s">
        <v>3693</v>
      </c>
      <c r="C153" s="506" t="s">
        <v>328</v>
      </c>
      <c r="D153" s="508">
        <v>6643790</v>
      </c>
      <c r="E153" s="507" t="s">
        <v>331</v>
      </c>
    </row>
    <row r="154" spans="1:5" ht="15" x14ac:dyDescent="0.3">
      <c r="A154" s="506">
        <v>6229</v>
      </c>
      <c r="B154" s="507" t="s">
        <v>3694</v>
      </c>
      <c r="C154" s="506" t="s">
        <v>328</v>
      </c>
      <c r="D154" s="508">
        <v>7967089</v>
      </c>
      <c r="E154" s="507" t="s">
        <v>331</v>
      </c>
    </row>
    <row r="155" spans="1:5" ht="15" x14ac:dyDescent="0.3">
      <c r="A155" s="506">
        <v>6230</v>
      </c>
      <c r="B155" s="507" t="s">
        <v>3695</v>
      </c>
      <c r="C155" s="506" t="s">
        <v>328</v>
      </c>
      <c r="D155" s="508">
        <v>8704679</v>
      </c>
      <c r="E155" s="507" t="s">
        <v>331</v>
      </c>
    </row>
    <row r="156" spans="1:5" ht="15" x14ac:dyDescent="0.3">
      <c r="A156" s="506">
        <v>6236</v>
      </c>
      <c r="B156" s="507" t="s">
        <v>3696</v>
      </c>
      <c r="C156" s="506" t="s">
        <v>32</v>
      </c>
      <c r="D156" s="508">
        <v>134085</v>
      </c>
      <c r="E156" s="507" t="s">
        <v>331</v>
      </c>
    </row>
    <row r="157" spans="1:5" ht="15" x14ac:dyDescent="0.3">
      <c r="A157" s="506">
        <v>6237</v>
      </c>
      <c r="B157" s="507" t="s">
        <v>3697</v>
      </c>
      <c r="C157" s="506" t="s">
        <v>32</v>
      </c>
      <c r="D157" s="508">
        <v>236138</v>
      </c>
      <c r="E157" s="507" t="s">
        <v>331</v>
      </c>
    </row>
    <row r="158" spans="1:5" ht="15" x14ac:dyDescent="0.3">
      <c r="A158" s="506">
        <v>6238</v>
      </c>
      <c r="B158" s="507" t="s">
        <v>3698</v>
      </c>
      <c r="C158" s="506" t="s">
        <v>32</v>
      </c>
      <c r="D158" s="508">
        <v>303093</v>
      </c>
      <c r="E158" s="507" t="s">
        <v>331</v>
      </c>
    </row>
    <row r="159" spans="1:5" ht="15" x14ac:dyDescent="0.3">
      <c r="A159" s="506">
        <v>6239</v>
      </c>
      <c r="B159" s="507" t="s">
        <v>3699</v>
      </c>
      <c r="C159" s="506" t="s">
        <v>32</v>
      </c>
      <c r="D159" s="508">
        <v>361501</v>
      </c>
      <c r="E159" s="507" t="s">
        <v>331</v>
      </c>
    </row>
    <row r="160" spans="1:5" ht="15" x14ac:dyDescent="0.3">
      <c r="A160" s="506">
        <v>6240</v>
      </c>
      <c r="B160" s="507" t="s">
        <v>3700</v>
      </c>
      <c r="C160" s="506" t="s">
        <v>32</v>
      </c>
      <c r="D160" s="508">
        <v>461867</v>
      </c>
      <c r="E160" s="507" t="s">
        <v>331</v>
      </c>
    </row>
    <row r="161" spans="1:5" ht="15" x14ac:dyDescent="0.3">
      <c r="A161" s="506">
        <v>6241</v>
      </c>
      <c r="B161" s="507" t="s">
        <v>3701</v>
      </c>
      <c r="C161" s="506" t="s">
        <v>32</v>
      </c>
      <c r="D161" s="508">
        <v>543816</v>
      </c>
      <c r="E161" s="507" t="s">
        <v>331</v>
      </c>
    </row>
    <row r="162" spans="1:5" ht="15" x14ac:dyDescent="0.3">
      <c r="A162" s="506">
        <v>6242</v>
      </c>
      <c r="B162" s="507" t="s">
        <v>3702</v>
      </c>
      <c r="C162" s="506" t="s">
        <v>32</v>
      </c>
      <c r="D162" s="508">
        <v>655823</v>
      </c>
      <c r="E162" s="507" t="s">
        <v>331</v>
      </c>
    </row>
    <row r="163" spans="1:5" ht="15" x14ac:dyDescent="0.3">
      <c r="A163" s="506">
        <v>6243</v>
      </c>
      <c r="B163" s="507" t="s">
        <v>3703</v>
      </c>
      <c r="C163" s="506" t="s">
        <v>32</v>
      </c>
      <c r="D163" s="508">
        <v>974974</v>
      </c>
      <c r="E163" s="507" t="s">
        <v>331</v>
      </c>
    </row>
    <row r="164" spans="1:5" ht="15" x14ac:dyDescent="0.3">
      <c r="A164" s="506">
        <v>6257</v>
      </c>
      <c r="B164" s="507" t="s">
        <v>3704</v>
      </c>
      <c r="C164" s="506" t="s">
        <v>328</v>
      </c>
      <c r="D164" s="508">
        <v>19650</v>
      </c>
      <c r="E164" s="507" t="s">
        <v>331</v>
      </c>
    </row>
    <row r="165" spans="1:5" ht="15" x14ac:dyDescent="0.3">
      <c r="A165" s="506">
        <v>6258</v>
      </c>
      <c r="B165" s="507" t="s">
        <v>3705</v>
      </c>
      <c r="C165" s="506" t="s">
        <v>328</v>
      </c>
      <c r="D165" s="508">
        <v>29250</v>
      </c>
      <c r="E165" s="507" t="s">
        <v>331</v>
      </c>
    </row>
    <row r="166" spans="1:5" ht="15" x14ac:dyDescent="0.3">
      <c r="A166" s="506">
        <v>6259</v>
      </c>
      <c r="B166" s="507" t="s">
        <v>3706</v>
      </c>
      <c r="C166" s="506" t="s">
        <v>328</v>
      </c>
      <c r="D166" s="508">
        <v>51431</v>
      </c>
      <c r="E166" s="507" t="s">
        <v>331</v>
      </c>
    </row>
    <row r="167" spans="1:5" ht="15" x14ac:dyDescent="0.3">
      <c r="A167" s="506">
        <v>6260</v>
      </c>
      <c r="B167" s="507" t="s">
        <v>3707</v>
      </c>
      <c r="C167" s="506" t="s">
        <v>328</v>
      </c>
      <c r="D167" s="508">
        <v>64984</v>
      </c>
      <c r="E167" s="507" t="s">
        <v>331</v>
      </c>
    </row>
    <row r="168" spans="1:5" ht="15" x14ac:dyDescent="0.3">
      <c r="A168" s="506">
        <v>6261</v>
      </c>
      <c r="B168" s="507" t="s">
        <v>3708</v>
      </c>
      <c r="C168" s="506" t="s">
        <v>328</v>
      </c>
      <c r="D168" s="508">
        <v>133504</v>
      </c>
      <c r="E168" s="507" t="s">
        <v>331</v>
      </c>
    </row>
    <row r="169" spans="1:5" ht="15" x14ac:dyDescent="0.3">
      <c r="A169" s="506">
        <v>6262</v>
      </c>
      <c r="B169" s="507" t="s">
        <v>3709</v>
      </c>
      <c r="C169" s="506" t="s">
        <v>328</v>
      </c>
      <c r="D169" s="508">
        <v>226138</v>
      </c>
      <c r="E169" s="507" t="s">
        <v>331</v>
      </c>
    </row>
    <row r="170" spans="1:5" ht="15" x14ac:dyDescent="0.3">
      <c r="A170" s="506">
        <v>6263</v>
      </c>
      <c r="B170" s="507" t="s">
        <v>3710</v>
      </c>
      <c r="C170" s="506" t="s">
        <v>328</v>
      </c>
      <c r="D170" s="508">
        <v>355986</v>
      </c>
      <c r="E170" s="507" t="s">
        <v>331</v>
      </c>
    </row>
    <row r="171" spans="1:5" ht="15" x14ac:dyDescent="0.3">
      <c r="A171" s="506">
        <v>6264</v>
      </c>
      <c r="B171" s="507" t="s">
        <v>3711</v>
      </c>
      <c r="C171" s="506" t="s">
        <v>328</v>
      </c>
      <c r="D171" s="508">
        <v>498094</v>
      </c>
      <c r="E171" s="507" t="s">
        <v>331</v>
      </c>
    </row>
    <row r="172" spans="1:5" ht="15" x14ac:dyDescent="0.3">
      <c r="A172" s="506">
        <v>6265</v>
      </c>
      <c r="B172" s="507" t="s">
        <v>3712</v>
      </c>
      <c r="C172" s="506" t="s">
        <v>328</v>
      </c>
      <c r="D172" s="508">
        <v>16305</v>
      </c>
      <c r="E172" s="507" t="s">
        <v>331</v>
      </c>
    </row>
    <row r="173" spans="1:5" ht="15" x14ac:dyDescent="0.3">
      <c r="A173" s="506">
        <v>6266</v>
      </c>
      <c r="B173" s="507" t="s">
        <v>3713</v>
      </c>
      <c r="C173" s="506" t="s">
        <v>328</v>
      </c>
      <c r="D173" s="508">
        <v>42650</v>
      </c>
      <c r="E173" s="507" t="s">
        <v>331</v>
      </c>
    </row>
    <row r="174" spans="1:5" ht="15" x14ac:dyDescent="0.3">
      <c r="A174" s="506">
        <v>6267</v>
      </c>
      <c r="B174" s="507" t="s">
        <v>3714</v>
      </c>
      <c r="C174" s="506" t="s">
        <v>328</v>
      </c>
      <c r="D174" s="508">
        <v>24300</v>
      </c>
      <c r="E174" s="507" t="s">
        <v>331</v>
      </c>
    </row>
    <row r="175" spans="1:5" ht="15" x14ac:dyDescent="0.3">
      <c r="A175" s="506">
        <v>6268</v>
      </c>
      <c r="B175" s="507" t="s">
        <v>3715</v>
      </c>
      <c r="C175" s="506" t="s">
        <v>328</v>
      </c>
      <c r="D175" s="508">
        <v>54714</v>
      </c>
      <c r="E175" s="507" t="s">
        <v>331</v>
      </c>
    </row>
    <row r="176" spans="1:5" ht="15" x14ac:dyDescent="0.3">
      <c r="A176" s="506">
        <v>6269</v>
      </c>
      <c r="B176" s="507" t="s">
        <v>3716</v>
      </c>
      <c r="C176" s="506" t="s">
        <v>328</v>
      </c>
      <c r="D176" s="508">
        <v>109342</v>
      </c>
      <c r="E176" s="507" t="s">
        <v>331</v>
      </c>
    </row>
    <row r="177" spans="1:5" ht="15" x14ac:dyDescent="0.3">
      <c r="A177" s="506">
        <v>6270</v>
      </c>
      <c r="B177" s="507" t="s">
        <v>3717</v>
      </c>
      <c r="C177" s="506" t="s">
        <v>328</v>
      </c>
      <c r="D177" s="508">
        <v>186019</v>
      </c>
      <c r="E177" s="507" t="s">
        <v>331</v>
      </c>
    </row>
    <row r="178" spans="1:5" ht="15" x14ac:dyDescent="0.3">
      <c r="A178" s="506">
        <v>6271</v>
      </c>
      <c r="B178" s="507" t="s">
        <v>3718</v>
      </c>
      <c r="C178" s="506" t="s">
        <v>328</v>
      </c>
      <c r="D178" s="508">
        <v>289540</v>
      </c>
      <c r="E178" s="507" t="s">
        <v>331</v>
      </c>
    </row>
    <row r="179" spans="1:5" ht="15" x14ac:dyDescent="0.3">
      <c r="A179" s="506">
        <v>6272</v>
      </c>
      <c r="B179" s="507" t="s">
        <v>3719</v>
      </c>
      <c r="C179" s="506" t="s">
        <v>328</v>
      </c>
      <c r="D179" s="508">
        <v>426706</v>
      </c>
      <c r="E179" s="507" t="s">
        <v>331</v>
      </c>
    </row>
    <row r="180" spans="1:5" ht="15" x14ac:dyDescent="0.3">
      <c r="A180" s="506">
        <v>6273</v>
      </c>
      <c r="B180" s="507" t="s">
        <v>3720</v>
      </c>
      <c r="C180" s="506" t="s">
        <v>328</v>
      </c>
      <c r="D180" s="508">
        <v>34368</v>
      </c>
      <c r="E180" s="507" t="s">
        <v>331</v>
      </c>
    </row>
    <row r="181" spans="1:5" ht="15" x14ac:dyDescent="0.3">
      <c r="A181" s="506">
        <v>6274</v>
      </c>
      <c r="B181" s="507" t="s">
        <v>3721</v>
      </c>
      <c r="C181" s="506" t="s">
        <v>328</v>
      </c>
      <c r="D181" s="508">
        <v>43680</v>
      </c>
      <c r="E181" s="507" t="s">
        <v>331</v>
      </c>
    </row>
    <row r="182" spans="1:5" ht="15" x14ac:dyDescent="0.3">
      <c r="A182" s="506">
        <v>6275</v>
      </c>
      <c r="B182" s="507" t="s">
        <v>3722</v>
      </c>
      <c r="C182" s="506" t="s">
        <v>328</v>
      </c>
      <c r="D182" s="508">
        <v>89215</v>
      </c>
      <c r="E182" s="507" t="s">
        <v>331</v>
      </c>
    </row>
    <row r="183" spans="1:5" ht="15" x14ac:dyDescent="0.3">
      <c r="A183" s="506">
        <v>6276</v>
      </c>
      <c r="B183" s="507" t="s">
        <v>3723</v>
      </c>
      <c r="C183" s="506" t="s">
        <v>328</v>
      </c>
      <c r="D183" s="508">
        <v>151802</v>
      </c>
      <c r="E183" s="507" t="s">
        <v>331</v>
      </c>
    </row>
    <row r="184" spans="1:5" ht="15" x14ac:dyDescent="0.3">
      <c r="A184" s="506">
        <v>6277</v>
      </c>
      <c r="B184" s="507" t="s">
        <v>3724</v>
      </c>
      <c r="C184" s="506" t="s">
        <v>328</v>
      </c>
      <c r="D184" s="508">
        <v>237290</v>
      </c>
      <c r="E184" s="507" t="s">
        <v>331</v>
      </c>
    </row>
    <row r="185" spans="1:5" ht="15" x14ac:dyDescent="0.3">
      <c r="A185" s="506">
        <v>6278</v>
      </c>
      <c r="B185" s="507" t="s">
        <v>3725</v>
      </c>
      <c r="C185" s="506" t="s">
        <v>328</v>
      </c>
      <c r="D185" s="508">
        <v>349472</v>
      </c>
      <c r="E185" s="507" t="s">
        <v>331</v>
      </c>
    </row>
    <row r="186" spans="1:5" ht="15" x14ac:dyDescent="0.3">
      <c r="A186" s="506">
        <v>6279</v>
      </c>
      <c r="B186" s="507" t="s">
        <v>3726</v>
      </c>
      <c r="C186" s="506" t="s">
        <v>328</v>
      </c>
      <c r="D186" s="508">
        <v>33921</v>
      </c>
      <c r="E186" s="507" t="s">
        <v>331</v>
      </c>
    </row>
    <row r="187" spans="1:5" ht="15" x14ac:dyDescent="0.3">
      <c r="A187" s="506">
        <v>6280</v>
      </c>
      <c r="B187" s="507" t="s">
        <v>3727</v>
      </c>
      <c r="C187" s="506" t="s">
        <v>328</v>
      </c>
      <c r="D187" s="508">
        <v>71911</v>
      </c>
      <c r="E187" s="507" t="s">
        <v>331</v>
      </c>
    </row>
    <row r="188" spans="1:5" ht="15" x14ac:dyDescent="0.3">
      <c r="A188" s="506">
        <v>6281</v>
      </c>
      <c r="B188" s="507" t="s">
        <v>3728</v>
      </c>
      <c r="C188" s="506" t="s">
        <v>328</v>
      </c>
      <c r="D188" s="508">
        <v>121461</v>
      </c>
      <c r="E188" s="507" t="s">
        <v>331</v>
      </c>
    </row>
    <row r="189" spans="1:5" ht="15" x14ac:dyDescent="0.3">
      <c r="A189" s="506">
        <v>6282</v>
      </c>
      <c r="B189" s="507" t="s">
        <v>3729</v>
      </c>
      <c r="C189" s="506" t="s">
        <v>328</v>
      </c>
      <c r="D189" s="508">
        <v>189934</v>
      </c>
      <c r="E189" s="507" t="s">
        <v>331</v>
      </c>
    </row>
    <row r="190" spans="1:5" ht="15" x14ac:dyDescent="0.3">
      <c r="A190" s="506">
        <v>6283</v>
      </c>
      <c r="B190" s="507" t="s">
        <v>3730</v>
      </c>
      <c r="C190" s="506" t="s">
        <v>328</v>
      </c>
      <c r="D190" s="508">
        <v>264191</v>
      </c>
      <c r="E190" s="507" t="s">
        <v>331</v>
      </c>
    </row>
    <row r="191" spans="1:5" ht="15" x14ac:dyDescent="0.3">
      <c r="A191" s="506">
        <v>6285</v>
      </c>
      <c r="B191" s="507" t="s">
        <v>3731</v>
      </c>
      <c r="C191" s="506" t="s">
        <v>30</v>
      </c>
      <c r="D191" s="508">
        <v>520646</v>
      </c>
      <c r="E191" s="507" t="s">
        <v>331</v>
      </c>
    </row>
    <row r="192" spans="1:5" ht="15" x14ac:dyDescent="0.3">
      <c r="A192" s="506">
        <v>6295</v>
      </c>
      <c r="B192" s="507" t="s">
        <v>3732</v>
      </c>
      <c r="C192" s="506" t="s">
        <v>32</v>
      </c>
      <c r="D192" s="508">
        <v>567630</v>
      </c>
      <c r="E192" s="507" t="s">
        <v>6108</v>
      </c>
    </row>
    <row r="193" spans="1:5" ht="15" x14ac:dyDescent="0.3">
      <c r="A193" s="506">
        <v>6296</v>
      </c>
      <c r="B193" s="507" t="s">
        <v>3733</v>
      </c>
      <c r="C193" s="506" t="s">
        <v>32</v>
      </c>
      <c r="D193" s="508">
        <v>729470</v>
      </c>
      <c r="E193" s="507" t="s">
        <v>6108</v>
      </c>
    </row>
    <row r="194" spans="1:5" ht="15" x14ac:dyDescent="0.3">
      <c r="A194" s="506">
        <v>6297</v>
      </c>
      <c r="B194" s="507" t="s">
        <v>3734</v>
      </c>
      <c r="C194" s="506" t="s">
        <v>32</v>
      </c>
      <c r="D194" s="508">
        <v>980560</v>
      </c>
      <c r="E194" s="507" t="s">
        <v>6108</v>
      </c>
    </row>
    <row r="195" spans="1:5" ht="15" x14ac:dyDescent="0.3">
      <c r="A195" s="506">
        <v>6298</v>
      </c>
      <c r="B195" s="507" t="s">
        <v>3735</v>
      </c>
      <c r="C195" s="506" t="s">
        <v>32</v>
      </c>
      <c r="D195" s="508">
        <v>755698</v>
      </c>
      <c r="E195" s="507" t="s">
        <v>6108</v>
      </c>
    </row>
    <row r="196" spans="1:5" ht="15" x14ac:dyDescent="0.3">
      <c r="A196" s="506">
        <v>6303</v>
      </c>
      <c r="B196" s="507" t="s">
        <v>3736</v>
      </c>
      <c r="C196" s="506" t="s">
        <v>32</v>
      </c>
      <c r="D196" s="508">
        <v>742560</v>
      </c>
      <c r="E196" s="507" t="s">
        <v>6108</v>
      </c>
    </row>
    <row r="197" spans="1:5" ht="15" x14ac:dyDescent="0.3">
      <c r="A197" s="506">
        <v>6304</v>
      </c>
      <c r="B197" s="507" t="s">
        <v>3737</v>
      </c>
      <c r="C197" s="506" t="s">
        <v>32</v>
      </c>
      <c r="D197" s="508">
        <v>903210</v>
      </c>
      <c r="E197" s="507" t="s">
        <v>6108</v>
      </c>
    </row>
    <row r="198" spans="1:5" ht="15" x14ac:dyDescent="0.3">
      <c r="A198" s="506">
        <v>6305</v>
      </c>
      <c r="B198" s="507" t="s">
        <v>3738</v>
      </c>
      <c r="C198" s="506" t="s">
        <v>32</v>
      </c>
      <c r="D198" s="508">
        <v>1276823</v>
      </c>
      <c r="E198" s="507" t="s">
        <v>6108</v>
      </c>
    </row>
    <row r="199" spans="1:5" ht="15" x14ac:dyDescent="0.3">
      <c r="A199" s="506">
        <v>6306</v>
      </c>
      <c r="B199" s="507" t="s">
        <v>3739</v>
      </c>
      <c r="C199" s="506" t="s">
        <v>32</v>
      </c>
      <c r="D199" s="508">
        <v>762790</v>
      </c>
      <c r="E199" s="507" t="s">
        <v>6108</v>
      </c>
    </row>
    <row r="200" spans="1:5" ht="15" x14ac:dyDescent="0.3">
      <c r="A200" s="506">
        <v>6307</v>
      </c>
      <c r="B200" s="507" t="s">
        <v>3740</v>
      </c>
      <c r="C200" s="506" t="s">
        <v>32</v>
      </c>
      <c r="D200" s="508">
        <v>985320</v>
      </c>
      <c r="E200" s="507" t="s">
        <v>6108</v>
      </c>
    </row>
    <row r="201" spans="1:5" ht="15" x14ac:dyDescent="0.3">
      <c r="A201" s="506">
        <v>6308</v>
      </c>
      <c r="B201" s="507" t="s">
        <v>3741</v>
      </c>
      <c r="C201" s="506" t="s">
        <v>32</v>
      </c>
      <c r="D201" s="508">
        <v>1122200</v>
      </c>
      <c r="E201" s="507" t="s">
        <v>6108</v>
      </c>
    </row>
    <row r="202" spans="1:5" ht="15" x14ac:dyDescent="0.3">
      <c r="A202" s="506">
        <v>6309</v>
      </c>
      <c r="B202" s="507" t="s">
        <v>3742</v>
      </c>
      <c r="C202" s="506" t="s">
        <v>32</v>
      </c>
      <c r="D202" s="508">
        <v>937720</v>
      </c>
      <c r="E202" s="507" t="s">
        <v>6108</v>
      </c>
    </row>
    <row r="203" spans="1:5" ht="15" x14ac:dyDescent="0.3">
      <c r="A203" s="506">
        <v>6310</v>
      </c>
      <c r="B203" s="507" t="s">
        <v>3743</v>
      </c>
      <c r="C203" s="506" t="s">
        <v>32</v>
      </c>
      <c r="D203" s="508">
        <v>1296000</v>
      </c>
      <c r="E203" s="507" t="s">
        <v>6108</v>
      </c>
    </row>
    <row r="204" spans="1:5" ht="15" x14ac:dyDescent="0.3">
      <c r="A204" s="506">
        <v>6311</v>
      </c>
      <c r="B204" s="507" t="s">
        <v>3744</v>
      </c>
      <c r="C204" s="506" t="s">
        <v>32</v>
      </c>
      <c r="D204" s="508">
        <v>2000000</v>
      </c>
      <c r="E204" s="507" t="s">
        <v>6108</v>
      </c>
    </row>
    <row r="205" spans="1:5" ht="15" x14ac:dyDescent="0.3">
      <c r="A205" s="506">
        <v>6312</v>
      </c>
      <c r="B205" s="507" t="s">
        <v>3745</v>
      </c>
      <c r="C205" s="506" t="s">
        <v>32</v>
      </c>
      <c r="D205" s="508">
        <v>1055292</v>
      </c>
      <c r="E205" s="507" t="s">
        <v>6108</v>
      </c>
    </row>
    <row r="206" spans="1:5" ht="15" x14ac:dyDescent="0.3">
      <c r="A206" s="506">
        <v>6314</v>
      </c>
      <c r="B206" s="507" t="s">
        <v>3746</v>
      </c>
      <c r="C206" s="506" t="s">
        <v>32</v>
      </c>
      <c r="D206" s="508">
        <v>1679150</v>
      </c>
      <c r="E206" s="507" t="s">
        <v>6108</v>
      </c>
    </row>
    <row r="207" spans="1:5" ht="15" x14ac:dyDescent="0.3">
      <c r="A207" s="506">
        <v>6315</v>
      </c>
      <c r="B207" s="507" t="s">
        <v>3747</v>
      </c>
      <c r="C207" s="506" t="s">
        <v>32</v>
      </c>
      <c r="D207" s="508">
        <v>1770720</v>
      </c>
      <c r="E207" s="507" t="s">
        <v>6108</v>
      </c>
    </row>
    <row r="208" spans="1:5" ht="15" x14ac:dyDescent="0.3">
      <c r="A208" s="506">
        <v>6316</v>
      </c>
      <c r="B208" s="507" t="s">
        <v>3748</v>
      </c>
      <c r="C208" s="506" t="s">
        <v>32</v>
      </c>
      <c r="D208" s="508">
        <v>2070600</v>
      </c>
      <c r="E208" s="507" t="s">
        <v>6108</v>
      </c>
    </row>
    <row r="209" spans="1:5" ht="15" x14ac:dyDescent="0.3">
      <c r="A209" s="506">
        <v>6317</v>
      </c>
      <c r="B209" s="507" t="s">
        <v>3749</v>
      </c>
      <c r="C209" s="506" t="s">
        <v>32</v>
      </c>
      <c r="D209" s="508">
        <v>2476390</v>
      </c>
      <c r="E209" s="507" t="s">
        <v>6108</v>
      </c>
    </row>
    <row r="210" spans="1:5" ht="15" x14ac:dyDescent="0.3">
      <c r="A210" s="506">
        <v>6318</v>
      </c>
      <c r="B210" s="507" t="s">
        <v>3750</v>
      </c>
      <c r="C210" s="506" t="s">
        <v>32</v>
      </c>
      <c r="D210" s="508">
        <v>1939224</v>
      </c>
      <c r="E210" s="507" t="s">
        <v>6108</v>
      </c>
    </row>
    <row r="211" spans="1:5" ht="15" x14ac:dyDescent="0.3">
      <c r="A211" s="506">
        <v>6319</v>
      </c>
      <c r="B211" s="507" t="s">
        <v>3751</v>
      </c>
      <c r="C211" s="506" t="s">
        <v>32</v>
      </c>
      <c r="D211" s="508">
        <v>2573637</v>
      </c>
      <c r="E211" s="507" t="s">
        <v>6108</v>
      </c>
    </row>
    <row r="212" spans="1:5" ht="15" x14ac:dyDescent="0.3">
      <c r="A212" s="506">
        <v>6320</v>
      </c>
      <c r="B212" s="507" t="s">
        <v>3752</v>
      </c>
      <c r="C212" s="506" t="s">
        <v>32</v>
      </c>
      <c r="D212" s="508">
        <v>3224044</v>
      </c>
      <c r="E212" s="507" t="s">
        <v>6108</v>
      </c>
    </row>
    <row r="213" spans="1:5" ht="15" x14ac:dyDescent="0.3">
      <c r="A213" s="506">
        <v>6324</v>
      </c>
      <c r="B213" s="507" t="s">
        <v>3753</v>
      </c>
      <c r="C213" s="506" t="s">
        <v>32</v>
      </c>
      <c r="D213" s="508">
        <v>4058495</v>
      </c>
      <c r="E213" s="507" t="s">
        <v>6108</v>
      </c>
    </row>
    <row r="214" spans="1:5" ht="15" x14ac:dyDescent="0.3">
      <c r="A214" s="506">
        <v>6326</v>
      </c>
      <c r="B214" s="507" t="s">
        <v>3754</v>
      </c>
      <c r="C214" s="506" t="s">
        <v>32</v>
      </c>
      <c r="D214" s="508">
        <v>3433864</v>
      </c>
      <c r="E214" s="507" t="s">
        <v>6108</v>
      </c>
    </row>
    <row r="215" spans="1:5" ht="15" x14ac:dyDescent="0.3">
      <c r="A215" s="506">
        <v>6327</v>
      </c>
      <c r="B215" s="507" t="s">
        <v>3755</v>
      </c>
      <c r="C215" s="506" t="s">
        <v>32</v>
      </c>
      <c r="D215" s="508">
        <v>1242539</v>
      </c>
      <c r="E215" s="507" t="s">
        <v>6108</v>
      </c>
    </row>
    <row r="216" spans="1:5" ht="15" x14ac:dyDescent="0.3">
      <c r="A216" s="506">
        <v>6328</v>
      </c>
      <c r="B216" s="507" t="s">
        <v>3756</v>
      </c>
      <c r="C216" s="506" t="s">
        <v>32</v>
      </c>
      <c r="D216" s="508">
        <v>1346069</v>
      </c>
      <c r="E216" s="507" t="s">
        <v>6108</v>
      </c>
    </row>
    <row r="217" spans="1:5" ht="15" x14ac:dyDescent="0.3">
      <c r="A217" s="506">
        <v>6329</v>
      </c>
      <c r="B217" s="507" t="s">
        <v>3757</v>
      </c>
      <c r="C217" s="506" t="s">
        <v>32</v>
      </c>
      <c r="D217" s="508">
        <v>214200</v>
      </c>
      <c r="E217" s="507" t="s">
        <v>6108</v>
      </c>
    </row>
    <row r="218" spans="1:5" ht="15" x14ac:dyDescent="0.3">
      <c r="A218" s="506">
        <v>6332</v>
      </c>
      <c r="B218" s="507" t="s">
        <v>3758</v>
      </c>
      <c r="C218" s="506" t="s">
        <v>32</v>
      </c>
      <c r="D218" s="508">
        <v>428400</v>
      </c>
      <c r="E218" s="507" t="s">
        <v>6108</v>
      </c>
    </row>
    <row r="219" spans="1:5" ht="15" x14ac:dyDescent="0.3">
      <c r="A219" s="506">
        <v>6333</v>
      </c>
      <c r="B219" s="507" t="s">
        <v>3759</v>
      </c>
      <c r="C219" s="506" t="s">
        <v>32</v>
      </c>
      <c r="D219" s="508">
        <v>666400</v>
      </c>
      <c r="E219" s="507" t="s">
        <v>6108</v>
      </c>
    </row>
    <row r="220" spans="1:5" ht="15" x14ac:dyDescent="0.3">
      <c r="A220" s="506">
        <v>6334</v>
      </c>
      <c r="B220" s="507" t="s">
        <v>3760</v>
      </c>
      <c r="C220" s="506" t="s">
        <v>32</v>
      </c>
      <c r="D220" s="508">
        <v>151033</v>
      </c>
      <c r="E220" s="507" t="s">
        <v>6108</v>
      </c>
    </row>
    <row r="221" spans="1:5" ht="15" x14ac:dyDescent="0.3">
      <c r="A221" s="506">
        <v>6335</v>
      </c>
      <c r="B221" s="507" t="s">
        <v>3761</v>
      </c>
      <c r="C221" s="506" t="s">
        <v>32</v>
      </c>
      <c r="D221" s="508">
        <v>226100</v>
      </c>
      <c r="E221" s="507" t="s">
        <v>6108</v>
      </c>
    </row>
    <row r="222" spans="1:5" ht="15" x14ac:dyDescent="0.3">
      <c r="A222" s="506">
        <v>6337</v>
      </c>
      <c r="B222" s="507" t="s">
        <v>3762</v>
      </c>
      <c r="C222" s="506" t="s">
        <v>32</v>
      </c>
      <c r="D222" s="508">
        <v>714000</v>
      </c>
      <c r="E222" s="507" t="s">
        <v>6108</v>
      </c>
    </row>
    <row r="223" spans="1:5" ht="15" x14ac:dyDescent="0.3">
      <c r="A223" s="506">
        <v>6356</v>
      </c>
      <c r="B223" s="507" t="s">
        <v>3763</v>
      </c>
      <c r="C223" s="506" t="s">
        <v>3582</v>
      </c>
      <c r="D223" s="508">
        <v>60609</v>
      </c>
      <c r="E223" s="507" t="s">
        <v>6108</v>
      </c>
    </row>
    <row r="224" spans="1:5" ht="15" x14ac:dyDescent="0.3">
      <c r="A224" s="506">
        <v>6370</v>
      </c>
      <c r="B224" s="507" t="s">
        <v>6110</v>
      </c>
      <c r="C224" s="506" t="s">
        <v>32</v>
      </c>
      <c r="D224" s="508">
        <v>499800</v>
      </c>
      <c r="E224" s="507" t="s">
        <v>6108</v>
      </c>
    </row>
    <row r="225" spans="1:5" ht="15" x14ac:dyDescent="0.3">
      <c r="A225" s="506">
        <v>6371</v>
      </c>
      <c r="B225" s="507" t="s">
        <v>6111</v>
      </c>
      <c r="C225" s="506" t="s">
        <v>32</v>
      </c>
      <c r="D225" s="508">
        <v>499800</v>
      </c>
      <c r="E225" s="507" t="s">
        <v>6108</v>
      </c>
    </row>
    <row r="226" spans="1:5" ht="15" x14ac:dyDescent="0.3">
      <c r="A226" s="506">
        <v>6372</v>
      </c>
      <c r="B226" s="507" t="s">
        <v>6112</v>
      </c>
      <c r="C226" s="506" t="s">
        <v>32</v>
      </c>
      <c r="D226" s="508">
        <v>553248</v>
      </c>
      <c r="E226" s="507" t="s">
        <v>6108</v>
      </c>
    </row>
    <row r="227" spans="1:5" ht="15" x14ac:dyDescent="0.3">
      <c r="A227" s="506">
        <v>6373</v>
      </c>
      <c r="B227" s="507" t="s">
        <v>6113</v>
      </c>
      <c r="C227" s="506" t="s">
        <v>32</v>
      </c>
      <c r="D227" s="508">
        <v>692295</v>
      </c>
      <c r="E227" s="507" t="s">
        <v>6108</v>
      </c>
    </row>
    <row r="228" spans="1:5" ht="15" x14ac:dyDescent="0.3">
      <c r="A228" s="506">
        <v>6375</v>
      </c>
      <c r="B228" s="507" t="s">
        <v>6114</v>
      </c>
      <c r="C228" s="506" t="s">
        <v>32</v>
      </c>
      <c r="D228" s="508">
        <v>743750</v>
      </c>
      <c r="E228" s="507" t="s">
        <v>6108</v>
      </c>
    </row>
    <row r="229" spans="1:5" ht="15" x14ac:dyDescent="0.3">
      <c r="A229" s="506">
        <v>6376</v>
      </c>
      <c r="B229" s="507" t="s">
        <v>6115</v>
      </c>
      <c r="C229" s="506" t="s">
        <v>32</v>
      </c>
      <c r="D229" s="508">
        <v>827050</v>
      </c>
      <c r="E229" s="507" t="s">
        <v>6108</v>
      </c>
    </row>
    <row r="230" spans="1:5" ht="15" x14ac:dyDescent="0.3">
      <c r="A230" s="506">
        <v>6377</v>
      </c>
      <c r="B230" s="507" t="s">
        <v>6116</v>
      </c>
      <c r="C230" s="506" t="s">
        <v>32</v>
      </c>
      <c r="D230" s="508">
        <v>1154641</v>
      </c>
      <c r="E230" s="507" t="s">
        <v>6108</v>
      </c>
    </row>
    <row r="231" spans="1:5" ht="15" x14ac:dyDescent="0.3">
      <c r="A231" s="506">
        <v>6378</v>
      </c>
      <c r="B231" s="507" t="s">
        <v>6117</v>
      </c>
      <c r="C231" s="506" t="s">
        <v>32</v>
      </c>
      <c r="D231" s="508">
        <v>1207680</v>
      </c>
      <c r="E231" s="507" t="s">
        <v>6108</v>
      </c>
    </row>
    <row r="232" spans="1:5" ht="15" x14ac:dyDescent="0.3">
      <c r="A232" s="506">
        <v>6379</v>
      </c>
      <c r="B232" s="507" t="s">
        <v>6118</v>
      </c>
      <c r="C232" s="506" t="s">
        <v>32</v>
      </c>
      <c r="D232" s="508">
        <v>1209312</v>
      </c>
      <c r="E232" s="507" t="s">
        <v>6108</v>
      </c>
    </row>
    <row r="233" spans="1:5" ht="15" x14ac:dyDescent="0.3">
      <c r="A233" s="506">
        <v>6380</v>
      </c>
      <c r="B233" s="507" t="s">
        <v>6119</v>
      </c>
      <c r="C233" s="506" t="s">
        <v>32</v>
      </c>
      <c r="D233" s="508">
        <v>1374450</v>
      </c>
      <c r="E233" s="507" t="s">
        <v>6108</v>
      </c>
    </row>
    <row r="234" spans="1:5" ht="15" x14ac:dyDescent="0.3">
      <c r="A234" s="506">
        <v>6381</v>
      </c>
      <c r="B234" s="507" t="s">
        <v>6120</v>
      </c>
      <c r="C234" s="506" t="s">
        <v>32</v>
      </c>
      <c r="D234" s="508">
        <v>1677900</v>
      </c>
      <c r="E234" s="507" t="s">
        <v>6108</v>
      </c>
    </row>
    <row r="235" spans="1:5" ht="15" x14ac:dyDescent="0.3">
      <c r="A235" s="506">
        <v>6382</v>
      </c>
      <c r="B235" s="507" t="s">
        <v>6121</v>
      </c>
      <c r="C235" s="506" t="s">
        <v>32</v>
      </c>
      <c r="D235" s="508">
        <v>1731450</v>
      </c>
      <c r="E235" s="507" t="s">
        <v>6108</v>
      </c>
    </row>
    <row r="236" spans="1:5" ht="15" x14ac:dyDescent="0.3">
      <c r="A236" s="506">
        <v>6383</v>
      </c>
      <c r="B236" s="507" t="s">
        <v>6122</v>
      </c>
      <c r="C236" s="506" t="s">
        <v>32</v>
      </c>
      <c r="D236" s="508">
        <v>1981350</v>
      </c>
      <c r="E236" s="507" t="s">
        <v>6108</v>
      </c>
    </row>
    <row r="237" spans="1:5" ht="15" x14ac:dyDescent="0.3">
      <c r="A237" s="506">
        <v>6384</v>
      </c>
      <c r="B237" s="507" t="s">
        <v>6123</v>
      </c>
      <c r="C237" s="506" t="s">
        <v>32</v>
      </c>
      <c r="D237" s="508">
        <v>2255050</v>
      </c>
      <c r="E237" s="507" t="s">
        <v>6108</v>
      </c>
    </row>
    <row r="238" spans="1:5" ht="15" x14ac:dyDescent="0.3">
      <c r="A238" s="506">
        <v>6385</v>
      </c>
      <c r="B238" s="507" t="s">
        <v>6124</v>
      </c>
      <c r="C238" s="506" t="s">
        <v>32</v>
      </c>
      <c r="D238" s="508">
        <v>2802450</v>
      </c>
      <c r="E238" s="507" t="s">
        <v>6108</v>
      </c>
    </row>
    <row r="239" spans="1:5" ht="15" x14ac:dyDescent="0.3">
      <c r="A239" s="506">
        <v>6387</v>
      </c>
      <c r="B239" s="507" t="s">
        <v>6125</v>
      </c>
      <c r="C239" s="506" t="s">
        <v>32</v>
      </c>
      <c r="D239" s="508">
        <v>1810509</v>
      </c>
      <c r="E239" s="507" t="s">
        <v>6108</v>
      </c>
    </row>
    <row r="240" spans="1:5" ht="15" x14ac:dyDescent="0.3">
      <c r="A240" s="506">
        <v>6388</v>
      </c>
      <c r="B240" s="507" t="s">
        <v>6126</v>
      </c>
      <c r="C240" s="506" t="s">
        <v>32</v>
      </c>
      <c r="D240" s="508">
        <v>2142000</v>
      </c>
      <c r="E240" s="507" t="s">
        <v>6108</v>
      </c>
    </row>
    <row r="241" spans="1:5" ht="15" x14ac:dyDescent="0.3">
      <c r="A241" s="506">
        <v>6389</v>
      </c>
      <c r="B241" s="507" t="s">
        <v>6127</v>
      </c>
      <c r="C241" s="506" t="s">
        <v>32</v>
      </c>
      <c r="D241" s="508">
        <v>2171750</v>
      </c>
      <c r="E241" s="507" t="s">
        <v>6108</v>
      </c>
    </row>
    <row r="242" spans="1:5" ht="15" x14ac:dyDescent="0.3">
      <c r="A242" s="506">
        <v>6390</v>
      </c>
      <c r="B242" s="507" t="s">
        <v>6128</v>
      </c>
      <c r="C242" s="506" t="s">
        <v>32</v>
      </c>
      <c r="D242" s="508">
        <v>2308600</v>
      </c>
      <c r="E242" s="507" t="s">
        <v>6108</v>
      </c>
    </row>
    <row r="243" spans="1:5" ht="15" x14ac:dyDescent="0.3">
      <c r="A243" s="506">
        <v>6391</v>
      </c>
      <c r="B243" s="507" t="s">
        <v>6129</v>
      </c>
      <c r="C243" s="506" t="s">
        <v>32</v>
      </c>
      <c r="D243" s="508">
        <v>2778650</v>
      </c>
      <c r="E243" s="507" t="s">
        <v>6108</v>
      </c>
    </row>
    <row r="244" spans="1:5" ht="15" x14ac:dyDescent="0.3">
      <c r="A244" s="506">
        <v>6392</v>
      </c>
      <c r="B244" s="507" t="s">
        <v>6130</v>
      </c>
      <c r="C244" s="506" t="s">
        <v>32</v>
      </c>
      <c r="D244" s="508">
        <v>3296300</v>
      </c>
      <c r="E244" s="507" t="s">
        <v>6108</v>
      </c>
    </row>
    <row r="245" spans="1:5" ht="15" x14ac:dyDescent="0.3">
      <c r="A245" s="506">
        <v>6393</v>
      </c>
      <c r="B245" s="507" t="s">
        <v>6131</v>
      </c>
      <c r="C245" s="506" t="s">
        <v>32</v>
      </c>
      <c r="D245" s="508">
        <v>7369906</v>
      </c>
      <c r="E245" s="507" t="s">
        <v>6108</v>
      </c>
    </row>
    <row r="246" spans="1:5" ht="15" x14ac:dyDescent="0.3">
      <c r="A246" s="506">
        <v>6394</v>
      </c>
      <c r="B246" s="507" t="s">
        <v>6132</v>
      </c>
      <c r="C246" s="506" t="s">
        <v>32</v>
      </c>
      <c r="D246" s="508">
        <v>8394598</v>
      </c>
      <c r="E246" s="507" t="s">
        <v>6108</v>
      </c>
    </row>
    <row r="247" spans="1:5" ht="15" x14ac:dyDescent="0.3">
      <c r="A247" s="506">
        <v>6395</v>
      </c>
      <c r="B247" s="507" t="s">
        <v>6133</v>
      </c>
      <c r="C247" s="506" t="s">
        <v>32</v>
      </c>
      <c r="D247" s="508">
        <v>9182824</v>
      </c>
      <c r="E247" s="507" t="s">
        <v>6108</v>
      </c>
    </row>
    <row r="248" spans="1:5" ht="15" x14ac:dyDescent="0.3">
      <c r="A248" s="506">
        <v>6396</v>
      </c>
      <c r="B248" s="507" t="s">
        <v>6134</v>
      </c>
      <c r="C248" s="506" t="s">
        <v>32</v>
      </c>
      <c r="D248" s="508">
        <v>9773993</v>
      </c>
      <c r="E248" s="507" t="s">
        <v>6108</v>
      </c>
    </row>
    <row r="249" spans="1:5" ht="15" x14ac:dyDescent="0.3">
      <c r="A249" s="506">
        <v>6397</v>
      </c>
      <c r="B249" s="507" t="s">
        <v>6135</v>
      </c>
      <c r="C249" s="506" t="s">
        <v>32</v>
      </c>
      <c r="D249" s="508">
        <v>10246928</v>
      </c>
      <c r="E249" s="507" t="s">
        <v>6108</v>
      </c>
    </row>
    <row r="250" spans="1:5" ht="15" x14ac:dyDescent="0.3">
      <c r="A250" s="506">
        <v>6398</v>
      </c>
      <c r="B250" s="507" t="s">
        <v>6136</v>
      </c>
      <c r="C250" s="506" t="s">
        <v>32</v>
      </c>
      <c r="D250" s="508">
        <v>11074564</v>
      </c>
      <c r="E250" s="507" t="s">
        <v>6108</v>
      </c>
    </row>
    <row r="251" spans="1:5" ht="15" x14ac:dyDescent="0.3">
      <c r="A251" s="506">
        <v>6399</v>
      </c>
      <c r="B251" s="507" t="s">
        <v>6137</v>
      </c>
      <c r="C251" s="506" t="s">
        <v>32</v>
      </c>
      <c r="D251" s="508">
        <v>11665734</v>
      </c>
      <c r="E251" s="507" t="s">
        <v>6108</v>
      </c>
    </row>
    <row r="252" spans="1:5" ht="15" x14ac:dyDescent="0.3">
      <c r="A252" s="506">
        <v>6400</v>
      </c>
      <c r="B252" s="507" t="s">
        <v>6138</v>
      </c>
      <c r="C252" s="506" t="s">
        <v>32</v>
      </c>
      <c r="D252" s="508">
        <v>13321007</v>
      </c>
      <c r="E252" s="507" t="s">
        <v>6108</v>
      </c>
    </row>
    <row r="253" spans="1:5" ht="15" x14ac:dyDescent="0.3">
      <c r="A253" s="506">
        <v>6401</v>
      </c>
      <c r="B253" s="507" t="s">
        <v>6139</v>
      </c>
      <c r="C253" s="506" t="s">
        <v>32</v>
      </c>
      <c r="D253" s="508">
        <v>279650</v>
      </c>
      <c r="E253" s="507" t="s">
        <v>6108</v>
      </c>
    </row>
    <row r="254" spans="1:5" ht="15" x14ac:dyDescent="0.3">
      <c r="A254" s="506">
        <v>6402</v>
      </c>
      <c r="B254" s="507" t="s">
        <v>6140</v>
      </c>
      <c r="C254" s="506" t="s">
        <v>32</v>
      </c>
      <c r="D254" s="508">
        <v>398861</v>
      </c>
      <c r="E254" s="507" t="s">
        <v>6108</v>
      </c>
    </row>
    <row r="255" spans="1:5" ht="15" x14ac:dyDescent="0.3">
      <c r="A255" s="506">
        <v>6404</v>
      </c>
      <c r="B255" s="507" t="s">
        <v>6141</v>
      </c>
      <c r="C255" s="506" t="s">
        <v>32</v>
      </c>
      <c r="D255" s="508">
        <v>127330</v>
      </c>
      <c r="E255" s="507" t="s">
        <v>6108</v>
      </c>
    </row>
    <row r="256" spans="1:5" ht="15" x14ac:dyDescent="0.3">
      <c r="A256" s="506">
        <v>6405</v>
      </c>
      <c r="B256" s="507" t="s">
        <v>6142</v>
      </c>
      <c r="C256" s="506" t="s">
        <v>32</v>
      </c>
      <c r="D256" s="508">
        <v>198057</v>
      </c>
      <c r="E256" s="507" t="s">
        <v>6108</v>
      </c>
    </row>
    <row r="257" spans="1:5" ht="15" x14ac:dyDescent="0.3">
      <c r="A257" s="506">
        <v>6406</v>
      </c>
      <c r="B257" s="507" t="s">
        <v>6143</v>
      </c>
      <c r="C257" s="506" t="s">
        <v>32</v>
      </c>
      <c r="D257" s="508">
        <v>262523</v>
      </c>
      <c r="E257" s="507" t="s">
        <v>6108</v>
      </c>
    </row>
    <row r="258" spans="1:5" ht="15" x14ac:dyDescent="0.3">
      <c r="A258" s="506">
        <v>6407</v>
      </c>
      <c r="B258" s="507" t="s">
        <v>6144</v>
      </c>
      <c r="C258" s="506" t="s">
        <v>32</v>
      </c>
      <c r="D258" s="508">
        <v>529550</v>
      </c>
      <c r="E258" s="507" t="s">
        <v>6108</v>
      </c>
    </row>
    <row r="259" spans="1:5" ht="15" x14ac:dyDescent="0.3">
      <c r="A259" s="506">
        <v>6408</v>
      </c>
      <c r="B259" s="507" t="s">
        <v>6145</v>
      </c>
      <c r="C259" s="506" t="s">
        <v>32</v>
      </c>
      <c r="D259" s="508">
        <v>981750</v>
      </c>
      <c r="E259" s="507" t="s">
        <v>6108</v>
      </c>
    </row>
    <row r="260" spans="1:5" ht="15" x14ac:dyDescent="0.3">
      <c r="A260" s="506">
        <v>6409</v>
      </c>
      <c r="B260" s="507" t="s">
        <v>6146</v>
      </c>
      <c r="C260" s="506" t="s">
        <v>32</v>
      </c>
      <c r="D260" s="508">
        <v>1796900</v>
      </c>
      <c r="E260" s="507" t="s">
        <v>6108</v>
      </c>
    </row>
    <row r="261" spans="1:5" ht="15" x14ac:dyDescent="0.3">
      <c r="A261" s="506">
        <v>6410</v>
      </c>
      <c r="B261" s="507" t="s">
        <v>6147</v>
      </c>
      <c r="C261" s="506" t="s">
        <v>32</v>
      </c>
      <c r="D261" s="508">
        <v>2177700</v>
      </c>
      <c r="E261" s="507" t="s">
        <v>6108</v>
      </c>
    </row>
    <row r="262" spans="1:5" ht="15" x14ac:dyDescent="0.3">
      <c r="A262" s="506">
        <v>6411</v>
      </c>
      <c r="B262" s="507" t="s">
        <v>6148</v>
      </c>
      <c r="C262" s="506" t="s">
        <v>32</v>
      </c>
      <c r="D262" s="508">
        <v>2904563</v>
      </c>
      <c r="E262" s="507" t="s">
        <v>6108</v>
      </c>
    </row>
    <row r="263" spans="1:5" ht="15" x14ac:dyDescent="0.3">
      <c r="A263" s="506">
        <v>6412</v>
      </c>
      <c r="B263" s="507" t="s">
        <v>6149</v>
      </c>
      <c r="C263" s="506" t="s">
        <v>32</v>
      </c>
      <c r="D263" s="508">
        <v>3807860</v>
      </c>
      <c r="E263" s="507" t="s">
        <v>6108</v>
      </c>
    </row>
    <row r="264" spans="1:5" ht="15" x14ac:dyDescent="0.3">
      <c r="A264" s="506">
        <v>6413</v>
      </c>
      <c r="B264" s="507" t="s">
        <v>6150</v>
      </c>
      <c r="C264" s="506" t="s">
        <v>32</v>
      </c>
      <c r="D264" s="508">
        <v>4811432</v>
      </c>
      <c r="E264" s="507" t="s">
        <v>6108</v>
      </c>
    </row>
    <row r="265" spans="1:5" ht="15" x14ac:dyDescent="0.3">
      <c r="A265" s="506">
        <v>6414</v>
      </c>
      <c r="B265" s="507" t="s">
        <v>6151</v>
      </c>
      <c r="C265" s="506" t="s">
        <v>32</v>
      </c>
      <c r="D265" s="508">
        <v>6021709</v>
      </c>
      <c r="E265" s="507" t="s">
        <v>6108</v>
      </c>
    </row>
    <row r="266" spans="1:5" ht="15" x14ac:dyDescent="0.3">
      <c r="A266" s="506">
        <v>6416</v>
      </c>
      <c r="B266" s="507" t="s">
        <v>6152</v>
      </c>
      <c r="C266" s="506" t="s">
        <v>32</v>
      </c>
      <c r="D266" s="508">
        <v>147560</v>
      </c>
      <c r="E266" s="507" t="s">
        <v>6108</v>
      </c>
    </row>
    <row r="267" spans="1:5" ht="15" x14ac:dyDescent="0.3">
      <c r="A267" s="506">
        <v>6417</v>
      </c>
      <c r="B267" s="507" t="s">
        <v>6153</v>
      </c>
      <c r="C267" s="506" t="s">
        <v>32</v>
      </c>
      <c r="D267" s="508">
        <v>180880</v>
      </c>
      <c r="E267" s="507" t="s">
        <v>6108</v>
      </c>
    </row>
    <row r="268" spans="1:5" ht="15" x14ac:dyDescent="0.3">
      <c r="A268" s="506">
        <v>6418</v>
      </c>
      <c r="B268" s="507" t="s">
        <v>6154</v>
      </c>
      <c r="C268" s="506" t="s">
        <v>32</v>
      </c>
      <c r="D268" s="508">
        <v>232596</v>
      </c>
      <c r="E268" s="507" t="s">
        <v>6108</v>
      </c>
    </row>
    <row r="269" spans="1:5" ht="15" x14ac:dyDescent="0.3">
      <c r="A269" s="506">
        <v>6419</v>
      </c>
      <c r="B269" s="507" t="s">
        <v>6155</v>
      </c>
      <c r="C269" s="506" t="s">
        <v>32</v>
      </c>
      <c r="D269" s="508">
        <v>446250</v>
      </c>
      <c r="E269" s="507" t="s">
        <v>6108</v>
      </c>
    </row>
    <row r="270" spans="1:5" ht="15" x14ac:dyDescent="0.3">
      <c r="A270" s="506">
        <v>6420</v>
      </c>
      <c r="B270" s="507" t="s">
        <v>6156</v>
      </c>
      <c r="C270" s="506" t="s">
        <v>32</v>
      </c>
      <c r="D270" s="508">
        <v>928200</v>
      </c>
      <c r="E270" s="507" t="s">
        <v>6108</v>
      </c>
    </row>
    <row r="271" spans="1:5" ht="15" x14ac:dyDescent="0.3">
      <c r="A271" s="506">
        <v>6421</v>
      </c>
      <c r="B271" s="507" t="s">
        <v>6157</v>
      </c>
      <c r="C271" s="506" t="s">
        <v>32</v>
      </c>
      <c r="D271" s="508">
        <v>1529150</v>
      </c>
      <c r="E271" s="507" t="s">
        <v>6108</v>
      </c>
    </row>
    <row r="272" spans="1:5" ht="15" x14ac:dyDescent="0.3">
      <c r="A272" s="506">
        <v>6422</v>
      </c>
      <c r="B272" s="507" t="s">
        <v>6158</v>
      </c>
      <c r="C272" s="506" t="s">
        <v>32</v>
      </c>
      <c r="D272" s="508">
        <v>2088450</v>
      </c>
      <c r="E272" s="507" t="s">
        <v>6108</v>
      </c>
    </row>
    <row r="273" spans="1:5" ht="15" x14ac:dyDescent="0.3">
      <c r="A273" s="506">
        <v>6423</v>
      </c>
      <c r="B273" s="507" t="s">
        <v>6159</v>
      </c>
      <c r="C273" s="506" t="s">
        <v>32</v>
      </c>
      <c r="D273" s="508">
        <v>2066265</v>
      </c>
      <c r="E273" s="507" t="s">
        <v>6108</v>
      </c>
    </row>
    <row r="274" spans="1:5" ht="15" x14ac:dyDescent="0.3">
      <c r="A274" s="506">
        <v>6424</v>
      </c>
      <c r="B274" s="507" t="s">
        <v>6160</v>
      </c>
      <c r="C274" s="506" t="s">
        <v>32</v>
      </c>
      <c r="D274" s="508">
        <v>2672581</v>
      </c>
      <c r="E274" s="507" t="s">
        <v>6108</v>
      </c>
    </row>
    <row r="275" spans="1:5" ht="15" x14ac:dyDescent="0.3">
      <c r="A275" s="506">
        <v>6425</v>
      </c>
      <c r="B275" s="507" t="s">
        <v>6161</v>
      </c>
      <c r="C275" s="506" t="s">
        <v>32</v>
      </c>
      <c r="D275" s="508">
        <v>3630717</v>
      </c>
      <c r="E275" s="507" t="s">
        <v>6108</v>
      </c>
    </row>
    <row r="276" spans="1:5" ht="15" x14ac:dyDescent="0.3">
      <c r="A276" s="506">
        <v>6426</v>
      </c>
      <c r="B276" s="507" t="s">
        <v>6162</v>
      </c>
      <c r="C276" s="506" t="s">
        <v>32</v>
      </c>
      <c r="D276" s="508">
        <v>5228607</v>
      </c>
      <c r="E276" s="507" t="s">
        <v>6108</v>
      </c>
    </row>
    <row r="277" spans="1:5" ht="15" x14ac:dyDescent="0.3">
      <c r="A277" s="506">
        <v>6430</v>
      </c>
      <c r="B277" s="507" t="s">
        <v>6163</v>
      </c>
      <c r="C277" s="506" t="s">
        <v>32</v>
      </c>
      <c r="D277" s="508">
        <v>214149</v>
      </c>
      <c r="E277" s="507" t="s">
        <v>6108</v>
      </c>
    </row>
    <row r="278" spans="1:5" ht="15" x14ac:dyDescent="0.3">
      <c r="A278" s="506">
        <v>6431</v>
      </c>
      <c r="B278" s="507" t="s">
        <v>6164</v>
      </c>
      <c r="C278" s="506" t="s">
        <v>32</v>
      </c>
      <c r="D278" s="508">
        <v>368900</v>
      </c>
      <c r="E278" s="507" t="s">
        <v>6108</v>
      </c>
    </row>
    <row r="279" spans="1:5" ht="15" x14ac:dyDescent="0.3">
      <c r="A279" s="506">
        <v>6434</v>
      </c>
      <c r="B279" s="507" t="s">
        <v>6165</v>
      </c>
      <c r="C279" s="506" t="s">
        <v>32</v>
      </c>
      <c r="D279" s="508">
        <v>1814750</v>
      </c>
      <c r="E279" s="507" t="s">
        <v>6108</v>
      </c>
    </row>
    <row r="280" spans="1:5" ht="15" x14ac:dyDescent="0.3">
      <c r="A280" s="506">
        <v>6440</v>
      </c>
      <c r="B280" s="507" t="s">
        <v>6166</v>
      </c>
      <c r="C280" s="506" t="s">
        <v>32</v>
      </c>
      <c r="D280" s="508">
        <v>114240</v>
      </c>
      <c r="E280" s="507" t="s">
        <v>6108</v>
      </c>
    </row>
    <row r="281" spans="1:5" ht="15" x14ac:dyDescent="0.3">
      <c r="A281" s="506">
        <v>6441</v>
      </c>
      <c r="B281" s="507" t="s">
        <v>6167</v>
      </c>
      <c r="C281" s="506" t="s">
        <v>32</v>
      </c>
      <c r="D281" s="508">
        <v>170170</v>
      </c>
      <c r="E281" s="507" t="s">
        <v>6108</v>
      </c>
    </row>
    <row r="282" spans="1:5" ht="15" x14ac:dyDescent="0.3">
      <c r="A282" s="506">
        <v>6442</v>
      </c>
      <c r="B282" s="507" t="s">
        <v>6168</v>
      </c>
      <c r="C282" s="506" t="s">
        <v>32</v>
      </c>
      <c r="D282" s="508">
        <v>204926</v>
      </c>
      <c r="E282" s="507" t="s">
        <v>6108</v>
      </c>
    </row>
    <row r="283" spans="1:5" ht="15" x14ac:dyDescent="0.3">
      <c r="A283" s="506">
        <v>6443</v>
      </c>
      <c r="B283" s="507" t="s">
        <v>6169</v>
      </c>
      <c r="C283" s="506" t="s">
        <v>32</v>
      </c>
      <c r="D283" s="508">
        <v>357000</v>
      </c>
      <c r="E283" s="507" t="s">
        <v>6108</v>
      </c>
    </row>
    <row r="284" spans="1:5" ht="15" x14ac:dyDescent="0.3">
      <c r="A284" s="506">
        <v>6446</v>
      </c>
      <c r="B284" s="507" t="s">
        <v>6170</v>
      </c>
      <c r="C284" s="506" t="s">
        <v>32</v>
      </c>
      <c r="D284" s="508">
        <v>1564850</v>
      </c>
      <c r="E284" s="507" t="s">
        <v>6108</v>
      </c>
    </row>
    <row r="285" spans="1:5" ht="15" x14ac:dyDescent="0.3">
      <c r="A285" s="506">
        <v>6454</v>
      </c>
      <c r="B285" s="507" t="s">
        <v>6171</v>
      </c>
      <c r="C285" s="506" t="s">
        <v>32</v>
      </c>
      <c r="D285" s="508">
        <v>263915</v>
      </c>
      <c r="E285" s="507" t="s">
        <v>6108</v>
      </c>
    </row>
    <row r="286" spans="1:5" ht="15" x14ac:dyDescent="0.3">
      <c r="A286" s="506">
        <v>6455</v>
      </c>
      <c r="B286" s="507" t="s">
        <v>6172</v>
      </c>
      <c r="C286" s="506" t="s">
        <v>32</v>
      </c>
      <c r="D286" s="508">
        <v>420951</v>
      </c>
      <c r="E286" s="507" t="s">
        <v>6108</v>
      </c>
    </row>
    <row r="287" spans="1:5" ht="15" x14ac:dyDescent="0.3">
      <c r="A287" s="506">
        <v>6456</v>
      </c>
      <c r="B287" s="507" t="s">
        <v>6173</v>
      </c>
      <c r="C287" s="506" t="s">
        <v>32</v>
      </c>
      <c r="D287" s="508">
        <v>931151</v>
      </c>
      <c r="E287" s="507" t="s">
        <v>6108</v>
      </c>
    </row>
    <row r="288" spans="1:5" ht="15" x14ac:dyDescent="0.3">
      <c r="A288" s="506">
        <v>6457</v>
      </c>
      <c r="B288" s="507" t="s">
        <v>6174</v>
      </c>
      <c r="C288" s="506" t="s">
        <v>32</v>
      </c>
      <c r="D288" s="508">
        <v>1120879</v>
      </c>
      <c r="E288" s="507" t="s">
        <v>6108</v>
      </c>
    </row>
    <row r="289" spans="1:5" ht="15" x14ac:dyDescent="0.3">
      <c r="A289" s="506">
        <v>6458</v>
      </c>
      <c r="B289" s="507" t="s">
        <v>6175</v>
      </c>
      <c r="C289" s="506" t="s">
        <v>32</v>
      </c>
      <c r="D289" s="508">
        <v>1351869</v>
      </c>
      <c r="E289" s="507" t="s">
        <v>6108</v>
      </c>
    </row>
    <row r="290" spans="1:5" ht="15" x14ac:dyDescent="0.3">
      <c r="A290" s="506">
        <v>6459</v>
      </c>
      <c r="B290" s="507" t="s">
        <v>6176</v>
      </c>
      <c r="C290" s="506" t="s">
        <v>32</v>
      </c>
      <c r="D290" s="508">
        <v>1455859</v>
      </c>
      <c r="E290" s="507" t="s">
        <v>6108</v>
      </c>
    </row>
    <row r="291" spans="1:5" ht="15" x14ac:dyDescent="0.3">
      <c r="A291" s="506">
        <v>6462</v>
      </c>
      <c r="B291" s="507" t="s">
        <v>6177</v>
      </c>
      <c r="C291" s="506" t="s">
        <v>32</v>
      </c>
      <c r="D291" s="508">
        <v>155890</v>
      </c>
      <c r="E291" s="507" t="s">
        <v>6108</v>
      </c>
    </row>
    <row r="292" spans="1:5" ht="15" x14ac:dyDescent="0.3">
      <c r="A292" s="506">
        <v>6463</v>
      </c>
      <c r="B292" s="507" t="s">
        <v>6178</v>
      </c>
      <c r="C292" s="506" t="s">
        <v>32</v>
      </c>
      <c r="D292" s="508">
        <v>358190</v>
      </c>
      <c r="E292" s="507" t="s">
        <v>6108</v>
      </c>
    </row>
    <row r="293" spans="1:5" ht="15" x14ac:dyDescent="0.3">
      <c r="A293" s="506">
        <v>6464</v>
      </c>
      <c r="B293" s="507" t="s">
        <v>6179</v>
      </c>
      <c r="C293" s="506" t="s">
        <v>32</v>
      </c>
      <c r="D293" s="508">
        <v>719950</v>
      </c>
      <c r="E293" s="507" t="s">
        <v>6108</v>
      </c>
    </row>
    <row r="294" spans="1:5" ht="15" x14ac:dyDescent="0.3">
      <c r="A294" s="506">
        <v>6472</v>
      </c>
      <c r="B294" s="507" t="s">
        <v>3764</v>
      </c>
      <c r="C294" s="506" t="s">
        <v>328</v>
      </c>
      <c r="D294" s="508">
        <v>5567</v>
      </c>
      <c r="E294" s="507" t="s">
        <v>331</v>
      </c>
    </row>
    <row r="295" spans="1:5" ht="15" x14ac:dyDescent="0.3">
      <c r="A295" s="506">
        <v>6473</v>
      </c>
      <c r="B295" s="507" t="s">
        <v>3765</v>
      </c>
      <c r="C295" s="506" t="s">
        <v>328</v>
      </c>
      <c r="D295" s="508">
        <v>8609</v>
      </c>
      <c r="E295" s="507" t="s">
        <v>331</v>
      </c>
    </row>
    <row r="296" spans="1:5" ht="15" x14ac:dyDescent="0.3">
      <c r="A296" s="506">
        <v>6474</v>
      </c>
      <c r="B296" s="507" t="s">
        <v>3766</v>
      </c>
      <c r="C296" s="506" t="s">
        <v>328</v>
      </c>
      <c r="D296" s="508">
        <v>10973</v>
      </c>
      <c r="E296" s="507" t="s">
        <v>331</v>
      </c>
    </row>
    <row r="297" spans="1:5" ht="15" x14ac:dyDescent="0.3">
      <c r="A297" s="506">
        <v>6475</v>
      </c>
      <c r="B297" s="507" t="s">
        <v>3767</v>
      </c>
      <c r="C297" s="506" t="s">
        <v>328</v>
      </c>
      <c r="D297" s="508">
        <v>16880</v>
      </c>
      <c r="E297" s="507" t="s">
        <v>331</v>
      </c>
    </row>
    <row r="298" spans="1:5" ht="15" x14ac:dyDescent="0.3">
      <c r="A298" s="506">
        <v>6476</v>
      </c>
      <c r="B298" s="507" t="s">
        <v>6180</v>
      </c>
      <c r="C298" s="506" t="s">
        <v>32</v>
      </c>
      <c r="D298" s="508">
        <v>602140</v>
      </c>
      <c r="E298" s="507" t="s">
        <v>6108</v>
      </c>
    </row>
    <row r="299" spans="1:5" ht="15" x14ac:dyDescent="0.3">
      <c r="A299" s="506">
        <v>6477</v>
      </c>
      <c r="B299" s="507" t="s">
        <v>6181</v>
      </c>
      <c r="C299" s="506" t="s">
        <v>32</v>
      </c>
      <c r="D299" s="508">
        <v>857990</v>
      </c>
      <c r="E299" s="507" t="s">
        <v>6108</v>
      </c>
    </row>
    <row r="300" spans="1:5" ht="15" x14ac:dyDescent="0.3">
      <c r="A300" s="506">
        <v>6479</v>
      </c>
      <c r="B300" s="507" t="s">
        <v>6182</v>
      </c>
      <c r="C300" s="506" t="s">
        <v>32</v>
      </c>
      <c r="D300" s="508">
        <v>2193170</v>
      </c>
      <c r="E300" s="507" t="s">
        <v>6108</v>
      </c>
    </row>
    <row r="301" spans="1:5" ht="15" x14ac:dyDescent="0.3">
      <c r="A301" s="506">
        <v>6480</v>
      </c>
      <c r="B301" s="507" t="s">
        <v>6183</v>
      </c>
      <c r="C301" s="506" t="s">
        <v>32</v>
      </c>
      <c r="D301" s="508">
        <v>3712800</v>
      </c>
      <c r="E301" s="507" t="s">
        <v>6108</v>
      </c>
    </row>
    <row r="302" spans="1:5" ht="15" x14ac:dyDescent="0.3">
      <c r="A302" s="506">
        <v>6481</v>
      </c>
      <c r="B302" s="507" t="s">
        <v>6184</v>
      </c>
      <c r="C302" s="506" t="s">
        <v>32</v>
      </c>
      <c r="D302" s="508">
        <v>4358970</v>
      </c>
      <c r="E302" s="507" t="s">
        <v>6108</v>
      </c>
    </row>
    <row r="303" spans="1:5" ht="15" x14ac:dyDescent="0.3">
      <c r="A303" s="506">
        <v>6482</v>
      </c>
      <c r="B303" s="507" t="s">
        <v>6185</v>
      </c>
      <c r="C303" s="506" t="s">
        <v>32</v>
      </c>
      <c r="D303" s="508">
        <v>5827430</v>
      </c>
      <c r="E303" s="507" t="s">
        <v>6108</v>
      </c>
    </row>
    <row r="304" spans="1:5" ht="15" x14ac:dyDescent="0.3">
      <c r="A304" s="506">
        <v>6483</v>
      </c>
      <c r="B304" s="507" t="s">
        <v>6186</v>
      </c>
      <c r="C304" s="506" t="s">
        <v>32</v>
      </c>
      <c r="D304" s="508">
        <v>7945630</v>
      </c>
      <c r="E304" s="507" t="s">
        <v>6108</v>
      </c>
    </row>
    <row r="305" spans="1:5" ht="15" x14ac:dyDescent="0.3">
      <c r="A305" s="506">
        <v>6484</v>
      </c>
      <c r="B305" s="507" t="s">
        <v>6187</v>
      </c>
      <c r="C305" s="506" t="s">
        <v>32</v>
      </c>
      <c r="D305" s="508">
        <v>3102330</v>
      </c>
      <c r="E305" s="507" t="s">
        <v>6108</v>
      </c>
    </row>
    <row r="306" spans="1:5" ht="15" x14ac:dyDescent="0.3">
      <c r="A306" s="506">
        <v>6485</v>
      </c>
      <c r="B306" s="507" t="s">
        <v>6188</v>
      </c>
      <c r="C306" s="506" t="s">
        <v>32</v>
      </c>
      <c r="D306" s="508">
        <v>3316530</v>
      </c>
      <c r="E306" s="507" t="s">
        <v>6108</v>
      </c>
    </row>
    <row r="307" spans="1:5" ht="15" x14ac:dyDescent="0.3">
      <c r="A307" s="506">
        <v>6507</v>
      </c>
      <c r="B307" s="507" t="s">
        <v>3768</v>
      </c>
      <c r="C307" s="506" t="s">
        <v>979</v>
      </c>
      <c r="D307" s="508">
        <v>287704</v>
      </c>
      <c r="E307" s="507" t="s">
        <v>331</v>
      </c>
    </row>
    <row r="308" spans="1:5" ht="15" x14ac:dyDescent="0.3">
      <c r="A308" s="506">
        <v>6527</v>
      </c>
      <c r="B308" s="507" t="s">
        <v>3769</v>
      </c>
      <c r="C308" s="506" t="s">
        <v>32</v>
      </c>
      <c r="D308" s="508">
        <v>267400</v>
      </c>
      <c r="E308" s="507" t="s">
        <v>331</v>
      </c>
    </row>
    <row r="309" spans="1:5" ht="15" x14ac:dyDescent="0.3">
      <c r="A309" s="506">
        <v>6528</v>
      </c>
      <c r="B309" s="507" t="s">
        <v>3770</v>
      </c>
      <c r="C309" s="506" t="s">
        <v>32</v>
      </c>
      <c r="D309" s="508">
        <v>491665</v>
      </c>
      <c r="E309" s="507" t="s">
        <v>331</v>
      </c>
    </row>
    <row r="310" spans="1:5" ht="15" x14ac:dyDescent="0.3">
      <c r="A310" s="506">
        <v>6530</v>
      </c>
      <c r="B310" s="507" t="s">
        <v>3771</v>
      </c>
      <c r="C310" s="506" t="s">
        <v>32</v>
      </c>
      <c r="D310" s="508">
        <v>1537259</v>
      </c>
      <c r="E310" s="507" t="s">
        <v>331</v>
      </c>
    </row>
    <row r="311" spans="1:5" ht="15" x14ac:dyDescent="0.3">
      <c r="A311" s="506">
        <v>6534</v>
      </c>
      <c r="B311" s="507" t="s">
        <v>3772</v>
      </c>
      <c r="C311" s="506" t="s">
        <v>32</v>
      </c>
      <c r="D311" s="508">
        <v>452200</v>
      </c>
      <c r="E311" s="507" t="s">
        <v>6108</v>
      </c>
    </row>
    <row r="312" spans="1:5" ht="15" x14ac:dyDescent="0.3">
      <c r="A312" s="506">
        <v>6535</v>
      </c>
      <c r="B312" s="507" t="s">
        <v>3773</v>
      </c>
      <c r="C312" s="506" t="s">
        <v>32</v>
      </c>
      <c r="D312" s="508">
        <v>214200</v>
      </c>
      <c r="E312" s="507" t="s">
        <v>6108</v>
      </c>
    </row>
    <row r="313" spans="1:5" ht="15" x14ac:dyDescent="0.3">
      <c r="A313" s="506">
        <v>6539</v>
      </c>
      <c r="B313" s="507" t="s">
        <v>3774</v>
      </c>
      <c r="C313" s="506" t="s">
        <v>32</v>
      </c>
      <c r="D313" s="508">
        <v>9100</v>
      </c>
      <c r="E313" s="507" t="s">
        <v>331</v>
      </c>
    </row>
    <row r="314" spans="1:5" ht="15" x14ac:dyDescent="0.3">
      <c r="A314" s="506">
        <v>6540</v>
      </c>
      <c r="B314" s="507" t="s">
        <v>3775</v>
      </c>
      <c r="C314" s="506" t="s">
        <v>32</v>
      </c>
      <c r="D314" s="508">
        <v>17600</v>
      </c>
      <c r="E314" s="507" t="s">
        <v>331</v>
      </c>
    </row>
    <row r="315" spans="1:5" ht="15" x14ac:dyDescent="0.3">
      <c r="A315" s="506">
        <v>6543</v>
      </c>
      <c r="B315" s="507" t="s">
        <v>3776</v>
      </c>
      <c r="C315" s="506" t="s">
        <v>32</v>
      </c>
      <c r="D315" s="508">
        <v>394464</v>
      </c>
      <c r="E315" s="507" t="s">
        <v>331</v>
      </c>
    </row>
    <row r="316" spans="1:5" ht="15" x14ac:dyDescent="0.3">
      <c r="A316" s="506">
        <v>6545</v>
      </c>
      <c r="B316" s="507" t="s">
        <v>3777</v>
      </c>
      <c r="C316" s="506" t="s">
        <v>32</v>
      </c>
      <c r="D316" s="508">
        <v>681540</v>
      </c>
      <c r="E316" s="507" t="s">
        <v>331</v>
      </c>
    </row>
    <row r="317" spans="1:5" ht="15" x14ac:dyDescent="0.3">
      <c r="A317" s="506">
        <v>6551</v>
      </c>
      <c r="B317" s="507" t="s">
        <v>3778</v>
      </c>
      <c r="C317" s="506" t="s">
        <v>32</v>
      </c>
      <c r="D317" s="508">
        <v>575069</v>
      </c>
      <c r="E317" s="507" t="s">
        <v>6108</v>
      </c>
    </row>
    <row r="318" spans="1:5" ht="15" x14ac:dyDescent="0.3">
      <c r="A318" s="506">
        <v>6552</v>
      </c>
      <c r="B318" s="507" t="s">
        <v>3779</v>
      </c>
      <c r="C318" s="506" t="s">
        <v>32</v>
      </c>
      <c r="D318" s="508">
        <v>400124</v>
      </c>
      <c r="E318" s="507" t="s">
        <v>6108</v>
      </c>
    </row>
    <row r="319" spans="1:5" ht="15" x14ac:dyDescent="0.3">
      <c r="A319" s="506">
        <v>6553</v>
      </c>
      <c r="B319" s="507" t="s">
        <v>3780</v>
      </c>
      <c r="C319" s="506" t="s">
        <v>32</v>
      </c>
      <c r="D319" s="508">
        <v>520664</v>
      </c>
      <c r="E319" s="507" t="s">
        <v>6108</v>
      </c>
    </row>
    <row r="320" spans="1:5" ht="15" x14ac:dyDescent="0.3">
      <c r="A320" s="506">
        <v>6554</v>
      </c>
      <c r="B320" s="507" t="s">
        <v>3781</v>
      </c>
      <c r="C320" s="506" t="s">
        <v>32</v>
      </c>
      <c r="D320" s="508">
        <v>701498</v>
      </c>
      <c r="E320" s="507" t="s">
        <v>6108</v>
      </c>
    </row>
    <row r="321" spans="1:5" ht="15" x14ac:dyDescent="0.3">
      <c r="A321" s="506">
        <v>6555</v>
      </c>
      <c r="B321" s="507" t="s">
        <v>3782</v>
      </c>
      <c r="C321" s="506" t="s">
        <v>32</v>
      </c>
      <c r="D321" s="508">
        <v>58505</v>
      </c>
      <c r="E321" s="507" t="s">
        <v>6108</v>
      </c>
    </row>
    <row r="322" spans="1:5" ht="15" x14ac:dyDescent="0.3">
      <c r="A322" s="506">
        <v>6556</v>
      </c>
      <c r="B322" s="507" t="s">
        <v>3783</v>
      </c>
      <c r="C322" s="506" t="s">
        <v>32</v>
      </c>
      <c r="D322" s="508">
        <v>8923</v>
      </c>
      <c r="E322" s="507" t="s">
        <v>6108</v>
      </c>
    </row>
    <row r="323" spans="1:5" ht="15" x14ac:dyDescent="0.3">
      <c r="A323" s="506">
        <v>6559</v>
      </c>
      <c r="B323" s="507" t="s">
        <v>3784</v>
      </c>
      <c r="C323" s="506" t="s">
        <v>32</v>
      </c>
      <c r="D323" s="508">
        <v>8716</v>
      </c>
      <c r="E323" s="507" t="s">
        <v>331</v>
      </c>
    </row>
    <row r="324" spans="1:5" ht="15" x14ac:dyDescent="0.3">
      <c r="A324" s="506">
        <v>6560</v>
      </c>
      <c r="B324" s="507" t="s">
        <v>3785</v>
      </c>
      <c r="C324" s="506" t="s">
        <v>32</v>
      </c>
      <c r="D324" s="508">
        <v>34260</v>
      </c>
      <c r="E324" s="507" t="s">
        <v>331</v>
      </c>
    </row>
    <row r="325" spans="1:5" ht="15" x14ac:dyDescent="0.3">
      <c r="A325" s="506">
        <v>6561</v>
      </c>
      <c r="B325" s="507" t="s">
        <v>3786</v>
      </c>
      <c r="C325" s="506" t="s">
        <v>32</v>
      </c>
      <c r="D325" s="508">
        <v>63022</v>
      </c>
      <c r="E325" s="507" t="s">
        <v>331</v>
      </c>
    </row>
    <row r="326" spans="1:5" ht="15" x14ac:dyDescent="0.3">
      <c r="A326" s="506">
        <v>6567</v>
      </c>
      <c r="B326" s="507" t="s">
        <v>3787</v>
      </c>
      <c r="C326" s="506" t="s">
        <v>979</v>
      </c>
      <c r="D326" s="508">
        <v>107100</v>
      </c>
      <c r="E326" s="507" t="s">
        <v>331</v>
      </c>
    </row>
    <row r="327" spans="1:5" ht="15" x14ac:dyDescent="0.3">
      <c r="A327" s="506">
        <v>6578</v>
      </c>
      <c r="B327" s="507" t="s">
        <v>3788</v>
      </c>
      <c r="C327" s="506" t="s">
        <v>30</v>
      </c>
      <c r="D327" s="508">
        <v>91630</v>
      </c>
      <c r="E327" s="507" t="s">
        <v>331</v>
      </c>
    </row>
    <row r="328" spans="1:5" ht="15" x14ac:dyDescent="0.3">
      <c r="A328" s="506">
        <v>6624</v>
      </c>
      <c r="B328" s="507" t="s">
        <v>3789</v>
      </c>
      <c r="C328" s="506" t="s">
        <v>30</v>
      </c>
      <c r="D328" s="508">
        <v>60571</v>
      </c>
      <c r="E328" s="507" t="s">
        <v>331</v>
      </c>
    </row>
    <row r="329" spans="1:5" ht="15" x14ac:dyDescent="0.3">
      <c r="A329" s="506">
        <v>6625</v>
      </c>
      <c r="B329" s="507" t="s">
        <v>3790</v>
      </c>
      <c r="C329" s="506" t="s">
        <v>3582</v>
      </c>
      <c r="D329" s="508">
        <v>71445</v>
      </c>
      <c r="E329" s="507" t="s">
        <v>6108</v>
      </c>
    </row>
    <row r="330" spans="1:5" ht="15" x14ac:dyDescent="0.3">
      <c r="A330" s="506">
        <v>6629</v>
      </c>
      <c r="B330" s="507" t="s">
        <v>3791</v>
      </c>
      <c r="C330" s="506" t="s">
        <v>32</v>
      </c>
      <c r="D330" s="508">
        <v>51170</v>
      </c>
      <c r="E330" s="507" t="s">
        <v>6108</v>
      </c>
    </row>
    <row r="331" spans="1:5" ht="15" x14ac:dyDescent="0.3">
      <c r="A331" s="506">
        <v>6636</v>
      </c>
      <c r="B331" s="507" t="s">
        <v>3792</v>
      </c>
      <c r="C331" s="506" t="s">
        <v>32</v>
      </c>
      <c r="D331" s="508">
        <v>3304273</v>
      </c>
      <c r="E331" s="507" t="s">
        <v>6108</v>
      </c>
    </row>
    <row r="332" spans="1:5" ht="15" x14ac:dyDescent="0.3">
      <c r="A332" s="506">
        <v>6645</v>
      </c>
      <c r="B332" s="507" t="s">
        <v>3793</v>
      </c>
      <c r="C332" s="506" t="s">
        <v>32</v>
      </c>
      <c r="D332" s="508">
        <v>95971</v>
      </c>
      <c r="E332" s="507" t="s">
        <v>331</v>
      </c>
    </row>
    <row r="333" spans="1:5" ht="15" x14ac:dyDescent="0.3">
      <c r="A333" s="506">
        <v>6646</v>
      </c>
      <c r="B333" s="507" t="s">
        <v>3794</v>
      </c>
      <c r="C333" s="506" t="s">
        <v>32</v>
      </c>
      <c r="D333" s="508">
        <v>133412</v>
      </c>
      <c r="E333" s="507" t="s">
        <v>331</v>
      </c>
    </row>
    <row r="334" spans="1:5" ht="15" x14ac:dyDescent="0.3">
      <c r="A334" s="506">
        <v>6647</v>
      </c>
      <c r="B334" s="507" t="s">
        <v>3795</v>
      </c>
      <c r="C334" s="506" t="s">
        <v>32</v>
      </c>
      <c r="D334" s="508">
        <v>361384</v>
      </c>
      <c r="E334" s="507" t="s">
        <v>331</v>
      </c>
    </row>
    <row r="335" spans="1:5" ht="15" x14ac:dyDescent="0.3">
      <c r="A335" s="506">
        <v>6648</v>
      </c>
      <c r="B335" s="507" t="s">
        <v>3796</v>
      </c>
      <c r="C335" s="506" t="s">
        <v>32</v>
      </c>
      <c r="D335" s="508">
        <v>2879273</v>
      </c>
      <c r="E335" s="507" t="s">
        <v>331</v>
      </c>
    </row>
    <row r="336" spans="1:5" ht="15" x14ac:dyDescent="0.3">
      <c r="A336" s="506">
        <v>6649</v>
      </c>
      <c r="B336" s="507" t="s">
        <v>3797</v>
      </c>
      <c r="C336" s="506" t="s">
        <v>32</v>
      </c>
      <c r="D336" s="508">
        <v>110061</v>
      </c>
      <c r="E336" s="507" t="s">
        <v>331</v>
      </c>
    </row>
    <row r="337" spans="1:5" ht="15" x14ac:dyDescent="0.3">
      <c r="A337" s="506">
        <v>6650</v>
      </c>
      <c r="B337" s="507" t="s">
        <v>3798</v>
      </c>
      <c r="C337" s="506" t="s">
        <v>32</v>
      </c>
      <c r="D337" s="508">
        <v>85021</v>
      </c>
      <c r="E337" s="507" t="s">
        <v>331</v>
      </c>
    </row>
    <row r="338" spans="1:5" ht="15" x14ac:dyDescent="0.3">
      <c r="A338" s="506">
        <v>6651</v>
      </c>
      <c r="B338" s="507" t="s">
        <v>3799</v>
      </c>
      <c r="C338" s="506" t="s">
        <v>32</v>
      </c>
      <c r="D338" s="508">
        <v>126615</v>
      </c>
      <c r="E338" s="507" t="s">
        <v>331</v>
      </c>
    </row>
    <row r="339" spans="1:5" ht="15" x14ac:dyDescent="0.3">
      <c r="A339" s="506">
        <v>6652</v>
      </c>
      <c r="B339" s="507" t="s">
        <v>3800</v>
      </c>
      <c r="C339" s="506" t="s">
        <v>32</v>
      </c>
      <c r="D339" s="508">
        <v>167099</v>
      </c>
      <c r="E339" s="507" t="s">
        <v>331</v>
      </c>
    </row>
    <row r="340" spans="1:5" ht="15" x14ac:dyDescent="0.3">
      <c r="A340" s="506">
        <v>6653</v>
      </c>
      <c r="B340" s="507" t="s">
        <v>3801</v>
      </c>
      <c r="C340" s="506" t="s">
        <v>32</v>
      </c>
      <c r="D340" s="508">
        <v>313678</v>
      </c>
      <c r="E340" s="507" t="s">
        <v>331</v>
      </c>
    </row>
    <row r="341" spans="1:5" ht="15" x14ac:dyDescent="0.3">
      <c r="A341" s="506">
        <v>6654</v>
      </c>
      <c r="B341" s="507" t="s">
        <v>3802</v>
      </c>
      <c r="C341" s="506" t="s">
        <v>32</v>
      </c>
      <c r="D341" s="508">
        <v>879529</v>
      </c>
      <c r="E341" s="507" t="s">
        <v>331</v>
      </c>
    </row>
    <row r="342" spans="1:5" ht="15" x14ac:dyDescent="0.3">
      <c r="A342" s="506">
        <v>6655</v>
      </c>
      <c r="B342" s="507" t="s">
        <v>3803</v>
      </c>
      <c r="C342" s="506" t="s">
        <v>32</v>
      </c>
      <c r="D342" s="508">
        <v>1883600</v>
      </c>
      <c r="E342" s="507" t="s">
        <v>331</v>
      </c>
    </row>
    <row r="343" spans="1:5" ht="15" x14ac:dyDescent="0.3">
      <c r="A343" s="506">
        <v>6656</v>
      </c>
      <c r="B343" s="507" t="s">
        <v>3804</v>
      </c>
      <c r="C343" s="506" t="s">
        <v>32</v>
      </c>
      <c r="D343" s="508">
        <v>2644021</v>
      </c>
      <c r="E343" s="507" t="s">
        <v>331</v>
      </c>
    </row>
    <row r="344" spans="1:5" ht="15" x14ac:dyDescent="0.3">
      <c r="A344" s="506">
        <v>6657</v>
      </c>
      <c r="B344" s="507" t="s">
        <v>3805</v>
      </c>
      <c r="C344" s="506" t="s">
        <v>32</v>
      </c>
      <c r="D344" s="508">
        <v>41166</v>
      </c>
      <c r="E344" s="507" t="s">
        <v>331</v>
      </c>
    </row>
    <row r="345" spans="1:5" ht="15" x14ac:dyDescent="0.3">
      <c r="A345" s="506">
        <v>6658</v>
      </c>
      <c r="B345" s="507" t="s">
        <v>3806</v>
      </c>
      <c r="C345" s="506" t="s">
        <v>32</v>
      </c>
      <c r="D345" s="508">
        <v>58167</v>
      </c>
      <c r="E345" s="507" t="s">
        <v>331</v>
      </c>
    </row>
    <row r="346" spans="1:5" ht="15" x14ac:dyDescent="0.3">
      <c r="A346" s="506">
        <v>6659</v>
      </c>
      <c r="B346" s="507" t="s">
        <v>3807</v>
      </c>
      <c r="C346" s="506" t="s">
        <v>32</v>
      </c>
      <c r="D346" s="508">
        <v>80149</v>
      </c>
      <c r="E346" s="507" t="s">
        <v>331</v>
      </c>
    </row>
    <row r="347" spans="1:5" ht="15" x14ac:dyDescent="0.3">
      <c r="A347" s="506">
        <v>6660</v>
      </c>
      <c r="B347" s="507" t="s">
        <v>3808</v>
      </c>
      <c r="C347" s="506" t="s">
        <v>32</v>
      </c>
      <c r="D347" s="508">
        <v>131656</v>
      </c>
      <c r="E347" s="507" t="s">
        <v>331</v>
      </c>
    </row>
    <row r="348" spans="1:5" ht="15" x14ac:dyDescent="0.3">
      <c r="A348" s="506">
        <v>6661</v>
      </c>
      <c r="B348" s="507" t="s">
        <v>3809</v>
      </c>
      <c r="C348" s="506" t="s">
        <v>32</v>
      </c>
      <c r="D348" s="508">
        <v>323491</v>
      </c>
      <c r="E348" s="507" t="s">
        <v>331</v>
      </c>
    </row>
    <row r="349" spans="1:5" ht="15" x14ac:dyDescent="0.3">
      <c r="A349" s="506">
        <v>6662</v>
      </c>
      <c r="B349" s="507" t="s">
        <v>3810</v>
      </c>
      <c r="C349" s="506" t="s">
        <v>32</v>
      </c>
      <c r="D349" s="508">
        <v>684455</v>
      </c>
      <c r="E349" s="507" t="s">
        <v>331</v>
      </c>
    </row>
    <row r="350" spans="1:5" ht="15" x14ac:dyDescent="0.3">
      <c r="A350" s="506">
        <v>6663</v>
      </c>
      <c r="B350" s="507" t="s">
        <v>3811</v>
      </c>
      <c r="C350" s="506" t="s">
        <v>32</v>
      </c>
      <c r="D350" s="508">
        <v>1533707</v>
      </c>
      <c r="E350" s="507" t="s">
        <v>331</v>
      </c>
    </row>
    <row r="351" spans="1:5" ht="15" x14ac:dyDescent="0.3">
      <c r="A351" s="506">
        <v>6664</v>
      </c>
      <c r="B351" s="507" t="s">
        <v>3812</v>
      </c>
      <c r="C351" s="506" t="s">
        <v>32</v>
      </c>
      <c r="D351" s="508">
        <v>2065344</v>
      </c>
      <c r="E351" s="507" t="s">
        <v>331</v>
      </c>
    </row>
    <row r="352" spans="1:5" ht="15" x14ac:dyDescent="0.3">
      <c r="A352" s="506">
        <v>6665</v>
      </c>
      <c r="B352" s="507" t="s">
        <v>3813</v>
      </c>
      <c r="C352" s="506" t="s">
        <v>32</v>
      </c>
      <c r="D352" s="508">
        <v>47593</v>
      </c>
      <c r="E352" s="507" t="s">
        <v>331</v>
      </c>
    </row>
    <row r="353" spans="1:5" ht="15" x14ac:dyDescent="0.3">
      <c r="A353" s="506">
        <v>6666</v>
      </c>
      <c r="B353" s="507" t="s">
        <v>3814</v>
      </c>
      <c r="C353" s="506" t="s">
        <v>32</v>
      </c>
      <c r="D353" s="508">
        <v>55001</v>
      </c>
      <c r="E353" s="507" t="s">
        <v>331</v>
      </c>
    </row>
    <row r="354" spans="1:5" ht="15" x14ac:dyDescent="0.3">
      <c r="A354" s="506">
        <v>6667</v>
      </c>
      <c r="B354" s="507" t="s">
        <v>3815</v>
      </c>
      <c r="C354" s="506" t="s">
        <v>32</v>
      </c>
      <c r="D354" s="508">
        <v>73048</v>
      </c>
      <c r="E354" s="507" t="s">
        <v>331</v>
      </c>
    </row>
    <row r="355" spans="1:5" ht="15" x14ac:dyDescent="0.3">
      <c r="A355" s="506">
        <v>6668</v>
      </c>
      <c r="B355" s="507" t="s">
        <v>3816</v>
      </c>
      <c r="C355" s="506" t="s">
        <v>32</v>
      </c>
      <c r="D355" s="508">
        <v>125084</v>
      </c>
      <c r="E355" s="507" t="s">
        <v>331</v>
      </c>
    </row>
    <row r="356" spans="1:5" ht="15" x14ac:dyDescent="0.3">
      <c r="A356" s="506">
        <v>6669</v>
      </c>
      <c r="B356" s="507" t="s">
        <v>3817</v>
      </c>
      <c r="C356" s="506" t="s">
        <v>32</v>
      </c>
      <c r="D356" s="508">
        <v>289254</v>
      </c>
      <c r="E356" s="507" t="s">
        <v>331</v>
      </c>
    </row>
    <row r="357" spans="1:5" ht="15" x14ac:dyDescent="0.3">
      <c r="A357" s="506">
        <v>6670</v>
      </c>
      <c r="B357" s="507" t="s">
        <v>3818</v>
      </c>
      <c r="C357" s="506" t="s">
        <v>32</v>
      </c>
      <c r="D357" s="508">
        <v>587743</v>
      </c>
      <c r="E357" s="507" t="s">
        <v>331</v>
      </c>
    </row>
    <row r="358" spans="1:5" ht="15" x14ac:dyDescent="0.3">
      <c r="A358" s="506">
        <v>6671</v>
      </c>
      <c r="B358" s="507" t="s">
        <v>3819</v>
      </c>
      <c r="C358" s="506" t="s">
        <v>32</v>
      </c>
      <c r="D358" s="508">
        <v>1254705</v>
      </c>
      <c r="E358" s="507" t="s">
        <v>331</v>
      </c>
    </row>
    <row r="359" spans="1:5" ht="15" x14ac:dyDescent="0.3">
      <c r="A359" s="506">
        <v>6672</v>
      </c>
      <c r="B359" s="507" t="s">
        <v>3820</v>
      </c>
      <c r="C359" s="506" t="s">
        <v>32</v>
      </c>
      <c r="D359" s="508">
        <v>1660804</v>
      </c>
      <c r="E359" s="507" t="s">
        <v>331</v>
      </c>
    </row>
    <row r="360" spans="1:5" ht="15" x14ac:dyDescent="0.3">
      <c r="A360" s="506">
        <v>6673</v>
      </c>
      <c r="B360" s="507" t="s">
        <v>3821</v>
      </c>
      <c r="C360" s="506" t="s">
        <v>32</v>
      </c>
      <c r="D360" s="508">
        <v>10710000</v>
      </c>
      <c r="E360" s="507" t="s">
        <v>6108</v>
      </c>
    </row>
    <row r="361" spans="1:5" ht="15" x14ac:dyDescent="0.3">
      <c r="A361" s="506">
        <v>6674</v>
      </c>
      <c r="B361" s="507" t="s">
        <v>3822</v>
      </c>
      <c r="C361" s="506" t="s">
        <v>32</v>
      </c>
      <c r="D361" s="508">
        <v>10948000</v>
      </c>
      <c r="E361" s="507" t="s">
        <v>6108</v>
      </c>
    </row>
    <row r="362" spans="1:5" ht="15" x14ac:dyDescent="0.3">
      <c r="A362" s="506">
        <v>6675</v>
      </c>
      <c r="B362" s="507" t="s">
        <v>3823</v>
      </c>
      <c r="C362" s="506" t="s">
        <v>32</v>
      </c>
      <c r="D362" s="508">
        <v>1023400</v>
      </c>
      <c r="E362" s="507" t="s">
        <v>6108</v>
      </c>
    </row>
    <row r="363" spans="1:5" ht="15" x14ac:dyDescent="0.3">
      <c r="A363" s="506">
        <v>6677</v>
      </c>
      <c r="B363" s="507" t="s">
        <v>3824</v>
      </c>
      <c r="C363" s="506" t="s">
        <v>32</v>
      </c>
      <c r="D363" s="508">
        <v>654500</v>
      </c>
      <c r="E363" s="507" t="s">
        <v>6108</v>
      </c>
    </row>
    <row r="364" spans="1:5" ht="15" x14ac:dyDescent="0.3">
      <c r="A364" s="506">
        <v>6679</v>
      </c>
      <c r="B364" s="507" t="s">
        <v>3825</v>
      </c>
      <c r="C364" s="506" t="s">
        <v>32</v>
      </c>
      <c r="D364" s="508">
        <v>928200</v>
      </c>
      <c r="E364" s="507" t="s">
        <v>6108</v>
      </c>
    </row>
    <row r="365" spans="1:5" ht="15" x14ac:dyDescent="0.3">
      <c r="A365" s="506">
        <v>6680</v>
      </c>
      <c r="B365" s="507" t="s">
        <v>3826</v>
      </c>
      <c r="C365" s="506" t="s">
        <v>32</v>
      </c>
      <c r="D365" s="508">
        <v>238000</v>
      </c>
      <c r="E365" s="507" t="s">
        <v>6108</v>
      </c>
    </row>
    <row r="366" spans="1:5" ht="15" x14ac:dyDescent="0.3">
      <c r="A366" s="506">
        <v>6681</v>
      </c>
      <c r="B366" s="507" t="s">
        <v>3827</v>
      </c>
      <c r="C366" s="506" t="s">
        <v>32</v>
      </c>
      <c r="D366" s="508">
        <v>4713114</v>
      </c>
      <c r="E366" s="507" t="s">
        <v>6108</v>
      </c>
    </row>
    <row r="367" spans="1:5" ht="15" x14ac:dyDescent="0.3">
      <c r="A367" s="506">
        <v>6682</v>
      </c>
      <c r="B367" s="507" t="s">
        <v>3828</v>
      </c>
      <c r="C367" s="506" t="s">
        <v>32</v>
      </c>
      <c r="D367" s="508">
        <v>226100</v>
      </c>
      <c r="E367" s="507" t="s">
        <v>6108</v>
      </c>
    </row>
    <row r="368" spans="1:5" ht="15" x14ac:dyDescent="0.3">
      <c r="A368" s="506">
        <v>6683</v>
      </c>
      <c r="B368" s="507" t="s">
        <v>3829</v>
      </c>
      <c r="C368" s="506" t="s">
        <v>32</v>
      </c>
      <c r="D368" s="508">
        <v>122166</v>
      </c>
      <c r="E368" s="507" t="s">
        <v>6108</v>
      </c>
    </row>
    <row r="369" spans="1:5" ht="15" x14ac:dyDescent="0.3">
      <c r="A369" s="506">
        <v>6684</v>
      </c>
      <c r="B369" s="507" t="s">
        <v>3830</v>
      </c>
      <c r="C369" s="506" t="s">
        <v>32</v>
      </c>
      <c r="D369" s="508">
        <v>6000</v>
      </c>
      <c r="E369" s="507" t="s">
        <v>331</v>
      </c>
    </row>
    <row r="370" spans="1:5" ht="15" x14ac:dyDescent="0.3">
      <c r="A370" s="506">
        <v>6698</v>
      </c>
      <c r="B370" s="507" t="s">
        <v>3831</v>
      </c>
      <c r="C370" s="506" t="s">
        <v>21</v>
      </c>
      <c r="D370" s="508">
        <v>7521</v>
      </c>
      <c r="E370" s="507" t="s">
        <v>6108</v>
      </c>
    </row>
    <row r="371" spans="1:5" ht="15" x14ac:dyDescent="0.3">
      <c r="A371" s="506">
        <v>6700</v>
      </c>
      <c r="B371" s="507" t="s">
        <v>3832</v>
      </c>
      <c r="C371" s="506" t="s">
        <v>21</v>
      </c>
      <c r="D371" s="508">
        <v>8383</v>
      </c>
      <c r="E371" s="507" t="s">
        <v>6108</v>
      </c>
    </row>
    <row r="372" spans="1:5" ht="15" x14ac:dyDescent="0.3">
      <c r="A372" s="506">
        <v>6701</v>
      </c>
      <c r="B372" s="507" t="s">
        <v>3833</v>
      </c>
      <c r="C372" s="506" t="s">
        <v>21</v>
      </c>
      <c r="D372" s="508">
        <v>17705</v>
      </c>
      <c r="E372" s="507" t="s">
        <v>6108</v>
      </c>
    </row>
    <row r="373" spans="1:5" ht="15" x14ac:dyDescent="0.3">
      <c r="A373" s="506">
        <v>6702</v>
      </c>
      <c r="B373" s="507" t="s">
        <v>3834</v>
      </c>
      <c r="C373" s="506" t="s">
        <v>21</v>
      </c>
      <c r="D373" s="508">
        <v>21975</v>
      </c>
      <c r="E373" s="507" t="s">
        <v>6108</v>
      </c>
    </row>
    <row r="374" spans="1:5" ht="15" x14ac:dyDescent="0.3">
      <c r="A374" s="506">
        <v>6703</v>
      </c>
      <c r="B374" s="507" t="s">
        <v>3835</v>
      </c>
      <c r="C374" s="506" t="s">
        <v>21</v>
      </c>
      <c r="D374" s="508">
        <v>25129</v>
      </c>
      <c r="E374" s="507" t="s">
        <v>6108</v>
      </c>
    </row>
    <row r="375" spans="1:5" ht="15" x14ac:dyDescent="0.3">
      <c r="A375" s="506">
        <v>6704</v>
      </c>
      <c r="B375" s="507" t="s">
        <v>3836</v>
      </c>
      <c r="C375" s="506" t="s">
        <v>21</v>
      </c>
      <c r="D375" s="508">
        <v>31384</v>
      </c>
      <c r="E375" s="507" t="s">
        <v>6108</v>
      </c>
    </row>
    <row r="376" spans="1:5" ht="15" x14ac:dyDescent="0.3">
      <c r="A376" s="506">
        <v>6710</v>
      </c>
      <c r="B376" s="507" t="s">
        <v>3837</v>
      </c>
      <c r="C376" s="506" t="s">
        <v>21</v>
      </c>
      <c r="D376" s="508">
        <v>8245</v>
      </c>
      <c r="E376" s="507" t="s">
        <v>6108</v>
      </c>
    </row>
    <row r="377" spans="1:5" ht="15" x14ac:dyDescent="0.3">
      <c r="A377" s="506">
        <v>6715</v>
      </c>
      <c r="B377" s="507" t="s">
        <v>3838</v>
      </c>
      <c r="C377" s="506" t="s">
        <v>32</v>
      </c>
      <c r="D377" s="508">
        <v>25395</v>
      </c>
      <c r="E377" s="507" t="s">
        <v>331</v>
      </c>
    </row>
    <row r="378" spans="1:5" ht="15" x14ac:dyDescent="0.3">
      <c r="A378" s="506">
        <v>6722</v>
      </c>
      <c r="B378" s="507" t="s">
        <v>3839</v>
      </c>
      <c r="C378" s="506" t="s">
        <v>30</v>
      </c>
      <c r="D378" s="508">
        <v>27370</v>
      </c>
      <c r="E378" s="507" t="s">
        <v>331</v>
      </c>
    </row>
    <row r="379" spans="1:5" ht="15" x14ac:dyDescent="0.3">
      <c r="A379" s="506">
        <v>6733</v>
      </c>
      <c r="B379" s="507" t="s">
        <v>3840</v>
      </c>
      <c r="C379" s="506" t="s">
        <v>32</v>
      </c>
      <c r="D379" s="508">
        <v>968</v>
      </c>
      <c r="E379" s="507" t="s">
        <v>331</v>
      </c>
    </row>
    <row r="380" spans="1:5" ht="15" x14ac:dyDescent="0.3">
      <c r="A380" s="506">
        <v>6739</v>
      </c>
      <c r="B380" s="507" t="s">
        <v>3841</v>
      </c>
      <c r="C380" s="506" t="s">
        <v>30</v>
      </c>
      <c r="D380" s="508">
        <v>65450</v>
      </c>
      <c r="E380" s="507" t="s">
        <v>331</v>
      </c>
    </row>
    <row r="381" spans="1:5" ht="15" x14ac:dyDescent="0.3">
      <c r="A381" s="506">
        <v>6780</v>
      </c>
      <c r="B381" s="507" t="s">
        <v>3842</v>
      </c>
      <c r="C381" s="506" t="s">
        <v>3582</v>
      </c>
      <c r="D381" s="508">
        <v>90368</v>
      </c>
      <c r="E381" s="507" t="s">
        <v>6108</v>
      </c>
    </row>
    <row r="382" spans="1:5" ht="15" x14ac:dyDescent="0.3">
      <c r="A382" s="506">
        <v>6789</v>
      </c>
      <c r="B382" s="507" t="s">
        <v>3843</v>
      </c>
      <c r="C382" s="506" t="s">
        <v>670</v>
      </c>
      <c r="D382" s="508">
        <v>4665</v>
      </c>
      <c r="E382" s="507" t="s">
        <v>331</v>
      </c>
    </row>
    <row r="383" spans="1:5" ht="15" x14ac:dyDescent="0.3">
      <c r="A383" s="506">
        <v>6792</v>
      </c>
      <c r="B383" s="507" t="s">
        <v>3844</v>
      </c>
      <c r="C383" s="506" t="s">
        <v>32</v>
      </c>
      <c r="D383" s="508">
        <v>526696</v>
      </c>
      <c r="E383" s="507" t="s">
        <v>331</v>
      </c>
    </row>
    <row r="384" spans="1:5" ht="15" x14ac:dyDescent="0.3">
      <c r="A384" s="506">
        <v>6793</v>
      </c>
      <c r="B384" s="507" t="s">
        <v>3845</v>
      </c>
      <c r="C384" s="506" t="s">
        <v>32</v>
      </c>
      <c r="D384" s="508">
        <v>543830</v>
      </c>
      <c r="E384" s="507" t="s">
        <v>331</v>
      </c>
    </row>
    <row r="385" spans="1:5" ht="15" x14ac:dyDescent="0.3">
      <c r="A385" s="506">
        <v>6807</v>
      </c>
      <c r="B385" s="507" t="s">
        <v>3846</v>
      </c>
      <c r="C385" s="506" t="s">
        <v>21</v>
      </c>
      <c r="D385" s="508">
        <v>47454</v>
      </c>
      <c r="E385" s="507" t="s">
        <v>331</v>
      </c>
    </row>
    <row r="386" spans="1:5" ht="15" x14ac:dyDescent="0.3">
      <c r="A386" s="506">
        <v>6824</v>
      </c>
      <c r="B386" s="507" t="s">
        <v>3847</v>
      </c>
      <c r="C386" s="506" t="s">
        <v>670</v>
      </c>
      <c r="D386" s="508">
        <v>42</v>
      </c>
      <c r="E386" s="507" t="s">
        <v>331</v>
      </c>
    </row>
    <row r="387" spans="1:5" ht="15" x14ac:dyDescent="0.3">
      <c r="A387" s="506">
        <v>6825</v>
      </c>
      <c r="B387" s="507" t="s">
        <v>3848</v>
      </c>
      <c r="C387" s="506" t="s">
        <v>32</v>
      </c>
      <c r="D387" s="508">
        <v>281961</v>
      </c>
      <c r="E387" s="507" t="s">
        <v>6108</v>
      </c>
    </row>
    <row r="388" spans="1:5" ht="15" x14ac:dyDescent="0.3">
      <c r="A388" s="506">
        <v>6826</v>
      </c>
      <c r="B388" s="507" t="s">
        <v>3849</v>
      </c>
      <c r="C388" s="506" t="s">
        <v>32</v>
      </c>
      <c r="D388" s="508">
        <v>435504</v>
      </c>
      <c r="E388" s="507" t="s">
        <v>6108</v>
      </c>
    </row>
    <row r="389" spans="1:5" ht="15" x14ac:dyDescent="0.3">
      <c r="A389" s="506">
        <v>6830</v>
      </c>
      <c r="B389" s="507" t="s">
        <v>3850</v>
      </c>
      <c r="C389" s="506" t="s">
        <v>30</v>
      </c>
      <c r="D389" s="508">
        <v>596965</v>
      </c>
      <c r="E389" s="507" t="s">
        <v>331</v>
      </c>
    </row>
    <row r="390" spans="1:5" ht="15" x14ac:dyDescent="0.3">
      <c r="A390" s="506">
        <v>6831</v>
      </c>
      <c r="B390" s="507" t="s">
        <v>3851</v>
      </c>
      <c r="C390" s="506" t="s">
        <v>30</v>
      </c>
      <c r="D390" s="508">
        <v>617224</v>
      </c>
      <c r="E390" s="507" t="s">
        <v>331</v>
      </c>
    </row>
    <row r="391" spans="1:5" ht="15" x14ac:dyDescent="0.3">
      <c r="A391" s="506">
        <v>6832</v>
      </c>
      <c r="B391" s="507" t="s">
        <v>3852</v>
      </c>
      <c r="C391" s="506" t="s">
        <v>30</v>
      </c>
      <c r="D391" s="508">
        <v>637483</v>
      </c>
      <c r="E391" s="507" t="s">
        <v>331</v>
      </c>
    </row>
    <row r="392" spans="1:5" ht="15" x14ac:dyDescent="0.3">
      <c r="A392" s="506">
        <v>6834</v>
      </c>
      <c r="B392" s="507" t="s">
        <v>3853</v>
      </c>
      <c r="C392" s="506" t="s">
        <v>328</v>
      </c>
      <c r="D392" s="508">
        <v>4121</v>
      </c>
      <c r="E392" s="507" t="s">
        <v>6108</v>
      </c>
    </row>
    <row r="393" spans="1:5" ht="15" x14ac:dyDescent="0.3">
      <c r="A393" s="506">
        <v>6835</v>
      </c>
      <c r="B393" s="507" t="s">
        <v>3854</v>
      </c>
      <c r="C393" s="506" t="s">
        <v>32</v>
      </c>
      <c r="D393" s="508">
        <v>605</v>
      </c>
      <c r="E393" s="507" t="s">
        <v>331</v>
      </c>
    </row>
    <row r="394" spans="1:5" ht="15" x14ac:dyDescent="0.3">
      <c r="A394" s="506">
        <v>6846</v>
      </c>
      <c r="B394" s="507" t="s">
        <v>3855</v>
      </c>
      <c r="C394" s="506" t="s">
        <v>32</v>
      </c>
      <c r="D394" s="508">
        <v>2127</v>
      </c>
      <c r="E394" s="507" t="s">
        <v>331</v>
      </c>
    </row>
    <row r="395" spans="1:5" ht="15" x14ac:dyDescent="0.3">
      <c r="A395" s="506">
        <v>6847</v>
      </c>
      <c r="B395" s="507" t="s">
        <v>3856</v>
      </c>
      <c r="C395" s="506" t="s">
        <v>32</v>
      </c>
      <c r="D395" s="508">
        <v>2205</v>
      </c>
      <c r="E395" s="507" t="s">
        <v>331</v>
      </c>
    </row>
    <row r="396" spans="1:5" ht="15" x14ac:dyDescent="0.3">
      <c r="A396" s="506">
        <v>6853</v>
      </c>
      <c r="B396" s="507" t="s">
        <v>3857</v>
      </c>
      <c r="C396" s="506" t="s">
        <v>32</v>
      </c>
      <c r="D396" s="508">
        <v>1550</v>
      </c>
      <c r="E396" s="507" t="s">
        <v>331</v>
      </c>
    </row>
    <row r="397" spans="1:5" ht="15" x14ac:dyDescent="0.3">
      <c r="A397" s="506">
        <v>6858</v>
      </c>
      <c r="B397" s="507" t="s">
        <v>3858</v>
      </c>
      <c r="C397" s="506" t="s">
        <v>30</v>
      </c>
      <c r="D397" s="508">
        <v>790086</v>
      </c>
      <c r="E397" s="507" t="s">
        <v>331</v>
      </c>
    </row>
    <row r="398" spans="1:5" ht="15" x14ac:dyDescent="0.3">
      <c r="A398" s="506">
        <v>6859</v>
      </c>
      <c r="B398" s="507" t="s">
        <v>3859</v>
      </c>
      <c r="C398" s="506" t="s">
        <v>30</v>
      </c>
      <c r="D398" s="508">
        <v>755166</v>
      </c>
      <c r="E398" s="507" t="s">
        <v>331</v>
      </c>
    </row>
    <row r="399" spans="1:5" ht="15" x14ac:dyDescent="0.3">
      <c r="A399" s="506">
        <v>6861</v>
      </c>
      <c r="B399" s="507" t="s">
        <v>3860</v>
      </c>
      <c r="C399" s="506" t="s">
        <v>21</v>
      </c>
      <c r="D399" s="508">
        <v>82490</v>
      </c>
      <c r="E399" s="507" t="s">
        <v>331</v>
      </c>
    </row>
    <row r="400" spans="1:5" ht="15" x14ac:dyDescent="0.3">
      <c r="A400" s="506">
        <v>6863</v>
      </c>
      <c r="B400" s="507" t="s">
        <v>3861</v>
      </c>
      <c r="C400" s="506" t="s">
        <v>32</v>
      </c>
      <c r="D400" s="508">
        <v>48510</v>
      </c>
      <c r="E400" s="507" t="s">
        <v>331</v>
      </c>
    </row>
    <row r="401" spans="1:5" ht="15" x14ac:dyDescent="0.3">
      <c r="A401" s="506">
        <v>6865</v>
      </c>
      <c r="B401" s="507" t="s">
        <v>3862</v>
      </c>
      <c r="C401" s="506" t="s">
        <v>30</v>
      </c>
      <c r="D401" s="508">
        <v>592629</v>
      </c>
      <c r="E401" s="507" t="s">
        <v>331</v>
      </c>
    </row>
    <row r="402" spans="1:5" ht="15" x14ac:dyDescent="0.3">
      <c r="A402" s="506">
        <v>6867</v>
      </c>
      <c r="B402" s="507" t="s">
        <v>3863</v>
      </c>
      <c r="C402" s="506" t="s">
        <v>979</v>
      </c>
      <c r="D402" s="508">
        <v>607987</v>
      </c>
      <c r="E402" s="507" t="s">
        <v>331</v>
      </c>
    </row>
    <row r="403" spans="1:5" ht="15" x14ac:dyDescent="0.3">
      <c r="A403" s="506">
        <v>6875</v>
      </c>
      <c r="B403" s="507" t="s">
        <v>3864</v>
      </c>
      <c r="C403" s="506" t="s">
        <v>670</v>
      </c>
      <c r="D403" s="508">
        <v>5691</v>
      </c>
      <c r="E403" s="507" t="s">
        <v>331</v>
      </c>
    </row>
    <row r="404" spans="1:5" ht="15" x14ac:dyDescent="0.3">
      <c r="A404" s="506">
        <v>6878</v>
      </c>
      <c r="B404" s="507" t="s">
        <v>3865</v>
      </c>
      <c r="C404" s="506" t="s">
        <v>2265</v>
      </c>
      <c r="D404" s="508">
        <v>2000</v>
      </c>
      <c r="E404" s="507" t="s">
        <v>331</v>
      </c>
    </row>
    <row r="405" spans="1:5" ht="15" x14ac:dyDescent="0.3">
      <c r="A405" s="506">
        <v>6884</v>
      </c>
      <c r="B405" s="507" t="s">
        <v>3866</v>
      </c>
      <c r="C405" s="506" t="s">
        <v>32</v>
      </c>
      <c r="D405" s="508">
        <v>3093167</v>
      </c>
      <c r="E405" s="507" t="s">
        <v>6108</v>
      </c>
    </row>
    <row r="406" spans="1:5" ht="15" x14ac:dyDescent="0.3">
      <c r="A406" s="506">
        <v>6889</v>
      </c>
      <c r="B406" s="507" t="s">
        <v>3867</v>
      </c>
      <c r="C406" s="506" t="s">
        <v>328</v>
      </c>
      <c r="D406" s="508">
        <v>915</v>
      </c>
      <c r="E406" s="507" t="s">
        <v>6108</v>
      </c>
    </row>
    <row r="407" spans="1:5" ht="15" x14ac:dyDescent="0.3">
      <c r="A407" s="506">
        <v>6914</v>
      </c>
      <c r="B407" s="507" t="s">
        <v>3868</v>
      </c>
      <c r="C407" s="506" t="s">
        <v>670</v>
      </c>
      <c r="D407" s="508">
        <v>11034</v>
      </c>
      <c r="E407" s="507" t="s">
        <v>6108</v>
      </c>
    </row>
    <row r="408" spans="1:5" ht="15" x14ac:dyDescent="0.3">
      <c r="A408" s="506">
        <v>6919</v>
      </c>
      <c r="B408" s="507" t="s">
        <v>3869</v>
      </c>
      <c r="C408" s="506" t="s">
        <v>3579</v>
      </c>
      <c r="D408" s="508">
        <v>279400</v>
      </c>
      <c r="E408" s="507" t="s">
        <v>6108</v>
      </c>
    </row>
    <row r="409" spans="1:5" ht="15" x14ac:dyDescent="0.3">
      <c r="A409" s="506">
        <v>6944</v>
      </c>
      <c r="B409" s="507" t="s">
        <v>3870</v>
      </c>
      <c r="C409" s="506" t="s">
        <v>32</v>
      </c>
      <c r="D409" s="508">
        <v>499800</v>
      </c>
      <c r="E409" s="507" t="s">
        <v>331</v>
      </c>
    </row>
    <row r="410" spans="1:5" ht="15" x14ac:dyDescent="0.3">
      <c r="A410" s="506">
        <v>6958</v>
      </c>
      <c r="B410" s="507" t="s">
        <v>3871</v>
      </c>
      <c r="C410" s="506" t="s">
        <v>21</v>
      </c>
      <c r="D410" s="508">
        <v>19656</v>
      </c>
      <c r="E410" s="507" t="s">
        <v>6108</v>
      </c>
    </row>
    <row r="411" spans="1:5" ht="15" x14ac:dyDescent="0.3">
      <c r="A411" s="506">
        <v>6962</v>
      </c>
      <c r="B411" s="507" t="s">
        <v>3872</v>
      </c>
      <c r="C411" s="506" t="s">
        <v>3596</v>
      </c>
      <c r="D411" s="508">
        <v>2380</v>
      </c>
      <c r="E411" s="507" t="s">
        <v>331</v>
      </c>
    </row>
    <row r="412" spans="1:5" ht="15" x14ac:dyDescent="0.3">
      <c r="A412" s="506">
        <v>6963</v>
      </c>
      <c r="B412" s="507" t="s">
        <v>3873</v>
      </c>
      <c r="C412" s="506" t="s">
        <v>3596</v>
      </c>
      <c r="D412" s="508">
        <v>2380</v>
      </c>
      <c r="E412" s="507" t="s">
        <v>331</v>
      </c>
    </row>
    <row r="413" spans="1:5" ht="15" x14ac:dyDescent="0.3">
      <c r="A413" s="506">
        <v>6964</v>
      </c>
      <c r="B413" s="507" t="s">
        <v>3874</v>
      </c>
      <c r="C413" s="506" t="s">
        <v>3596</v>
      </c>
      <c r="D413" s="508">
        <v>2660</v>
      </c>
      <c r="E413" s="507" t="s">
        <v>331</v>
      </c>
    </row>
    <row r="414" spans="1:5" ht="15" x14ac:dyDescent="0.3">
      <c r="A414" s="506">
        <v>7004</v>
      </c>
      <c r="B414" s="507" t="s">
        <v>3875</v>
      </c>
      <c r="C414" s="506" t="s">
        <v>30</v>
      </c>
      <c r="D414" s="508">
        <v>53550</v>
      </c>
      <c r="E414" s="507" t="s">
        <v>331</v>
      </c>
    </row>
    <row r="415" spans="1:5" ht="15" x14ac:dyDescent="0.3">
      <c r="A415" s="506">
        <v>7005</v>
      </c>
      <c r="B415" s="507" t="s">
        <v>3876</v>
      </c>
      <c r="C415" s="506" t="s">
        <v>30</v>
      </c>
      <c r="D415" s="508">
        <v>19040</v>
      </c>
      <c r="E415" s="507" t="s">
        <v>331</v>
      </c>
    </row>
    <row r="416" spans="1:5" ht="15" x14ac:dyDescent="0.3">
      <c r="A416" s="506">
        <v>7009</v>
      </c>
      <c r="B416" s="507" t="s">
        <v>3877</v>
      </c>
      <c r="C416" s="506" t="s">
        <v>3582</v>
      </c>
      <c r="D416" s="508">
        <v>107849</v>
      </c>
      <c r="E416" s="507" t="s">
        <v>6108</v>
      </c>
    </row>
    <row r="417" spans="1:5" ht="15" x14ac:dyDescent="0.3">
      <c r="A417" s="506">
        <v>7012</v>
      </c>
      <c r="B417" s="507" t="s">
        <v>3878</v>
      </c>
      <c r="C417" s="506" t="s">
        <v>32</v>
      </c>
      <c r="D417" s="508">
        <v>1272</v>
      </c>
      <c r="E417" s="507" t="s">
        <v>331</v>
      </c>
    </row>
    <row r="418" spans="1:5" ht="15" x14ac:dyDescent="0.3">
      <c r="A418" s="506">
        <v>7018</v>
      </c>
      <c r="B418" s="507" t="s">
        <v>3879</v>
      </c>
      <c r="C418" s="506" t="s">
        <v>3579</v>
      </c>
      <c r="D418" s="508">
        <v>365104</v>
      </c>
      <c r="E418" s="507" t="s">
        <v>6108</v>
      </c>
    </row>
    <row r="419" spans="1:5" ht="15" x14ac:dyDescent="0.3">
      <c r="A419" s="506">
        <v>7019</v>
      </c>
      <c r="B419" s="507" t="s">
        <v>3880</v>
      </c>
      <c r="C419" s="506" t="s">
        <v>3579</v>
      </c>
      <c r="D419" s="508">
        <v>15861</v>
      </c>
      <c r="E419" s="507" t="s">
        <v>331</v>
      </c>
    </row>
    <row r="420" spans="1:5" ht="15" x14ac:dyDescent="0.3">
      <c r="A420" s="506">
        <v>7020</v>
      </c>
      <c r="B420" s="507" t="s">
        <v>6189</v>
      </c>
      <c r="C420" s="506" t="s">
        <v>32</v>
      </c>
      <c r="D420" s="508">
        <v>164639</v>
      </c>
      <c r="E420" s="507" t="s">
        <v>6108</v>
      </c>
    </row>
    <row r="421" spans="1:5" ht="15" x14ac:dyDescent="0.3">
      <c r="A421" s="506">
        <v>7021</v>
      </c>
      <c r="B421" s="507" t="s">
        <v>3881</v>
      </c>
      <c r="C421" s="506" t="s">
        <v>32</v>
      </c>
      <c r="D421" s="508">
        <v>159991</v>
      </c>
      <c r="E421" s="507" t="s">
        <v>6108</v>
      </c>
    </row>
    <row r="422" spans="1:5" ht="15" x14ac:dyDescent="0.3">
      <c r="A422" s="506">
        <v>7022</v>
      </c>
      <c r="B422" s="507" t="s">
        <v>3882</v>
      </c>
      <c r="C422" s="506" t="s">
        <v>32</v>
      </c>
      <c r="D422" s="508">
        <v>192810</v>
      </c>
      <c r="E422" s="507" t="s">
        <v>6108</v>
      </c>
    </row>
    <row r="423" spans="1:5" ht="15" x14ac:dyDescent="0.3">
      <c r="A423" s="506">
        <v>7023</v>
      </c>
      <c r="B423" s="507" t="s">
        <v>3883</v>
      </c>
      <c r="C423" s="506" t="s">
        <v>32</v>
      </c>
      <c r="D423" s="508">
        <v>284721</v>
      </c>
      <c r="E423" s="507" t="s">
        <v>6108</v>
      </c>
    </row>
    <row r="424" spans="1:5" ht="15" x14ac:dyDescent="0.3">
      <c r="A424" s="506">
        <v>7024</v>
      </c>
      <c r="B424" s="507" t="s">
        <v>3884</v>
      </c>
      <c r="C424" s="506" t="s">
        <v>32</v>
      </c>
      <c r="D424" s="508">
        <v>277592</v>
      </c>
      <c r="E424" s="507" t="s">
        <v>6108</v>
      </c>
    </row>
    <row r="425" spans="1:5" ht="15" x14ac:dyDescent="0.3">
      <c r="A425" s="506">
        <v>7025</v>
      </c>
      <c r="B425" s="507" t="s">
        <v>3885</v>
      </c>
      <c r="C425" s="506" t="s">
        <v>32</v>
      </c>
      <c r="D425" s="508">
        <v>561915</v>
      </c>
      <c r="E425" s="507" t="s">
        <v>6108</v>
      </c>
    </row>
    <row r="426" spans="1:5" ht="15" x14ac:dyDescent="0.3">
      <c r="A426" s="506">
        <v>7026</v>
      </c>
      <c r="B426" s="507" t="s">
        <v>3886</v>
      </c>
      <c r="C426" s="506" t="s">
        <v>32</v>
      </c>
      <c r="D426" s="508">
        <v>826211</v>
      </c>
      <c r="E426" s="507" t="s">
        <v>6108</v>
      </c>
    </row>
    <row r="427" spans="1:5" ht="15" x14ac:dyDescent="0.3">
      <c r="A427" s="506">
        <v>7041</v>
      </c>
      <c r="B427" s="507" t="s">
        <v>3887</v>
      </c>
      <c r="C427" s="506" t="s">
        <v>32</v>
      </c>
      <c r="D427" s="508">
        <v>1530530</v>
      </c>
      <c r="E427" s="507" t="s">
        <v>331</v>
      </c>
    </row>
    <row r="428" spans="1:5" ht="15" x14ac:dyDescent="0.3">
      <c r="A428" s="506">
        <v>7050</v>
      </c>
      <c r="B428" s="507" t="s">
        <v>3888</v>
      </c>
      <c r="C428" s="506" t="s">
        <v>979</v>
      </c>
      <c r="D428" s="508">
        <v>16529</v>
      </c>
      <c r="E428" s="507" t="s">
        <v>6109</v>
      </c>
    </row>
    <row r="429" spans="1:5" ht="15" x14ac:dyDescent="0.3">
      <c r="A429" s="506">
        <v>7055</v>
      </c>
      <c r="B429" s="507" t="s">
        <v>3889</v>
      </c>
      <c r="C429" s="506" t="s">
        <v>670</v>
      </c>
      <c r="D429" s="508">
        <v>1156</v>
      </c>
      <c r="E429" s="507" t="s">
        <v>331</v>
      </c>
    </row>
    <row r="430" spans="1:5" ht="15" x14ac:dyDescent="0.3">
      <c r="A430" s="506">
        <v>7057</v>
      </c>
      <c r="B430" s="507" t="s">
        <v>3890</v>
      </c>
      <c r="C430" s="506" t="s">
        <v>979</v>
      </c>
      <c r="D430" s="508">
        <v>13284</v>
      </c>
      <c r="E430" s="507" t="s">
        <v>6109</v>
      </c>
    </row>
    <row r="431" spans="1:5" ht="15" x14ac:dyDescent="0.3">
      <c r="A431" s="506">
        <v>7071</v>
      </c>
      <c r="B431" s="507" t="s">
        <v>3891</v>
      </c>
      <c r="C431" s="506" t="s">
        <v>3596</v>
      </c>
      <c r="D431" s="508">
        <v>1964</v>
      </c>
      <c r="E431" s="507" t="s">
        <v>331</v>
      </c>
    </row>
    <row r="432" spans="1:5" ht="15" x14ac:dyDescent="0.3">
      <c r="A432" s="506">
        <v>7080</v>
      </c>
      <c r="B432" s="507" t="s">
        <v>3892</v>
      </c>
      <c r="C432" s="506" t="s">
        <v>328</v>
      </c>
      <c r="D432" s="508">
        <v>38436</v>
      </c>
      <c r="E432" s="507" t="s">
        <v>331</v>
      </c>
    </row>
    <row r="433" spans="1:5" ht="15" x14ac:dyDescent="0.3">
      <c r="A433" s="506">
        <v>7081</v>
      </c>
      <c r="B433" s="507" t="s">
        <v>3893</v>
      </c>
      <c r="C433" s="506" t="s">
        <v>328</v>
      </c>
      <c r="D433" s="508">
        <v>80651</v>
      </c>
      <c r="E433" s="507" t="s">
        <v>331</v>
      </c>
    </row>
    <row r="434" spans="1:5" ht="15" x14ac:dyDescent="0.3">
      <c r="A434" s="506">
        <v>7082</v>
      </c>
      <c r="B434" s="507" t="s">
        <v>3894</v>
      </c>
      <c r="C434" s="506" t="s">
        <v>32</v>
      </c>
      <c r="D434" s="508">
        <v>1600671</v>
      </c>
      <c r="E434" s="507" t="s">
        <v>331</v>
      </c>
    </row>
    <row r="435" spans="1:5" ht="15" x14ac:dyDescent="0.3">
      <c r="A435" s="506">
        <v>7084</v>
      </c>
      <c r="B435" s="507" t="s">
        <v>3895</v>
      </c>
      <c r="C435" s="506" t="s">
        <v>32</v>
      </c>
      <c r="D435" s="508">
        <v>1088510</v>
      </c>
      <c r="E435" s="507" t="s">
        <v>331</v>
      </c>
    </row>
    <row r="436" spans="1:5" ht="15" x14ac:dyDescent="0.3">
      <c r="A436" s="506">
        <v>7085</v>
      </c>
      <c r="B436" s="507" t="s">
        <v>3896</v>
      </c>
      <c r="C436" s="506" t="s">
        <v>32</v>
      </c>
      <c r="D436" s="508">
        <v>1457296</v>
      </c>
      <c r="E436" s="507" t="s">
        <v>331</v>
      </c>
    </row>
    <row r="437" spans="1:5" ht="15" x14ac:dyDescent="0.3">
      <c r="A437" s="506">
        <v>7086</v>
      </c>
      <c r="B437" s="507" t="s">
        <v>3897</v>
      </c>
      <c r="C437" s="506" t="s">
        <v>32</v>
      </c>
      <c r="D437" s="508">
        <v>805271</v>
      </c>
      <c r="E437" s="507" t="s">
        <v>331</v>
      </c>
    </row>
    <row r="438" spans="1:5" ht="15" x14ac:dyDescent="0.3">
      <c r="A438" s="506">
        <v>7087</v>
      </c>
      <c r="B438" s="507" t="s">
        <v>3898</v>
      </c>
      <c r="C438" s="506" t="s">
        <v>32</v>
      </c>
      <c r="D438" s="508">
        <v>559313</v>
      </c>
      <c r="E438" s="507" t="s">
        <v>331</v>
      </c>
    </row>
    <row r="439" spans="1:5" ht="15" x14ac:dyDescent="0.3">
      <c r="A439" s="506">
        <v>7088</v>
      </c>
      <c r="B439" s="507" t="s">
        <v>3899</v>
      </c>
      <c r="C439" s="506" t="s">
        <v>670</v>
      </c>
      <c r="D439" s="508">
        <v>4665</v>
      </c>
      <c r="E439" s="507" t="s">
        <v>331</v>
      </c>
    </row>
    <row r="440" spans="1:5" ht="15" x14ac:dyDescent="0.3">
      <c r="A440" s="506">
        <v>7089</v>
      </c>
      <c r="B440" s="507" t="s">
        <v>3900</v>
      </c>
      <c r="C440" s="506" t="s">
        <v>32</v>
      </c>
      <c r="D440" s="508">
        <v>623660</v>
      </c>
      <c r="E440" s="507" t="s">
        <v>331</v>
      </c>
    </row>
    <row r="441" spans="1:5" ht="15" x14ac:dyDescent="0.3">
      <c r="A441" s="506">
        <v>7091</v>
      </c>
      <c r="B441" s="507" t="s">
        <v>3901</v>
      </c>
      <c r="C441" s="506" t="s">
        <v>32</v>
      </c>
      <c r="D441" s="508">
        <v>1851353</v>
      </c>
      <c r="E441" s="507" t="s">
        <v>331</v>
      </c>
    </row>
    <row r="442" spans="1:5" ht="15" x14ac:dyDescent="0.3">
      <c r="A442" s="506">
        <v>7092</v>
      </c>
      <c r="B442" s="507" t="s">
        <v>3902</v>
      </c>
      <c r="C442" s="506" t="s">
        <v>32</v>
      </c>
      <c r="D442" s="508">
        <v>2485168</v>
      </c>
      <c r="E442" s="507" t="s">
        <v>331</v>
      </c>
    </row>
    <row r="443" spans="1:5" ht="15" x14ac:dyDescent="0.3">
      <c r="A443" s="506">
        <v>7093</v>
      </c>
      <c r="B443" s="507" t="s">
        <v>3903</v>
      </c>
      <c r="C443" s="506" t="s">
        <v>32</v>
      </c>
      <c r="D443" s="508">
        <v>2876720</v>
      </c>
      <c r="E443" s="507" t="s">
        <v>331</v>
      </c>
    </row>
    <row r="444" spans="1:5" ht="15" x14ac:dyDescent="0.3">
      <c r="A444" s="506">
        <v>7094</v>
      </c>
      <c r="B444" s="507" t="s">
        <v>3904</v>
      </c>
      <c r="C444" s="506" t="s">
        <v>32</v>
      </c>
      <c r="D444" s="508">
        <v>3983182</v>
      </c>
      <c r="E444" s="507" t="s">
        <v>331</v>
      </c>
    </row>
    <row r="445" spans="1:5" ht="15" x14ac:dyDescent="0.3">
      <c r="A445" s="506">
        <v>7096</v>
      </c>
      <c r="B445" s="507" t="s">
        <v>3905</v>
      </c>
      <c r="C445" s="506" t="s">
        <v>32</v>
      </c>
      <c r="D445" s="508">
        <v>1881348</v>
      </c>
      <c r="E445" s="507" t="s">
        <v>331</v>
      </c>
    </row>
    <row r="446" spans="1:5" ht="15" x14ac:dyDescent="0.3">
      <c r="A446" s="506">
        <v>7097</v>
      </c>
      <c r="B446" s="507" t="s">
        <v>3906</v>
      </c>
      <c r="C446" s="506" t="s">
        <v>32</v>
      </c>
      <c r="D446" s="508">
        <v>2907016</v>
      </c>
      <c r="E446" s="507" t="s">
        <v>331</v>
      </c>
    </row>
    <row r="447" spans="1:5" ht="15" x14ac:dyDescent="0.3">
      <c r="A447" s="506">
        <v>7098</v>
      </c>
      <c r="B447" s="507" t="s">
        <v>3907</v>
      </c>
      <c r="C447" s="506" t="s">
        <v>32</v>
      </c>
      <c r="D447" s="508">
        <v>3693375</v>
      </c>
      <c r="E447" s="507" t="s">
        <v>331</v>
      </c>
    </row>
    <row r="448" spans="1:5" ht="15" x14ac:dyDescent="0.3">
      <c r="A448" s="506">
        <v>7099</v>
      </c>
      <c r="B448" s="507" t="s">
        <v>3908</v>
      </c>
      <c r="C448" s="506" t="s">
        <v>32</v>
      </c>
      <c r="D448" s="508">
        <v>3821573</v>
      </c>
      <c r="E448" s="507" t="s">
        <v>331</v>
      </c>
    </row>
    <row r="449" spans="1:5" ht="15" x14ac:dyDescent="0.3">
      <c r="A449" s="506">
        <v>7101</v>
      </c>
      <c r="B449" s="507" t="s">
        <v>3909</v>
      </c>
      <c r="C449" s="506" t="s">
        <v>32</v>
      </c>
      <c r="D449" s="508">
        <v>1030260</v>
      </c>
      <c r="E449" s="507" t="s">
        <v>331</v>
      </c>
    </row>
    <row r="450" spans="1:5" ht="15" x14ac:dyDescent="0.3">
      <c r="A450" s="506">
        <v>7104</v>
      </c>
      <c r="B450" s="507" t="s">
        <v>3910</v>
      </c>
      <c r="C450" s="506" t="s">
        <v>32</v>
      </c>
      <c r="D450" s="508">
        <v>378392</v>
      </c>
      <c r="E450" s="507" t="s">
        <v>331</v>
      </c>
    </row>
    <row r="451" spans="1:5" ht="15" x14ac:dyDescent="0.3">
      <c r="A451" s="506">
        <v>7105</v>
      </c>
      <c r="B451" s="507" t="s">
        <v>3911</v>
      </c>
      <c r="C451" s="506" t="s">
        <v>328</v>
      </c>
      <c r="D451" s="508">
        <v>14753</v>
      </c>
      <c r="E451" s="507" t="s">
        <v>331</v>
      </c>
    </row>
    <row r="452" spans="1:5" ht="15" x14ac:dyDescent="0.3">
      <c r="A452" s="506">
        <v>7106</v>
      </c>
      <c r="B452" s="507" t="s">
        <v>3912</v>
      </c>
      <c r="C452" s="506" t="s">
        <v>328</v>
      </c>
      <c r="D452" s="508">
        <v>26064</v>
      </c>
      <c r="E452" s="507" t="s">
        <v>331</v>
      </c>
    </row>
    <row r="453" spans="1:5" ht="15" x14ac:dyDescent="0.3">
      <c r="A453" s="506">
        <v>7107</v>
      </c>
      <c r="B453" s="507" t="s">
        <v>3913</v>
      </c>
      <c r="C453" s="506" t="s">
        <v>328</v>
      </c>
      <c r="D453" s="508">
        <v>58068</v>
      </c>
      <c r="E453" s="507" t="s">
        <v>331</v>
      </c>
    </row>
    <row r="454" spans="1:5" ht="15" x14ac:dyDescent="0.3">
      <c r="A454" s="506">
        <v>7109</v>
      </c>
      <c r="B454" s="507" t="s">
        <v>3914</v>
      </c>
      <c r="C454" s="506" t="s">
        <v>328</v>
      </c>
      <c r="D454" s="508">
        <v>20206</v>
      </c>
      <c r="E454" s="507" t="s">
        <v>331</v>
      </c>
    </row>
    <row r="455" spans="1:5" ht="15" x14ac:dyDescent="0.3">
      <c r="A455" s="506">
        <v>7110</v>
      </c>
      <c r="B455" s="507" t="s">
        <v>3915</v>
      </c>
      <c r="C455" s="506" t="s">
        <v>328</v>
      </c>
      <c r="D455" s="508">
        <v>35129</v>
      </c>
      <c r="E455" s="507" t="s">
        <v>331</v>
      </c>
    </row>
    <row r="456" spans="1:5" ht="15" x14ac:dyDescent="0.3">
      <c r="A456" s="506">
        <v>7111</v>
      </c>
      <c r="B456" s="507" t="s">
        <v>3916</v>
      </c>
      <c r="C456" s="506" t="s">
        <v>328</v>
      </c>
      <c r="D456" s="508">
        <v>80450</v>
      </c>
      <c r="E456" s="507" t="s">
        <v>331</v>
      </c>
    </row>
    <row r="457" spans="1:5" ht="15" x14ac:dyDescent="0.3">
      <c r="A457" s="506">
        <v>7114</v>
      </c>
      <c r="B457" s="507" t="s">
        <v>3917</v>
      </c>
      <c r="C457" s="506" t="s">
        <v>30</v>
      </c>
      <c r="D457" s="508">
        <v>738772</v>
      </c>
      <c r="E457" s="507" t="s">
        <v>331</v>
      </c>
    </row>
    <row r="458" spans="1:5" ht="15" x14ac:dyDescent="0.3">
      <c r="A458" s="506">
        <v>7115</v>
      </c>
      <c r="B458" s="507" t="s">
        <v>3918</v>
      </c>
      <c r="C458" s="506" t="s">
        <v>670</v>
      </c>
      <c r="D458" s="508">
        <v>11560</v>
      </c>
      <c r="E458" s="507" t="s">
        <v>6108</v>
      </c>
    </row>
    <row r="459" spans="1:5" ht="15" x14ac:dyDescent="0.3">
      <c r="A459" s="506">
        <v>7119</v>
      </c>
      <c r="B459" s="507" t="s">
        <v>3919</v>
      </c>
      <c r="C459" s="506" t="s">
        <v>328</v>
      </c>
      <c r="D459" s="508">
        <v>658308</v>
      </c>
      <c r="E459" s="507" t="s">
        <v>331</v>
      </c>
    </row>
    <row r="460" spans="1:5" ht="15" x14ac:dyDescent="0.3">
      <c r="A460" s="506">
        <v>7120</v>
      </c>
      <c r="B460" s="507" t="s">
        <v>3920</v>
      </c>
      <c r="C460" s="506" t="s">
        <v>328</v>
      </c>
      <c r="D460" s="508">
        <v>793692</v>
      </c>
      <c r="E460" s="507" t="s">
        <v>331</v>
      </c>
    </row>
    <row r="461" spans="1:5" ht="15" x14ac:dyDescent="0.3">
      <c r="A461" s="506">
        <v>7121</v>
      </c>
      <c r="B461" s="507" t="s">
        <v>3921</v>
      </c>
      <c r="C461" s="506" t="s">
        <v>328</v>
      </c>
      <c r="D461" s="508">
        <v>979846</v>
      </c>
      <c r="E461" s="507" t="s">
        <v>331</v>
      </c>
    </row>
    <row r="462" spans="1:5" ht="15" x14ac:dyDescent="0.3">
      <c r="A462" s="506">
        <v>7122</v>
      </c>
      <c r="B462" s="507" t="s">
        <v>3922</v>
      </c>
      <c r="C462" s="506" t="s">
        <v>328</v>
      </c>
      <c r="D462" s="508">
        <v>1345385</v>
      </c>
      <c r="E462" s="507" t="s">
        <v>331</v>
      </c>
    </row>
    <row r="463" spans="1:5" ht="15" x14ac:dyDescent="0.3">
      <c r="A463" s="506">
        <v>7123</v>
      </c>
      <c r="B463" s="507" t="s">
        <v>3923</v>
      </c>
      <c r="C463" s="506" t="s">
        <v>328</v>
      </c>
      <c r="D463" s="508">
        <v>1818385</v>
      </c>
      <c r="E463" s="507" t="s">
        <v>331</v>
      </c>
    </row>
    <row r="464" spans="1:5" ht="15" x14ac:dyDescent="0.3">
      <c r="A464" s="506">
        <v>7124</v>
      </c>
      <c r="B464" s="507" t="s">
        <v>3924</v>
      </c>
      <c r="C464" s="506" t="s">
        <v>328</v>
      </c>
      <c r="D464" s="508">
        <v>2435231</v>
      </c>
      <c r="E464" s="507" t="s">
        <v>331</v>
      </c>
    </row>
    <row r="465" spans="1:5" ht="15" x14ac:dyDescent="0.3">
      <c r="A465" s="506">
        <v>7125</v>
      </c>
      <c r="B465" s="507" t="s">
        <v>3925</v>
      </c>
      <c r="C465" s="506" t="s">
        <v>328</v>
      </c>
      <c r="D465" s="508">
        <v>2855769</v>
      </c>
      <c r="E465" s="507" t="s">
        <v>331</v>
      </c>
    </row>
    <row r="466" spans="1:5" ht="15" x14ac:dyDescent="0.3">
      <c r="A466" s="506">
        <v>7131</v>
      </c>
      <c r="B466" s="507" t="s">
        <v>3926</v>
      </c>
      <c r="C466" s="506" t="s">
        <v>21</v>
      </c>
      <c r="D466" s="508">
        <v>11163</v>
      </c>
      <c r="E466" s="507" t="s">
        <v>6108</v>
      </c>
    </row>
    <row r="467" spans="1:5" ht="15" x14ac:dyDescent="0.3">
      <c r="A467" s="506">
        <v>7133</v>
      </c>
      <c r="B467" s="507" t="s">
        <v>3927</v>
      </c>
      <c r="C467" s="506" t="s">
        <v>21</v>
      </c>
      <c r="D467" s="508">
        <v>26709</v>
      </c>
      <c r="E467" s="507" t="s">
        <v>6108</v>
      </c>
    </row>
    <row r="468" spans="1:5" ht="15" x14ac:dyDescent="0.3">
      <c r="A468" s="506">
        <v>7134</v>
      </c>
      <c r="B468" s="507" t="s">
        <v>3928</v>
      </c>
      <c r="C468" s="506" t="s">
        <v>21</v>
      </c>
      <c r="D468" s="508">
        <v>8935</v>
      </c>
      <c r="E468" s="507" t="s">
        <v>6108</v>
      </c>
    </row>
    <row r="469" spans="1:5" ht="15" x14ac:dyDescent="0.3">
      <c r="A469" s="506">
        <v>7135</v>
      </c>
      <c r="B469" s="507" t="s">
        <v>3929</v>
      </c>
      <c r="C469" s="506" t="s">
        <v>32</v>
      </c>
      <c r="D469" s="508">
        <v>967</v>
      </c>
      <c r="E469" s="507" t="s">
        <v>331</v>
      </c>
    </row>
    <row r="470" spans="1:5" ht="15" x14ac:dyDescent="0.3">
      <c r="A470" s="506">
        <v>7138</v>
      </c>
      <c r="B470" s="507" t="s">
        <v>3930</v>
      </c>
      <c r="C470" s="506" t="s">
        <v>32</v>
      </c>
      <c r="D470" s="508">
        <v>26197</v>
      </c>
      <c r="E470" s="507" t="s">
        <v>331</v>
      </c>
    </row>
    <row r="471" spans="1:5" ht="15" x14ac:dyDescent="0.3">
      <c r="A471" s="506">
        <v>7141</v>
      </c>
      <c r="B471" s="507" t="s">
        <v>3931</v>
      </c>
      <c r="C471" s="506" t="s">
        <v>32</v>
      </c>
      <c r="D471" s="508">
        <v>37163</v>
      </c>
      <c r="E471" s="507" t="s">
        <v>331</v>
      </c>
    </row>
    <row r="472" spans="1:5" ht="15" x14ac:dyDescent="0.3">
      <c r="A472" s="506">
        <v>7142</v>
      </c>
      <c r="B472" s="507" t="s">
        <v>3932</v>
      </c>
      <c r="C472" s="506" t="s">
        <v>328</v>
      </c>
      <c r="D472" s="508">
        <v>61930</v>
      </c>
      <c r="E472" s="507" t="s">
        <v>331</v>
      </c>
    </row>
    <row r="473" spans="1:5" ht="15" x14ac:dyDescent="0.3">
      <c r="A473" s="506">
        <v>7145</v>
      </c>
      <c r="B473" s="507" t="s">
        <v>3933</v>
      </c>
      <c r="C473" s="506" t="s">
        <v>32</v>
      </c>
      <c r="D473" s="508">
        <v>401566</v>
      </c>
      <c r="E473" s="507" t="s">
        <v>331</v>
      </c>
    </row>
    <row r="474" spans="1:5" ht="15" x14ac:dyDescent="0.3">
      <c r="A474" s="506">
        <v>7146</v>
      </c>
      <c r="B474" s="507" t="s">
        <v>3934</v>
      </c>
      <c r="C474" s="506" t="s">
        <v>979</v>
      </c>
      <c r="D474" s="508">
        <v>128468</v>
      </c>
      <c r="E474" s="507" t="s">
        <v>331</v>
      </c>
    </row>
    <row r="475" spans="1:5" ht="15" x14ac:dyDescent="0.3">
      <c r="A475" s="506">
        <v>7147</v>
      </c>
      <c r="B475" s="507" t="s">
        <v>3935</v>
      </c>
      <c r="C475" s="506" t="s">
        <v>32</v>
      </c>
      <c r="D475" s="508">
        <v>778063</v>
      </c>
      <c r="E475" s="507" t="s">
        <v>6108</v>
      </c>
    </row>
    <row r="476" spans="1:5" ht="15" x14ac:dyDescent="0.3">
      <c r="A476" s="506">
        <v>7151</v>
      </c>
      <c r="B476" s="507" t="s">
        <v>3936</v>
      </c>
      <c r="C476" s="506" t="s">
        <v>32</v>
      </c>
      <c r="D476" s="508">
        <v>1005000</v>
      </c>
      <c r="E476" s="507" t="s">
        <v>331</v>
      </c>
    </row>
    <row r="477" spans="1:5" ht="15" x14ac:dyDescent="0.3">
      <c r="A477" s="506">
        <v>7152</v>
      </c>
      <c r="B477" s="507" t="s">
        <v>3937</v>
      </c>
      <c r="C477" s="506" t="s">
        <v>32</v>
      </c>
      <c r="D477" s="508">
        <v>1676620</v>
      </c>
      <c r="E477" s="507" t="s">
        <v>331</v>
      </c>
    </row>
    <row r="478" spans="1:5" ht="15" x14ac:dyDescent="0.3">
      <c r="A478" s="506">
        <v>7153</v>
      </c>
      <c r="B478" s="507" t="s">
        <v>3938</v>
      </c>
      <c r="C478" s="506" t="s">
        <v>3596</v>
      </c>
      <c r="D478" s="508">
        <v>3420</v>
      </c>
      <c r="E478" s="507" t="s">
        <v>331</v>
      </c>
    </row>
    <row r="479" spans="1:5" ht="15" x14ac:dyDescent="0.3">
      <c r="A479" s="506">
        <v>7154</v>
      </c>
      <c r="B479" s="507" t="s">
        <v>3939</v>
      </c>
      <c r="C479" s="506" t="s">
        <v>3596</v>
      </c>
      <c r="D479" s="508">
        <v>3643</v>
      </c>
      <c r="E479" s="507" t="s">
        <v>331</v>
      </c>
    </row>
    <row r="480" spans="1:5" ht="15" x14ac:dyDescent="0.3">
      <c r="A480" s="506">
        <v>7166</v>
      </c>
      <c r="B480" s="507" t="s">
        <v>3940</v>
      </c>
      <c r="C480" s="506" t="s">
        <v>979</v>
      </c>
      <c r="D480" s="508">
        <v>680339</v>
      </c>
      <c r="E480" s="507" t="s">
        <v>331</v>
      </c>
    </row>
    <row r="481" spans="1:5" ht="15" x14ac:dyDescent="0.3">
      <c r="A481" s="506">
        <v>7172</v>
      </c>
      <c r="B481" s="507" t="s">
        <v>3941</v>
      </c>
      <c r="C481" s="506" t="s">
        <v>30</v>
      </c>
      <c r="D481" s="508">
        <v>991602</v>
      </c>
      <c r="E481" s="507" t="s">
        <v>331</v>
      </c>
    </row>
    <row r="482" spans="1:5" ht="15" x14ac:dyDescent="0.3">
      <c r="A482" s="506">
        <v>7174</v>
      </c>
      <c r="B482" s="507" t="s">
        <v>3942</v>
      </c>
      <c r="C482" s="506" t="s">
        <v>30</v>
      </c>
      <c r="D482" s="508">
        <v>1013899</v>
      </c>
      <c r="E482" s="507" t="s">
        <v>331</v>
      </c>
    </row>
    <row r="483" spans="1:5" ht="15" x14ac:dyDescent="0.3">
      <c r="A483" s="506">
        <v>7181</v>
      </c>
      <c r="B483" s="507" t="s">
        <v>3943</v>
      </c>
      <c r="C483" s="506" t="s">
        <v>30</v>
      </c>
      <c r="D483" s="508">
        <v>1129350</v>
      </c>
      <c r="E483" s="507" t="s">
        <v>331</v>
      </c>
    </row>
    <row r="484" spans="1:5" ht="15" x14ac:dyDescent="0.3">
      <c r="A484" s="506">
        <v>7199</v>
      </c>
      <c r="B484" s="507" t="s">
        <v>3944</v>
      </c>
      <c r="C484" s="506" t="s">
        <v>30</v>
      </c>
      <c r="D484" s="508">
        <v>640872</v>
      </c>
      <c r="E484" s="507" t="s">
        <v>331</v>
      </c>
    </row>
    <row r="485" spans="1:5" ht="15" x14ac:dyDescent="0.3">
      <c r="A485" s="506">
        <v>7200</v>
      </c>
      <c r="B485" s="507" t="s">
        <v>3945</v>
      </c>
      <c r="C485" s="506" t="s">
        <v>30</v>
      </c>
      <c r="D485" s="508">
        <v>607363</v>
      </c>
      <c r="E485" s="507" t="s">
        <v>331</v>
      </c>
    </row>
    <row r="486" spans="1:5" ht="15" x14ac:dyDescent="0.3">
      <c r="A486" s="506">
        <v>7202</v>
      </c>
      <c r="B486" s="507" t="s">
        <v>3946</v>
      </c>
      <c r="C486" s="506" t="s">
        <v>670</v>
      </c>
      <c r="D486" s="508">
        <v>6069</v>
      </c>
      <c r="E486" s="507" t="s">
        <v>331</v>
      </c>
    </row>
    <row r="487" spans="1:5" ht="15" x14ac:dyDescent="0.3">
      <c r="A487" s="506">
        <v>7203</v>
      </c>
      <c r="B487" s="507" t="s">
        <v>3947</v>
      </c>
      <c r="C487" s="506" t="s">
        <v>670</v>
      </c>
      <c r="D487" s="508">
        <v>6069</v>
      </c>
      <c r="E487" s="507" t="s">
        <v>331</v>
      </c>
    </row>
    <row r="488" spans="1:5" ht="15" x14ac:dyDescent="0.3">
      <c r="A488" s="506">
        <v>7204</v>
      </c>
      <c r="B488" s="507" t="s">
        <v>3948</v>
      </c>
      <c r="C488" s="506" t="s">
        <v>670</v>
      </c>
      <c r="D488" s="508">
        <v>6069</v>
      </c>
      <c r="E488" s="507" t="s">
        <v>331</v>
      </c>
    </row>
    <row r="489" spans="1:5" ht="15" x14ac:dyDescent="0.3">
      <c r="A489" s="506">
        <v>7205</v>
      </c>
      <c r="B489" s="507" t="s">
        <v>3949</v>
      </c>
      <c r="C489" s="506" t="s">
        <v>670</v>
      </c>
      <c r="D489" s="508">
        <v>6069</v>
      </c>
      <c r="E489" s="507" t="s">
        <v>331</v>
      </c>
    </row>
    <row r="490" spans="1:5" ht="15" x14ac:dyDescent="0.3">
      <c r="A490" s="506">
        <v>7206</v>
      </c>
      <c r="B490" s="507" t="s">
        <v>3950</v>
      </c>
      <c r="C490" s="506" t="s">
        <v>670</v>
      </c>
      <c r="D490" s="508">
        <v>6069</v>
      </c>
      <c r="E490" s="507" t="s">
        <v>331</v>
      </c>
    </row>
    <row r="491" spans="1:5" ht="15" x14ac:dyDescent="0.3">
      <c r="A491" s="506">
        <v>7207</v>
      </c>
      <c r="B491" s="507" t="s">
        <v>3951</v>
      </c>
      <c r="C491" s="506" t="s">
        <v>670</v>
      </c>
      <c r="D491" s="508">
        <v>6069</v>
      </c>
      <c r="E491" s="507" t="s">
        <v>331</v>
      </c>
    </row>
    <row r="492" spans="1:5" ht="15" x14ac:dyDescent="0.3">
      <c r="A492" s="506">
        <v>7208</v>
      </c>
      <c r="B492" s="507" t="s">
        <v>3952</v>
      </c>
      <c r="C492" s="506" t="s">
        <v>670</v>
      </c>
      <c r="D492" s="508">
        <v>6069</v>
      </c>
      <c r="E492" s="507" t="s">
        <v>331</v>
      </c>
    </row>
    <row r="493" spans="1:5" ht="15" x14ac:dyDescent="0.3">
      <c r="A493" s="506">
        <v>7216</v>
      </c>
      <c r="B493" s="507" t="s">
        <v>3953</v>
      </c>
      <c r="C493" s="506" t="s">
        <v>21</v>
      </c>
      <c r="D493" s="508">
        <v>153152</v>
      </c>
      <c r="E493" s="507" t="s">
        <v>6108</v>
      </c>
    </row>
    <row r="494" spans="1:5" ht="15" x14ac:dyDescent="0.3">
      <c r="A494" s="506">
        <v>7219</v>
      </c>
      <c r="B494" s="507" t="s">
        <v>3954</v>
      </c>
      <c r="C494" s="506" t="s">
        <v>32</v>
      </c>
      <c r="D494" s="508">
        <v>919766</v>
      </c>
      <c r="E494" s="507" t="s">
        <v>331</v>
      </c>
    </row>
    <row r="495" spans="1:5" ht="15" x14ac:dyDescent="0.3">
      <c r="A495" s="506">
        <v>7224</v>
      </c>
      <c r="B495" s="507" t="s">
        <v>3955</v>
      </c>
      <c r="C495" s="506" t="s">
        <v>32</v>
      </c>
      <c r="D495" s="508">
        <v>382240</v>
      </c>
      <c r="E495" s="507" t="s">
        <v>331</v>
      </c>
    </row>
    <row r="496" spans="1:5" ht="15" x14ac:dyDescent="0.3">
      <c r="A496" s="506">
        <v>7227</v>
      </c>
      <c r="B496" s="507" t="s">
        <v>3956</v>
      </c>
      <c r="C496" s="506" t="s">
        <v>32</v>
      </c>
      <c r="D496" s="508">
        <v>28917</v>
      </c>
      <c r="E496" s="507" t="s">
        <v>331</v>
      </c>
    </row>
    <row r="497" spans="1:5" ht="15" x14ac:dyDescent="0.3">
      <c r="A497" s="506">
        <v>7228</v>
      </c>
      <c r="B497" s="507" t="s">
        <v>3957</v>
      </c>
      <c r="C497" s="506" t="s">
        <v>32</v>
      </c>
      <c r="D497" s="508">
        <v>208992</v>
      </c>
      <c r="E497" s="507" t="s">
        <v>331</v>
      </c>
    </row>
    <row r="498" spans="1:5" ht="15" x14ac:dyDescent="0.3">
      <c r="A498" s="506">
        <v>7229</v>
      </c>
      <c r="B498" s="507" t="s">
        <v>3958</v>
      </c>
      <c r="C498" s="506" t="s">
        <v>30</v>
      </c>
      <c r="D498" s="508">
        <v>84232</v>
      </c>
      <c r="E498" s="507" t="s">
        <v>6108</v>
      </c>
    </row>
    <row r="499" spans="1:5" ht="15" x14ac:dyDescent="0.3">
      <c r="A499" s="506">
        <v>7231</v>
      </c>
      <c r="B499" s="507" t="s">
        <v>3959</v>
      </c>
      <c r="C499" s="506" t="s">
        <v>30</v>
      </c>
      <c r="D499" s="508">
        <v>7800</v>
      </c>
      <c r="E499" s="507" t="s">
        <v>331</v>
      </c>
    </row>
    <row r="500" spans="1:5" ht="15" x14ac:dyDescent="0.3">
      <c r="A500" s="506">
        <v>7236</v>
      </c>
      <c r="B500" s="507" t="s">
        <v>3960</v>
      </c>
      <c r="C500" s="506" t="s">
        <v>32</v>
      </c>
      <c r="D500" s="508">
        <v>33989</v>
      </c>
      <c r="E500" s="507" t="s">
        <v>331</v>
      </c>
    </row>
    <row r="501" spans="1:5" ht="15" x14ac:dyDescent="0.3">
      <c r="A501" s="506">
        <v>7244</v>
      </c>
      <c r="B501" s="507" t="s">
        <v>3961</v>
      </c>
      <c r="C501" s="506" t="s">
        <v>32</v>
      </c>
      <c r="D501" s="508">
        <v>18972</v>
      </c>
      <c r="E501" s="507" t="s">
        <v>331</v>
      </c>
    </row>
    <row r="502" spans="1:5" ht="15" x14ac:dyDescent="0.3">
      <c r="A502" s="506">
        <v>7245</v>
      </c>
      <c r="B502" s="507" t="s">
        <v>3962</v>
      </c>
      <c r="C502" s="506" t="s">
        <v>32</v>
      </c>
      <c r="D502" s="508">
        <v>45970</v>
      </c>
      <c r="E502" s="507" t="s">
        <v>331</v>
      </c>
    </row>
    <row r="503" spans="1:5" ht="15" x14ac:dyDescent="0.3">
      <c r="A503" s="506">
        <v>7246</v>
      </c>
      <c r="B503" s="507" t="s">
        <v>3963</v>
      </c>
      <c r="C503" s="506" t="s">
        <v>692</v>
      </c>
      <c r="D503" s="508">
        <v>139262</v>
      </c>
      <c r="E503" s="507" t="s">
        <v>6109</v>
      </c>
    </row>
    <row r="504" spans="1:5" ht="15" x14ac:dyDescent="0.3">
      <c r="A504" s="506">
        <v>7247</v>
      </c>
      <c r="B504" s="507" t="s">
        <v>3964</v>
      </c>
      <c r="C504" s="506" t="s">
        <v>979</v>
      </c>
      <c r="D504" s="508">
        <v>18990</v>
      </c>
      <c r="E504" s="507" t="s">
        <v>6109</v>
      </c>
    </row>
    <row r="505" spans="1:5" ht="15" x14ac:dyDescent="0.3">
      <c r="A505" s="506">
        <v>7248</v>
      </c>
      <c r="B505" s="507" t="s">
        <v>3965</v>
      </c>
      <c r="C505" s="506" t="s">
        <v>692</v>
      </c>
      <c r="D505" s="508">
        <v>139262</v>
      </c>
      <c r="E505" s="507" t="s">
        <v>6109</v>
      </c>
    </row>
    <row r="506" spans="1:5" ht="15" x14ac:dyDescent="0.3">
      <c r="A506" s="506">
        <v>7249</v>
      </c>
      <c r="B506" s="507" t="s">
        <v>3966</v>
      </c>
      <c r="C506" s="506" t="s">
        <v>979</v>
      </c>
      <c r="D506" s="508">
        <v>18990</v>
      </c>
      <c r="E506" s="507" t="s">
        <v>6109</v>
      </c>
    </row>
    <row r="507" spans="1:5" ht="15" x14ac:dyDescent="0.3">
      <c r="A507" s="506">
        <v>7252</v>
      </c>
      <c r="B507" s="507" t="s">
        <v>3967</v>
      </c>
      <c r="C507" s="506" t="s">
        <v>32</v>
      </c>
      <c r="D507" s="508">
        <v>35343</v>
      </c>
      <c r="E507" s="507" t="s">
        <v>6108</v>
      </c>
    </row>
    <row r="508" spans="1:5" ht="15" x14ac:dyDescent="0.3">
      <c r="A508" s="506">
        <v>7253</v>
      </c>
      <c r="B508" s="507" t="s">
        <v>3968</v>
      </c>
      <c r="C508" s="506" t="s">
        <v>32</v>
      </c>
      <c r="D508" s="508">
        <v>59976</v>
      </c>
      <c r="E508" s="507" t="s">
        <v>6108</v>
      </c>
    </row>
    <row r="509" spans="1:5" ht="15" x14ac:dyDescent="0.3">
      <c r="A509" s="506">
        <v>7254</v>
      </c>
      <c r="B509" s="507" t="s">
        <v>3969</v>
      </c>
      <c r="C509" s="506" t="s">
        <v>32</v>
      </c>
      <c r="D509" s="508">
        <v>119000</v>
      </c>
      <c r="E509" s="507" t="s">
        <v>6108</v>
      </c>
    </row>
    <row r="510" spans="1:5" ht="15" x14ac:dyDescent="0.3">
      <c r="A510" s="506">
        <v>7255</v>
      </c>
      <c r="B510" s="507" t="s">
        <v>3970</v>
      </c>
      <c r="C510" s="506" t="s">
        <v>32</v>
      </c>
      <c r="D510" s="508">
        <v>139825</v>
      </c>
      <c r="E510" s="507" t="s">
        <v>6108</v>
      </c>
    </row>
    <row r="511" spans="1:5" ht="15" x14ac:dyDescent="0.3">
      <c r="A511" s="506">
        <v>7256</v>
      </c>
      <c r="B511" s="507" t="s">
        <v>3971</v>
      </c>
      <c r="C511" s="506" t="s">
        <v>32</v>
      </c>
      <c r="D511" s="508">
        <v>14399</v>
      </c>
      <c r="E511" s="507" t="s">
        <v>6108</v>
      </c>
    </row>
    <row r="512" spans="1:5" ht="15" x14ac:dyDescent="0.3">
      <c r="A512" s="506">
        <v>7257</v>
      </c>
      <c r="B512" s="507" t="s">
        <v>3972</v>
      </c>
      <c r="C512" s="506" t="s">
        <v>32</v>
      </c>
      <c r="D512" s="508">
        <v>34510</v>
      </c>
      <c r="E512" s="507" t="s">
        <v>6108</v>
      </c>
    </row>
    <row r="513" spans="1:5" ht="15" x14ac:dyDescent="0.3">
      <c r="A513" s="506">
        <v>7258</v>
      </c>
      <c r="B513" s="507" t="s">
        <v>3973</v>
      </c>
      <c r="C513" s="506" t="s">
        <v>32</v>
      </c>
      <c r="D513" s="508">
        <v>59500</v>
      </c>
      <c r="E513" s="507" t="s">
        <v>6108</v>
      </c>
    </row>
    <row r="514" spans="1:5" ht="15" x14ac:dyDescent="0.3">
      <c r="A514" s="506">
        <v>7259</v>
      </c>
      <c r="B514" s="507" t="s">
        <v>3974</v>
      </c>
      <c r="C514" s="506" t="s">
        <v>32</v>
      </c>
      <c r="D514" s="508">
        <v>69853</v>
      </c>
      <c r="E514" s="507" t="s">
        <v>6108</v>
      </c>
    </row>
    <row r="515" spans="1:5" ht="15" x14ac:dyDescent="0.3">
      <c r="A515" s="506">
        <v>7260</v>
      </c>
      <c r="B515" s="507" t="s">
        <v>3975</v>
      </c>
      <c r="C515" s="506" t="s">
        <v>32</v>
      </c>
      <c r="D515" s="508">
        <v>7140</v>
      </c>
      <c r="E515" s="507" t="s">
        <v>6108</v>
      </c>
    </row>
    <row r="516" spans="1:5" ht="15" x14ac:dyDescent="0.3">
      <c r="A516" s="506">
        <v>7261</v>
      </c>
      <c r="B516" s="507" t="s">
        <v>3976</v>
      </c>
      <c r="C516" s="506" t="s">
        <v>32</v>
      </c>
      <c r="D516" s="508">
        <v>14994</v>
      </c>
      <c r="E516" s="507" t="s">
        <v>6108</v>
      </c>
    </row>
    <row r="517" spans="1:5" ht="15" x14ac:dyDescent="0.3">
      <c r="A517" s="506">
        <v>7262</v>
      </c>
      <c r="B517" s="507" t="s">
        <v>3977</v>
      </c>
      <c r="C517" s="506" t="s">
        <v>32</v>
      </c>
      <c r="D517" s="508">
        <v>29988</v>
      </c>
      <c r="E517" s="507" t="s">
        <v>6108</v>
      </c>
    </row>
    <row r="518" spans="1:5" ht="15" x14ac:dyDescent="0.3">
      <c r="A518" s="506">
        <v>7263</v>
      </c>
      <c r="B518" s="507" t="s">
        <v>3978</v>
      </c>
      <c r="C518" s="506" t="s">
        <v>32</v>
      </c>
      <c r="D518" s="508">
        <v>59976</v>
      </c>
      <c r="E518" s="507" t="s">
        <v>6108</v>
      </c>
    </row>
    <row r="519" spans="1:5" ht="15" x14ac:dyDescent="0.3">
      <c r="A519" s="506">
        <v>7264</v>
      </c>
      <c r="B519" s="507" t="s">
        <v>3979</v>
      </c>
      <c r="C519" s="506" t="s">
        <v>32</v>
      </c>
      <c r="D519" s="508">
        <v>119000</v>
      </c>
      <c r="E519" s="507" t="s">
        <v>6108</v>
      </c>
    </row>
    <row r="520" spans="1:5" ht="15" x14ac:dyDescent="0.3">
      <c r="A520" s="506">
        <v>7265</v>
      </c>
      <c r="B520" s="507" t="s">
        <v>3980</v>
      </c>
      <c r="C520" s="506" t="s">
        <v>32</v>
      </c>
      <c r="D520" s="508">
        <v>139825</v>
      </c>
      <c r="E520" s="507" t="s">
        <v>6108</v>
      </c>
    </row>
    <row r="521" spans="1:5" ht="15" x14ac:dyDescent="0.3">
      <c r="A521" s="506">
        <v>7266</v>
      </c>
      <c r="B521" s="507" t="s">
        <v>3981</v>
      </c>
      <c r="C521" s="506" t="s">
        <v>32</v>
      </c>
      <c r="D521" s="508">
        <v>31580</v>
      </c>
      <c r="E521" s="507" t="s">
        <v>6108</v>
      </c>
    </row>
    <row r="522" spans="1:5" ht="15" x14ac:dyDescent="0.3">
      <c r="A522" s="506">
        <v>7267</v>
      </c>
      <c r="B522" s="507" t="s">
        <v>3982</v>
      </c>
      <c r="C522" s="506" t="s">
        <v>32</v>
      </c>
      <c r="D522" s="508">
        <v>26623</v>
      </c>
      <c r="E522" s="507" t="s">
        <v>6108</v>
      </c>
    </row>
    <row r="523" spans="1:5" ht="15" x14ac:dyDescent="0.3">
      <c r="A523" s="506">
        <v>7268</v>
      </c>
      <c r="B523" s="507" t="s">
        <v>3983</v>
      </c>
      <c r="C523" s="506" t="s">
        <v>32</v>
      </c>
      <c r="D523" s="508">
        <v>21384</v>
      </c>
      <c r="E523" s="507" t="s">
        <v>6108</v>
      </c>
    </row>
    <row r="524" spans="1:5" ht="15" x14ac:dyDescent="0.3">
      <c r="A524" s="506">
        <v>7269</v>
      </c>
      <c r="B524" s="507" t="s">
        <v>3984</v>
      </c>
      <c r="C524" s="506" t="s">
        <v>32</v>
      </c>
      <c r="D524" s="508">
        <v>16144</v>
      </c>
      <c r="E524" s="507" t="s">
        <v>6108</v>
      </c>
    </row>
    <row r="525" spans="1:5" ht="15" x14ac:dyDescent="0.3">
      <c r="A525" s="506">
        <v>7270</v>
      </c>
      <c r="B525" s="507" t="s">
        <v>3985</v>
      </c>
      <c r="C525" s="506" t="s">
        <v>32</v>
      </c>
      <c r="D525" s="508">
        <v>25349</v>
      </c>
      <c r="E525" s="507" t="s">
        <v>6108</v>
      </c>
    </row>
    <row r="526" spans="1:5" ht="15" x14ac:dyDescent="0.3">
      <c r="A526" s="506">
        <v>7271</v>
      </c>
      <c r="B526" s="507" t="s">
        <v>3986</v>
      </c>
      <c r="C526" s="506" t="s">
        <v>32</v>
      </c>
      <c r="D526" s="508">
        <v>21384</v>
      </c>
      <c r="E526" s="507" t="s">
        <v>6108</v>
      </c>
    </row>
    <row r="527" spans="1:5" ht="15" x14ac:dyDescent="0.3">
      <c r="A527" s="506">
        <v>7272</v>
      </c>
      <c r="B527" s="507" t="s">
        <v>3987</v>
      </c>
      <c r="C527" s="506" t="s">
        <v>32</v>
      </c>
      <c r="D527" s="508">
        <v>16994</v>
      </c>
      <c r="E527" s="507" t="s">
        <v>6108</v>
      </c>
    </row>
    <row r="528" spans="1:5" ht="15" x14ac:dyDescent="0.3">
      <c r="A528" s="506">
        <v>7273</v>
      </c>
      <c r="B528" s="507" t="s">
        <v>3988</v>
      </c>
      <c r="C528" s="506" t="s">
        <v>32</v>
      </c>
      <c r="D528" s="508">
        <v>12887</v>
      </c>
      <c r="E528" s="507" t="s">
        <v>6108</v>
      </c>
    </row>
    <row r="529" spans="1:5" ht="15" x14ac:dyDescent="0.3">
      <c r="A529" s="506">
        <v>7274</v>
      </c>
      <c r="B529" s="507" t="s">
        <v>3989</v>
      </c>
      <c r="C529" s="506" t="s">
        <v>32</v>
      </c>
      <c r="D529" s="508">
        <v>53104</v>
      </c>
      <c r="E529" s="507" t="s">
        <v>6108</v>
      </c>
    </row>
    <row r="530" spans="1:5" ht="15" x14ac:dyDescent="0.3">
      <c r="A530" s="506">
        <v>7275</v>
      </c>
      <c r="B530" s="507" t="s">
        <v>6190</v>
      </c>
      <c r="C530" s="506" t="s">
        <v>32</v>
      </c>
      <c r="D530" s="508">
        <v>17017</v>
      </c>
      <c r="E530" s="507" t="s">
        <v>6108</v>
      </c>
    </row>
    <row r="531" spans="1:5" ht="15" x14ac:dyDescent="0.3">
      <c r="A531" s="506">
        <v>7276</v>
      </c>
      <c r="B531" s="507" t="s">
        <v>3990</v>
      </c>
      <c r="C531" s="506" t="s">
        <v>32</v>
      </c>
      <c r="D531" s="508">
        <v>25865</v>
      </c>
      <c r="E531" s="507" t="s">
        <v>6108</v>
      </c>
    </row>
    <row r="532" spans="1:5" ht="15" x14ac:dyDescent="0.3">
      <c r="A532" s="506">
        <v>7277</v>
      </c>
      <c r="B532" s="507" t="s">
        <v>3991</v>
      </c>
      <c r="C532" s="506" t="s">
        <v>32</v>
      </c>
      <c r="D532" s="508">
        <v>28455</v>
      </c>
      <c r="E532" s="507" t="s">
        <v>6108</v>
      </c>
    </row>
    <row r="533" spans="1:5" ht="15" x14ac:dyDescent="0.3">
      <c r="A533" s="506">
        <v>7278</v>
      </c>
      <c r="B533" s="507" t="s">
        <v>3992</v>
      </c>
      <c r="C533" s="506" t="s">
        <v>32</v>
      </c>
      <c r="D533" s="508">
        <v>35595</v>
      </c>
      <c r="E533" s="507" t="s">
        <v>6108</v>
      </c>
    </row>
    <row r="534" spans="1:5" ht="15" x14ac:dyDescent="0.3">
      <c r="A534" s="506">
        <v>7279</v>
      </c>
      <c r="B534" s="507" t="s">
        <v>3993</v>
      </c>
      <c r="C534" s="506" t="s">
        <v>32</v>
      </c>
      <c r="D534" s="508">
        <v>42630</v>
      </c>
      <c r="E534" s="507" t="s">
        <v>6108</v>
      </c>
    </row>
    <row r="535" spans="1:5" ht="15" x14ac:dyDescent="0.3">
      <c r="A535" s="506">
        <v>7280</v>
      </c>
      <c r="B535" s="507" t="s">
        <v>3994</v>
      </c>
      <c r="C535" s="506" t="s">
        <v>32</v>
      </c>
      <c r="D535" s="508">
        <v>86100</v>
      </c>
      <c r="E535" s="507" t="s">
        <v>6108</v>
      </c>
    </row>
    <row r="536" spans="1:5" ht="15" x14ac:dyDescent="0.3">
      <c r="A536" s="506">
        <v>7281</v>
      </c>
      <c r="B536" s="507" t="s">
        <v>3995</v>
      </c>
      <c r="C536" s="506" t="s">
        <v>32</v>
      </c>
      <c r="D536" s="508">
        <v>91214</v>
      </c>
      <c r="E536" s="507" t="s">
        <v>6108</v>
      </c>
    </row>
    <row r="537" spans="1:5" ht="15" x14ac:dyDescent="0.3">
      <c r="A537" s="506">
        <v>7282</v>
      </c>
      <c r="B537" s="507" t="s">
        <v>3996</v>
      </c>
      <c r="C537" s="506" t="s">
        <v>32</v>
      </c>
      <c r="D537" s="508">
        <v>8925</v>
      </c>
      <c r="E537" s="507" t="s">
        <v>6108</v>
      </c>
    </row>
    <row r="538" spans="1:5" ht="15" x14ac:dyDescent="0.3">
      <c r="A538" s="506">
        <v>7283</v>
      </c>
      <c r="B538" s="507" t="s">
        <v>3997</v>
      </c>
      <c r="C538" s="506" t="s">
        <v>32</v>
      </c>
      <c r="D538" s="508">
        <v>14700</v>
      </c>
      <c r="E538" s="507" t="s">
        <v>6108</v>
      </c>
    </row>
    <row r="539" spans="1:5" ht="15" x14ac:dyDescent="0.3">
      <c r="A539" s="506">
        <v>7284</v>
      </c>
      <c r="B539" s="507" t="s">
        <v>3998</v>
      </c>
      <c r="C539" s="506" t="s">
        <v>32</v>
      </c>
      <c r="D539" s="508">
        <v>18375</v>
      </c>
      <c r="E539" s="507" t="s">
        <v>6108</v>
      </c>
    </row>
    <row r="540" spans="1:5" ht="15" x14ac:dyDescent="0.3">
      <c r="A540" s="506">
        <v>7285</v>
      </c>
      <c r="B540" s="507" t="s">
        <v>3999</v>
      </c>
      <c r="C540" s="506" t="s">
        <v>32</v>
      </c>
      <c r="D540" s="508">
        <v>22050</v>
      </c>
      <c r="E540" s="507" t="s">
        <v>6108</v>
      </c>
    </row>
    <row r="541" spans="1:5" ht="15" x14ac:dyDescent="0.3">
      <c r="A541" s="506">
        <v>7287</v>
      </c>
      <c r="B541" s="507" t="s">
        <v>4000</v>
      </c>
      <c r="C541" s="506" t="s">
        <v>32</v>
      </c>
      <c r="D541" s="508">
        <v>11025</v>
      </c>
      <c r="E541" s="507" t="s">
        <v>6108</v>
      </c>
    </row>
    <row r="542" spans="1:5" ht="15" x14ac:dyDescent="0.3">
      <c r="A542" s="506">
        <v>7288</v>
      </c>
      <c r="B542" s="507" t="s">
        <v>4001</v>
      </c>
      <c r="C542" s="506" t="s">
        <v>32</v>
      </c>
      <c r="D542" s="508">
        <v>22050</v>
      </c>
      <c r="E542" s="507" t="s">
        <v>6108</v>
      </c>
    </row>
    <row r="543" spans="1:5" ht="15" x14ac:dyDescent="0.3">
      <c r="A543" s="506">
        <v>7289</v>
      </c>
      <c r="B543" s="507" t="s">
        <v>4002</v>
      </c>
      <c r="C543" s="506" t="s">
        <v>32</v>
      </c>
      <c r="D543" s="508">
        <v>5520</v>
      </c>
      <c r="E543" s="507" t="s">
        <v>331</v>
      </c>
    </row>
    <row r="544" spans="1:5" ht="15" x14ac:dyDescent="0.3">
      <c r="A544" s="506">
        <v>7291</v>
      </c>
      <c r="B544" s="507" t="s">
        <v>4003</v>
      </c>
      <c r="C544" s="506" t="s">
        <v>32</v>
      </c>
      <c r="D544" s="508">
        <v>499800</v>
      </c>
      <c r="E544" s="507" t="s">
        <v>331</v>
      </c>
    </row>
    <row r="545" spans="1:5" ht="15" x14ac:dyDescent="0.3">
      <c r="A545" s="506">
        <v>7293</v>
      </c>
      <c r="B545" s="507" t="s">
        <v>4004</v>
      </c>
      <c r="C545" s="506" t="s">
        <v>32</v>
      </c>
      <c r="D545" s="508">
        <v>574620</v>
      </c>
      <c r="E545" s="507" t="s">
        <v>331</v>
      </c>
    </row>
    <row r="546" spans="1:5" ht="15" x14ac:dyDescent="0.3">
      <c r="A546" s="506">
        <v>7295</v>
      </c>
      <c r="B546" s="507" t="s">
        <v>4005</v>
      </c>
      <c r="C546" s="506" t="s">
        <v>32</v>
      </c>
      <c r="D546" s="508">
        <v>656880</v>
      </c>
      <c r="E546" s="507" t="s">
        <v>331</v>
      </c>
    </row>
    <row r="547" spans="1:5" ht="15" x14ac:dyDescent="0.3">
      <c r="A547" s="506">
        <v>7298</v>
      </c>
      <c r="B547" s="507" t="s">
        <v>4006</v>
      </c>
      <c r="C547" s="506" t="s">
        <v>32</v>
      </c>
      <c r="D547" s="508">
        <v>293026</v>
      </c>
      <c r="E547" s="507" t="s">
        <v>331</v>
      </c>
    </row>
    <row r="548" spans="1:5" ht="15" x14ac:dyDescent="0.3">
      <c r="A548" s="506">
        <v>7300</v>
      </c>
      <c r="B548" s="507" t="s">
        <v>4007</v>
      </c>
      <c r="C548" s="506" t="s">
        <v>328</v>
      </c>
      <c r="D548" s="508">
        <v>62035</v>
      </c>
      <c r="E548" s="507" t="s">
        <v>331</v>
      </c>
    </row>
    <row r="549" spans="1:5" ht="15" x14ac:dyDescent="0.3">
      <c r="A549" s="506">
        <v>7302</v>
      </c>
      <c r="B549" s="507" t="s">
        <v>4008</v>
      </c>
      <c r="C549" s="506" t="s">
        <v>328</v>
      </c>
      <c r="D549" s="508">
        <v>11010</v>
      </c>
      <c r="E549" s="507" t="s">
        <v>331</v>
      </c>
    </row>
    <row r="550" spans="1:5" ht="15" x14ac:dyDescent="0.3">
      <c r="A550" s="506">
        <v>7303</v>
      </c>
      <c r="B550" s="507" t="s">
        <v>4009</v>
      </c>
      <c r="C550" s="506" t="s">
        <v>328</v>
      </c>
      <c r="D550" s="508">
        <v>24411</v>
      </c>
      <c r="E550" s="507" t="s">
        <v>331</v>
      </c>
    </row>
    <row r="551" spans="1:5" ht="15" x14ac:dyDescent="0.3">
      <c r="A551" s="506">
        <v>7304</v>
      </c>
      <c r="B551" s="507" t="s">
        <v>4010</v>
      </c>
      <c r="C551" s="506" t="s">
        <v>328</v>
      </c>
      <c r="D551" s="508">
        <v>41175</v>
      </c>
      <c r="E551" s="507" t="s">
        <v>331</v>
      </c>
    </row>
    <row r="552" spans="1:5" ht="15" x14ac:dyDescent="0.3">
      <c r="A552" s="506">
        <v>7305</v>
      </c>
      <c r="B552" s="507" t="s">
        <v>4011</v>
      </c>
      <c r="C552" s="506" t="s">
        <v>328</v>
      </c>
      <c r="D552" s="508">
        <v>85883</v>
      </c>
      <c r="E552" s="507" t="s">
        <v>331</v>
      </c>
    </row>
    <row r="553" spans="1:5" ht="15" x14ac:dyDescent="0.3">
      <c r="A553" s="506">
        <v>7306</v>
      </c>
      <c r="B553" s="507" t="s">
        <v>4012</v>
      </c>
      <c r="C553" s="506" t="s">
        <v>32</v>
      </c>
      <c r="D553" s="508">
        <v>28862</v>
      </c>
      <c r="E553" s="507" t="s">
        <v>6108</v>
      </c>
    </row>
    <row r="554" spans="1:5" ht="15" x14ac:dyDescent="0.3">
      <c r="A554" s="506">
        <v>7307</v>
      </c>
      <c r="B554" s="507" t="s">
        <v>4013</v>
      </c>
      <c r="C554" s="506" t="s">
        <v>32</v>
      </c>
      <c r="D554" s="508">
        <v>99900</v>
      </c>
      <c r="E554" s="507" t="s">
        <v>6108</v>
      </c>
    </row>
    <row r="555" spans="1:5" ht="15" x14ac:dyDescent="0.3">
      <c r="A555" s="506">
        <v>7308</v>
      </c>
      <c r="B555" s="507" t="s">
        <v>4014</v>
      </c>
      <c r="C555" s="506" t="s">
        <v>254</v>
      </c>
      <c r="D555" s="508">
        <v>1750905</v>
      </c>
      <c r="E555" s="507" t="s">
        <v>6109</v>
      </c>
    </row>
    <row r="556" spans="1:5" ht="15" x14ac:dyDescent="0.3">
      <c r="A556" s="506">
        <v>7309</v>
      </c>
      <c r="B556" s="507" t="s">
        <v>4015</v>
      </c>
      <c r="C556" s="506" t="s">
        <v>670</v>
      </c>
      <c r="D556" s="508">
        <v>4701</v>
      </c>
      <c r="E556" s="507" t="s">
        <v>331</v>
      </c>
    </row>
    <row r="557" spans="1:5" ht="15" x14ac:dyDescent="0.3">
      <c r="A557" s="506">
        <v>7313</v>
      </c>
      <c r="B557" s="507" t="s">
        <v>4016</v>
      </c>
      <c r="C557" s="506" t="s">
        <v>3582</v>
      </c>
      <c r="D557" s="508">
        <v>33987</v>
      </c>
      <c r="E557" s="507" t="s">
        <v>6108</v>
      </c>
    </row>
    <row r="558" spans="1:5" ht="15" x14ac:dyDescent="0.3">
      <c r="A558" s="506">
        <v>7317</v>
      </c>
      <c r="B558" s="507" t="s">
        <v>4017</v>
      </c>
      <c r="C558" s="506" t="s">
        <v>21</v>
      </c>
      <c r="D558" s="508">
        <v>6698</v>
      </c>
      <c r="E558" s="507" t="s">
        <v>6108</v>
      </c>
    </row>
    <row r="559" spans="1:5" ht="15" x14ac:dyDescent="0.3">
      <c r="A559" s="506">
        <v>7336</v>
      </c>
      <c r="B559" s="507" t="s">
        <v>4018</v>
      </c>
      <c r="C559" s="506" t="s">
        <v>32</v>
      </c>
      <c r="D559" s="508">
        <v>52073</v>
      </c>
      <c r="E559" s="507" t="s">
        <v>6108</v>
      </c>
    </row>
    <row r="560" spans="1:5" ht="15" x14ac:dyDescent="0.3">
      <c r="A560" s="506">
        <v>7337</v>
      </c>
      <c r="B560" s="507" t="s">
        <v>4019</v>
      </c>
      <c r="C560" s="506" t="s">
        <v>670</v>
      </c>
      <c r="D560" s="508">
        <v>163495</v>
      </c>
      <c r="E560" s="507" t="s">
        <v>6108</v>
      </c>
    </row>
    <row r="561" spans="1:5" ht="15" x14ac:dyDescent="0.3">
      <c r="A561" s="506">
        <v>7338</v>
      </c>
      <c r="B561" s="507" t="s">
        <v>4020</v>
      </c>
      <c r="C561" s="506" t="s">
        <v>328</v>
      </c>
      <c r="D561" s="508">
        <v>57596</v>
      </c>
      <c r="E561" s="507" t="s">
        <v>6108</v>
      </c>
    </row>
    <row r="562" spans="1:5" ht="15" x14ac:dyDescent="0.3">
      <c r="A562" s="506">
        <v>7343</v>
      </c>
      <c r="B562" s="507" t="s">
        <v>4021</v>
      </c>
      <c r="C562" s="506" t="s">
        <v>328</v>
      </c>
      <c r="D562" s="508">
        <v>380800</v>
      </c>
      <c r="E562" s="507" t="s">
        <v>6108</v>
      </c>
    </row>
    <row r="563" spans="1:5" ht="15" x14ac:dyDescent="0.3">
      <c r="A563" s="506">
        <v>7344</v>
      </c>
      <c r="B563" s="507" t="s">
        <v>4022</v>
      </c>
      <c r="C563" s="506" t="s">
        <v>328</v>
      </c>
      <c r="D563" s="508">
        <v>452200</v>
      </c>
      <c r="E563" s="507" t="s">
        <v>6108</v>
      </c>
    </row>
    <row r="564" spans="1:5" ht="15" x14ac:dyDescent="0.3">
      <c r="A564" s="506">
        <v>7345</v>
      </c>
      <c r="B564" s="507" t="s">
        <v>4023</v>
      </c>
      <c r="C564" s="506" t="s">
        <v>32</v>
      </c>
      <c r="D564" s="508">
        <v>833000</v>
      </c>
      <c r="E564" s="507" t="s">
        <v>6108</v>
      </c>
    </row>
    <row r="565" spans="1:5" ht="15" x14ac:dyDescent="0.3">
      <c r="A565" s="506">
        <v>7346</v>
      </c>
      <c r="B565" s="507" t="s">
        <v>4024</v>
      </c>
      <c r="C565" s="506" t="s">
        <v>32</v>
      </c>
      <c r="D565" s="508">
        <v>7140000</v>
      </c>
      <c r="E565" s="507" t="s">
        <v>6108</v>
      </c>
    </row>
    <row r="566" spans="1:5" ht="15" x14ac:dyDescent="0.3">
      <c r="A566" s="506">
        <v>7351</v>
      </c>
      <c r="B566" s="507" t="s">
        <v>4025</v>
      </c>
      <c r="C566" s="506" t="s">
        <v>32</v>
      </c>
      <c r="D566" s="508">
        <v>185640</v>
      </c>
      <c r="E566" s="507" t="s">
        <v>6108</v>
      </c>
    </row>
    <row r="567" spans="1:5" ht="15" x14ac:dyDescent="0.3">
      <c r="A567" s="506">
        <v>7352</v>
      </c>
      <c r="B567" s="507" t="s">
        <v>4026</v>
      </c>
      <c r="C567" s="506" t="s">
        <v>32</v>
      </c>
      <c r="D567" s="508">
        <v>199920</v>
      </c>
      <c r="E567" s="507" t="s">
        <v>6108</v>
      </c>
    </row>
    <row r="568" spans="1:5" ht="15" x14ac:dyDescent="0.3">
      <c r="A568" s="506">
        <v>7353</v>
      </c>
      <c r="B568" s="507" t="s">
        <v>4027</v>
      </c>
      <c r="C568" s="506" t="s">
        <v>32</v>
      </c>
      <c r="D568" s="508">
        <v>379610</v>
      </c>
      <c r="E568" s="507" t="s">
        <v>6108</v>
      </c>
    </row>
    <row r="569" spans="1:5" ht="15" x14ac:dyDescent="0.3">
      <c r="A569" s="506">
        <v>7354</v>
      </c>
      <c r="B569" s="507" t="s">
        <v>4028</v>
      </c>
      <c r="C569" s="506" t="s">
        <v>32</v>
      </c>
      <c r="D569" s="508">
        <v>540260</v>
      </c>
      <c r="E569" s="507" t="s">
        <v>6108</v>
      </c>
    </row>
    <row r="570" spans="1:5" ht="15" x14ac:dyDescent="0.3">
      <c r="A570" s="506">
        <v>7355</v>
      </c>
      <c r="B570" s="507" t="s">
        <v>4029</v>
      </c>
      <c r="C570" s="506" t="s">
        <v>32</v>
      </c>
      <c r="D570" s="508">
        <v>821100</v>
      </c>
      <c r="E570" s="507" t="s">
        <v>6108</v>
      </c>
    </row>
    <row r="571" spans="1:5" ht="15" x14ac:dyDescent="0.3">
      <c r="A571" s="506">
        <v>7356</v>
      </c>
      <c r="B571" s="507" t="s">
        <v>4030</v>
      </c>
      <c r="C571" s="506" t="s">
        <v>32</v>
      </c>
      <c r="D571" s="508">
        <v>1069810</v>
      </c>
      <c r="E571" s="507" t="s">
        <v>6108</v>
      </c>
    </row>
    <row r="572" spans="1:5" ht="15" x14ac:dyDescent="0.3">
      <c r="A572" s="506">
        <v>7359</v>
      </c>
      <c r="B572" s="507" t="s">
        <v>4031</v>
      </c>
      <c r="C572" s="506" t="s">
        <v>32</v>
      </c>
      <c r="D572" s="508">
        <v>363056</v>
      </c>
      <c r="E572" s="507" t="s">
        <v>6108</v>
      </c>
    </row>
    <row r="573" spans="1:5" ht="15" x14ac:dyDescent="0.3">
      <c r="A573" s="506">
        <v>7360</v>
      </c>
      <c r="B573" s="507" t="s">
        <v>4032</v>
      </c>
      <c r="C573" s="506" t="s">
        <v>32</v>
      </c>
      <c r="D573" s="508">
        <v>472588</v>
      </c>
      <c r="E573" s="507" t="s">
        <v>6108</v>
      </c>
    </row>
    <row r="574" spans="1:5" ht="15" x14ac:dyDescent="0.3">
      <c r="A574" s="506">
        <v>7361</v>
      </c>
      <c r="B574" s="507" t="s">
        <v>4033</v>
      </c>
      <c r="C574" s="506" t="s">
        <v>32</v>
      </c>
      <c r="D574" s="508">
        <v>1300</v>
      </c>
      <c r="E574" s="507" t="s">
        <v>331</v>
      </c>
    </row>
    <row r="575" spans="1:5" ht="15" x14ac:dyDescent="0.3">
      <c r="A575" s="506">
        <v>7362</v>
      </c>
      <c r="B575" s="507" t="s">
        <v>4034</v>
      </c>
      <c r="C575" s="506" t="s">
        <v>32</v>
      </c>
      <c r="D575" s="508">
        <v>1400</v>
      </c>
      <c r="E575" s="507" t="s">
        <v>331</v>
      </c>
    </row>
    <row r="576" spans="1:5" ht="15" x14ac:dyDescent="0.3">
      <c r="A576" s="506">
        <v>7363</v>
      </c>
      <c r="B576" s="507" t="s">
        <v>4035</v>
      </c>
      <c r="C576" s="506" t="s">
        <v>32</v>
      </c>
      <c r="D576" s="508">
        <v>256320</v>
      </c>
      <c r="E576" s="507" t="s">
        <v>331</v>
      </c>
    </row>
    <row r="577" spans="1:5" ht="15" x14ac:dyDescent="0.3">
      <c r="A577" s="506">
        <v>7364</v>
      </c>
      <c r="B577" s="507" t="s">
        <v>4036</v>
      </c>
      <c r="C577" s="506" t="s">
        <v>32</v>
      </c>
      <c r="D577" s="508">
        <v>421820</v>
      </c>
      <c r="E577" s="507" t="s">
        <v>331</v>
      </c>
    </row>
    <row r="578" spans="1:5" ht="15" x14ac:dyDescent="0.3">
      <c r="A578" s="506">
        <v>7366</v>
      </c>
      <c r="B578" s="507" t="s">
        <v>4037</v>
      </c>
      <c r="C578" s="506" t="s">
        <v>32</v>
      </c>
      <c r="D578" s="508">
        <v>77164</v>
      </c>
      <c r="E578" s="507" t="s">
        <v>331</v>
      </c>
    </row>
    <row r="579" spans="1:5" ht="15" x14ac:dyDescent="0.3">
      <c r="A579" s="506">
        <v>7367</v>
      </c>
      <c r="B579" s="507" t="s">
        <v>4038</v>
      </c>
      <c r="C579" s="506" t="s">
        <v>32</v>
      </c>
      <c r="D579" s="508">
        <v>219179</v>
      </c>
      <c r="E579" s="507" t="s">
        <v>331</v>
      </c>
    </row>
    <row r="580" spans="1:5" ht="15" x14ac:dyDescent="0.3">
      <c r="A580" s="506">
        <v>7368</v>
      </c>
      <c r="B580" s="507" t="s">
        <v>4039</v>
      </c>
      <c r="C580" s="506" t="s">
        <v>32</v>
      </c>
      <c r="D580" s="508">
        <v>375019</v>
      </c>
      <c r="E580" s="507" t="s">
        <v>331</v>
      </c>
    </row>
    <row r="581" spans="1:5" ht="15" x14ac:dyDescent="0.3">
      <c r="A581" s="506">
        <v>7369</v>
      </c>
      <c r="B581" s="507" t="s">
        <v>4040</v>
      </c>
      <c r="C581" s="506" t="s">
        <v>32</v>
      </c>
      <c r="D581" s="508">
        <v>571775</v>
      </c>
      <c r="E581" s="507" t="s">
        <v>331</v>
      </c>
    </row>
    <row r="582" spans="1:5" ht="15" x14ac:dyDescent="0.3">
      <c r="A582" s="506">
        <v>7370</v>
      </c>
      <c r="B582" s="507" t="s">
        <v>4041</v>
      </c>
      <c r="C582" s="506" t="s">
        <v>32</v>
      </c>
      <c r="D582" s="508">
        <v>601434</v>
      </c>
      <c r="E582" s="507" t="s">
        <v>331</v>
      </c>
    </row>
    <row r="583" spans="1:5" ht="15" x14ac:dyDescent="0.3">
      <c r="A583" s="506">
        <v>7371</v>
      </c>
      <c r="B583" s="507" t="s">
        <v>4042</v>
      </c>
      <c r="C583" s="506" t="s">
        <v>32</v>
      </c>
      <c r="D583" s="508">
        <v>675703</v>
      </c>
      <c r="E583" s="507" t="s">
        <v>331</v>
      </c>
    </row>
    <row r="584" spans="1:5" ht="15" x14ac:dyDescent="0.3">
      <c r="A584" s="506">
        <v>7372</v>
      </c>
      <c r="B584" s="507" t="s">
        <v>6191</v>
      </c>
      <c r="C584" s="506" t="s">
        <v>32</v>
      </c>
      <c r="D584" s="508">
        <v>600950</v>
      </c>
      <c r="E584" s="507" t="s">
        <v>6108</v>
      </c>
    </row>
    <row r="585" spans="1:5" ht="15" x14ac:dyDescent="0.3">
      <c r="A585" s="506">
        <v>7373</v>
      </c>
      <c r="B585" s="507" t="s">
        <v>6192</v>
      </c>
      <c r="C585" s="506" t="s">
        <v>32</v>
      </c>
      <c r="D585" s="508">
        <v>180880</v>
      </c>
      <c r="E585" s="507" t="s">
        <v>6108</v>
      </c>
    </row>
    <row r="586" spans="1:5" ht="15" x14ac:dyDescent="0.3">
      <c r="A586" s="506">
        <v>7374</v>
      </c>
      <c r="B586" s="507" t="s">
        <v>6193</v>
      </c>
      <c r="C586" s="506" t="s">
        <v>32</v>
      </c>
      <c r="D586" s="508">
        <v>1136450</v>
      </c>
      <c r="E586" s="507" t="s">
        <v>6108</v>
      </c>
    </row>
    <row r="587" spans="1:5" ht="15" x14ac:dyDescent="0.3">
      <c r="A587" s="506">
        <v>7375</v>
      </c>
      <c r="B587" s="507" t="s">
        <v>6194</v>
      </c>
      <c r="C587" s="506" t="s">
        <v>32</v>
      </c>
      <c r="D587" s="508">
        <v>6290340</v>
      </c>
      <c r="E587" s="507" t="s">
        <v>6108</v>
      </c>
    </row>
    <row r="588" spans="1:5" ht="15" x14ac:dyDescent="0.3">
      <c r="A588" s="506">
        <v>7376</v>
      </c>
      <c r="B588" s="507" t="s">
        <v>6195</v>
      </c>
      <c r="C588" s="506" t="s">
        <v>32</v>
      </c>
      <c r="D588" s="508">
        <v>7485100</v>
      </c>
      <c r="E588" s="507" t="s">
        <v>6108</v>
      </c>
    </row>
    <row r="589" spans="1:5" ht="15" x14ac:dyDescent="0.3">
      <c r="A589" s="506">
        <v>7377</v>
      </c>
      <c r="B589" s="507" t="s">
        <v>6196</v>
      </c>
      <c r="C589" s="506" t="s">
        <v>32</v>
      </c>
      <c r="D589" s="508">
        <v>114240</v>
      </c>
      <c r="E589" s="507" t="s">
        <v>6108</v>
      </c>
    </row>
    <row r="590" spans="1:5" ht="15" x14ac:dyDescent="0.3">
      <c r="A590" s="506">
        <v>7378</v>
      </c>
      <c r="B590" s="507" t="s">
        <v>6197</v>
      </c>
      <c r="C590" s="506" t="s">
        <v>32</v>
      </c>
      <c r="D590" s="508">
        <v>177310</v>
      </c>
      <c r="E590" s="507" t="s">
        <v>6108</v>
      </c>
    </row>
    <row r="591" spans="1:5" ht="15" x14ac:dyDescent="0.3">
      <c r="A591" s="506">
        <v>7379</v>
      </c>
      <c r="B591" s="507" t="s">
        <v>6198</v>
      </c>
      <c r="C591" s="506" t="s">
        <v>32</v>
      </c>
      <c r="D591" s="508">
        <v>239190</v>
      </c>
      <c r="E591" s="507" t="s">
        <v>6108</v>
      </c>
    </row>
    <row r="592" spans="1:5" ht="15" x14ac:dyDescent="0.3">
      <c r="A592" s="506">
        <v>7380</v>
      </c>
      <c r="B592" s="507" t="s">
        <v>6199</v>
      </c>
      <c r="C592" s="506" t="s">
        <v>32</v>
      </c>
      <c r="D592" s="508">
        <v>441619</v>
      </c>
      <c r="E592" s="507" t="s">
        <v>6108</v>
      </c>
    </row>
    <row r="593" spans="1:5" ht="15" x14ac:dyDescent="0.3">
      <c r="A593" s="506">
        <v>7381</v>
      </c>
      <c r="B593" s="507" t="s">
        <v>6200</v>
      </c>
      <c r="C593" s="506" t="s">
        <v>32</v>
      </c>
      <c r="D593" s="508">
        <v>627921</v>
      </c>
      <c r="E593" s="507" t="s">
        <v>6108</v>
      </c>
    </row>
    <row r="594" spans="1:5" ht="15" x14ac:dyDescent="0.3">
      <c r="A594" s="506">
        <v>7382</v>
      </c>
      <c r="B594" s="507" t="s">
        <v>4043</v>
      </c>
      <c r="C594" s="506" t="s">
        <v>32</v>
      </c>
      <c r="D594" s="508">
        <v>131889</v>
      </c>
      <c r="E594" s="507" t="s">
        <v>331</v>
      </c>
    </row>
    <row r="595" spans="1:5" ht="15" x14ac:dyDescent="0.3">
      <c r="A595" s="506">
        <v>7384</v>
      </c>
      <c r="B595" s="507" t="s">
        <v>4044</v>
      </c>
      <c r="C595" s="506" t="s">
        <v>32</v>
      </c>
      <c r="D595" s="508">
        <v>139150</v>
      </c>
      <c r="E595" s="507" t="s">
        <v>331</v>
      </c>
    </row>
    <row r="596" spans="1:5" ht="15" x14ac:dyDescent="0.3">
      <c r="A596" s="506">
        <v>7387</v>
      </c>
      <c r="B596" s="507" t="s">
        <v>4045</v>
      </c>
      <c r="C596" s="506" t="s">
        <v>32</v>
      </c>
      <c r="D596" s="508">
        <v>78401</v>
      </c>
      <c r="E596" s="507" t="s">
        <v>331</v>
      </c>
    </row>
    <row r="597" spans="1:5" ht="15" x14ac:dyDescent="0.3">
      <c r="A597" s="506">
        <v>7388</v>
      </c>
      <c r="B597" s="507" t="s">
        <v>4046</v>
      </c>
      <c r="C597" s="506" t="s">
        <v>32</v>
      </c>
      <c r="D597" s="508">
        <v>99680</v>
      </c>
      <c r="E597" s="507" t="s">
        <v>331</v>
      </c>
    </row>
    <row r="598" spans="1:5" ht="15" x14ac:dyDescent="0.3">
      <c r="A598" s="506">
        <v>7389</v>
      </c>
      <c r="B598" s="507" t="s">
        <v>4047</v>
      </c>
      <c r="C598" s="506" t="s">
        <v>32</v>
      </c>
      <c r="D598" s="508">
        <v>228057</v>
      </c>
      <c r="E598" s="507" t="s">
        <v>331</v>
      </c>
    </row>
    <row r="599" spans="1:5" ht="15" x14ac:dyDescent="0.3">
      <c r="A599" s="506">
        <v>7391</v>
      </c>
      <c r="B599" s="507" t="s">
        <v>6201</v>
      </c>
      <c r="C599" s="506" t="s">
        <v>32</v>
      </c>
      <c r="D599" s="508">
        <v>279650</v>
      </c>
      <c r="E599" s="507" t="s">
        <v>6108</v>
      </c>
    </row>
    <row r="600" spans="1:5" ht="15" x14ac:dyDescent="0.3">
      <c r="A600" s="506">
        <v>7392</v>
      </c>
      <c r="B600" s="507" t="s">
        <v>6202</v>
      </c>
      <c r="C600" s="506" t="s">
        <v>32</v>
      </c>
      <c r="D600" s="508">
        <v>357000</v>
      </c>
      <c r="E600" s="507" t="s">
        <v>6108</v>
      </c>
    </row>
    <row r="601" spans="1:5" ht="15" x14ac:dyDescent="0.3">
      <c r="A601" s="506">
        <v>7393</v>
      </c>
      <c r="B601" s="507" t="s">
        <v>6203</v>
      </c>
      <c r="C601" s="506" t="s">
        <v>32</v>
      </c>
      <c r="D601" s="508">
        <v>430604</v>
      </c>
      <c r="E601" s="507" t="s">
        <v>6108</v>
      </c>
    </row>
    <row r="602" spans="1:5" ht="15" x14ac:dyDescent="0.3">
      <c r="A602" s="506">
        <v>7396</v>
      </c>
      <c r="B602" s="507" t="s">
        <v>6204</v>
      </c>
      <c r="C602" s="506" t="s">
        <v>32</v>
      </c>
      <c r="D602" s="508">
        <v>440300</v>
      </c>
      <c r="E602" s="507" t="s">
        <v>6108</v>
      </c>
    </row>
    <row r="603" spans="1:5" ht="15" x14ac:dyDescent="0.3">
      <c r="A603" s="506">
        <v>7397</v>
      </c>
      <c r="B603" s="507" t="s">
        <v>6205</v>
      </c>
      <c r="C603" s="506" t="s">
        <v>32</v>
      </c>
      <c r="D603" s="508">
        <v>652120</v>
      </c>
      <c r="E603" s="507" t="s">
        <v>6108</v>
      </c>
    </row>
    <row r="604" spans="1:5" ht="15" x14ac:dyDescent="0.3">
      <c r="A604" s="506">
        <v>7398</v>
      </c>
      <c r="B604" s="507" t="s">
        <v>6206</v>
      </c>
      <c r="C604" s="506" t="s">
        <v>32</v>
      </c>
      <c r="D604" s="508">
        <v>713879</v>
      </c>
      <c r="E604" s="507" t="s">
        <v>6108</v>
      </c>
    </row>
    <row r="605" spans="1:5" ht="15" x14ac:dyDescent="0.3">
      <c r="A605" s="506">
        <v>7399</v>
      </c>
      <c r="B605" s="507" t="s">
        <v>6207</v>
      </c>
      <c r="C605" s="506" t="s">
        <v>32</v>
      </c>
      <c r="D605" s="508">
        <v>743750</v>
      </c>
      <c r="E605" s="507" t="s">
        <v>6108</v>
      </c>
    </row>
    <row r="606" spans="1:5" ht="15" x14ac:dyDescent="0.3">
      <c r="A606" s="506">
        <v>7400</v>
      </c>
      <c r="B606" s="507" t="s">
        <v>6208</v>
      </c>
      <c r="C606" s="506" t="s">
        <v>32</v>
      </c>
      <c r="D606" s="508">
        <v>773500</v>
      </c>
      <c r="E606" s="507" t="s">
        <v>6108</v>
      </c>
    </row>
    <row r="607" spans="1:5" ht="15" x14ac:dyDescent="0.3">
      <c r="A607" s="506">
        <v>7401</v>
      </c>
      <c r="B607" s="507" t="s">
        <v>6209</v>
      </c>
      <c r="C607" s="506" t="s">
        <v>32</v>
      </c>
      <c r="D607" s="508">
        <v>880600</v>
      </c>
      <c r="E607" s="507" t="s">
        <v>6108</v>
      </c>
    </row>
    <row r="608" spans="1:5" ht="15" x14ac:dyDescent="0.3">
      <c r="A608" s="506">
        <v>7403</v>
      </c>
      <c r="B608" s="507" t="s">
        <v>6210</v>
      </c>
      <c r="C608" s="506" t="s">
        <v>32</v>
      </c>
      <c r="D608" s="508">
        <v>1184050</v>
      </c>
      <c r="E608" s="507" t="s">
        <v>6108</v>
      </c>
    </row>
    <row r="609" spans="1:5" ht="15" x14ac:dyDescent="0.3">
      <c r="A609" s="506">
        <v>7404</v>
      </c>
      <c r="B609" s="507" t="s">
        <v>6211</v>
      </c>
      <c r="C609" s="506" t="s">
        <v>32</v>
      </c>
      <c r="D609" s="508">
        <v>1320900</v>
      </c>
      <c r="E609" s="507" t="s">
        <v>6108</v>
      </c>
    </row>
    <row r="610" spans="1:5" ht="15" x14ac:dyDescent="0.3">
      <c r="A610" s="506">
        <v>7405</v>
      </c>
      <c r="B610" s="507" t="s">
        <v>6212</v>
      </c>
      <c r="C610" s="506" t="s">
        <v>32</v>
      </c>
      <c r="D610" s="508">
        <v>1320900</v>
      </c>
      <c r="E610" s="507" t="s">
        <v>6108</v>
      </c>
    </row>
    <row r="611" spans="1:5" ht="15" x14ac:dyDescent="0.3">
      <c r="A611" s="506">
        <v>7406</v>
      </c>
      <c r="B611" s="507" t="s">
        <v>6213</v>
      </c>
      <c r="C611" s="506" t="s">
        <v>32</v>
      </c>
      <c r="D611" s="508">
        <v>1785000</v>
      </c>
      <c r="E611" s="507" t="s">
        <v>6108</v>
      </c>
    </row>
    <row r="612" spans="1:5" ht="15" x14ac:dyDescent="0.3">
      <c r="A612" s="506">
        <v>7407</v>
      </c>
      <c r="B612" s="507" t="s">
        <v>4048</v>
      </c>
      <c r="C612" s="506" t="s">
        <v>32</v>
      </c>
      <c r="D612" s="508">
        <v>47186</v>
      </c>
      <c r="E612" s="507" t="s">
        <v>331</v>
      </c>
    </row>
    <row r="613" spans="1:5" ht="15" x14ac:dyDescent="0.3">
      <c r="A613" s="506">
        <v>7409</v>
      </c>
      <c r="B613" s="507" t="s">
        <v>4049</v>
      </c>
      <c r="C613" s="506" t="s">
        <v>32</v>
      </c>
      <c r="D613" s="508">
        <v>75158</v>
      </c>
      <c r="E613" s="507" t="s">
        <v>331</v>
      </c>
    </row>
    <row r="614" spans="1:5" ht="15" x14ac:dyDescent="0.3">
      <c r="A614" s="506">
        <v>7410</v>
      </c>
      <c r="B614" s="507" t="s">
        <v>4050</v>
      </c>
      <c r="C614" s="506" t="s">
        <v>32</v>
      </c>
      <c r="D614" s="508">
        <v>115474</v>
      </c>
      <c r="E614" s="507" t="s">
        <v>331</v>
      </c>
    </row>
    <row r="615" spans="1:5" ht="15" x14ac:dyDescent="0.3">
      <c r="A615" s="506">
        <v>7411</v>
      </c>
      <c r="B615" s="507" t="s">
        <v>4051</v>
      </c>
      <c r="C615" s="506" t="s">
        <v>32</v>
      </c>
      <c r="D615" s="508">
        <v>839761</v>
      </c>
      <c r="E615" s="507" t="s">
        <v>331</v>
      </c>
    </row>
    <row r="616" spans="1:5" ht="15" x14ac:dyDescent="0.3">
      <c r="A616" s="506">
        <v>7412</v>
      </c>
      <c r="B616" s="507" t="s">
        <v>6214</v>
      </c>
      <c r="C616" s="506" t="s">
        <v>32</v>
      </c>
      <c r="D616" s="508">
        <v>190400</v>
      </c>
      <c r="E616" s="507" t="s">
        <v>6108</v>
      </c>
    </row>
    <row r="617" spans="1:5" ht="15" x14ac:dyDescent="0.3">
      <c r="A617" s="506">
        <v>7413</v>
      </c>
      <c r="B617" s="507" t="s">
        <v>6215</v>
      </c>
      <c r="C617" s="506" t="s">
        <v>32</v>
      </c>
      <c r="D617" s="508">
        <v>210630</v>
      </c>
      <c r="E617" s="507" t="s">
        <v>6108</v>
      </c>
    </row>
    <row r="618" spans="1:5" ht="15" x14ac:dyDescent="0.3">
      <c r="A618" s="506">
        <v>7414</v>
      </c>
      <c r="B618" s="507" t="s">
        <v>6216</v>
      </c>
      <c r="C618" s="506" t="s">
        <v>32</v>
      </c>
      <c r="D618" s="508">
        <v>435540</v>
      </c>
      <c r="E618" s="507" t="s">
        <v>6108</v>
      </c>
    </row>
    <row r="619" spans="1:5" ht="15" x14ac:dyDescent="0.3">
      <c r="A619" s="506">
        <v>7416</v>
      </c>
      <c r="B619" s="507" t="s">
        <v>6217</v>
      </c>
      <c r="C619" s="506" t="s">
        <v>32</v>
      </c>
      <c r="D619" s="508">
        <v>1050770</v>
      </c>
      <c r="E619" s="507" t="s">
        <v>6108</v>
      </c>
    </row>
    <row r="620" spans="1:5" ht="15" x14ac:dyDescent="0.3">
      <c r="A620" s="506">
        <v>7417</v>
      </c>
      <c r="B620" s="507" t="s">
        <v>6218</v>
      </c>
      <c r="C620" s="506" t="s">
        <v>32</v>
      </c>
      <c r="D620" s="508">
        <v>1190000</v>
      </c>
      <c r="E620" s="507" t="s">
        <v>6108</v>
      </c>
    </row>
    <row r="621" spans="1:5" ht="15" x14ac:dyDescent="0.3">
      <c r="A621" s="506">
        <v>7418</v>
      </c>
      <c r="B621" s="507" t="s">
        <v>4052</v>
      </c>
      <c r="C621" s="506" t="s">
        <v>254</v>
      </c>
      <c r="D621" s="508">
        <v>249095</v>
      </c>
      <c r="E621" s="507" t="s">
        <v>6109</v>
      </c>
    </row>
    <row r="622" spans="1:5" ht="15" x14ac:dyDescent="0.3">
      <c r="A622" s="506">
        <v>7419</v>
      </c>
      <c r="B622" s="507" t="s">
        <v>4053</v>
      </c>
      <c r="C622" s="506" t="s">
        <v>30</v>
      </c>
      <c r="D622" s="508">
        <v>618292</v>
      </c>
      <c r="E622" s="507" t="s">
        <v>331</v>
      </c>
    </row>
    <row r="623" spans="1:5" ht="15" x14ac:dyDescent="0.3">
      <c r="A623" s="506">
        <v>7420</v>
      </c>
      <c r="B623" s="507" t="s">
        <v>4054</v>
      </c>
      <c r="C623" s="506" t="s">
        <v>30</v>
      </c>
      <c r="D623" s="508">
        <v>637309</v>
      </c>
      <c r="E623" s="507" t="s">
        <v>331</v>
      </c>
    </row>
    <row r="624" spans="1:5" ht="15" x14ac:dyDescent="0.3">
      <c r="A624" s="506">
        <v>7421</v>
      </c>
      <c r="B624" s="507" t="s">
        <v>4055</v>
      </c>
      <c r="C624" s="506" t="s">
        <v>30</v>
      </c>
      <c r="D624" s="508">
        <v>660275</v>
      </c>
      <c r="E624" s="507" t="s">
        <v>331</v>
      </c>
    </row>
    <row r="625" spans="1:5" ht="15" x14ac:dyDescent="0.3">
      <c r="A625" s="506">
        <v>7422</v>
      </c>
      <c r="B625" s="507" t="s">
        <v>4056</v>
      </c>
      <c r="C625" s="506" t="s">
        <v>30</v>
      </c>
      <c r="D625" s="508">
        <v>806463</v>
      </c>
      <c r="E625" s="507" t="s">
        <v>331</v>
      </c>
    </row>
    <row r="626" spans="1:5" ht="15" x14ac:dyDescent="0.3">
      <c r="A626" s="506">
        <v>7423</v>
      </c>
      <c r="B626" s="507" t="s">
        <v>4057</v>
      </c>
      <c r="C626" s="506" t="s">
        <v>670</v>
      </c>
      <c r="D626" s="508">
        <v>706</v>
      </c>
      <c r="E626" s="507" t="s">
        <v>331</v>
      </c>
    </row>
    <row r="627" spans="1:5" ht="15" x14ac:dyDescent="0.3">
      <c r="A627" s="506">
        <v>7426</v>
      </c>
      <c r="B627" s="507" t="s">
        <v>4058</v>
      </c>
      <c r="C627" s="506" t="s">
        <v>328</v>
      </c>
      <c r="D627" s="508">
        <v>53812</v>
      </c>
      <c r="E627" s="507" t="s">
        <v>6108</v>
      </c>
    </row>
    <row r="628" spans="1:5" ht="15" x14ac:dyDescent="0.3">
      <c r="A628" s="506">
        <v>7427</v>
      </c>
      <c r="B628" s="507" t="s">
        <v>4059</v>
      </c>
      <c r="C628" s="506" t="s">
        <v>328</v>
      </c>
      <c r="D628" s="508">
        <v>106958</v>
      </c>
      <c r="E628" s="507" t="s">
        <v>6108</v>
      </c>
    </row>
    <row r="629" spans="1:5" ht="15" x14ac:dyDescent="0.3">
      <c r="A629" s="506">
        <v>7428</v>
      </c>
      <c r="B629" s="507" t="s">
        <v>4060</v>
      </c>
      <c r="C629" s="506" t="s">
        <v>328</v>
      </c>
      <c r="D629" s="508">
        <v>58422</v>
      </c>
      <c r="E629" s="507" t="s">
        <v>6108</v>
      </c>
    </row>
    <row r="630" spans="1:5" ht="15" x14ac:dyDescent="0.3">
      <c r="A630" s="506">
        <v>7429</v>
      </c>
      <c r="B630" s="507" t="s">
        <v>4061</v>
      </c>
      <c r="C630" s="506" t="s">
        <v>328</v>
      </c>
      <c r="D630" s="508">
        <v>84301</v>
      </c>
      <c r="E630" s="507" t="s">
        <v>6108</v>
      </c>
    </row>
    <row r="631" spans="1:5" ht="15" x14ac:dyDescent="0.3">
      <c r="A631" s="506">
        <v>7430</v>
      </c>
      <c r="B631" s="507" t="s">
        <v>4062</v>
      </c>
      <c r="C631" s="506" t="s">
        <v>328</v>
      </c>
      <c r="D631" s="508">
        <v>138013</v>
      </c>
      <c r="E631" s="507" t="s">
        <v>6108</v>
      </c>
    </row>
    <row r="632" spans="1:5" ht="15" x14ac:dyDescent="0.3">
      <c r="A632" s="506">
        <v>7434</v>
      </c>
      <c r="B632" s="507" t="s">
        <v>4063</v>
      </c>
      <c r="C632" s="506" t="s">
        <v>32</v>
      </c>
      <c r="D632" s="508">
        <v>558830</v>
      </c>
      <c r="E632" s="507" t="s">
        <v>6108</v>
      </c>
    </row>
    <row r="633" spans="1:5" ht="15" x14ac:dyDescent="0.3">
      <c r="A633" s="506">
        <v>7436</v>
      </c>
      <c r="B633" s="507" t="s">
        <v>4064</v>
      </c>
      <c r="C633" s="506" t="s">
        <v>3582</v>
      </c>
      <c r="D633" s="508">
        <v>68508</v>
      </c>
      <c r="E633" s="507" t="s">
        <v>6108</v>
      </c>
    </row>
    <row r="634" spans="1:5" ht="15" x14ac:dyDescent="0.3">
      <c r="A634" s="506">
        <v>7437</v>
      </c>
      <c r="B634" s="507" t="s">
        <v>4065</v>
      </c>
      <c r="C634" s="506" t="s">
        <v>3582</v>
      </c>
      <c r="D634" s="508">
        <v>57408</v>
      </c>
      <c r="E634" s="507" t="s">
        <v>6108</v>
      </c>
    </row>
    <row r="635" spans="1:5" ht="15" x14ac:dyDescent="0.3">
      <c r="A635" s="506">
        <v>7438</v>
      </c>
      <c r="B635" s="507" t="s">
        <v>4066</v>
      </c>
      <c r="C635" s="506" t="s">
        <v>3582</v>
      </c>
      <c r="D635" s="508">
        <v>478048</v>
      </c>
      <c r="E635" s="507" t="s">
        <v>331</v>
      </c>
    </row>
    <row r="636" spans="1:5" ht="15" x14ac:dyDescent="0.3">
      <c r="A636" s="506">
        <v>7439</v>
      </c>
      <c r="B636" s="507" t="s">
        <v>4067</v>
      </c>
      <c r="C636" s="506" t="s">
        <v>979</v>
      </c>
      <c r="D636" s="508">
        <v>5950</v>
      </c>
      <c r="E636" s="507" t="s">
        <v>6108</v>
      </c>
    </row>
    <row r="637" spans="1:5" ht="15" x14ac:dyDescent="0.3">
      <c r="A637" s="506">
        <v>7442</v>
      </c>
      <c r="B637" s="507" t="s">
        <v>4068</v>
      </c>
      <c r="C637" s="506" t="s">
        <v>328</v>
      </c>
      <c r="D637" s="508">
        <v>1571</v>
      </c>
      <c r="E637" s="507" t="s">
        <v>6108</v>
      </c>
    </row>
    <row r="638" spans="1:5" ht="15" x14ac:dyDescent="0.3">
      <c r="A638" s="506">
        <v>7443</v>
      </c>
      <c r="B638" s="507" t="s">
        <v>4069</v>
      </c>
      <c r="C638" s="506" t="s">
        <v>328</v>
      </c>
      <c r="D638" s="508">
        <v>3123</v>
      </c>
      <c r="E638" s="507" t="s">
        <v>6108</v>
      </c>
    </row>
    <row r="639" spans="1:5" ht="15" x14ac:dyDescent="0.3">
      <c r="A639" s="506">
        <v>7444</v>
      </c>
      <c r="B639" s="507" t="s">
        <v>4070</v>
      </c>
      <c r="C639" s="506" t="s">
        <v>328</v>
      </c>
      <c r="D639" s="508">
        <v>14757</v>
      </c>
      <c r="E639" s="507" t="s">
        <v>331</v>
      </c>
    </row>
    <row r="640" spans="1:5" ht="15" x14ac:dyDescent="0.3">
      <c r="A640" s="506">
        <v>7445</v>
      </c>
      <c r="B640" s="507" t="s">
        <v>6219</v>
      </c>
      <c r="C640" s="506" t="s">
        <v>32</v>
      </c>
      <c r="D640" s="508">
        <v>330820</v>
      </c>
      <c r="E640" s="507" t="s">
        <v>6108</v>
      </c>
    </row>
    <row r="641" spans="1:5" ht="15" x14ac:dyDescent="0.3">
      <c r="A641" s="506">
        <v>7446</v>
      </c>
      <c r="B641" s="507" t="s">
        <v>6220</v>
      </c>
      <c r="C641" s="506" t="s">
        <v>32</v>
      </c>
      <c r="D641" s="508">
        <v>510510</v>
      </c>
      <c r="E641" s="507" t="s">
        <v>6108</v>
      </c>
    </row>
    <row r="642" spans="1:5" ht="15" x14ac:dyDescent="0.3">
      <c r="A642" s="506">
        <v>7448</v>
      </c>
      <c r="B642" s="507" t="s">
        <v>6221</v>
      </c>
      <c r="C642" s="506" t="s">
        <v>32</v>
      </c>
      <c r="D642" s="508">
        <v>999600</v>
      </c>
      <c r="E642" s="507" t="s">
        <v>6108</v>
      </c>
    </row>
    <row r="643" spans="1:5" ht="15" x14ac:dyDescent="0.3">
      <c r="A643" s="506">
        <v>7451</v>
      </c>
      <c r="B643" s="507" t="s">
        <v>4071</v>
      </c>
      <c r="C643" s="506" t="s">
        <v>670</v>
      </c>
      <c r="D643" s="508">
        <v>4701</v>
      </c>
      <c r="E643" s="507" t="s">
        <v>331</v>
      </c>
    </row>
    <row r="644" spans="1:5" ht="15" x14ac:dyDescent="0.3">
      <c r="A644" s="506">
        <v>7452</v>
      </c>
      <c r="B644" s="507" t="s">
        <v>4072</v>
      </c>
      <c r="C644" s="506" t="s">
        <v>670</v>
      </c>
      <c r="D644" s="508">
        <v>4939</v>
      </c>
      <c r="E644" s="507" t="s">
        <v>331</v>
      </c>
    </row>
    <row r="645" spans="1:5" ht="15" x14ac:dyDescent="0.3">
      <c r="A645" s="506">
        <v>7453</v>
      </c>
      <c r="B645" s="507" t="s">
        <v>6222</v>
      </c>
      <c r="C645" s="506" t="s">
        <v>32</v>
      </c>
      <c r="D645" s="508">
        <v>182226</v>
      </c>
      <c r="E645" s="507" t="s">
        <v>6108</v>
      </c>
    </row>
    <row r="646" spans="1:5" ht="15" x14ac:dyDescent="0.3">
      <c r="A646" s="506">
        <v>7455</v>
      </c>
      <c r="B646" s="507" t="s">
        <v>6223</v>
      </c>
      <c r="C646" s="506" t="s">
        <v>32</v>
      </c>
      <c r="D646" s="508">
        <v>618800</v>
      </c>
      <c r="E646" s="507" t="s">
        <v>6108</v>
      </c>
    </row>
    <row r="647" spans="1:5" ht="15" x14ac:dyDescent="0.3">
      <c r="A647" s="506">
        <v>7457</v>
      </c>
      <c r="B647" s="507" t="s">
        <v>4073</v>
      </c>
      <c r="C647" s="506" t="s">
        <v>328</v>
      </c>
      <c r="D647" s="508">
        <v>28821</v>
      </c>
      <c r="E647" s="507" t="s">
        <v>6108</v>
      </c>
    </row>
    <row r="648" spans="1:5" ht="15" x14ac:dyDescent="0.3">
      <c r="A648" s="506">
        <v>7458</v>
      </c>
      <c r="B648" s="507" t="s">
        <v>4074</v>
      </c>
      <c r="C648" s="506" t="s">
        <v>328</v>
      </c>
      <c r="D648" s="508">
        <v>44783</v>
      </c>
      <c r="E648" s="507" t="s">
        <v>6108</v>
      </c>
    </row>
    <row r="649" spans="1:5" ht="15" x14ac:dyDescent="0.3">
      <c r="A649" s="506">
        <v>7460</v>
      </c>
      <c r="B649" s="507" t="s">
        <v>4075</v>
      </c>
      <c r="C649" s="506" t="s">
        <v>328</v>
      </c>
      <c r="D649" s="508">
        <v>39417</v>
      </c>
      <c r="E649" s="507" t="s">
        <v>6108</v>
      </c>
    </row>
    <row r="650" spans="1:5" ht="15" x14ac:dyDescent="0.3">
      <c r="A650" s="506">
        <v>7461</v>
      </c>
      <c r="B650" s="507" t="s">
        <v>4076</v>
      </c>
      <c r="C650" s="506" t="s">
        <v>30</v>
      </c>
      <c r="D650" s="508">
        <v>89049</v>
      </c>
      <c r="E650" s="507" t="s">
        <v>331</v>
      </c>
    </row>
    <row r="651" spans="1:5" ht="15" x14ac:dyDescent="0.3">
      <c r="A651" s="506">
        <v>7462</v>
      </c>
      <c r="B651" s="507" t="s">
        <v>4077</v>
      </c>
      <c r="C651" s="506" t="s">
        <v>2265</v>
      </c>
      <c r="D651" s="508">
        <v>1800</v>
      </c>
      <c r="E651" s="507" t="s">
        <v>331</v>
      </c>
    </row>
    <row r="652" spans="1:5" ht="15" x14ac:dyDescent="0.3">
      <c r="A652" s="506">
        <v>7463</v>
      </c>
      <c r="B652" s="507" t="s">
        <v>4078</v>
      </c>
      <c r="C652" s="506" t="s">
        <v>21</v>
      </c>
      <c r="D652" s="508">
        <v>5114</v>
      </c>
      <c r="E652" s="507" t="s">
        <v>6108</v>
      </c>
    </row>
    <row r="653" spans="1:5" ht="15" x14ac:dyDescent="0.3">
      <c r="A653" s="506">
        <v>7465</v>
      </c>
      <c r="B653" s="507" t="s">
        <v>4079</v>
      </c>
      <c r="C653" s="506" t="s">
        <v>21</v>
      </c>
      <c r="D653" s="508">
        <v>5953</v>
      </c>
      <c r="E653" s="507" t="s">
        <v>6108</v>
      </c>
    </row>
    <row r="654" spans="1:5" ht="15" x14ac:dyDescent="0.3">
      <c r="A654" s="506">
        <v>7467</v>
      </c>
      <c r="B654" s="507" t="s">
        <v>4080</v>
      </c>
      <c r="C654" s="506" t="s">
        <v>21</v>
      </c>
      <c r="D654" s="508">
        <v>7205</v>
      </c>
      <c r="E654" s="507" t="s">
        <v>6108</v>
      </c>
    </row>
    <row r="655" spans="1:5" ht="15" x14ac:dyDescent="0.3">
      <c r="A655" s="506">
        <v>7468</v>
      </c>
      <c r="B655" s="507" t="s">
        <v>4081</v>
      </c>
      <c r="C655" s="506" t="s">
        <v>21</v>
      </c>
      <c r="D655" s="508">
        <v>7426</v>
      </c>
      <c r="E655" s="507" t="s">
        <v>6108</v>
      </c>
    </row>
    <row r="656" spans="1:5" ht="15" x14ac:dyDescent="0.3">
      <c r="A656" s="506">
        <v>7471</v>
      </c>
      <c r="B656" s="507" t="s">
        <v>6224</v>
      </c>
      <c r="C656" s="506" t="s">
        <v>32</v>
      </c>
      <c r="D656" s="508">
        <v>96000</v>
      </c>
      <c r="E656" s="507" t="s">
        <v>6108</v>
      </c>
    </row>
    <row r="657" spans="1:5" ht="15" x14ac:dyDescent="0.3">
      <c r="A657" s="506">
        <v>7472</v>
      </c>
      <c r="B657" s="507" t="s">
        <v>4082</v>
      </c>
      <c r="C657" s="506" t="s">
        <v>32</v>
      </c>
      <c r="D657" s="508">
        <v>101150</v>
      </c>
      <c r="E657" s="507" t="s">
        <v>6108</v>
      </c>
    </row>
    <row r="658" spans="1:5" ht="15" x14ac:dyDescent="0.3">
      <c r="A658" s="506">
        <v>7482</v>
      </c>
      <c r="B658" s="507" t="s">
        <v>6225</v>
      </c>
      <c r="C658" s="506" t="s">
        <v>32</v>
      </c>
      <c r="D658" s="508">
        <v>123311</v>
      </c>
      <c r="E658" s="507" t="s">
        <v>6108</v>
      </c>
    </row>
    <row r="659" spans="1:5" ht="15" x14ac:dyDescent="0.3">
      <c r="A659" s="506">
        <v>7485</v>
      </c>
      <c r="B659" s="507" t="s">
        <v>6226</v>
      </c>
      <c r="C659" s="506" t="s">
        <v>32</v>
      </c>
      <c r="D659" s="508">
        <v>160650</v>
      </c>
      <c r="E659" s="507" t="s">
        <v>6108</v>
      </c>
    </row>
    <row r="660" spans="1:5" ht="15" x14ac:dyDescent="0.3">
      <c r="A660" s="506">
        <v>7487</v>
      </c>
      <c r="B660" s="507" t="s">
        <v>4083</v>
      </c>
      <c r="C660" s="506" t="s">
        <v>32</v>
      </c>
      <c r="D660" s="508">
        <v>208000</v>
      </c>
      <c r="E660" s="507" t="s">
        <v>6108</v>
      </c>
    </row>
    <row r="661" spans="1:5" ht="15" x14ac:dyDescent="0.3">
      <c r="A661" s="506">
        <v>7488</v>
      </c>
      <c r="B661" s="507" t="s">
        <v>4084</v>
      </c>
      <c r="C661" s="506" t="s">
        <v>32</v>
      </c>
      <c r="D661" s="508">
        <v>12519</v>
      </c>
      <c r="E661" s="507" t="s">
        <v>6108</v>
      </c>
    </row>
    <row r="662" spans="1:5" ht="15" x14ac:dyDescent="0.3">
      <c r="A662" s="506">
        <v>7489</v>
      </c>
      <c r="B662" s="507" t="s">
        <v>4085</v>
      </c>
      <c r="C662" s="506" t="s">
        <v>32</v>
      </c>
      <c r="D662" s="508">
        <v>37485</v>
      </c>
      <c r="E662" s="507" t="s">
        <v>6108</v>
      </c>
    </row>
    <row r="663" spans="1:5" ht="15" x14ac:dyDescent="0.3">
      <c r="A663" s="506">
        <v>7490</v>
      </c>
      <c r="B663" s="507" t="s">
        <v>6227</v>
      </c>
      <c r="C663" s="506" t="s">
        <v>32</v>
      </c>
      <c r="D663" s="508">
        <v>148750</v>
      </c>
      <c r="E663" s="507" t="s">
        <v>6108</v>
      </c>
    </row>
    <row r="664" spans="1:5" ht="15" x14ac:dyDescent="0.3">
      <c r="A664" s="506">
        <v>7493</v>
      </c>
      <c r="B664" s="507" t="s">
        <v>6228</v>
      </c>
      <c r="C664" s="506" t="s">
        <v>32</v>
      </c>
      <c r="D664" s="508">
        <v>50694</v>
      </c>
      <c r="E664" s="507" t="s">
        <v>6108</v>
      </c>
    </row>
    <row r="665" spans="1:5" ht="15" x14ac:dyDescent="0.3">
      <c r="A665" s="506">
        <v>7494</v>
      </c>
      <c r="B665" s="507" t="s">
        <v>6229</v>
      </c>
      <c r="C665" s="506" t="s">
        <v>32</v>
      </c>
      <c r="D665" s="508">
        <v>71222</v>
      </c>
      <c r="E665" s="507" t="s">
        <v>6108</v>
      </c>
    </row>
    <row r="666" spans="1:5" ht="15" x14ac:dyDescent="0.3">
      <c r="A666" s="506">
        <v>7496</v>
      </c>
      <c r="B666" s="507" t="s">
        <v>6230</v>
      </c>
      <c r="C666" s="506" t="s">
        <v>32</v>
      </c>
      <c r="D666" s="508">
        <v>84490</v>
      </c>
      <c r="E666" s="507" t="s">
        <v>6108</v>
      </c>
    </row>
    <row r="667" spans="1:5" ht="15" x14ac:dyDescent="0.3">
      <c r="A667" s="506">
        <v>7497</v>
      </c>
      <c r="B667" s="507" t="s">
        <v>6231</v>
      </c>
      <c r="C667" s="506" t="s">
        <v>32</v>
      </c>
      <c r="D667" s="508">
        <v>82110</v>
      </c>
      <c r="E667" s="507" t="s">
        <v>6108</v>
      </c>
    </row>
    <row r="668" spans="1:5" ht="15" x14ac:dyDescent="0.3">
      <c r="A668" s="506">
        <v>7501</v>
      </c>
      <c r="B668" s="507" t="s">
        <v>4086</v>
      </c>
      <c r="C668" s="506" t="s">
        <v>32</v>
      </c>
      <c r="D668" s="508">
        <v>339150</v>
      </c>
      <c r="E668" s="507" t="s">
        <v>6108</v>
      </c>
    </row>
    <row r="669" spans="1:5" ht="15" x14ac:dyDescent="0.3">
      <c r="A669" s="506">
        <v>7502</v>
      </c>
      <c r="B669" s="507" t="s">
        <v>4087</v>
      </c>
      <c r="C669" s="506" t="s">
        <v>32</v>
      </c>
      <c r="D669" s="508">
        <v>737800</v>
      </c>
      <c r="E669" s="507" t="s">
        <v>6108</v>
      </c>
    </row>
    <row r="670" spans="1:5" ht="15" x14ac:dyDescent="0.3">
      <c r="A670" s="506">
        <v>7503</v>
      </c>
      <c r="B670" s="507" t="s">
        <v>4088</v>
      </c>
      <c r="C670" s="506" t="s">
        <v>32</v>
      </c>
      <c r="D670" s="508">
        <v>890120</v>
      </c>
      <c r="E670" s="507" t="s">
        <v>6108</v>
      </c>
    </row>
    <row r="671" spans="1:5" ht="15" x14ac:dyDescent="0.3">
      <c r="A671" s="506">
        <v>7511</v>
      </c>
      <c r="B671" s="507" t="s">
        <v>4089</v>
      </c>
      <c r="C671" s="506" t="s">
        <v>32</v>
      </c>
      <c r="D671" s="508">
        <v>311780</v>
      </c>
      <c r="E671" s="507" t="s">
        <v>6108</v>
      </c>
    </row>
    <row r="672" spans="1:5" ht="15" x14ac:dyDescent="0.3">
      <c r="A672" s="506">
        <v>7520</v>
      </c>
      <c r="B672" s="507" t="s">
        <v>4090</v>
      </c>
      <c r="C672" s="506" t="s">
        <v>32</v>
      </c>
      <c r="D672" s="508">
        <v>126140</v>
      </c>
      <c r="E672" s="507" t="s">
        <v>6108</v>
      </c>
    </row>
    <row r="673" spans="1:5" ht="15" x14ac:dyDescent="0.3">
      <c r="A673" s="506">
        <v>7523</v>
      </c>
      <c r="B673" s="507" t="s">
        <v>4091</v>
      </c>
      <c r="C673" s="506" t="s">
        <v>32</v>
      </c>
      <c r="D673" s="508">
        <v>211820</v>
      </c>
      <c r="E673" s="507" t="s">
        <v>6108</v>
      </c>
    </row>
    <row r="674" spans="1:5" ht="15" x14ac:dyDescent="0.3">
      <c r="A674" s="506">
        <v>7524</v>
      </c>
      <c r="B674" s="507" t="s">
        <v>4092</v>
      </c>
      <c r="C674" s="506" t="s">
        <v>32</v>
      </c>
      <c r="D674" s="508">
        <v>211820</v>
      </c>
      <c r="E674" s="507" t="s">
        <v>6108</v>
      </c>
    </row>
    <row r="675" spans="1:5" ht="15" x14ac:dyDescent="0.3">
      <c r="A675" s="506">
        <v>7530</v>
      </c>
      <c r="B675" s="507" t="s">
        <v>4093</v>
      </c>
      <c r="C675" s="506" t="s">
        <v>32</v>
      </c>
      <c r="D675" s="508">
        <v>130900</v>
      </c>
      <c r="E675" s="507" t="s">
        <v>6108</v>
      </c>
    </row>
    <row r="676" spans="1:5" ht="15" x14ac:dyDescent="0.3">
      <c r="A676" s="506">
        <v>7542</v>
      </c>
      <c r="B676" s="507" t="s">
        <v>6232</v>
      </c>
      <c r="C676" s="506" t="s">
        <v>32</v>
      </c>
      <c r="D676" s="508">
        <v>10115</v>
      </c>
      <c r="E676" s="507" t="s">
        <v>6108</v>
      </c>
    </row>
    <row r="677" spans="1:5" ht="15" x14ac:dyDescent="0.3">
      <c r="A677" s="506">
        <v>7544</v>
      </c>
      <c r="B677" s="507" t="s">
        <v>6233</v>
      </c>
      <c r="C677" s="506" t="s">
        <v>32</v>
      </c>
      <c r="D677" s="508">
        <v>21420</v>
      </c>
      <c r="E677" s="507" t="s">
        <v>6108</v>
      </c>
    </row>
    <row r="678" spans="1:5" ht="15" x14ac:dyDescent="0.3">
      <c r="A678" s="506">
        <v>7550</v>
      </c>
      <c r="B678" s="507" t="s">
        <v>4094</v>
      </c>
      <c r="C678" s="506" t="s">
        <v>32</v>
      </c>
      <c r="D678" s="508">
        <v>165291</v>
      </c>
      <c r="E678" s="507" t="s">
        <v>6108</v>
      </c>
    </row>
    <row r="679" spans="1:5" ht="15" x14ac:dyDescent="0.3">
      <c r="A679" s="506">
        <v>7551</v>
      </c>
      <c r="B679" s="507" t="s">
        <v>6234</v>
      </c>
      <c r="C679" s="506" t="s">
        <v>32</v>
      </c>
      <c r="D679" s="508">
        <v>78778</v>
      </c>
      <c r="E679" s="507" t="s">
        <v>6108</v>
      </c>
    </row>
    <row r="680" spans="1:5" ht="15" x14ac:dyDescent="0.3">
      <c r="A680" s="506">
        <v>7554</v>
      </c>
      <c r="B680" s="507" t="s">
        <v>4095</v>
      </c>
      <c r="C680" s="506" t="s">
        <v>32</v>
      </c>
      <c r="D680" s="508">
        <v>46520</v>
      </c>
      <c r="E680" s="507" t="s">
        <v>6108</v>
      </c>
    </row>
    <row r="681" spans="1:5" ht="15" x14ac:dyDescent="0.3">
      <c r="A681" s="506">
        <v>7555</v>
      </c>
      <c r="B681" s="507" t="s">
        <v>312</v>
      </c>
      <c r="C681" s="506" t="s">
        <v>32</v>
      </c>
      <c r="D681" s="508">
        <v>42090</v>
      </c>
      <c r="E681" s="507" t="s">
        <v>6108</v>
      </c>
    </row>
    <row r="682" spans="1:5" ht="15" x14ac:dyDescent="0.3">
      <c r="A682" s="506">
        <v>7556</v>
      </c>
      <c r="B682" s="507" t="s">
        <v>4096</v>
      </c>
      <c r="C682" s="506" t="s">
        <v>21</v>
      </c>
      <c r="D682" s="508">
        <v>1728</v>
      </c>
      <c r="E682" s="507" t="s">
        <v>6108</v>
      </c>
    </row>
    <row r="683" spans="1:5" ht="15" x14ac:dyDescent="0.3">
      <c r="A683" s="506">
        <v>7557</v>
      </c>
      <c r="B683" s="507" t="s">
        <v>4097</v>
      </c>
      <c r="C683" s="506" t="s">
        <v>32</v>
      </c>
      <c r="D683" s="508">
        <v>2810</v>
      </c>
      <c r="E683" s="507" t="s">
        <v>6108</v>
      </c>
    </row>
    <row r="684" spans="1:5" ht="15" x14ac:dyDescent="0.3">
      <c r="A684" s="506">
        <v>7558</v>
      </c>
      <c r="B684" s="507" t="s">
        <v>6235</v>
      </c>
      <c r="C684" s="506" t="s">
        <v>307</v>
      </c>
      <c r="D684" s="508">
        <v>856800</v>
      </c>
      <c r="E684" s="507" t="s">
        <v>6108</v>
      </c>
    </row>
    <row r="685" spans="1:5" ht="15" x14ac:dyDescent="0.3">
      <c r="A685" s="506">
        <v>7559</v>
      </c>
      <c r="B685" s="507" t="s">
        <v>4098</v>
      </c>
      <c r="C685" s="506" t="s">
        <v>21</v>
      </c>
      <c r="D685" s="508">
        <v>2763</v>
      </c>
      <c r="E685" s="507" t="s">
        <v>6108</v>
      </c>
    </row>
    <row r="686" spans="1:5" ht="15" x14ac:dyDescent="0.3">
      <c r="A686" s="506">
        <v>7560</v>
      </c>
      <c r="B686" s="507" t="s">
        <v>4099</v>
      </c>
      <c r="C686" s="506" t="s">
        <v>21</v>
      </c>
      <c r="D686" s="508">
        <v>3247</v>
      </c>
      <c r="E686" s="507" t="s">
        <v>6108</v>
      </c>
    </row>
    <row r="687" spans="1:5" ht="15" x14ac:dyDescent="0.3">
      <c r="A687" s="506">
        <v>7561</v>
      </c>
      <c r="B687" s="507" t="s">
        <v>4100</v>
      </c>
      <c r="C687" s="506" t="s">
        <v>21</v>
      </c>
      <c r="D687" s="508">
        <v>1852</v>
      </c>
      <c r="E687" s="507" t="s">
        <v>6108</v>
      </c>
    </row>
    <row r="688" spans="1:5" ht="15" x14ac:dyDescent="0.3">
      <c r="A688" s="506">
        <v>7562</v>
      </c>
      <c r="B688" s="507" t="s">
        <v>4101</v>
      </c>
      <c r="C688" s="506" t="s">
        <v>328</v>
      </c>
      <c r="D688" s="508">
        <v>22180</v>
      </c>
      <c r="E688" s="507" t="s">
        <v>6108</v>
      </c>
    </row>
    <row r="689" spans="1:5" ht="15" x14ac:dyDescent="0.3">
      <c r="A689" s="506">
        <v>7567</v>
      </c>
      <c r="B689" s="507" t="s">
        <v>4102</v>
      </c>
      <c r="C689" s="506" t="s">
        <v>32</v>
      </c>
      <c r="D689" s="508">
        <v>95994</v>
      </c>
      <c r="E689" s="507" t="s">
        <v>6108</v>
      </c>
    </row>
    <row r="690" spans="1:5" ht="15" x14ac:dyDescent="0.3">
      <c r="A690" s="506">
        <v>7568</v>
      </c>
      <c r="B690" s="507" t="s">
        <v>4103</v>
      </c>
      <c r="C690" s="506" t="s">
        <v>32</v>
      </c>
      <c r="D690" s="508">
        <v>45220</v>
      </c>
      <c r="E690" s="507" t="s">
        <v>6108</v>
      </c>
    </row>
    <row r="691" spans="1:5" ht="15" x14ac:dyDescent="0.3">
      <c r="A691" s="506">
        <v>7571</v>
      </c>
      <c r="B691" s="507" t="s">
        <v>4104</v>
      </c>
      <c r="C691" s="506" t="s">
        <v>32</v>
      </c>
      <c r="D691" s="508">
        <v>83781</v>
      </c>
      <c r="E691" s="507" t="s">
        <v>6108</v>
      </c>
    </row>
    <row r="692" spans="1:5" ht="15" x14ac:dyDescent="0.3">
      <c r="A692" s="506">
        <v>7575</v>
      </c>
      <c r="B692" s="507" t="s">
        <v>4105</v>
      </c>
      <c r="C692" s="506" t="s">
        <v>32</v>
      </c>
      <c r="D692" s="508">
        <v>34050</v>
      </c>
      <c r="E692" s="507" t="s">
        <v>6108</v>
      </c>
    </row>
    <row r="693" spans="1:5" ht="15" x14ac:dyDescent="0.3">
      <c r="A693" s="506">
        <v>7576</v>
      </c>
      <c r="B693" s="507" t="s">
        <v>4106</v>
      </c>
      <c r="C693" s="506" t="s">
        <v>32</v>
      </c>
      <c r="D693" s="508">
        <v>2000</v>
      </c>
      <c r="E693" s="507" t="s">
        <v>6108</v>
      </c>
    </row>
    <row r="694" spans="1:5" ht="15" x14ac:dyDescent="0.3">
      <c r="A694" s="506">
        <v>7577</v>
      </c>
      <c r="B694" s="507" t="s">
        <v>4107</v>
      </c>
      <c r="C694" s="506" t="s">
        <v>32</v>
      </c>
      <c r="D694" s="508">
        <v>8000</v>
      </c>
      <c r="E694" s="507" t="s">
        <v>6108</v>
      </c>
    </row>
    <row r="695" spans="1:5" ht="15" x14ac:dyDescent="0.3">
      <c r="A695" s="506">
        <v>7578</v>
      </c>
      <c r="B695" s="507" t="s">
        <v>4108</v>
      </c>
      <c r="C695" s="506" t="s">
        <v>32</v>
      </c>
      <c r="D695" s="508">
        <v>9055</v>
      </c>
      <c r="E695" s="507" t="s">
        <v>6108</v>
      </c>
    </row>
    <row r="696" spans="1:5" ht="15" x14ac:dyDescent="0.3">
      <c r="A696" s="506">
        <v>7579</v>
      </c>
      <c r="B696" s="507" t="s">
        <v>4109</v>
      </c>
      <c r="C696" s="506" t="s">
        <v>32</v>
      </c>
      <c r="D696" s="508">
        <v>750</v>
      </c>
      <c r="E696" s="507" t="s">
        <v>6108</v>
      </c>
    </row>
    <row r="697" spans="1:5" ht="15" x14ac:dyDescent="0.3">
      <c r="A697" s="506">
        <v>7580</v>
      </c>
      <c r="B697" s="507" t="s">
        <v>4110</v>
      </c>
      <c r="C697" s="506" t="s">
        <v>32</v>
      </c>
      <c r="D697" s="508">
        <v>23000</v>
      </c>
      <c r="E697" s="507" t="s">
        <v>6108</v>
      </c>
    </row>
    <row r="698" spans="1:5" ht="15" x14ac:dyDescent="0.3">
      <c r="A698" s="506">
        <v>7582</v>
      </c>
      <c r="B698" s="507" t="s">
        <v>4111</v>
      </c>
      <c r="C698" s="506" t="s">
        <v>32</v>
      </c>
      <c r="D698" s="508">
        <v>25000</v>
      </c>
      <c r="E698" s="507" t="s">
        <v>6108</v>
      </c>
    </row>
    <row r="699" spans="1:5" ht="15" x14ac:dyDescent="0.3">
      <c r="A699" s="506">
        <v>7583</v>
      </c>
      <c r="B699" s="507" t="s">
        <v>4112</v>
      </c>
      <c r="C699" s="506" t="s">
        <v>32</v>
      </c>
      <c r="D699" s="508">
        <v>29750</v>
      </c>
      <c r="E699" s="507" t="s">
        <v>6108</v>
      </c>
    </row>
    <row r="700" spans="1:5" ht="15" x14ac:dyDescent="0.3">
      <c r="A700" s="506">
        <v>7585</v>
      </c>
      <c r="B700" s="507" t="s">
        <v>4113</v>
      </c>
      <c r="C700" s="506" t="s">
        <v>328</v>
      </c>
      <c r="D700" s="508">
        <v>37163</v>
      </c>
      <c r="E700" s="507" t="s">
        <v>331</v>
      </c>
    </row>
    <row r="701" spans="1:5" ht="15" x14ac:dyDescent="0.3">
      <c r="A701" s="506">
        <v>7586</v>
      </c>
      <c r="B701" s="507" t="s">
        <v>4114</v>
      </c>
      <c r="C701" s="506" t="s">
        <v>32</v>
      </c>
      <c r="D701" s="508">
        <v>3413</v>
      </c>
      <c r="E701" s="507" t="s">
        <v>6108</v>
      </c>
    </row>
    <row r="702" spans="1:5" ht="15" x14ac:dyDescent="0.3">
      <c r="A702" s="506">
        <v>7587</v>
      </c>
      <c r="B702" s="507" t="s">
        <v>4115</v>
      </c>
      <c r="C702" s="506" t="s">
        <v>670</v>
      </c>
      <c r="D702" s="508">
        <v>153769</v>
      </c>
      <c r="E702" s="507" t="s">
        <v>6108</v>
      </c>
    </row>
    <row r="703" spans="1:5" ht="15" x14ac:dyDescent="0.3">
      <c r="A703" s="506">
        <v>7596</v>
      </c>
      <c r="B703" s="507" t="s">
        <v>4116</v>
      </c>
      <c r="C703" s="506" t="s">
        <v>3582</v>
      </c>
      <c r="D703" s="508">
        <v>52107</v>
      </c>
      <c r="E703" s="507" t="s">
        <v>6108</v>
      </c>
    </row>
    <row r="704" spans="1:5" ht="15" x14ac:dyDescent="0.3">
      <c r="A704" s="506">
        <v>7598</v>
      </c>
      <c r="B704" s="507" t="s">
        <v>4117</v>
      </c>
      <c r="C704" s="506" t="s">
        <v>30</v>
      </c>
      <c r="D704" s="508">
        <v>90440</v>
      </c>
      <c r="E704" s="507" t="s">
        <v>331</v>
      </c>
    </row>
    <row r="705" spans="1:5" ht="15" x14ac:dyDescent="0.3">
      <c r="A705" s="506">
        <v>7603</v>
      </c>
      <c r="B705" s="507" t="s">
        <v>4118</v>
      </c>
      <c r="C705" s="506" t="s">
        <v>328</v>
      </c>
      <c r="D705" s="508">
        <v>386587</v>
      </c>
      <c r="E705" s="507" t="s">
        <v>6108</v>
      </c>
    </row>
    <row r="706" spans="1:5" ht="15" x14ac:dyDescent="0.3">
      <c r="A706" s="506">
        <v>7604</v>
      </c>
      <c r="B706" s="507" t="s">
        <v>4119</v>
      </c>
      <c r="C706" s="506" t="s">
        <v>328</v>
      </c>
      <c r="D706" s="508">
        <v>466632</v>
      </c>
      <c r="E706" s="507" t="s">
        <v>6108</v>
      </c>
    </row>
    <row r="707" spans="1:5" ht="15" x14ac:dyDescent="0.3">
      <c r="A707" s="506">
        <v>7606</v>
      </c>
      <c r="B707" s="507" t="s">
        <v>4120</v>
      </c>
      <c r="C707" s="506" t="s">
        <v>328</v>
      </c>
      <c r="D707" s="508">
        <v>595966</v>
      </c>
      <c r="E707" s="507" t="s">
        <v>6108</v>
      </c>
    </row>
    <row r="708" spans="1:5" ht="15" x14ac:dyDescent="0.3">
      <c r="A708" s="506">
        <v>7607</v>
      </c>
      <c r="B708" s="507" t="s">
        <v>4121</v>
      </c>
      <c r="C708" s="506" t="s">
        <v>328</v>
      </c>
      <c r="D708" s="508">
        <v>657040</v>
      </c>
      <c r="E708" s="507" t="s">
        <v>6108</v>
      </c>
    </row>
    <row r="709" spans="1:5" ht="15" x14ac:dyDescent="0.3">
      <c r="A709" s="506">
        <v>7608</v>
      </c>
      <c r="B709" s="507" t="s">
        <v>4122</v>
      </c>
      <c r="C709" s="506" t="s">
        <v>328</v>
      </c>
      <c r="D709" s="508">
        <v>803045</v>
      </c>
      <c r="E709" s="507" t="s">
        <v>6108</v>
      </c>
    </row>
    <row r="710" spans="1:5" ht="15" x14ac:dyDescent="0.3">
      <c r="A710" s="506">
        <v>7610</v>
      </c>
      <c r="B710" s="507" t="s">
        <v>4123</v>
      </c>
      <c r="C710" s="506" t="s">
        <v>21</v>
      </c>
      <c r="D710" s="508">
        <v>9663</v>
      </c>
      <c r="E710" s="507" t="s">
        <v>6108</v>
      </c>
    </row>
    <row r="711" spans="1:5" ht="15" x14ac:dyDescent="0.3">
      <c r="A711" s="506">
        <v>7613</v>
      </c>
      <c r="B711" s="507" t="s">
        <v>4124</v>
      </c>
      <c r="C711" s="506" t="s">
        <v>328</v>
      </c>
      <c r="D711" s="508">
        <v>947968</v>
      </c>
      <c r="E711" s="507" t="s">
        <v>6108</v>
      </c>
    </row>
    <row r="712" spans="1:5" ht="15" x14ac:dyDescent="0.3">
      <c r="A712" s="506">
        <v>7614</v>
      </c>
      <c r="B712" s="507" t="s">
        <v>4125</v>
      </c>
      <c r="C712" s="506" t="s">
        <v>328</v>
      </c>
      <c r="D712" s="508">
        <v>1199074</v>
      </c>
      <c r="E712" s="507" t="s">
        <v>6108</v>
      </c>
    </row>
    <row r="713" spans="1:5" ht="15" x14ac:dyDescent="0.3">
      <c r="A713" s="506">
        <v>7615</v>
      </c>
      <c r="B713" s="507" t="s">
        <v>4126</v>
      </c>
      <c r="C713" s="506" t="s">
        <v>328</v>
      </c>
      <c r="D713" s="508">
        <v>1517165</v>
      </c>
      <c r="E713" s="507" t="s">
        <v>6108</v>
      </c>
    </row>
    <row r="714" spans="1:5" ht="15" x14ac:dyDescent="0.3">
      <c r="A714" s="506">
        <v>7616</v>
      </c>
      <c r="B714" s="507" t="s">
        <v>4127</v>
      </c>
      <c r="C714" s="506" t="s">
        <v>328</v>
      </c>
      <c r="D714" s="508">
        <v>1719584</v>
      </c>
      <c r="E714" s="507" t="s">
        <v>6108</v>
      </c>
    </row>
    <row r="715" spans="1:5" ht="15" x14ac:dyDescent="0.3">
      <c r="A715" s="506">
        <v>7617</v>
      </c>
      <c r="B715" s="507" t="s">
        <v>4128</v>
      </c>
      <c r="C715" s="506" t="s">
        <v>328</v>
      </c>
      <c r="D715" s="508">
        <v>1922003</v>
      </c>
      <c r="E715" s="507" t="s">
        <v>6108</v>
      </c>
    </row>
    <row r="716" spans="1:5" ht="15" x14ac:dyDescent="0.3">
      <c r="A716" s="506">
        <v>7618</v>
      </c>
      <c r="B716" s="507" t="s">
        <v>4129</v>
      </c>
      <c r="C716" s="506" t="s">
        <v>328</v>
      </c>
      <c r="D716" s="508">
        <v>2159846</v>
      </c>
      <c r="E716" s="507" t="s">
        <v>6108</v>
      </c>
    </row>
    <row r="717" spans="1:5" ht="15" x14ac:dyDescent="0.3">
      <c r="A717" s="506">
        <v>7619</v>
      </c>
      <c r="B717" s="507" t="s">
        <v>4130</v>
      </c>
      <c r="C717" s="506" t="s">
        <v>328</v>
      </c>
      <c r="D717" s="508">
        <v>2762417</v>
      </c>
      <c r="E717" s="507" t="s">
        <v>6108</v>
      </c>
    </row>
    <row r="718" spans="1:5" ht="15" x14ac:dyDescent="0.3">
      <c r="A718" s="506">
        <v>7620</v>
      </c>
      <c r="B718" s="507" t="s">
        <v>4131</v>
      </c>
      <c r="C718" s="506" t="s">
        <v>328</v>
      </c>
      <c r="D718" s="508">
        <v>3060985</v>
      </c>
      <c r="E718" s="507" t="s">
        <v>6108</v>
      </c>
    </row>
    <row r="719" spans="1:5" ht="15" x14ac:dyDescent="0.3">
      <c r="A719" s="506">
        <v>7621</v>
      </c>
      <c r="B719" s="507" t="s">
        <v>4132</v>
      </c>
      <c r="C719" s="506" t="s">
        <v>328</v>
      </c>
      <c r="D719" s="508">
        <v>3384856</v>
      </c>
      <c r="E719" s="507" t="s">
        <v>6108</v>
      </c>
    </row>
    <row r="720" spans="1:5" ht="15" x14ac:dyDescent="0.3">
      <c r="A720" s="506">
        <v>7622</v>
      </c>
      <c r="B720" s="507" t="s">
        <v>4133</v>
      </c>
      <c r="C720" s="506" t="s">
        <v>328</v>
      </c>
      <c r="D720" s="508">
        <v>3708726</v>
      </c>
      <c r="E720" s="507" t="s">
        <v>6108</v>
      </c>
    </row>
    <row r="721" spans="1:5" ht="15" x14ac:dyDescent="0.3">
      <c r="A721" s="506">
        <v>7626</v>
      </c>
      <c r="B721" s="507" t="s">
        <v>4134</v>
      </c>
      <c r="C721" s="506" t="s">
        <v>32</v>
      </c>
      <c r="D721" s="508">
        <v>623931</v>
      </c>
      <c r="E721" s="507" t="s">
        <v>6108</v>
      </c>
    </row>
    <row r="722" spans="1:5" ht="15" x14ac:dyDescent="0.3">
      <c r="A722" s="506">
        <v>7627</v>
      </c>
      <c r="B722" s="507" t="s">
        <v>4135</v>
      </c>
      <c r="C722" s="506" t="s">
        <v>32</v>
      </c>
      <c r="D722" s="508">
        <v>647170</v>
      </c>
      <c r="E722" s="507" t="s">
        <v>6108</v>
      </c>
    </row>
    <row r="723" spans="1:5" ht="15" x14ac:dyDescent="0.3">
      <c r="A723" s="506">
        <v>7628</v>
      </c>
      <c r="B723" s="507" t="s">
        <v>4136</v>
      </c>
      <c r="C723" s="506" t="s">
        <v>32</v>
      </c>
      <c r="D723" s="508">
        <v>669423</v>
      </c>
      <c r="E723" s="507" t="s">
        <v>6108</v>
      </c>
    </row>
    <row r="724" spans="1:5" ht="15" x14ac:dyDescent="0.3">
      <c r="A724" s="506">
        <v>7630</v>
      </c>
      <c r="B724" s="507" t="s">
        <v>4137</v>
      </c>
      <c r="C724" s="506" t="s">
        <v>32</v>
      </c>
      <c r="D724" s="508">
        <v>705256</v>
      </c>
      <c r="E724" s="507" t="s">
        <v>6108</v>
      </c>
    </row>
    <row r="725" spans="1:5" ht="15" x14ac:dyDescent="0.3">
      <c r="A725" s="506">
        <v>7631</v>
      </c>
      <c r="B725" s="507" t="s">
        <v>4138</v>
      </c>
      <c r="C725" s="506" t="s">
        <v>32</v>
      </c>
      <c r="D725" s="508">
        <v>905521</v>
      </c>
      <c r="E725" s="507" t="s">
        <v>6108</v>
      </c>
    </row>
    <row r="726" spans="1:5" ht="15" x14ac:dyDescent="0.3">
      <c r="A726" s="506">
        <v>7632</v>
      </c>
      <c r="B726" s="507" t="s">
        <v>4139</v>
      </c>
      <c r="C726" s="506" t="s">
        <v>32</v>
      </c>
      <c r="D726" s="508">
        <v>968595</v>
      </c>
      <c r="E726" s="507" t="s">
        <v>6108</v>
      </c>
    </row>
    <row r="727" spans="1:5" ht="15" x14ac:dyDescent="0.3">
      <c r="A727" s="506">
        <v>7633</v>
      </c>
      <c r="B727" s="507" t="s">
        <v>4140</v>
      </c>
      <c r="C727" s="506" t="s">
        <v>32</v>
      </c>
      <c r="D727" s="508">
        <v>1046753</v>
      </c>
      <c r="E727" s="507" t="s">
        <v>6108</v>
      </c>
    </row>
    <row r="728" spans="1:5" ht="15" x14ac:dyDescent="0.3">
      <c r="A728" s="506">
        <v>7634</v>
      </c>
      <c r="B728" s="507" t="s">
        <v>4141</v>
      </c>
      <c r="C728" s="506" t="s">
        <v>32</v>
      </c>
      <c r="D728" s="508">
        <v>1126845</v>
      </c>
      <c r="E728" s="507" t="s">
        <v>6108</v>
      </c>
    </row>
    <row r="729" spans="1:5" ht="15" x14ac:dyDescent="0.3">
      <c r="A729" s="506">
        <v>7635</v>
      </c>
      <c r="B729" s="507" t="s">
        <v>4142</v>
      </c>
      <c r="C729" s="506" t="s">
        <v>32</v>
      </c>
      <c r="D729" s="508">
        <v>921007</v>
      </c>
      <c r="E729" s="507" t="s">
        <v>6108</v>
      </c>
    </row>
    <row r="730" spans="1:5" ht="15" x14ac:dyDescent="0.3">
      <c r="A730" s="506">
        <v>7636</v>
      </c>
      <c r="B730" s="507" t="s">
        <v>4143</v>
      </c>
      <c r="C730" s="506" t="s">
        <v>32</v>
      </c>
      <c r="D730" s="508">
        <v>961491</v>
      </c>
      <c r="E730" s="507" t="s">
        <v>6108</v>
      </c>
    </row>
    <row r="731" spans="1:5" ht="15" x14ac:dyDescent="0.3">
      <c r="A731" s="506">
        <v>7637</v>
      </c>
      <c r="B731" s="507" t="s">
        <v>4144</v>
      </c>
      <c r="C731" s="506" t="s">
        <v>32</v>
      </c>
      <c r="D731" s="508">
        <v>1072821</v>
      </c>
      <c r="E731" s="507" t="s">
        <v>6108</v>
      </c>
    </row>
    <row r="732" spans="1:5" ht="15" x14ac:dyDescent="0.3">
      <c r="A732" s="506">
        <v>7638</v>
      </c>
      <c r="B732" s="507" t="s">
        <v>4145</v>
      </c>
      <c r="C732" s="506" t="s">
        <v>32</v>
      </c>
      <c r="D732" s="508">
        <v>1300543</v>
      </c>
      <c r="E732" s="507" t="s">
        <v>6108</v>
      </c>
    </row>
    <row r="733" spans="1:5" ht="15" x14ac:dyDescent="0.3">
      <c r="A733" s="506">
        <v>7639</v>
      </c>
      <c r="B733" s="507" t="s">
        <v>4146</v>
      </c>
      <c r="C733" s="506" t="s">
        <v>32</v>
      </c>
      <c r="D733" s="508">
        <v>1361269</v>
      </c>
      <c r="E733" s="507" t="s">
        <v>6108</v>
      </c>
    </row>
    <row r="734" spans="1:5" ht="15" x14ac:dyDescent="0.3">
      <c r="A734" s="506">
        <v>7640</v>
      </c>
      <c r="B734" s="507" t="s">
        <v>4147</v>
      </c>
      <c r="C734" s="506" t="s">
        <v>32</v>
      </c>
      <c r="D734" s="508">
        <v>1457417</v>
      </c>
      <c r="E734" s="507" t="s">
        <v>6108</v>
      </c>
    </row>
    <row r="735" spans="1:5" ht="15" x14ac:dyDescent="0.3">
      <c r="A735" s="506">
        <v>7641</v>
      </c>
      <c r="B735" s="507" t="s">
        <v>4148</v>
      </c>
      <c r="C735" s="506" t="s">
        <v>32</v>
      </c>
      <c r="D735" s="508">
        <v>1644655</v>
      </c>
      <c r="E735" s="507" t="s">
        <v>6108</v>
      </c>
    </row>
    <row r="736" spans="1:5" ht="15" x14ac:dyDescent="0.3">
      <c r="A736" s="506">
        <v>7642</v>
      </c>
      <c r="B736" s="507" t="s">
        <v>4149</v>
      </c>
      <c r="C736" s="506" t="s">
        <v>32</v>
      </c>
      <c r="D736" s="508">
        <v>1705381</v>
      </c>
      <c r="E736" s="507" t="s">
        <v>6108</v>
      </c>
    </row>
    <row r="737" spans="1:5" ht="15" x14ac:dyDescent="0.3">
      <c r="A737" s="506">
        <v>7643</v>
      </c>
      <c r="B737" s="507" t="s">
        <v>4150</v>
      </c>
      <c r="C737" s="506" t="s">
        <v>32</v>
      </c>
      <c r="D737" s="508">
        <v>1978647</v>
      </c>
      <c r="E737" s="507" t="s">
        <v>6108</v>
      </c>
    </row>
    <row r="738" spans="1:5" ht="15" x14ac:dyDescent="0.3">
      <c r="A738" s="506">
        <v>7644</v>
      </c>
      <c r="B738" s="507" t="s">
        <v>4151</v>
      </c>
      <c r="C738" s="506" t="s">
        <v>32</v>
      </c>
      <c r="D738" s="508">
        <v>2105158</v>
      </c>
      <c r="E738" s="507" t="s">
        <v>6108</v>
      </c>
    </row>
    <row r="739" spans="1:5" ht="15" x14ac:dyDescent="0.3">
      <c r="A739" s="506">
        <v>7645</v>
      </c>
      <c r="B739" s="507" t="s">
        <v>4152</v>
      </c>
      <c r="C739" s="506" t="s">
        <v>328</v>
      </c>
      <c r="D739" s="508">
        <v>4093322</v>
      </c>
      <c r="E739" s="507" t="s">
        <v>6108</v>
      </c>
    </row>
    <row r="740" spans="1:5" ht="15" x14ac:dyDescent="0.3">
      <c r="A740" s="506">
        <v>7646</v>
      </c>
      <c r="B740" s="507" t="s">
        <v>4153</v>
      </c>
      <c r="C740" s="506" t="s">
        <v>328</v>
      </c>
      <c r="D740" s="508">
        <v>4832151</v>
      </c>
      <c r="E740" s="507" t="s">
        <v>6108</v>
      </c>
    </row>
    <row r="741" spans="1:5" ht="15" x14ac:dyDescent="0.3">
      <c r="A741" s="506">
        <v>7647</v>
      </c>
      <c r="B741" s="507" t="s">
        <v>4154</v>
      </c>
      <c r="C741" s="506" t="s">
        <v>32</v>
      </c>
      <c r="D741" s="508">
        <v>2423969</v>
      </c>
      <c r="E741" s="507" t="s">
        <v>6108</v>
      </c>
    </row>
    <row r="742" spans="1:5" ht="15" x14ac:dyDescent="0.3">
      <c r="A742" s="506">
        <v>7648</v>
      </c>
      <c r="B742" s="507" t="s">
        <v>4155</v>
      </c>
      <c r="C742" s="506" t="s">
        <v>328</v>
      </c>
      <c r="D742" s="508">
        <v>6593197</v>
      </c>
      <c r="E742" s="507" t="s">
        <v>6108</v>
      </c>
    </row>
    <row r="743" spans="1:5" ht="15" x14ac:dyDescent="0.3">
      <c r="A743" s="506">
        <v>7650</v>
      </c>
      <c r="B743" s="507" t="s">
        <v>4156</v>
      </c>
      <c r="C743" s="506" t="s">
        <v>3579</v>
      </c>
      <c r="D743" s="508">
        <v>217786</v>
      </c>
      <c r="E743" s="507" t="s">
        <v>6108</v>
      </c>
    </row>
    <row r="744" spans="1:5" ht="15" x14ac:dyDescent="0.3">
      <c r="A744" s="506">
        <v>7651</v>
      </c>
      <c r="B744" s="507" t="s">
        <v>4157</v>
      </c>
      <c r="C744" s="506" t="s">
        <v>3579</v>
      </c>
      <c r="D744" s="508">
        <v>281697</v>
      </c>
      <c r="E744" s="507" t="s">
        <v>6108</v>
      </c>
    </row>
    <row r="745" spans="1:5" ht="15" x14ac:dyDescent="0.3">
      <c r="A745" s="506">
        <v>7652</v>
      </c>
      <c r="B745" s="507" t="s">
        <v>4158</v>
      </c>
      <c r="C745" s="506" t="s">
        <v>3579</v>
      </c>
      <c r="D745" s="508">
        <v>253411</v>
      </c>
      <c r="E745" s="507" t="s">
        <v>6108</v>
      </c>
    </row>
    <row r="746" spans="1:5" ht="15" x14ac:dyDescent="0.3">
      <c r="A746" s="506">
        <v>7653</v>
      </c>
      <c r="B746" s="507" t="s">
        <v>4159</v>
      </c>
      <c r="C746" s="506" t="s">
        <v>3579</v>
      </c>
      <c r="D746" s="508">
        <v>360000</v>
      </c>
      <c r="E746" s="507" t="s">
        <v>6108</v>
      </c>
    </row>
    <row r="747" spans="1:5" ht="15" x14ac:dyDescent="0.3">
      <c r="A747" s="506">
        <v>7654</v>
      </c>
      <c r="B747" s="507" t="s">
        <v>4160</v>
      </c>
      <c r="C747" s="506" t="s">
        <v>3579</v>
      </c>
      <c r="D747" s="508">
        <v>68020</v>
      </c>
      <c r="E747" s="507" t="s">
        <v>6108</v>
      </c>
    </row>
    <row r="748" spans="1:5" ht="15" x14ac:dyDescent="0.3">
      <c r="A748" s="506">
        <v>7655</v>
      </c>
      <c r="B748" s="507" t="s">
        <v>4161</v>
      </c>
      <c r="C748" s="506" t="s">
        <v>3579</v>
      </c>
      <c r="D748" s="508">
        <v>90335</v>
      </c>
      <c r="E748" s="507" t="s">
        <v>6108</v>
      </c>
    </row>
    <row r="749" spans="1:5" ht="15" x14ac:dyDescent="0.3">
      <c r="A749" s="506">
        <v>7656</v>
      </c>
      <c r="B749" s="507" t="s">
        <v>4162</v>
      </c>
      <c r="C749" s="506" t="s">
        <v>3579</v>
      </c>
      <c r="D749" s="508">
        <v>181163</v>
      </c>
      <c r="E749" s="507" t="s">
        <v>6108</v>
      </c>
    </row>
    <row r="750" spans="1:5" ht="15" x14ac:dyDescent="0.3">
      <c r="A750" s="506">
        <v>7657</v>
      </c>
      <c r="B750" s="507" t="s">
        <v>4163</v>
      </c>
      <c r="C750" s="506" t="s">
        <v>3579</v>
      </c>
      <c r="D750" s="508">
        <v>127996</v>
      </c>
      <c r="E750" s="507" t="s">
        <v>6108</v>
      </c>
    </row>
    <row r="751" spans="1:5" ht="15" x14ac:dyDescent="0.3">
      <c r="A751" s="506">
        <v>7658</v>
      </c>
      <c r="B751" s="507" t="s">
        <v>4164</v>
      </c>
      <c r="C751" s="506" t="s">
        <v>30</v>
      </c>
      <c r="D751" s="508">
        <v>1167963</v>
      </c>
      <c r="E751" s="507" t="s">
        <v>331</v>
      </c>
    </row>
    <row r="752" spans="1:5" ht="15" x14ac:dyDescent="0.3">
      <c r="A752" s="506">
        <v>7664</v>
      </c>
      <c r="B752" s="507" t="s">
        <v>4165</v>
      </c>
      <c r="C752" s="506" t="s">
        <v>32</v>
      </c>
      <c r="D752" s="508">
        <v>1163004</v>
      </c>
      <c r="E752" s="507" t="s">
        <v>6108</v>
      </c>
    </row>
    <row r="753" spans="1:5" ht="15" x14ac:dyDescent="0.3">
      <c r="A753" s="506">
        <v>7680</v>
      </c>
      <c r="B753" s="507" t="s">
        <v>4166</v>
      </c>
      <c r="C753" s="506" t="s">
        <v>3579</v>
      </c>
      <c r="D753" s="508">
        <v>83900</v>
      </c>
      <c r="E753" s="507" t="s">
        <v>6108</v>
      </c>
    </row>
    <row r="754" spans="1:5" ht="15" x14ac:dyDescent="0.3">
      <c r="A754" s="506">
        <v>7686</v>
      </c>
      <c r="B754" s="507" t="s">
        <v>4167</v>
      </c>
      <c r="C754" s="506" t="s">
        <v>30</v>
      </c>
      <c r="D754" s="508">
        <v>81001</v>
      </c>
      <c r="E754" s="507" t="s">
        <v>331</v>
      </c>
    </row>
    <row r="755" spans="1:5" ht="15" x14ac:dyDescent="0.3">
      <c r="A755" s="506">
        <v>7687</v>
      </c>
      <c r="B755" s="507" t="s">
        <v>4168</v>
      </c>
      <c r="C755" s="506" t="s">
        <v>30</v>
      </c>
      <c r="D755" s="508">
        <v>94010</v>
      </c>
      <c r="E755" s="507" t="s">
        <v>331</v>
      </c>
    </row>
    <row r="756" spans="1:5" ht="15" x14ac:dyDescent="0.3">
      <c r="A756" s="506">
        <v>7688</v>
      </c>
      <c r="B756" s="507" t="s">
        <v>4169</v>
      </c>
      <c r="C756" s="506" t="s">
        <v>30</v>
      </c>
      <c r="D756" s="508">
        <v>74845</v>
      </c>
      <c r="E756" s="507" t="s">
        <v>331</v>
      </c>
    </row>
    <row r="757" spans="1:5" ht="15" x14ac:dyDescent="0.3">
      <c r="A757" s="506">
        <v>7689</v>
      </c>
      <c r="B757" s="507" t="s">
        <v>4170</v>
      </c>
      <c r="C757" s="506" t="s">
        <v>30</v>
      </c>
      <c r="D757" s="508">
        <v>73596</v>
      </c>
      <c r="E757" s="507" t="s">
        <v>331</v>
      </c>
    </row>
    <row r="758" spans="1:5" ht="15" x14ac:dyDescent="0.3">
      <c r="A758" s="506">
        <v>7690</v>
      </c>
      <c r="B758" s="507" t="s">
        <v>4171</v>
      </c>
      <c r="C758" s="506" t="s">
        <v>30</v>
      </c>
      <c r="D758" s="508">
        <v>71400</v>
      </c>
      <c r="E758" s="507" t="s">
        <v>331</v>
      </c>
    </row>
    <row r="759" spans="1:5" ht="15" x14ac:dyDescent="0.3">
      <c r="A759" s="506">
        <v>7691</v>
      </c>
      <c r="B759" s="507" t="s">
        <v>4172</v>
      </c>
      <c r="C759" s="506" t="s">
        <v>30</v>
      </c>
      <c r="D759" s="508">
        <v>65450</v>
      </c>
      <c r="E759" s="507" t="s">
        <v>331</v>
      </c>
    </row>
    <row r="760" spans="1:5" ht="15" x14ac:dyDescent="0.3">
      <c r="A760" s="506">
        <v>7692</v>
      </c>
      <c r="B760" s="507" t="s">
        <v>4173</v>
      </c>
      <c r="C760" s="506" t="s">
        <v>30</v>
      </c>
      <c r="D760" s="508">
        <v>85680</v>
      </c>
      <c r="E760" s="507" t="s">
        <v>331</v>
      </c>
    </row>
    <row r="761" spans="1:5" ht="15" x14ac:dyDescent="0.3">
      <c r="A761" s="506">
        <v>7695</v>
      </c>
      <c r="B761" s="507" t="s">
        <v>4174</v>
      </c>
      <c r="C761" s="506" t="s">
        <v>979</v>
      </c>
      <c r="D761" s="508">
        <v>2125</v>
      </c>
      <c r="E761" s="507" t="s">
        <v>6108</v>
      </c>
    </row>
    <row r="762" spans="1:5" ht="15" x14ac:dyDescent="0.3">
      <c r="A762" s="506">
        <v>7697</v>
      </c>
      <c r="B762" s="507" t="s">
        <v>4175</v>
      </c>
      <c r="C762" s="506" t="s">
        <v>979</v>
      </c>
      <c r="D762" s="508">
        <v>12624</v>
      </c>
      <c r="E762" s="507" t="s">
        <v>6108</v>
      </c>
    </row>
    <row r="763" spans="1:5" ht="15" x14ac:dyDescent="0.3">
      <c r="A763" s="506">
        <v>7698</v>
      </c>
      <c r="B763" s="507" t="s">
        <v>4176</v>
      </c>
      <c r="C763" s="506" t="s">
        <v>979</v>
      </c>
      <c r="D763" s="508">
        <v>2549</v>
      </c>
      <c r="E763" s="507" t="s">
        <v>6108</v>
      </c>
    </row>
    <row r="764" spans="1:5" ht="15" x14ac:dyDescent="0.3">
      <c r="A764" s="506">
        <v>7699</v>
      </c>
      <c r="B764" s="507" t="s">
        <v>4177</v>
      </c>
      <c r="C764" s="506" t="s">
        <v>32</v>
      </c>
      <c r="D764" s="508">
        <v>4992</v>
      </c>
      <c r="E764" s="507" t="s">
        <v>6108</v>
      </c>
    </row>
    <row r="765" spans="1:5" ht="15" x14ac:dyDescent="0.3">
      <c r="A765" s="506">
        <v>7700</v>
      </c>
      <c r="B765" s="507" t="s">
        <v>4178</v>
      </c>
      <c r="C765" s="506" t="s">
        <v>32</v>
      </c>
      <c r="D765" s="508">
        <v>8922</v>
      </c>
      <c r="E765" s="507" t="s">
        <v>6108</v>
      </c>
    </row>
    <row r="766" spans="1:5" ht="15" x14ac:dyDescent="0.3">
      <c r="A766" s="506">
        <v>7701</v>
      </c>
      <c r="B766" s="507" t="s">
        <v>4179</v>
      </c>
      <c r="C766" s="506" t="s">
        <v>979</v>
      </c>
      <c r="D766" s="508">
        <v>3363</v>
      </c>
      <c r="E766" s="507" t="s">
        <v>6108</v>
      </c>
    </row>
    <row r="767" spans="1:5" ht="15" x14ac:dyDescent="0.3">
      <c r="A767" s="506">
        <v>7707</v>
      </c>
      <c r="B767" s="507" t="s">
        <v>4180</v>
      </c>
      <c r="C767" s="506" t="s">
        <v>3582</v>
      </c>
      <c r="D767" s="508">
        <v>79213</v>
      </c>
      <c r="E767" s="507" t="s">
        <v>6108</v>
      </c>
    </row>
    <row r="768" spans="1:5" ht="15" x14ac:dyDescent="0.3">
      <c r="A768" s="506">
        <v>7710</v>
      </c>
      <c r="B768" s="507" t="s">
        <v>4181</v>
      </c>
      <c r="C768" s="506" t="s">
        <v>32</v>
      </c>
      <c r="D768" s="508">
        <v>57596</v>
      </c>
      <c r="E768" s="507" t="s">
        <v>331</v>
      </c>
    </row>
    <row r="769" spans="1:5" ht="15" x14ac:dyDescent="0.3">
      <c r="A769" s="506">
        <v>7713</v>
      </c>
      <c r="B769" s="507" t="s">
        <v>4182</v>
      </c>
      <c r="C769" s="506" t="s">
        <v>32</v>
      </c>
      <c r="D769" s="508">
        <v>11566</v>
      </c>
      <c r="E769" s="507" t="s">
        <v>331</v>
      </c>
    </row>
    <row r="770" spans="1:5" ht="15" x14ac:dyDescent="0.3">
      <c r="A770" s="506">
        <v>7714</v>
      </c>
      <c r="B770" s="507" t="s">
        <v>4183</v>
      </c>
      <c r="C770" s="506" t="s">
        <v>21</v>
      </c>
      <c r="D770" s="508">
        <v>59247</v>
      </c>
      <c r="E770" s="507" t="s">
        <v>6108</v>
      </c>
    </row>
    <row r="771" spans="1:5" ht="15" x14ac:dyDescent="0.3">
      <c r="A771" s="506">
        <v>7715</v>
      </c>
      <c r="B771" s="507" t="s">
        <v>4184</v>
      </c>
      <c r="C771" s="506" t="s">
        <v>21</v>
      </c>
      <c r="D771" s="508">
        <v>53106</v>
      </c>
      <c r="E771" s="507" t="s">
        <v>6108</v>
      </c>
    </row>
    <row r="772" spans="1:5" ht="15" x14ac:dyDescent="0.3">
      <c r="A772" s="506">
        <v>7717</v>
      </c>
      <c r="B772" s="507" t="s">
        <v>4185</v>
      </c>
      <c r="C772" s="506" t="s">
        <v>32</v>
      </c>
      <c r="D772" s="508">
        <v>185641</v>
      </c>
      <c r="E772" s="507" t="s">
        <v>6108</v>
      </c>
    </row>
    <row r="773" spans="1:5" ht="15" x14ac:dyDescent="0.3">
      <c r="A773" s="506">
        <v>7718</v>
      </c>
      <c r="B773" s="507" t="s">
        <v>4186</v>
      </c>
      <c r="C773" s="506" t="s">
        <v>32</v>
      </c>
      <c r="D773" s="508">
        <v>107873</v>
      </c>
      <c r="E773" s="507" t="s">
        <v>6108</v>
      </c>
    </row>
    <row r="774" spans="1:5" ht="15" x14ac:dyDescent="0.3">
      <c r="A774" s="506">
        <v>7720</v>
      </c>
      <c r="B774" s="507" t="s">
        <v>4187</v>
      </c>
      <c r="C774" s="506" t="s">
        <v>32</v>
      </c>
      <c r="D774" s="508">
        <v>169183</v>
      </c>
      <c r="E774" s="507" t="s">
        <v>6108</v>
      </c>
    </row>
    <row r="775" spans="1:5" ht="15" x14ac:dyDescent="0.3">
      <c r="A775" s="506">
        <v>7722</v>
      </c>
      <c r="B775" s="507" t="s">
        <v>4188</v>
      </c>
      <c r="C775" s="506" t="s">
        <v>328</v>
      </c>
      <c r="D775" s="508">
        <v>16703</v>
      </c>
      <c r="E775" s="507" t="s">
        <v>331</v>
      </c>
    </row>
    <row r="776" spans="1:5" ht="15" x14ac:dyDescent="0.3">
      <c r="A776" s="506">
        <v>7723</v>
      </c>
      <c r="B776" s="507" t="s">
        <v>4189</v>
      </c>
      <c r="C776" s="506" t="s">
        <v>32</v>
      </c>
      <c r="D776" s="508">
        <v>1052900</v>
      </c>
      <c r="E776" s="507" t="s">
        <v>6108</v>
      </c>
    </row>
    <row r="777" spans="1:5" ht="15" x14ac:dyDescent="0.3">
      <c r="A777" s="506">
        <v>7724</v>
      </c>
      <c r="B777" s="507" t="s">
        <v>4190</v>
      </c>
      <c r="C777" s="506" t="s">
        <v>32</v>
      </c>
      <c r="D777" s="508">
        <v>1579350</v>
      </c>
      <c r="E777" s="507" t="s">
        <v>6108</v>
      </c>
    </row>
    <row r="778" spans="1:5" ht="15" x14ac:dyDescent="0.3">
      <c r="A778" s="506">
        <v>7725</v>
      </c>
      <c r="B778" s="507" t="s">
        <v>4191</v>
      </c>
      <c r="C778" s="506" t="s">
        <v>32</v>
      </c>
      <c r="D778" s="508">
        <v>2105800</v>
      </c>
      <c r="E778" s="507" t="s">
        <v>6108</v>
      </c>
    </row>
    <row r="779" spans="1:5" ht="15" x14ac:dyDescent="0.3">
      <c r="A779" s="506">
        <v>7727</v>
      </c>
      <c r="B779" s="507" t="s">
        <v>6236</v>
      </c>
      <c r="C779" s="506" t="s">
        <v>328</v>
      </c>
      <c r="D779" s="508">
        <v>92820</v>
      </c>
      <c r="E779" s="507" t="s">
        <v>6108</v>
      </c>
    </row>
    <row r="780" spans="1:5" ht="15" x14ac:dyDescent="0.3">
      <c r="A780" s="506">
        <v>7729</v>
      </c>
      <c r="B780" s="507" t="s">
        <v>6237</v>
      </c>
      <c r="C780" s="506" t="s">
        <v>328</v>
      </c>
      <c r="D780" s="508">
        <v>314160</v>
      </c>
      <c r="E780" s="507" t="s">
        <v>6108</v>
      </c>
    </row>
    <row r="781" spans="1:5" ht="15" x14ac:dyDescent="0.3">
      <c r="A781" s="506">
        <v>7730</v>
      </c>
      <c r="B781" s="507" t="s">
        <v>6238</v>
      </c>
      <c r="C781" s="506" t="s">
        <v>328</v>
      </c>
      <c r="D781" s="508">
        <v>568860</v>
      </c>
      <c r="E781" s="507" t="s">
        <v>6108</v>
      </c>
    </row>
    <row r="782" spans="1:5" ht="15" x14ac:dyDescent="0.3">
      <c r="A782" s="506">
        <v>7737</v>
      </c>
      <c r="B782" s="507" t="s">
        <v>4192</v>
      </c>
      <c r="C782" s="506" t="s">
        <v>32</v>
      </c>
      <c r="D782" s="508">
        <v>98899</v>
      </c>
      <c r="E782" s="507" t="s">
        <v>6108</v>
      </c>
    </row>
    <row r="783" spans="1:5" ht="15" x14ac:dyDescent="0.3">
      <c r="A783" s="506">
        <v>7738</v>
      </c>
      <c r="B783" s="507" t="s">
        <v>4193</v>
      </c>
      <c r="C783" s="506" t="s">
        <v>32</v>
      </c>
      <c r="D783" s="508">
        <v>145180</v>
      </c>
      <c r="E783" s="507" t="s">
        <v>6108</v>
      </c>
    </row>
    <row r="784" spans="1:5" ht="15" x14ac:dyDescent="0.3">
      <c r="A784" s="506">
        <v>7743</v>
      </c>
      <c r="B784" s="507" t="s">
        <v>6239</v>
      </c>
      <c r="C784" s="506" t="s">
        <v>32</v>
      </c>
      <c r="D784" s="508">
        <v>77469</v>
      </c>
      <c r="E784" s="507" t="s">
        <v>6108</v>
      </c>
    </row>
    <row r="785" spans="1:5" ht="15" x14ac:dyDescent="0.3">
      <c r="A785" s="506">
        <v>7744</v>
      </c>
      <c r="B785" s="507" t="s">
        <v>4194</v>
      </c>
      <c r="C785" s="506" t="s">
        <v>32</v>
      </c>
      <c r="D785" s="508">
        <v>128163</v>
      </c>
      <c r="E785" s="507" t="s">
        <v>6108</v>
      </c>
    </row>
    <row r="786" spans="1:5" ht="15" x14ac:dyDescent="0.3">
      <c r="A786" s="506">
        <v>7750</v>
      </c>
      <c r="B786" s="507" t="s">
        <v>6240</v>
      </c>
      <c r="C786" s="506" t="s">
        <v>32</v>
      </c>
      <c r="D786" s="508">
        <v>92820</v>
      </c>
      <c r="E786" s="507" t="s">
        <v>6108</v>
      </c>
    </row>
    <row r="787" spans="1:5" ht="15" x14ac:dyDescent="0.3">
      <c r="A787" s="506">
        <v>7752</v>
      </c>
      <c r="B787" s="507" t="s">
        <v>4195</v>
      </c>
      <c r="C787" s="506" t="s">
        <v>32</v>
      </c>
      <c r="D787" s="508">
        <v>122000</v>
      </c>
      <c r="E787" s="507" t="s">
        <v>6108</v>
      </c>
    </row>
    <row r="788" spans="1:5" ht="15" x14ac:dyDescent="0.3">
      <c r="A788" s="506">
        <v>7754</v>
      </c>
      <c r="B788" s="507" t="s">
        <v>6241</v>
      </c>
      <c r="C788" s="506" t="s">
        <v>32</v>
      </c>
      <c r="D788" s="508">
        <v>157000</v>
      </c>
      <c r="E788" s="507" t="s">
        <v>6108</v>
      </c>
    </row>
    <row r="789" spans="1:5" ht="15" x14ac:dyDescent="0.3">
      <c r="A789" s="506">
        <v>7755</v>
      </c>
      <c r="B789" s="507" t="s">
        <v>6242</v>
      </c>
      <c r="C789" s="506" t="s">
        <v>32</v>
      </c>
      <c r="D789" s="508">
        <v>996863</v>
      </c>
      <c r="E789" s="507" t="s">
        <v>6108</v>
      </c>
    </row>
    <row r="790" spans="1:5" ht="15" x14ac:dyDescent="0.3">
      <c r="A790" s="506">
        <v>7758</v>
      </c>
      <c r="B790" s="507" t="s">
        <v>4196</v>
      </c>
      <c r="C790" s="506" t="s">
        <v>32</v>
      </c>
      <c r="D790" s="508">
        <v>1785000</v>
      </c>
      <c r="E790" s="507" t="s">
        <v>6108</v>
      </c>
    </row>
    <row r="791" spans="1:5" ht="15" x14ac:dyDescent="0.3">
      <c r="A791" s="506">
        <v>7762</v>
      </c>
      <c r="B791" s="507" t="s">
        <v>4197</v>
      </c>
      <c r="C791" s="506" t="s">
        <v>32</v>
      </c>
      <c r="D791" s="508">
        <v>273700</v>
      </c>
      <c r="E791" s="507" t="s">
        <v>6108</v>
      </c>
    </row>
    <row r="792" spans="1:5" ht="15" x14ac:dyDescent="0.3">
      <c r="A792" s="506">
        <v>7766</v>
      </c>
      <c r="B792" s="507" t="s">
        <v>4198</v>
      </c>
      <c r="C792" s="506" t="s">
        <v>32</v>
      </c>
      <c r="D792" s="508">
        <v>166600</v>
      </c>
      <c r="E792" s="507" t="s">
        <v>6108</v>
      </c>
    </row>
    <row r="793" spans="1:5" ht="15" x14ac:dyDescent="0.3">
      <c r="A793" s="506">
        <v>7767</v>
      </c>
      <c r="B793" s="507" t="s">
        <v>4199</v>
      </c>
      <c r="C793" s="506" t="s">
        <v>3582</v>
      </c>
      <c r="D793" s="508">
        <v>1190</v>
      </c>
      <c r="E793" s="507" t="s">
        <v>331</v>
      </c>
    </row>
    <row r="794" spans="1:5" ht="15" x14ac:dyDescent="0.3">
      <c r="A794" s="506">
        <v>7769</v>
      </c>
      <c r="B794" s="507" t="s">
        <v>4200</v>
      </c>
      <c r="C794" s="506" t="s">
        <v>3582</v>
      </c>
      <c r="D794" s="508">
        <v>2975</v>
      </c>
      <c r="E794" s="507" t="s">
        <v>331</v>
      </c>
    </row>
    <row r="795" spans="1:5" ht="15" x14ac:dyDescent="0.3">
      <c r="A795" s="506">
        <v>7770</v>
      </c>
      <c r="B795" s="507" t="s">
        <v>4201</v>
      </c>
      <c r="C795" s="506" t="s">
        <v>32</v>
      </c>
      <c r="D795" s="508">
        <v>1937000</v>
      </c>
      <c r="E795" s="507" t="s">
        <v>6108</v>
      </c>
    </row>
    <row r="796" spans="1:5" ht="15" x14ac:dyDescent="0.3">
      <c r="A796" s="506">
        <v>7772</v>
      </c>
      <c r="B796" s="507" t="s">
        <v>4202</v>
      </c>
      <c r="C796" s="506" t="s">
        <v>32</v>
      </c>
      <c r="D796" s="508">
        <v>57001</v>
      </c>
      <c r="E796" s="507" t="s">
        <v>6108</v>
      </c>
    </row>
    <row r="797" spans="1:5" ht="15" x14ac:dyDescent="0.3">
      <c r="A797" s="506">
        <v>7773</v>
      </c>
      <c r="B797" s="507" t="s">
        <v>4203</v>
      </c>
      <c r="C797" s="506" t="s">
        <v>32</v>
      </c>
      <c r="D797" s="508">
        <v>58310</v>
      </c>
      <c r="E797" s="507" t="s">
        <v>6108</v>
      </c>
    </row>
    <row r="798" spans="1:5" ht="15" x14ac:dyDescent="0.3">
      <c r="A798" s="506">
        <v>7774</v>
      </c>
      <c r="B798" s="507" t="s">
        <v>4204</v>
      </c>
      <c r="C798" s="506" t="s">
        <v>32</v>
      </c>
      <c r="D798" s="508">
        <v>17574</v>
      </c>
      <c r="E798" s="507" t="s">
        <v>6108</v>
      </c>
    </row>
    <row r="799" spans="1:5" ht="15" x14ac:dyDescent="0.3">
      <c r="A799" s="506">
        <v>7775</v>
      </c>
      <c r="B799" s="507" t="s">
        <v>4205</v>
      </c>
      <c r="C799" s="506" t="s">
        <v>32</v>
      </c>
      <c r="D799" s="508">
        <v>58310</v>
      </c>
      <c r="E799" s="507" t="s">
        <v>6108</v>
      </c>
    </row>
    <row r="800" spans="1:5" ht="15" x14ac:dyDescent="0.3">
      <c r="A800" s="506">
        <v>7776</v>
      </c>
      <c r="B800" s="507" t="s">
        <v>4206</v>
      </c>
      <c r="C800" s="506" t="s">
        <v>32</v>
      </c>
      <c r="D800" s="508">
        <v>29750</v>
      </c>
      <c r="E800" s="507" t="s">
        <v>6108</v>
      </c>
    </row>
    <row r="801" spans="1:5" ht="15" x14ac:dyDescent="0.3">
      <c r="A801" s="506">
        <v>7777</v>
      </c>
      <c r="B801" s="507" t="s">
        <v>4207</v>
      </c>
      <c r="C801" s="506" t="s">
        <v>32</v>
      </c>
      <c r="D801" s="508">
        <v>58715</v>
      </c>
      <c r="E801" s="507" t="s">
        <v>6108</v>
      </c>
    </row>
    <row r="802" spans="1:5" ht="15" x14ac:dyDescent="0.3">
      <c r="A802" s="506">
        <v>7778</v>
      </c>
      <c r="B802" s="507" t="s">
        <v>6243</v>
      </c>
      <c r="C802" s="506" t="s">
        <v>32</v>
      </c>
      <c r="D802" s="508">
        <v>52598</v>
      </c>
      <c r="E802" s="507" t="s">
        <v>6108</v>
      </c>
    </row>
    <row r="803" spans="1:5" ht="15" x14ac:dyDescent="0.3">
      <c r="A803" s="506">
        <v>7780</v>
      </c>
      <c r="B803" s="507" t="s">
        <v>4208</v>
      </c>
      <c r="C803" s="506" t="s">
        <v>32</v>
      </c>
      <c r="D803" s="508">
        <v>34510</v>
      </c>
      <c r="E803" s="507" t="s">
        <v>6108</v>
      </c>
    </row>
    <row r="804" spans="1:5" ht="15" x14ac:dyDescent="0.3">
      <c r="A804" s="506">
        <v>7781</v>
      </c>
      <c r="B804" s="507" t="s">
        <v>4209</v>
      </c>
      <c r="C804" s="506" t="s">
        <v>32</v>
      </c>
      <c r="D804" s="508">
        <v>14280</v>
      </c>
      <c r="E804" s="507" t="s">
        <v>6108</v>
      </c>
    </row>
    <row r="805" spans="1:5" ht="15" x14ac:dyDescent="0.3">
      <c r="A805" s="506">
        <v>7782</v>
      </c>
      <c r="B805" s="507" t="s">
        <v>4210</v>
      </c>
      <c r="C805" s="506" t="s">
        <v>32</v>
      </c>
      <c r="D805" s="508">
        <v>18374</v>
      </c>
      <c r="E805" s="507" t="s">
        <v>6108</v>
      </c>
    </row>
    <row r="806" spans="1:5" ht="15" x14ac:dyDescent="0.3">
      <c r="A806" s="506">
        <v>7783</v>
      </c>
      <c r="B806" s="507" t="s">
        <v>4211</v>
      </c>
      <c r="C806" s="506" t="s">
        <v>32</v>
      </c>
      <c r="D806" s="508">
        <v>8783</v>
      </c>
      <c r="E806" s="507" t="s">
        <v>6108</v>
      </c>
    </row>
    <row r="807" spans="1:5" ht="15" x14ac:dyDescent="0.3">
      <c r="A807" s="506">
        <v>7784</v>
      </c>
      <c r="B807" s="507" t="s">
        <v>4212</v>
      </c>
      <c r="C807" s="506" t="s">
        <v>32</v>
      </c>
      <c r="D807" s="508">
        <v>65450</v>
      </c>
      <c r="E807" s="507" t="s">
        <v>6108</v>
      </c>
    </row>
    <row r="808" spans="1:5" ht="15" x14ac:dyDescent="0.3">
      <c r="A808" s="506">
        <v>7785</v>
      </c>
      <c r="B808" s="507" t="s">
        <v>4213</v>
      </c>
      <c r="C808" s="506" t="s">
        <v>32</v>
      </c>
      <c r="D808" s="508">
        <v>24777</v>
      </c>
      <c r="E808" s="507" t="s">
        <v>6108</v>
      </c>
    </row>
    <row r="809" spans="1:5" ht="15" x14ac:dyDescent="0.3">
      <c r="A809" s="506">
        <v>7786</v>
      </c>
      <c r="B809" s="507" t="s">
        <v>4214</v>
      </c>
      <c r="C809" s="506" t="s">
        <v>32</v>
      </c>
      <c r="D809" s="508">
        <v>21935</v>
      </c>
      <c r="E809" s="507" t="s">
        <v>6108</v>
      </c>
    </row>
    <row r="810" spans="1:5" ht="15" x14ac:dyDescent="0.3">
      <c r="A810" s="506">
        <v>7787</v>
      </c>
      <c r="B810" s="507" t="s">
        <v>6244</v>
      </c>
      <c r="C810" s="506" t="s">
        <v>32</v>
      </c>
      <c r="D810" s="508">
        <v>27643</v>
      </c>
      <c r="E810" s="507" t="s">
        <v>6108</v>
      </c>
    </row>
    <row r="811" spans="1:5" ht="15" x14ac:dyDescent="0.3">
      <c r="A811" s="506">
        <v>7788</v>
      </c>
      <c r="B811" s="507" t="s">
        <v>4215</v>
      </c>
      <c r="C811" s="506" t="s">
        <v>32</v>
      </c>
      <c r="D811" s="508">
        <v>9106</v>
      </c>
      <c r="E811" s="507" t="s">
        <v>6108</v>
      </c>
    </row>
    <row r="812" spans="1:5" ht="15" x14ac:dyDescent="0.3">
      <c r="A812" s="506">
        <v>7798</v>
      </c>
      <c r="B812" s="507" t="s">
        <v>4216</v>
      </c>
      <c r="C812" s="506" t="s">
        <v>32</v>
      </c>
      <c r="D812" s="508">
        <v>5950</v>
      </c>
      <c r="E812" s="507" t="s">
        <v>6108</v>
      </c>
    </row>
    <row r="813" spans="1:5" ht="15" x14ac:dyDescent="0.3">
      <c r="A813" s="506">
        <v>7800</v>
      </c>
      <c r="B813" s="507" t="s">
        <v>4217</v>
      </c>
      <c r="C813" s="506" t="s">
        <v>32</v>
      </c>
      <c r="D813" s="508">
        <v>3181</v>
      </c>
      <c r="E813" s="507" t="s">
        <v>6108</v>
      </c>
    </row>
    <row r="814" spans="1:5" ht="15" x14ac:dyDescent="0.3">
      <c r="A814" s="506">
        <v>7801</v>
      </c>
      <c r="B814" s="507" t="s">
        <v>4218</v>
      </c>
      <c r="C814" s="506" t="s">
        <v>32</v>
      </c>
      <c r="D814" s="508">
        <v>14110</v>
      </c>
      <c r="E814" s="507" t="s">
        <v>6108</v>
      </c>
    </row>
    <row r="815" spans="1:5" ht="15" x14ac:dyDescent="0.3">
      <c r="A815" s="506">
        <v>7811</v>
      </c>
      <c r="B815" s="507" t="s">
        <v>4219</v>
      </c>
      <c r="C815" s="506" t="s">
        <v>32</v>
      </c>
      <c r="D815" s="508">
        <v>16483</v>
      </c>
      <c r="E815" s="507" t="s">
        <v>6108</v>
      </c>
    </row>
    <row r="816" spans="1:5" ht="15" x14ac:dyDescent="0.3">
      <c r="A816" s="506">
        <v>7819</v>
      </c>
      <c r="B816" s="507" t="s">
        <v>4220</v>
      </c>
      <c r="C816" s="506" t="s">
        <v>32</v>
      </c>
      <c r="D816" s="508">
        <v>93900</v>
      </c>
      <c r="E816" s="507" t="s">
        <v>6108</v>
      </c>
    </row>
    <row r="817" spans="1:5" ht="15" x14ac:dyDescent="0.3">
      <c r="A817" s="506">
        <v>7821</v>
      </c>
      <c r="B817" s="507" t="s">
        <v>4221</v>
      </c>
      <c r="C817" s="506" t="s">
        <v>4222</v>
      </c>
      <c r="D817" s="508">
        <v>176120</v>
      </c>
      <c r="E817" s="507" t="s">
        <v>6108</v>
      </c>
    </row>
    <row r="818" spans="1:5" ht="15" x14ac:dyDescent="0.3">
      <c r="A818" s="506">
        <v>7822</v>
      </c>
      <c r="B818" s="507" t="s">
        <v>4223</v>
      </c>
      <c r="C818" s="506" t="s">
        <v>4222</v>
      </c>
      <c r="D818" s="508">
        <v>96900</v>
      </c>
      <c r="E818" s="507" t="s">
        <v>6108</v>
      </c>
    </row>
    <row r="819" spans="1:5" ht="15" x14ac:dyDescent="0.3">
      <c r="A819" s="506">
        <v>7823</v>
      </c>
      <c r="B819" s="507" t="s">
        <v>6245</v>
      </c>
      <c r="C819" s="506" t="s">
        <v>4222</v>
      </c>
      <c r="D819" s="508">
        <v>130000</v>
      </c>
      <c r="E819" s="507" t="s">
        <v>6108</v>
      </c>
    </row>
    <row r="820" spans="1:5" ht="15" x14ac:dyDescent="0.3">
      <c r="A820" s="506">
        <v>7824</v>
      </c>
      <c r="B820" s="507" t="s">
        <v>4224</v>
      </c>
      <c r="C820" s="506" t="s">
        <v>4222</v>
      </c>
      <c r="D820" s="508">
        <v>827</v>
      </c>
      <c r="E820" s="507" t="s">
        <v>6108</v>
      </c>
    </row>
    <row r="821" spans="1:5" ht="15" x14ac:dyDescent="0.3">
      <c r="A821" s="506">
        <v>7825</v>
      </c>
      <c r="B821" s="507" t="s">
        <v>4225</v>
      </c>
      <c r="C821" s="506" t="s">
        <v>32</v>
      </c>
      <c r="D821" s="508">
        <v>4400</v>
      </c>
      <c r="E821" s="507" t="s">
        <v>6108</v>
      </c>
    </row>
    <row r="822" spans="1:5" ht="15" x14ac:dyDescent="0.3">
      <c r="A822" s="506">
        <v>7826</v>
      </c>
      <c r="B822" s="507" t="s">
        <v>4226</v>
      </c>
      <c r="C822" s="506" t="s">
        <v>32</v>
      </c>
      <c r="D822" s="508">
        <v>9600</v>
      </c>
      <c r="E822" s="507" t="s">
        <v>6108</v>
      </c>
    </row>
    <row r="823" spans="1:5" ht="15" x14ac:dyDescent="0.3">
      <c r="A823" s="506">
        <v>7827</v>
      </c>
      <c r="B823" s="507" t="s">
        <v>4227</v>
      </c>
      <c r="C823" s="506" t="s">
        <v>4222</v>
      </c>
      <c r="D823" s="508">
        <v>2142</v>
      </c>
      <c r="E823" s="507" t="s">
        <v>6108</v>
      </c>
    </row>
    <row r="824" spans="1:5" ht="15" x14ac:dyDescent="0.3">
      <c r="A824" s="506">
        <v>7832</v>
      </c>
      <c r="B824" s="507" t="s">
        <v>4228</v>
      </c>
      <c r="C824" s="506" t="s">
        <v>32</v>
      </c>
      <c r="D824" s="508">
        <v>6188</v>
      </c>
      <c r="E824" s="507" t="s">
        <v>6108</v>
      </c>
    </row>
    <row r="825" spans="1:5" ht="15" x14ac:dyDescent="0.3">
      <c r="A825" s="506">
        <v>7836</v>
      </c>
      <c r="B825" s="507" t="s">
        <v>4229</v>
      </c>
      <c r="C825" s="506" t="s">
        <v>32</v>
      </c>
      <c r="D825" s="508">
        <v>185938</v>
      </c>
      <c r="E825" s="507" t="s">
        <v>6108</v>
      </c>
    </row>
    <row r="826" spans="1:5" ht="15" x14ac:dyDescent="0.3">
      <c r="A826" s="506">
        <v>7837</v>
      </c>
      <c r="B826" s="507" t="s">
        <v>4230</v>
      </c>
      <c r="C826" s="506" t="s">
        <v>32</v>
      </c>
      <c r="D826" s="508">
        <v>254898</v>
      </c>
      <c r="E826" s="507" t="s">
        <v>6108</v>
      </c>
    </row>
    <row r="827" spans="1:5" ht="15" x14ac:dyDescent="0.3">
      <c r="A827" s="506">
        <v>7838</v>
      </c>
      <c r="B827" s="507" t="s">
        <v>4231</v>
      </c>
      <c r="C827" s="506" t="s">
        <v>32</v>
      </c>
      <c r="D827" s="508">
        <v>51051</v>
      </c>
      <c r="E827" s="507" t="s">
        <v>6108</v>
      </c>
    </row>
    <row r="828" spans="1:5" ht="15" x14ac:dyDescent="0.3">
      <c r="A828" s="506">
        <v>7839</v>
      </c>
      <c r="B828" s="507" t="s">
        <v>4232</v>
      </c>
      <c r="C828" s="506" t="s">
        <v>32</v>
      </c>
      <c r="D828" s="508">
        <v>57715</v>
      </c>
      <c r="E828" s="507" t="s">
        <v>6108</v>
      </c>
    </row>
    <row r="829" spans="1:5" ht="15" x14ac:dyDescent="0.3">
      <c r="A829" s="506">
        <v>7844</v>
      </c>
      <c r="B829" s="507" t="s">
        <v>4233</v>
      </c>
      <c r="C829" s="506" t="s">
        <v>4222</v>
      </c>
      <c r="D829" s="508">
        <v>10591</v>
      </c>
      <c r="E829" s="507" t="s">
        <v>6108</v>
      </c>
    </row>
    <row r="830" spans="1:5" ht="15" x14ac:dyDescent="0.3">
      <c r="A830" s="506">
        <v>7846</v>
      </c>
      <c r="B830" s="507" t="s">
        <v>6246</v>
      </c>
      <c r="C830" s="506" t="s">
        <v>4222</v>
      </c>
      <c r="D830" s="508">
        <v>10591</v>
      </c>
      <c r="E830" s="507" t="s">
        <v>6108</v>
      </c>
    </row>
    <row r="831" spans="1:5" ht="15" x14ac:dyDescent="0.3">
      <c r="A831" s="506">
        <v>7850</v>
      </c>
      <c r="B831" s="507" t="s">
        <v>4234</v>
      </c>
      <c r="C831" s="506" t="s">
        <v>4235</v>
      </c>
      <c r="D831" s="508">
        <v>26009</v>
      </c>
      <c r="E831" s="507" t="s">
        <v>6108</v>
      </c>
    </row>
    <row r="832" spans="1:5" ht="15" x14ac:dyDescent="0.3">
      <c r="A832" s="506">
        <v>7852</v>
      </c>
      <c r="B832" s="507" t="s">
        <v>4236</v>
      </c>
      <c r="C832" s="506" t="s">
        <v>328</v>
      </c>
      <c r="D832" s="508">
        <v>2924</v>
      </c>
      <c r="E832" s="507" t="s">
        <v>6108</v>
      </c>
    </row>
    <row r="833" spans="1:5" ht="15" x14ac:dyDescent="0.3">
      <c r="A833" s="506">
        <v>7870</v>
      </c>
      <c r="B833" s="507" t="s">
        <v>4237</v>
      </c>
      <c r="C833" s="506" t="s">
        <v>3582</v>
      </c>
      <c r="D833" s="508">
        <v>100862</v>
      </c>
      <c r="E833" s="507" t="s">
        <v>6108</v>
      </c>
    </row>
    <row r="834" spans="1:5" ht="15" x14ac:dyDescent="0.3">
      <c r="A834" s="506">
        <v>7874</v>
      </c>
      <c r="B834" s="507" t="s">
        <v>4238</v>
      </c>
      <c r="C834" s="506" t="s">
        <v>32</v>
      </c>
      <c r="D834" s="508">
        <v>51170</v>
      </c>
      <c r="E834" s="507" t="s">
        <v>6108</v>
      </c>
    </row>
    <row r="835" spans="1:5" ht="15" x14ac:dyDescent="0.3">
      <c r="A835" s="506">
        <v>7876</v>
      </c>
      <c r="B835" s="507" t="s">
        <v>4239</v>
      </c>
      <c r="C835" s="506" t="s">
        <v>32</v>
      </c>
      <c r="D835" s="508">
        <v>185279</v>
      </c>
      <c r="E835" s="507" t="s">
        <v>6108</v>
      </c>
    </row>
    <row r="836" spans="1:5" ht="15" x14ac:dyDescent="0.3">
      <c r="A836" s="506">
        <v>7877</v>
      </c>
      <c r="B836" s="507" t="s">
        <v>4240</v>
      </c>
      <c r="C836" s="506" t="s">
        <v>32</v>
      </c>
      <c r="D836" s="508">
        <v>41650</v>
      </c>
      <c r="E836" s="507" t="s">
        <v>6108</v>
      </c>
    </row>
    <row r="837" spans="1:5" ht="15" x14ac:dyDescent="0.3">
      <c r="A837" s="506">
        <v>7884</v>
      </c>
      <c r="B837" s="507" t="s">
        <v>4241</v>
      </c>
      <c r="C837" s="506" t="s">
        <v>32</v>
      </c>
      <c r="D837" s="508">
        <v>80000</v>
      </c>
      <c r="E837" s="507" t="s">
        <v>331</v>
      </c>
    </row>
    <row r="838" spans="1:5" ht="15" x14ac:dyDescent="0.3">
      <c r="A838" s="506">
        <v>7891</v>
      </c>
      <c r="B838" s="507" t="s">
        <v>4242</v>
      </c>
      <c r="C838" s="506" t="s">
        <v>3579</v>
      </c>
      <c r="D838" s="508">
        <v>146452</v>
      </c>
      <c r="E838" s="507" t="s">
        <v>6108</v>
      </c>
    </row>
    <row r="839" spans="1:5" ht="15" x14ac:dyDescent="0.3">
      <c r="A839" s="506">
        <v>7892</v>
      </c>
      <c r="B839" s="507" t="s">
        <v>6247</v>
      </c>
      <c r="C839" s="506" t="s">
        <v>979</v>
      </c>
      <c r="D839" s="508">
        <v>380000</v>
      </c>
      <c r="E839" s="507" t="s">
        <v>6108</v>
      </c>
    </row>
    <row r="840" spans="1:5" ht="15" x14ac:dyDescent="0.3">
      <c r="A840" s="506">
        <v>7896</v>
      </c>
      <c r="B840" s="507" t="s">
        <v>4243</v>
      </c>
      <c r="C840" s="506" t="s">
        <v>32</v>
      </c>
      <c r="D840" s="508">
        <v>161</v>
      </c>
      <c r="E840" s="507" t="s">
        <v>6108</v>
      </c>
    </row>
    <row r="841" spans="1:5" ht="15" x14ac:dyDescent="0.3">
      <c r="A841" s="506">
        <v>7897</v>
      </c>
      <c r="B841" s="507" t="s">
        <v>4244</v>
      </c>
      <c r="C841" s="506" t="s">
        <v>32</v>
      </c>
      <c r="D841" s="508">
        <v>1345</v>
      </c>
      <c r="E841" s="507" t="s">
        <v>6108</v>
      </c>
    </row>
    <row r="842" spans="1:5" ht="15" x14ac:dyDescent="0.3">
      <c r="A842" s="506">
        <v>7898</v>
      </c>
      <c r="B842" s="507" t="s">
        <v>4245</v>
      </c>
      <c r="C842" s="506" t="s">
        <v>32</v>
      </c>
      <c r="D842" s="508">
        <v>719</v>
      </c>
      <c r="E842" s="507" t="s">
        <v>6108</v>
      </c>
    </row>
    <row r="843" spans="1:5" ht="15" x14ac:dyDescent="0.3">
      <c r="A843" s="506">
        <v>7900</v>
      </c>
      <c r="B843" s="507" t="s">
        <v>4246</v>
      </c>
      <c r="C843" s="506" t="s">
        <v>32</v>
      </c>
      <c r="D843" s="508">
        <v>352</v>
      </c>
      <c r="E843" s="507" t="s">
        <v>6108</v>
      </c>
    </row>
    <row r="844" spans="1:5" ht="15" x14ac:dyDescent="0.3">
      <c r="A844" s="506">
        <v>7901</v>
      </c>
      <c r="B844" s="507" t="s">
        <v>4247</v>
      </c>
      <c r="C844" s="506" t="s">
        <v>32</v>
      </c>
      <c r="D844" s="508">
        <v>143</v>
      </c>
      <c r="E844" s="507" t="s">
        <v>6108</v>
      </c>
    </row>
    <row r="845" spans="1:5" ht="15" x14ac:dyDescent="0.3">
      <c r="A845" s="506">
        <v>7904</v>
      </c>
      <c r="B845" s="507" t="s">
        <v>4248</v>
      </c>
      <c r="C845" s="506" t="s">
        <v>32</v>
      </c>
      <c r="D845" s="508">
        <v>33000</v>
      </c>
      <c r="E845" s="507" t="s">
        <v>6108</v>
      </c>
    </row>
    <row r="846" spans="1:5" ht="15" x14ac:dyDescent="0.3">
      <c r="A846" s="506">
        <v>7906</v>
      </c>
      <c r="B846" s="507" t="s">
        <v>4249</v>
      </c>
      <c r="C846" s="506" t="s">
        <v>32</v>
      </c>
      <c r="D846" s="508">
        <v>25000</v>
      </c>
      <c r="E846" s="507" t="s">
        <v>6108</v>
      </c>
    </row>
    <row r="847" spans="1:5" ht="15" x14ac:dyDescent="0.3">
      <c r="A847" s="506">
        <v>7908</v>
      </c>
      <c r="B847" s="507" t="s">
        <v>4250</v>
      </c>
      <c r="C847" s="506" t="s">
        <v>32</v>
      </c>
      <c r="D847" s="508">
        <v>25600</v>
      </c>
      <c r="E847" s="507" t="s">
        <v>6108</v>
      </c>
    </row>
    <row r="848" spans="1:5" ht="15" x14ac:dyDescent="0.3">
      <c r="A848" s="506">
        <v>7910</v>
      </c>
      <c r="B848" s="507" t="s">
        <v>4251</v>
      </c>
      <c r="C848" s="506" t="s">
        <v>32</v>
      </c>
      <c r="D848" s="508">
        <v>30000</v>
      </c>
      <c r="E848" s="507" t="s">
        <v>6108</v>
      </c>
    </row>
    <row r="849" spans="1:5" ht="15" x14ac:dyDescent="0.3">
      <c r="A849" s="506">
        <v>7919</v>
      </c>
      <c r="B849" s="507" t="s">
        <v>4252</v>
      </c>
      <c r="C849" s="506" t="s">
        <v>3582</v>
      </c>
      <c r="D849" s="508">
        <v>43468</v>
      </c>
      <c r="E849" s="507" t="s">
        <v>6108</v>
      </c>
    </row>
    <row r="850" spans="1:5" ht="15" x14ac:dyDescent="0.3">
      <c r="A850" s="506">
        <v>7921</v>
      </c>
      <c r="B850" s="507" t="s">
        <v>4253</v>
      </c>
      <c r="C850" s="506" t="s">
        <v>30</v>
      </c>
      <c r="D850" s="508">
        <v>798017</v>
      </c>
      <c r="E850" s="507" t="s">
        <v>331</v>
      </c>
    </row>
    <row r="851" spans="1:5" ht="15" x14ac:dyDescent="0.3">
      <c r="A851" s="506">
        <v>7922</v>
      </c>
      <c r="B851" s="507" t="s">
        <v>4254</v>
      </c>
      <c r="C851" s="506" t="s">
        <v>979</v>
      </c>
      <c r="D851" s="508">
        <v>8878</v>
      </c>
      <c r="E851" s="507" t="s">
        <v>6108</v>
      </c>
    </row>
    <row r="852" spans="1:5" ht="15" x14ac:dyDescent="0.3">
      <c r="A852" s="506">
        <v>7923</v>
      </c>
      <c r="B852" s="507" t="s">
        <v>4255</v>
      </c>
      <c r="C852" s="506" t="s">
        <v>670</v>
      </c>
      <c r="D852" s="508">
        <v>7238</v>
      </c>
      <c r="E852" s="507" t="s">
        <v>6108</v>
      </c>
    </row>
    <row r="853" spans="1:5" ht="15" x14ac:dyDescent="0.3">
      <c r="A853" s="506">
        <v>7926</v>
      </c>
      <c r="B853" s="507" t="s">
        <v>4256</v>
      </c>
      <c r="C853" s="506" t="s">
        <v>32</v>
      </c>
      <c r="D853" s="508">
        <v>34323</v>
      </c>
      <c r="E853" s="507" t="s">
        <v>6108</v>
      </c>
    </row>
    <row r="854" spans="1:5" ht="15" x14ac:dyDescent="0.3">
      <c r="A854" s="506">
        <v>7932</v>
      </c>
      <c r="B854" s="507" t="s">
        <v>4257</v>
      </c>
      <c r="C854" s="506" t="s">
        <v>328</v>
      </c>
      <c r="D854" s="508">
        <v>5726</v>
      </c>
      <c r="E854" s="507" t="s">
        <v>331</v>
      </c>
    </row>
    <row r="855" spans="1:5" ht="15" x14ac:dyDescent="0.3">
      <c r="A855" s="506">
        <v>7934</v>
      </c>
      <c r="B855" s="507" t="s">
        <v>6248</v>
      </c>
      <c r="C855" s="506" t="s">
        <v>32</v>
      </c>
      <c r="D855" s="508">
        <v>1259020</v>
      </c>
      <c r="E855" s="507" t="s">
        <v>6108</v>
      </c>
    </row>
    <row r="856" spans="1:5" ht="15" x14ac:dyDescent="0.3">
      <c r="A856" s="506">
        <v>7939</v>
      </c>
      <c r="B856" s="507" t="s">
        <v>6249</v>
      </c>
      <c r="C856" s="506" t="s">
        <v>32</v>
      </c>
      <c r="D856" s="508">
        <v>166600</v>
      </c>
      <c r="E856" s="507" t="s">
        <v>6108</v>
      </c>
    </row>
    <row r="857" spans="1:5" ht="15" x14ac:dyDescent="0.3">
      <c r="A857" s="506">
        <v>7941</v>
      </c>
      <c r="B857" s="507" t="s">
        <v>6250</v>
      </c>
      <c r="C857" s="506" t="s">
        <v>32</v>
      </c>
      <c r="D857" s="508">
        <v>440300</v>
      </c>
      <c r="E857" s="507" t="s">
        <v>6108</v>
      </c>
    </row>
    <row r="858" spans="1:5" ht="15" x14ac:dyDescent="0.3">
      <c r="A858" s="506">
        <v>7942</v>
      </c>
      <c r="B858" s="507" t="s">
        <v>6251</v>
      </c>
      <c r="C858" s="506" t="s">
        <v>32</v>
      </c>
      <c r="D858" s="508">
        <v>158270</v>
      </c>
      <c r="E858" s="507" t="s">
        <v>6108</v>
      </c>
    </row>
    <row r="859" spans="1:5" ht="15" x14ac:dyDescent="0.3">
      <c r="A859" s="506">
        <v>7945</v>
      </c>
      <c r="B859" s="507" t="s">
        <v>4258</v>
      </c>
      <c r="C859" s="506" t="s">
        <v>328</v>
      </c>
      <c r="D859" s="508">
        <v>125</v>
      </c>
      <c r="E859" s="507" t="s">
        <v>6108</v>
      </c>
    </row>
    <row r="860" spans="1:5" ht="15" x14ac:dyDescent="0.3">
      <c r="A860" s="506">
        <v>7946</v>
      </c>
      <c r="B860" s="507" t="s">
        <v>6252</v>
      </c>
      <c r="C860" s="506" t="s">
        <v>4259</v>
      </c>
      <c r="D860" s="508">
        <v>99628</v>
      </c>
      <c r="E860" s="507" t="s">
        <v>6108</v>
      </c>
    </row>
    <row r="861" spans="1:5" ht="15" x14ac:dyDescent="0.3">
      <c r="A861" s="506">
        <v>7947</v>
      </c>
      <c r="B861" s="507" t="s">
        <v>4260</v>
      </c>
      <c r="C861" s="506" t="s">
        <v>32</v>
      </c>
      <c r="D861" s="508">
        <v>337960</v>
      </c>
      <c r="E861" s="507" t="s">
        <v>331</v>
      </c>
    </row>
    <row r="862" spans="1:5" ht="15" x14ac:dyDescent="0.3">
      <c r="A862" s="506">
        <v>7948</v>
      </c>
      <c r="B862" s="507" t="s">
        <v>6253</v>
      </c>
      <c r="C862" s="506" t="s">
        <v>328</v>
      </c>
      <c r="D862" s="508">
        <v>24871</v>
      </c>
      <c r="E862" s="507" t="s">
        <v>6108</v>
      </c>
    </row>
    <row r="863" spans="1:5" ht="15" x14ac:dyDescent="0.3">
      <c r="A863" s="506">
        <v>7949</v>
      </c>
      <c r="B863" s="507" t="s">
        <v>4261</v>
      </c>
      <c r="C863" s="506" t="s">
        <v>32</v>
      </c>
      <c r="D863" s="508">
        <v>217902</v>
      </c>
      <c r="E863" s="507" t="s">
        <v>331</v>
      </c>
    </row>
    <row r="864" spans="1:5" ht="15" x14ac:dyDescent="0.3">
      <c r="A864" s="506">
        <v>7950</v>
      </c>
      <c r="B864" s="507" t="s">
        <v>4262</v>
      </c>
      <c r="C864" s="506" t="s">
        <v>32</v>
      </c>
      <c r="D864" s="508">
        <v>370391</v>
      </c>
      <c r="E864" s="507" t="s">
        <v>331</v>
      </c>
    </row>
    <row r="865" spans="1:5" ht="15" x14ac:dyDescent="0.3">
      <c r="A865" s="506">
        <v>7953</v>
      </c>
      <c r="B865" s="507" t="s">
        <v>4263</v>
      </c>
      <c r="C865" s="506" t="s">
        <v>21</v>
      </c>
      <c r="D865" s="508">
        <v>11617</v>
      </c>
      <c r="E865" s="507" t="s">
        <v>6108</v>
      </c>
    </row>
    <row r="866" spans="1:5" ht="15" x14ac:dyDescent="0.3">
      <c r="A866" s="506">
        <v>7955</v>
      </c>
      <c r="B866" s="507" t="s">
        <v>4264</v>
      </c>
      <c r="C866" s="506" t="s">
        <v>32</v>
      </c>
      <c r="D866" s="508">
        <v>142613</v>
      </c>
      <c r="E866" s="507" t="s">
        <v>6108</v>
      </c>
    </row>
    <row r="867" spans="1:5" ht="15" x14ac:dyDescent="0.3">
      <c r="A867" s="506">
        <v>7956</v>
      </c>
      <c r="B867" s="507" t="s">
        <v>4265</v>
      </c>
      <c r="C867" s="506" t="s">
        <v>32</v>
      </c>
      <c r="D867" s="508">
        <v>149915</v>
      </c>
      <c r="E867" s="507" t="s">
        <v>6108</v>
      </c>
    </row>
    <row r="868" spans="1:5" ht="15" x14ac:dyDescent="0.3">
      <c r="A868" s="506">
        <v>7957</v>
      </c>
      <c r="B868" s="507" t="s">
        <v>4266</v>
      </c>
      <c r="C868" s="506" t="s">
        <v>32</v>
      </c>
      <c r="D868" s="508">
        <v>181691</v>
      </c>
      <c r="E868" s="507" t="s">
        <v>6108</v>
      </c>
    </row>
    <row r="869" spans="1:5" ht="15" x14ac:dyDescent="0.3">
      <c r="A869" s="506">
        <v>7958</v>
      </c>
      <c r="B869" s="507" t="s">
        <v>4267</v>
      </c>
      <c r="C869" s="506" t="s">
        <v>32</v>
      </c>
      <c r="D869" s="508">
        <v>470215</v>
      </c>
      <c r="E869" s="507" t="s">
        <v>6108</v>
      </c>
    </row>
    <row r="870" spans="1:5" ht="15" x14ac:dyDescent="0.3">
      <c r="A870" s="506">
        <v>7959</v>
      </c>
      <c r="B870" s="507" t="s">
        <v>4268</v>
      </c>
      <c r="C870" s="506" t="s">
        <v>32</v>
      </c>
      <c r="D870" s="508">
        <v>171816</v>
      </c>
      <c r="E870" s="507" t="s">
        <v>6108</v>
      </c>
    </row>
    <row r="871" spans="1:5" ht="15" x14ac:dyDescent="0.3">
      <c r="A871" s="506">
        <v>7961</v>
      </c>
      <c r="B871" s="507" t="s">
        <v>4269</v>
      </c>
      <c r="C871" s="506" t="s">
        <v>328</v>
      </c>
      <c r="D871" s="508">
        <v>341734</v>
      </c>
      <c r="E871" s="507" t="s">
        <v>331</v>
      </c>
    </row>
    <row r="872" spans="1:5" ht="15" x14ac:dyDescent="0.3">
      <c r="A872" s="506">
        <v>7962</v>
      </c>
      <c r="B872" s="507" t="s">
        <v>4270</v>
      </c>
      <c r="C872" s="506" t="s">
        <v>328</v>
      </c>
      <c r="D872" s="508">
        <v>414613</v>
      </c>
      <c r="E872" s="507" t="s">
        <v>331</v>
      </c>
    </row>
    <row r="873" spans="1:5" ht="15" x14ac:dyDescent="0.3">
      <c r="A873" s="506">
        <v>7963</v>
      </c>
      <c r="B873" s="507" t="s">
        <v>4271</v>
      </c>
      <c r="C873" s="506" t="s">
        <v>328</v>
      </c>
      <c r="D873" s="508">
        <v>507298</v>
      </c>
      <c r="E873" s="507" t="s">
        <v>331</v>
      </c>
    </row>
    <row r="874" spans="1:5" ht="15" x14ac:dyDescent="0.3">
      <c r="A874" s="506">
        <v>7965</v>
      </c>
      <c r="B874" s="507" t="s">
        <v>6254</v>
      </c>
      <c r="C874" s="506" t="s">
        <v>32</v>
      </c>
      <c r="D874" s="508">
        <v>183260</v>
      </c>
      <c r="E874" s="507" t="s">
        <v>6108</v>
      </c>
    </row>
    <row r="875" spans="1:5" ht="15" x14ac:dyDescent="0.3">
      <c r="A875" s="506">
        <v>7966</v>
      </c>
      <c r="B875" s="507" t="s">
        <v>6255</v>
      </c>
      <c r="C875" s="506" t="s">
        <v>32</v>
      </c>
      <c r="D875" s="508">
        <v>592620</v>
      </c>
      <c r="E875" s="507" t="s">
        <v>6108</v>
      </c>
    </row>
    <row r="876" spans="1:5" ht="15" x14ac:dyDescent="0.3">
      <c r="A876" s="506">
        <v>7967</v>
      </c>
      <c r="B876" s="507" t="s">
        <v>6256</v>
      </c>
      <c r="C876" s="506" t="s">
        <v>32</v>
      </c>
      <c r="D876" s="508">
        <v>1259020</v>
      </c>
      <c r="E876" s="507" t="s">
        <v>6108</v>
      </c>
    </row>
    <row r="877" spans="1:5" ht="15" x14ac:dyDescent="0.3">
      <c r="A877" s="506">
        <v>7968</v>
      </c>
      <c r="B877" s="507" t="s">
        <v>4272</v>
      </c>
      <c r="C877" s="506" t="s">
        <v>32</v>
      </c>
      <c r="D877" s="508">
        <v>380000</v>
      </c>
      <c r="E877" s="507" t="s">
        <v>331</v>
      </c>
    </row>
    <row r="878" spans="1:5" ht="15" x14ac:dyDescent="0.3">
      <c r="A878" s="506">
        <v>7969</v>
      </c>
      <c r="B878" s="507" t="s">
        <v>4273</v>
      </c>
      <c r="C878" s="506" t="s">
        <v>21</v>
      </c>
      <c r="D878" s="508">
        <v>10577</v>
      </c>
      <c r="E878" s="507" t="s">
        <v>6108</v>
      </c>
    </row>
    <row r="879" spans="1:5" ht="15" x14ac:dyDescent="0.3">
      <c r="A879" s="506">
        <v>7970</v>
      </c>
      <c r="B879" s="507" t="s">
        <v>4274</v>
      </c>
      <c r="C879" s="506" t="s">
        <v>21</v>
      </c>
      <c r="D879" s="508">
        <v>4355</v>
      </c>
      <c r="E879" s="507" t="s">
        <v>6108</v>
      </c>
    </row>
    <row r="880" spans="1:5" ht="15" x14ac:dyDescent="0.3">
      <c r="A880" s="506">
        <v>7971</v>
      </c>
      <c r="B880" s="507" t="s">
        <v>4275</v>
      </c>
      <c r="C880" s="506" t="s">
        <v>21</v>
      </c>
      <c r="D880" s="508">
        <v>7000</v>
      </c>
      <c r="E880" s="507" t="s">
        <v>6108</v>
      </c>
    </row>
    <row r="881" spans="1:5" ht="15" x14ac:dyDescent="0.3">
      <c r="A881" s="506">
        <v>7973</v>
      </c>
      <c r="B881" s="507" t="s">
        <v>4276</v>
      </c>
      <c r="C881" s="506" t="s">
        <v>670</v>
      </c>
      <c r="D881" s="508">
        <v>46285</v>
      </c>
      <c r="E881" s="507" t="s">
        <v>6108</v>
      </c>
    </row>
    <row r="882" spans="1:5" ht="15" x14ac:dyDescent="0.3">
      <c r="A882" s="506">
        <v>7976</v>
      </c>
      <c r="B882" s="507" t="s">
        <v>4277</v>
      </c>
      <c r="C882" s="506" t="s">
        <v>30</v>
      </c>
      <c r="D882" s="508">
        <v>69020</v>
      </c>
      <c r="E882" s="507" t="s">
        <v>331</v>
      </c>
    </row>
    <row r="883" spans="1:5" ht="15" x14ac:dyDescent="0.3">
      <c r="A883" s="506">
        <v>7977</v>
      </c>
      <c r="B883" s="507" t="s">
        <v>4278</v>
      </c>
      <c r="C883" s="506" t="s">
        <v>30</v>
      </c>
      <c r="D883" s="508">
        <v>30583</v>
      </c>
      <c r="E883" s="507" t="s">
        <v>331</v>
      </c>
    </row>
    <row r="884" spans="1:5" ht="15" x14ac:dyDescent="0.3">
      <c r="A884" s="506">
        <v>7979</v>
      </c>
      <c r="B884" s="507" t="s">
        <v>4279</v>
      </c>
      <c r="C884" s="506" t="s">
        <v>32</v>
      </c>
      <c r="D884" s="508">
        <v>73013</v>
      </c>
      <c r="E884" s="507" t="s">
        <v>6108</v>
      </c>
    </row>
    <row r="885" spans="1:5" ht="15" x14ac:dyDescent="0.3">
      <c r="A885" s="506">
        <v>7983</v>
      </c>
      <c r="B885" s="507" t="s">
        <v>6257</v>
      </c>
      <c r="C885" s="506" t="s">
        <v>3582</v>
      </c>
      <c r="D885" s="508">
        <v>219000</v>
      </c>
      <c r="E885" s="507" t="s">
        <v>6109</v>
      </c>
    </row>
    <row r="886" spans="1:5" ht="15" x14ac:dyDescent="0.3">
      <c r="A886" s="506">
        <v>7984</v>
      </c>
      <c r="B886" s="507" t="s">
        <v>4280</v>
      </c>
      <c r="C886" s="506" t="s">
        <v>979</v>
      </c>
      <c r="D886" s="508">
        <v>104125</v>
      </c>
      <c r="E886" s="507" t="s">
        <v>331</v>
      </c>
    </row>
    <row r="887" spans="1:5" ht="15" x14ac:dyDescent="0.3">
      <c r="A887" s="506">
        <v>7989</v>
      </c>
      <c r="B887" s="507" t="s">
        <v>6258</v>
      </c>
      <c r="C887" s="506" t="s">
        <v>254</v>
      </c>
      <c r="D887" s="508">
        <v>12795750</v>
      </c>
      <c r="E887" s="507" t="s">
        <v>6109</v>
      </c>
    </row>
    <row r="888" spans="1:5" ht="15" x14ac:dyDescent="0.3">
      <c r="A888" s="506">
        <v>7993</v>
      </c>
      <c r="B888" s="507" t="s">
        <v>4281</v>
      </c>
      <c r="C888" s="506" t="s">
        <v>32</v>
      </c>
      <c r="D888" s="508">
        <v>2040850</v>
      </c>
      <c r="E888" s="507" t="s">
        <v>6108</v>
      </c>
    </row>
    <row r="889" spans="1:5" ht="15" x14ac:dyDescent="0.3">
      <c r="A889" s="506">
        <v>7994</v>
      </c>
      <c r="B889" s="507" t="s">
        <v>4282</v>
      </c>
      <c r="C889" s="506" t="s">
        <v>21</v>
      </c>
      <c r="D889" s="508">
        <v>2495</v>
      </c>
      <c r="E889" s="507" t="s">
        <v>331</v>
      </c>
    </row>
    <row r="890" spans="1:5" ht="15" x14ac:dyDescent="0.3">
      <c r="A890" s="506">
        <v>7999</v>
      </c>
      <c r="B890" s="507" t="s">
        <v>4283</v>
      </c>
      <c r="C890" s="506" t="s">
        <v>670</v>
      </c>
      <c r="D890" s="508">
        <v>7013</v>
      </c>
      <c r="E890" s="507" t="s">
        <v>6108</v>
      </c>
    </row>
    <row r="891" spans="1:5" ht="15" x14ac:dyDescent="0.3">
      <c r="A891" s="506">
        <v>8000</v>
      </c>
      <c r="B891" s="507" t="s">
        <v>4284</v>
      </c>
      <c r="C891" s="506" t="s">
        <v>328</v>
      </c>
      <c r="D891" s="508">
        <v>13090</v>
      </c>
      <c r="E891" s="507" t="s">
        <v>6108</v>
      </c>
    </row>
    <row r="892" spans="1:5" ht="15" x14ac:dyDescent="0.3">
      <c r="A892" s="506">
        <v>8001</v>
      </c>
      <c r="B892" s="507" t="s">
        <v>4285</v>
      </c>
      <c r="C892" s="506" t="s">
        <v>328</v>
      </c>
      <c r="D892" s="508">
        <v>15500</v>
      </c>
      <c r="E892" s="507" t="s">
        <v>6108</v>
      </c>
    </row>
    <row r="893" spans="1:5" ht="15" x14ac:dyDescent="0.3">
      <c r="A893" s="506">
        <v>8002</v>
      </c>
      <c r="B893" s="507" t="s">
        <v>2246</v>
      </c>
      <c r="C893" s="506" t="s">
        <v>328</v>
      </c>
      <c r="D893" s="508">
        <v>20205</v>
      </c>
      <c r="E893" s="507" t="s">
        <v>6108</v>
      </c>
    </row>
    <row r="894" spans="1:5" ht="15" x14ac:dyDescent="0.3">
      <c r="A894" s="506">
        <v>8003</v>
      </c>
      <c r="B894" s="507" t="s">
        <v>2247</v>
      </c>
      <c r="C894" s="506" t="s">
        <v>328</v>
      </c>
      <c r="D894" s="508">
        <v>21734</v>
      </c>
      <c r="E894" s="507" t="s">
        <v>6108</v>
      </c>
    </row>
    <row r="895" spans="1:5" ht="15" x14ac:dyDescent="0.3">
      <c r="A895" s="506">
        <v>8011</v>
      </c>
      <c r="B895" s="507" t="s">
        <v>6259</v>
      </c>
      <c r="C895" s="506" t="s">
        <v>32</v>
      </c>
      <c r="D895" s="508">
        <v>2397850</v>
      </c>
      <c r="E895" s="507" t="s">
        <v>6108</v>
      </c>
    </row>
    <row r="896" spans="1:5" ht="15" x14ac:dyDescent="0.3">
      <c r="A896" s="506">
        <v>8012</v>
      </c>
      <c r="B896" s="507" t="s">
        <v>4286</v>
      </c>
      <c r="C896" s="506" t="s">
        <v>32</v>
      </c>
      <c r="D896" s="508">
        <v>187068</v>
      </c>
      <c r="E896" s="507" t="s">
        <v>6108</v>
      </c>
    </row>
    <row r="897" spans="1:5" ht="15" x14ac:dyDescent="0.3">
      <c r="A897" s="506">
        <v>8015</v>
      </c>
      <c r="B897" s="507" t="s">
        <v>4287</v>
      </c>
      <c r="C897" s="506" t="s">
        <v>32</v>
      </c>
      <c r="D897" s="508">
        <v>79730</v>
      </c>
      <c r="E897" s="507" t="s">
        <v>6108</v>
      </c>
    </row>
    <row r="898" spans="1:5" ht="15" x14ac:dyDescent="0.3">
      <c r="A898" s="506">
        <v>8019</v>
      </c>
      <c r="B898" s="507" t="s">
        <v>6260</v>
      </c>
      <c r="C898" s="506" t="s">
        <v>32</v>
      </c>
      <c r="D898" s="508">
        <v>174013</v>
      </c>
      <c r="E898" s="507" t="s">
        <v>6108</v>
      </c>
    </row>
    <row r="899" spans="1:5" ht="15" x14ac:dyDescent="0.3">
      <c r="A899" s="506">
        <v>8025</v>
      </c>
      <c r="B899" s="507" t="s">
        <v>4288</v>
      </c>
      <c r="C899" s="506" t="s">
        <v>3582</v>
      </c>
      <c r="D899" s="508">
        <v>989334</v>
      </c>
      <c r="E899" s="507" t="s">
        <v>6108</v>
      </c>
    </row>
    <row r="900" spans="1:5" ht="15" x14ac:dyDescent="0.3">
      <c r="A900" s="506">
        <v>8026</v>
      </c>
      <c r="B900" s="507" t="s">
        <v>4289</v>
      </c>
      <c r="C900" s="506" t="s">
        <v>32</v>
      </c>
      <c r="D900" s="508">
        <v>54264</v>
      </c>
      <c r="E900" s="507" t="s">
        <v>6108</v>
      </c>
    </row>
    <row r="901" spans="1:5" ht="15" x14ac:dyDescent="0.3">
      <c r="A901" s="506">
        <v>8028</v>
      </c>
      <c r="B901" s="507" t="s">
        <v>6261</v>
      </c>
      <c r="C901" s="506" t="s">
        <v>32</v>
      </c>
      <c r="D901" s="508">
        <v>107576</v>
      </c>
      <c r="E901" s="507" t="s">
        <v>6108</v>
      </c>
    </row>
    <row r="902" spans="1:5" ht="15" x14ac:dyDescent="0.3">
      <c r="A902" s="506">
        <v>8033</v>
      </c>
      <c r="B902" s="507" t="s">
        <v>4290</v>
      </c>
      <c r="C902" s="506" t="s">
        <v>32</v>
      </c>
      <c r="D902" s="508">
        <v>4475685</v>
      </c>
      <c r="E902" s="507" t="s">
        <v>6108</v>
      </c>
    </row>
    <row r="903" spans="1:5" ht="15" x14ac:dyDescent="0.3">
      <c r="A903" s="506">
        <v>8034</v>
      </c>
      <c r="B903" s="507" t="s">
        <v>4291</v>
      </c>
      <c r="C903" s="506" t="s">
        <v>32</v>
      </c>
      <c r="D903" s="508">
        <v>3163370</v>
      </c>
      <c r="E903" s="507" t="s">
        <v>6108</v>
      </c>
    </row>
    <row r="904" spans="1:5" ht="15" x14ac:dyDescent="0.3">
      <c r="A904" s="506">
        <v>8035</v>
      </c>
      <c r="B904" s="507" t="s">
        <v>4292</v>
      </c>
      <c r="C904" s="506" t="s">
        <v>32</v>
      </c>
      <c r="D904" s="508">
        <v>3469618</v>
      </c>
      <c r="E904" s="507" t="s">
        <v>6108</v>
      </c>
    </row>
    <row r="905" spans="1:5" ht="15" x14ac:dyDescent="0.3">
      <c r="A905" s="506">
        <v>8036</v>
      </c>
      <c r="B905" s="507" t="s">
        <v>4293</v>
      </c>
      <c r="C905" s="506" t="s">
        <v>32</v>
      </c>
      <c r="D905" s="508">
        <v>7712628</v>
      </c>
      <c r="E905" s="507" t="s">
        <v>6108</v>
      </c>
    </row>
    <row r="906" spans="1:5" ht="15" x14ac:dyDescent="0.3">
      <c r="A906" s="506">
        <v>8037</v>
      </c>
      <c r="B906" s="507" t="s">
        <v>4294</v>
      </c>
      <c r="C906" s="506" t="s">
        <v>328</v>
      </c>
      <c r="D906" s="508">
        <v>26977</v>
      </c>
      <c r="E906" s="507" t="s">
        <v>6108</v>
      </c>
    </row>
    <row r="907" spans="1:5" ht="15" x14ac:dyDescent="0.3">
      <c r="A907" s="506">
        <v>8038</v>
      </c>
      <c r="B907" s="507" t="s">
        <v>4295</v>
      </c>
      <c r="C907" s="506" t="s">
        <v>328</v>
      </c>
      <c r="D907" s="508">
        <v>23261</v>
      </c>
      <c r="E907" s="507" t="s">
        <v>6108</v>
      </c>
    </row>
    <row r="908" spans="1:5" ht="15" x14ac:dyDescent="0.3">
      <c r="A908" s="506">
        <v>8039</v>
      </c>
      <c r="B908" s="507" t="s">
        <v>4296</v>
      </c>
      <c r="C908" s="506" t="s">
        <v>328</v>
      </c>
      <c r="D908" s="508">
        <v>22487</v>
      </c>
      <c r="E908" s="507" t="s">
        <v>6108</v>
      </c>
    </row>
    <row r="909" spans="1:5" ht="15" x14ac:dyDescent="0.3">
      <c r="A909" s="506">
        <v>8041</v>
      </c>
      <c r="B909" s="507" t="s">
        <v>4297</v>
      </c>
      <c r="C909" s="506" t="s">
        <v>670</v>
      </c>
      <c r="D909" s="508">
        <v>7557</v>
      </c>
      <c r="E909" s="507" t="s">
        <v>331</v>
      </c>
    </row>
    <row r="910" spans="1:5" ht="15" x14ac:dyDescent="0.3">
      <c r="A910" s="506">
        <v>8044</v>
      </c>
      <c r="B910" s="507" t="s">
        <v>4298</v>
      </c>
      <c r="C910" s="506" t="s">
        <v>3582</v>
      </c>
      <c r="D910" s="508">
        <v>7140</v>
      </c>
      <c r="E910" s="507" t="s">
        <v>331</v>
      </c>
    </row>
    <row r="911" spans="1:5" ht="15" x14ac:dyDescent="0.3">
      <c r="A911" s="506">
        <v>8046</v>
      </c>
      <c r="B911" s="507" t="s">
        <v>6262</v>
      </c>
      <c r="C911" s="506" t="s">
        <v>32</v>
      </c>
      <c r="D911" s="508">
        <v>1142242</v>
      </c>
      <c r="E911" s="507" t="s">
        <v>6108</v>
      </c>
    </row>
    <row r="912" spans="1:5" ht="15" x14ac:dyDescent="0.3">
      <c r="A912" s="506">
        <v>8047</v>
      </c>
      <c r="B912" s="507" t="s">
        <v>6263</v>
      </c>
      <c r="C912" s="506" t="s">
        <v>32</v>
      </c>
      <c r="D912" s="508">
        <v>646170</v>
      </c>
      <c r="E912" s="507" t="s">
        <v>6108</v>
      </c>
    </row>
    <row r="913" spans="1:5" ht="15" x14ac:dyDescent="0.3">
      <c r="A913" s="506">
        <v>8048</v>
      </c>
      <c r="B913" s="507" t="s">
        <v>6264</v>
      </c>
      <c r="C913" s="506" t="s">
        <v>32</v>
      </c>
      <c r="D913" s="508">
        <v>1190000</v>
      </c>
      <c r="E913" s="507" t="s">
        <v>6108</v>
      </c>
    </row>
    <row r="914" spans="1:5" ht="15" x14ac:dyDescent="0.3">
      <c r="A914" s="506">
        <v>8050</v>
      </c>
      <c r="B914" s="507" t="s">
        <v>4299</v>
      </c>
      <c r="C914" s="506" t="s">
        <v>3582</v>
      </c>
      <c r="D914" s="508">
        <v>207</v>
      </c>
      <c r="E914" s="507" t="s">
        <v>331</v>
      </c>
    </row>
    <row r="915" spans="1:5" ht="15" x14ac:dyDescent="0.3">
      <c r="A915" s="506">
        <v>8051</v>
      </c>
      <c r="B915" s="507" t="s">
        <v>4300</v>
      </c>
      <c r="C915" s="506" t="s">
        <v>32</v>
      </c>
      <c r="D915" s="508">
        <v>82840</v>
      </c>
      <c r="E915" s="507" t="s">
        <v>331</v>
      </c>
    </row>
    <row r="916" spans="1:5" ht="15" x14ac:dyDescent="0.3">
      <c r="A916" s="506">
        <v>8052</v>
      </c>
      <c r="B916" s="507" t="s">
        <v>4301</v>
      </c>
      <c r="C916" s="506" t="s">
        <v>32</v>
      </c>
      <c r="D916" s="508">
        <v>32898</v>
      </c>
      <c r="E916" s="507" t="s">
        <v>6108</v>
      </c>
    </row>
    <row r="917" spans="1:5" ht="15" x14ac:dyDescent="0.3">
      <c r="A917" s="506">
        <v>8053</v>
      </c>
      <c r="B917" s="507" t="s">
        <v>4302</v>
      </c>
      <c r="C917" s="506" t="s">
        <v>32</v>
      </c>
      <c r="D917" s="508">
        <v>29259</v>
      </c>
      <c r="E917" s="507" t="s">
        <v>6108</v>
      </c>
    </row>
    <row r="918" spans="1:5" ht="15" x14ac:dyDescent="0.3">
      <c r="A918" s="506">
        <v>8054</v>
      </c>
      <c r="B918" s="507" t="s">
        <v>4303</v>
      </c>
      <c r="C918" s="506" t="s">
        <v>32</v>
      </c>
      <c r="D918" s="508">
        <v>654</v>
      </c>
      <c r="E918" s="507" t="s">
        <v>331</v>
      </c>
    </row>
    <row r="919" spans="1:5" ht="15" x14ac:dyDescent="0.3">
      <c r="A919" s="506">
        <v>8055</v>
      </c>
      <c r="B919" s="507" t="s">
        <v>6265</v>
      </c>
      <c r="C919" s="506" t="s">
        <v>32</v>
      </c>
      <c r="D919" s="508">
        <v>64189</v>
      </c>
      <c r="E919" s="507" t="s">
        <v>6108</v>
      </c>
    </row>
    <row r="920" spans="1:5" ht="15" x14ac:dyDescent="0.3">
      <c r="A920" s="506">
        <v>8057</v>
      </c>
      <c r="B920" s="507" t="s">
        <v>6266</v>
      </c>
      <c r="C920" s="506" t="s">
        <v>328</v>
      </c>
      <c r="D920" s="508">
        <v>15708</v>
      </c>
      <c r="E920" s="507" t="s">
        <v>6108</v>
      </c>
    </row>
    <row r="921" spans="1:5" ht="15" x14ac:dyDescent="0.3">
      <c r="A921" s="506">
        <v>8060</v>
      </c>
      <c r="B921" s="507" t="s">
        <v>4304</v>
      </c>
      <c r="C921" s="506" t="s">
        <v>1455</v>
      </c>
      <c r="D921" s="508">
        <v>1840000</v>
      </c>
      <c r="E921" s="507" t="s">
        <v>331</v>
      </c>
    </row>
    <row r="922" spans="1:5" ht="15" x14ac:dyDescent="0.3">
      <c r="A922" s="506">
        <v>8061</v>
      </c>
      <c r="B922" s="507" t="s">
        <v>6267</v>
      </c>
      <c r="C922" s="506" t="s">
        <v>32</v>
      </c>
      <c r="D922" s="508">
        <v>1409617</v>
      </c>
      <c r="E922" s="507" t="s">
        <v>6108</v>
      </c>
    </row>
    <row r="923" spans="1:5" ht="15" x14ac:dyDescent="0.3">
      <c r="A923" s="506">
        <v>8062</v>
      </c>
      <c r="B923" s="507" t="s">
        <v>6268</v>
      </c>
      <c r="C923" s="506" t="s">
        <v>32</v>
      </c>
      <c r="D923" s="508">
        <v>1455965</v>
      </c>
      <c r="E923" s="507" t="s">
        <v>6108</v>
      </c>
    </row>
    <row r="924" spans="1:5" ht="15" x14ac:dyDescent="0.3">
      <c r="A924" s="506">
        <v>8070</v>
      </c>
      <c r="B924" s="507" t="s">
        <v>4305</v>
      </c>
      <c r="C924" s="506" t="s">
        <v>32</v>
      </c>
      <c r="D924" s="508">
        <v>396032</v>
      </c>
      <c r="E924" s="507" t="s">
        <v>6108</v>
      </c>
    </row>
    <row r="925" spans="1:5" ht="15" x14ac:dyDescent="0.3">
      <c r="A925" s="506">
        <v>8077</v>
      </c>
      <c r="B925" s="507" t="s">
        <v>4306</v>
      </c>
      <c r="C925" s="506" t="s">
        <v>3582</v>
      </c>
      <c r="D925" s="508">
        <v>107100</v>
      </c>
      <c r="E925" s="507" t="s">
        <v>6108</v>
      </c>
    </row>
    <row r="926" spans="1:5" ht="15" x14ac:dyDescent="0.3">
      <c r="A926" s="506">
        <v>8078</v>
      </c>
      <c r="B926" s="507" t="s">
        <v>4307</v>
      </c>
      <c r="C926" s="506" t="s">
        <v>32</v>
      </c>
      <c r="D926" s="508">
        <v>39984</v>
      </c>
      <c r="E926" s="507" t="s">
        <v>331</v>
      </c>
    </row>
    <row r="927" spans="1:5" ht="15" x14ac:dyDescent="0.3">
      <c r="A927" s="506">
        <v>8079</v>
      </c>
      <c r="B927" s="507" t="s">
        <v>6269</v>
      </c>
      <c r="C927" s="506" t="s">
        <v>32</v>
      </c>
      <c r="D927" s="508">
        <v>249900</v>
      </c>
      <c r="E927" s="507" t="s">
        <v>6108</v>
      </c>
    </row>
    <row r="928" spans="1:5" ht="15" x14ac:dyDescent="0.3">
      <c r="A928" s="506">
        <v>8080</v>
      </c>
      <c r="B928" s="507" t="s">
        <v>6270</v>
      </c>
      <c r="C928" s="506" t="s">
        <v>328</v>
      </c>
      <c r="D928" s="508">
        <v>784924</v>
      </c>
      <c r="E928" s="507" t="s">
        <v>6108</v>
      </c>
    </row>
    <row r="929" spans="1:5" ht="15" x14ac:dyDescent="0.3">
      <c r="A929" s="506">
        <v>8085</v>
      </c>
      <c r="B929" s="507" t="s">
        <v>4308</v>
      </c>
      <c r="C929" s="506" t="s">
        <v>32</v>
      </c>
      <c r="D929" s="508">
        <v>141617</v>
      </c>
      <c r="E929" s="507" t="s">
        <v>6108</v>
      </c>
    </row>
    <row r="930" spans="1:5" ht="15" x14ac:dyDescent="0.3">
      <c r="A930" s="506">
        <v>8086</v>
      </c>
      <c r="B930" s="507" t="s">
        <v>4309</v>
      </c>
      <c r="C930" s="506" t="s">
        <v>32</v>
      </c>
      <c r="D930" s="508">
        <v>163745</v>
      </c>
      <c r="E930" s="507" t="s">
        <v>6108</v>
      </c>
    </row>
    <row r="931" spans="1:5" ht="15" x14ac:dyDescent="0.3">
      <c r="A931" s="506">
        <v>8089</v>
      </c>
      <c r="B931" s="507" t="s">
        <v>4310</v>
      </c>
      <c r="C931" s="506" t="s">
        <v>32</v>
      </c>
      <c r="D931" s="508">
        <v>153788</v>
      </c>
      <c r="E931" s="507" t="s">
        <v>6108</v>
      </c>
    </row>
    <row r="932" spans="1:5" ht="15" x14ac:dyDescent="0.3">
      <c r="A932" s="506">
        <v>8090</v>
      </c>
      <c r="B932" s="507" t="s">
        <v>4311</v>
      </c>
      <c r="C932" s="506" t="s">
        <v>32</v>
      </c>
      <c r="D932" s="508">
        <v>90724</v>
      </c>
      <c r="E932" s="507" t="s">
        <v>6108</v>
      </c>
    </row>
    <row r="933" spans="1:5" ht="15" x14ac:dyDescent="0.3">
      <c r="A933" s="506">
        <v>8091</v>
      </c>
      <c r="B933" s="507" t="s">
        <v>4312</v>
      </c>
      <c r="C933" s="506" t="s">
        <v>32</v>
      </c>
      <c r="D933" s="508">
        <v>146044</v>
      </c>
      <c r="E933" s="507" t="s">
        <v>6108</v>
      </c>
    </row>
    <row r="934" spans="1:5" ht="15" x14ac:dyDescent="0.3">
      <c r="A934" s="506">
        <v>8094</v>
      </c>
      <c r="B934" s="507" t="s">
        <v>4313</v>
      </c>
      <c r="C934" s="506" t="s">
        <v>32</v>
      </c>
      <c r="D934" s="508">
        <v>142171</v>
      </c>
      <c r="E934" s="507" t="s">
        <v>6108</v>
      </c>
    </row>
    <row r="935" spans="1:5" ht="15" x14ac:dyDescent="0.3">
      <c r="A935" s="506">
        <v>8097</v>
      </c>
      <c r="B935" s="507" t="s">
        <v>4314</v>
      </c>
      <c r="C935" s="506" t="s">
        <v>21</v>
      </c>
      <c r="D935" s="508">
        <v>64513</v>
      </c>
      <c r="E935" s="507" t="s">
        <v>6108</v>
      </c>
    </row>
    <row r="936" spans="1:5" ht="15" x14ac:dyDescent="0.3">
      <c r="A936" s="506">
        <v>8099</v>
      </c>
      <c r="B936" s="507" t="s">
        <v>4315</v>
      </c>
      <c r="C936" s="506" t="s">
        <v>21</v>
      </c>
      <c r="D936" s="508">
        <v>92190</v>
      </c>
      <c r="E936" s="507" t="s">
        <v>331</v>
      </c>
    </row>
    <row r="937" spans="1:5" ht="15" x14ac:dyDescent="0.3">
      <c r="A937" s="506">
        <v>8100</v>
      </c>
      <c r="B937" s="507" t="s">
        <v>4316</v>
      </c>
      <c r="C937" s="506" t="s">
        <v>21</v>
      </c>
      <c r="D937" s="508">
        <v>96390</v>
      </c>
      <c r="E937" s="507" t="s">
        <v>331</v>
      </c>
    </row>
    <row r="938" spans="1:5" ht="15" x14ac:dyDescent="0.3">
      <c r="A938" s="506">
        <v>8101</v>
      </c>
      <c r="B938" s="507" t="s">
        <v>4317</v>
      </c>
      <c r="C938" s="506" t="s">
        <v>670</v>
      </c>
      <c r="D938" s="508">
        <v>13614</v>
      </c>
      <c r="E938" s="507" t="s">
        <v>6108</v>
      </c>
    </row>
    <row r="939" spans="1:5" ht="15" x14ac:dyDescent="0.3">
      <c r="A939" s="506">
        <v>8102</v>
      </c>
      <c r="B939" s="507" t="s">
        <v>6271</v>
      </c>
      <c r="C939" s="506" t="s">
        <v>254</v>
      </c>
      <c r="D939" s="508">
        <v>3309125</v>
      </c>
      <c r="E939" s="507" t="s">
        <v>6109</v>
      </c>
    </row>
    <row r="940" spans="1:5" ht="15" x14ac:dyDescent="0.3">
      <c r="A940" s="506">
        <v>8103</v>
      </c>
      <c r="B940" s="507" t="s">
        <v>4318</v>
      </c>
      <c r="C940" s="506" t="s">
        <v>3582</v>
      </c>
      <c r="D940" s="508">
        <v>3451000</v>
      </c>
      <c r="E940" s="507" t="s">
        <v>331</v>
      </c>
    </row>
    <row r="941" spans="1:5" ht="15" x14ac:dyDescent="0.3">
      <c r="A941" s="506">
        <v>8113</v>
      </c>
      <c r="B941" s="507" t="s">
        <v>6272</v>
      </c>
      <c r="C941" s="506" t="s">
        <v>32</v>
      </c>
      <c r="D941" s="508">
        <v>101150</v>
      </c>
      <c r="E941" s="507" t="s">
        <v>6108</v>
      </c>
    </row>
    <row r="942" spans="1:5" ht="15" x14ac:dyDescent="0.3">
      <c r="A942" s="506">
        <v>8116</v>
      </c>
      <c r="B942" s="507" t="s">
        <v>4319</v>
      </c>
      <c r="C942" s="506" t="s">
        <v>32</v>
      </c>
      <c r="D942" s="508">
        <v>2905980</v>
      </c>
      <c r="E942" s="507" t="s">
        <v>6108</v>
      </c>
    </row>
    <row r="943" spans="1:5" ht="15" x14ac:dyDescent="0.3">
      <c r="A943" s="506">
        <v>8141</v>
      </c>
      <c r="B943" s="507" t="s">
        <v>4320</v>
      </c>
      <c r="C943" s="506" t="s">
        <v>3579</v>
      </c>
      <c r="D943" s="508">
        <v>86312</v>
      </c>
      <c r="E943" s="507" t="s">
        <v>6108</v>
      </c>
    </row>
    <row r="944" spans="1:5" ht="15" x14ac:dyDescent="0.3">
      <c r="A944" s="506">
        <v>8142</v>
      </c>
      <c r="B944" s="507" t="s">
        <v>4321</v>
      </c>
      <c r="C944" s="506" t="s">
        <v>21</v>
      </c>
      <c r="D944" s="508">
        <v>91300</v>
      </c>
      <c r="E944" s="507" t="s">
        <v>6108</v>
      </c>
    </row>
    <row r="945" spans="1:5" ht="15" x14ac:dyDescent="0.3">
      <c r="A945" s="506">
        <v>8143</v>
      </c>
      <c r="B945" s="507" t="s">
        <v>4322</v>
      </c>
      <c r="C945" s="506" t="s">
        <v>670</v>
      </c>
      <c r="D945" s="508">
        <v>1999</v>
      </c>
      <c r="E945" s="507" t="s">
        <v>6108</v>
      </c>
    </row>
    <row r="946" spans="1:5" ht="15" x14ac:dyDescent="0.3">
      <c r="A946" s="506">
        <v>8144</v>
      </c>
      <c r="B946" s="507" t="s">
        <v>4323</v>
      </c>
      <c r="C946" s="506" t="s">
        <v>670</v>
      </c>
      <c r="D946" s="508">
        <v>6100</v>
      </c>
      <c r="E946" s="507" t="s">
        <v>6108</v>
      </c>
    </row>
    <row r="947" spans="1:5" ht="15" x14ac:dyDescent="0.3">
      <c r="A947" s="506">
        <v>8145</v>
      </c>
      <c r="B947" s="507" t="s">
        <v>4324</v>
      </c>
      <c r="C947" s="506" t="s">
        <v>328</v>
      </c>
      <c r="D947" s="508">
        <v>21420</v>
      </c>
      <c r="E947" s="507" t="s">
        <v>6108</v>
      </c>
    </row>
    <row r="948" spans="1:5" ht="15" x14ac:dyDescent="0.3">
      <c r="A948" s="506">
        <v>8146</v>
      </c>
      <c r="B948" s="507" t="s">
        <v>4325</v>
      </c>
      <c r="C948" s="506" t="s">
        <v>21</v>
      </c>
      <c r="D948" s="508">
        <v>66640</v>
      </c>
      <c r="E948" s="507" t="s">
        <v>6108</v>
      </c>
    </row>
    <row r="949" spans="1:5" ht="15" x14ac:dyDescent="0.3">
      <c r="A949" s="506">
        <v>8149</v>
      </c>
      <c r="B949" s="507" t="s">
        <v>4326</v>
      </c>
      <c r="C949" s="506" t="s">
        <v>3579</v>
      </c>
      <c r="D949" s="508">
        <v>186900</v>
      </c>
      <c r="E949" s="507" t="s">
        <v>6108</v>
      </c>
    </row>
    <row r="950" spans="1:5" ht="15" x14ac:dyDescent="0.3">
      <c r="A950" s="506">
        <v>8150</v>
      </c>
      <c r="B950" s="507" t="s">
        <v>4327</v>
      </c>
      <c r="C950" s="506" t="s">
        <v>32</v>
      </c>
      <c r="D950" s="508">
        <v>104350</v>
      </c>
      <c r="E950" s="507" t="s">
        <v>6108</v>
      </c>
    </row>
    <row r="951" spans="1:5" ht="15" x14ac:dyDescent="0.3">
      <c r="A951" s="506">
        <v>8152</v>
      </c>
      <c r="B951" s="507" t="s">
        <v>4328</v>
      </c>
      <c r="C951" s="506" t="s">
        <v>32</v>
      </c>
      <c r="D951" s="508">
        <v>18697</v>
      </c>
      <c r="E951" s="507" t="s">
        <v>6108</v>
      </c>
    </row>
    <row r="952" spans="1:5" ht="15" x14ac:dyDescent="0.3">
      <c r="A952" s="506">
        <v>8153</v>
      </c>
      <c r="B952" s="507" t="s">
        <v>4329</v>
      </c>
      <c r="C952" s="506" t="s">
        <v>32</v>
      </c>
      <c r="D952" s="508">
        <v>92189</v>
      </c>
      <c r="E952" s="507" t="s">
        <v>6108</v>
      </c>
    </row>
    <row r="953" spans="1:5" ht="15" x14ac:dyDescent="0.3">
      <c r="A953" s="506">
        <v>8154</v>
      </c>
      <c r="B953" s="507" t="s">
        <v>4330</v>
      </c>
      <c r="C953" s="506" t="s">
        <v>32</v>
      </c>
      <c r="D953" s="508">
        <v>176423</v>
      </c>
      <c r="E953" s="507" t="s">
        <v>6108</v>
      </c>
    </row>
    <row r="954" spans="1:5" ht="15" x14ac:dyDescent="0.3">
      <c r="A954" s="506">
        <v>8155</v>
      </c>
      <c r="B954" s="507" t="s">
        <v>4331</v>
      </c>
      <c r="C954" s="506" t="s">
        <v>32</v>
      </c>
      <c r="D954" s="508">
        <v>10675</v>
      </c>
      <c r="E954" s="507" t="s">
        <v>6108</v>
      </c>
    </row>
    <row r="955" spans="1:5" ht="15" x14ac:dyDescent="0.3">
      <c r="A955" s="506">
        <v>8156</v>
      </c>
      <c r="B955" s="507" t="s">
        <v>4332</v>
      </c>
      <c r="C955" s="506" t="s">
        <v>328</v>
      </c>
      <c r="D955" s="508">
        <v>18294</v>
      </c>
      <c r="E955" s="507" t="s">
        <v>331</v>
      </c>
    </row>
    <row r="956" spans="1:5" ht="15" x14ac:dyDescent="0.3">
      <c r="A956" s="506">
        <v>8157</v>
      </c>
      <c r="B956" s="507" t="s">
        <v>4333</v>
      </c>
      <c r="C956" s="506" t="s">
        <v>32</v>
      </c>
      <c r="D956" s="508">
        <v>1805</v>
      </c>
      <c r="E956" s="507" t="s">
        <v>331</v>
      </c>
    </row>
    <row r="957" spans="1:5" ht="15" x14ac:dyDescent="0.3">
      <c r="A957" s="506">
        <v>8158</v>
      </c>
      <c r="B957" s="507" t="s">
        <v>4334</v>
      </c>
      <c r="C957" s="506" t="s">
        <v>32</v>
      </c>
      <c r="D957" s="508">
        <v>4553</v>
      </c>
      <c r="E957" s="507" t="s">
        <v>331</v>
      </c>
    </row>
    <row r="958" spans="1:5" ht="15" x14ac:dyDescent="0.3">
      <c r="A958" s="506">
        <v>8159</v>
      </c>
      <c r="B958" s="507" t="s">
        <v>4335</v>
      </c>
      <c r="C958" s="506" t="s">
        <v>32</v>
      </c>
      <c r="D958" s="508">
        <v>22101</v>
      </c>
      <c r="E958" s="507" t="s">
        <v>331</v>
      </c>
    </row>
    <row r="959" spans="1:5" ht="15" x14ac:dyDescent="0.3">
      <c r="A959" s="506">
        <v>8160</v>
      </c>
      <c r="B959" s="507" t="s">
        <v>4336</v>
      </c>
      <c r="C959" s="506" t="s">
        <v>32</v>
      </c>
      <c r="D959" s="508">
        <v>5841</v>
      </c>
      <c r="E959" s="507" t="s">
        <v>331</v>
      </c>
    </row>
    <row r="960" spans="1:5" ht="15" x14ac:dyDescent="0.3">
      <c r="A960" s="506">
        <v>8161</v>
      </c>
      <c r="B960" s="507" t="s">
        <v>4337</v>
      </c>
      <c r="C960" s="506" t="s">
        <v>32</v>
      </c>
      <c r="D960" s="508">
        <v>24225</v>
      </c>
      <c r="E960" s="507" t="s">
        <v>331</v>
      </c>
    </row>
    <row r="961" spans="1:5" ht="15" x14ac:dyDescent="0.3">
      <c r="A961" s="506">
        <v>8162</v>
      </c>
      <c r="B961" s="507" t="s">
        <v>4338</v>
      </c>
      <c r="C961" s="506" t="s">
        <v>32</v>
      </c>
      <c r="D961" s="508">
        <v>11190</v>
      </c>
      <c r="E961" s="507" t="s">
        <v>331</v>
      </c>
    </row>
    <row r="962" spans="1:5" ht="15" x14ac:dyDescent="0.3">
      <c r="A962" s="506">
        <v>8164</v>
      </c>
      <c r="B962" s="507" t="s">
        <v>4339</v>
      </c>
      <c r="C962" s="506" t="s">
        <v>32</v>
      </c>
      <c r="D962" s="508">
        <v>70491</v>
      </c>
      <c r="E962" s="507" t="s">
        <v>331</v>
      </c>
    </row>
    <row r="963" spans="1:5" ht="15" x14ac:dyDescent="0.3">
      <c r="A963" s="506">
        <v>8165</v>
      </c>
      <c r="B963" s="507" t="s">
        <v>4340</v>
      </c>
      <c r="C963" s="506" t="s">
        <v>32</v>
      </c>
      <c r="D963" s="508">
        <v>34330</v>
      </c>
      <c r="E963" s="507" t="s">
        <v>331</v>
      </c>
    </row>
    <row r="964" spans="1:5" ht="15" x14ac:dyDescent="0.3">
      <c r="A964" s="506">
        <v>8166</v>
      </c>
      <c r="B964" s="507" t="s">
        <v>4341</v>
      </c>
      <c r="C964" s="506" t="s">
        <v>32</v>
      </c>
      <c r="D964" s="508">
        <v>22101</v>
      </c>
      <c r="E964" s="507" t="s">
        <v>331</v>
      </c>
    </row>
    <row r="965" spans="1:5" ht="15" x14ac:dyDescent="0.3">
      <c r="A965" s="506">
        <v>8167</v>
      </c>
      <c r="B965" s="507" t="s">
        <v>4342</v>
      </c>
      <c r="C965" s="506" t="s">
        <v>32</v>
      </c>
      <c r="D965" s="508">
        <v>11444</v>
      </c>
      <c r="E965" s="507" t="s">
        <v>331</v>
      </c>
    </row>
    <row r="966" spans="1:5" ht="15" x14ac:dyDescent="0.3">
      <c r="A966" s="506">
        <v>8169</v>
      </c>
      <c r="B966" s="507" t="s">
        <v>4343</v>
      </c>
      <c r="C966" s="506" t="s">
        <v>32</v>
      </c>
      <c r="D966" s="508">
        <v>5839</v>
      </c>
      <c r="E966" s="507" t="s">
        <v>331</v>
      </c>
    </row>
    <row r="967" spans="1:5" ht="15" x14ac:dyDescent="0.3">
      <c r="A967" s="506">
        <v>8170</v>
      </c>
      <c r="B967" s="507" t="s">
        <v>4344</v>
      </c>
      <c r="C967" s="506" t="s">
        <v>32</v>
      </c>
      <c r="D967" s="508">
        <v>8080</v>
      </c>
      <c r="E967" s="507" t="s">
        <v>331</v>
      </c>
    </row>
    <row r="968" spans="1:5" ht="15" x14ac:dyDescent="0.3">
      <c r="A968" s="506">
        <v>8171</v>
      </c>
      <c r="B968" s="507" t="s">
        <v>4345</v>
      </c>
      <c r="C968" s="506" t="s">
        <v>32</v>
      </c>
      <c r="D968" s="508">
        <v>3944</v>
      </c>
      <c r="E968" s="507" t="s">
        <v>331</v>
      </c>
    </row>
    <row r="969" spans="1:5" ht="15" x14ac:dyDescent="0.3">
      <c r="A969" s="506">
        <v>8172</v>
      </c>
      <c r="B969" s="507" t="s">
        <v>4346</v>
      </c>
      <c r="C969" s="506" t="s">
        <v>328</v>
      </c>
      <c r="D969" s="508">
        <v>12794</v>
      </c>
      <c r="E969" s="507" t="s">
        <v>331</v>
      </c>
    </row>
    <row r="970" spans="1:5" ht="15" x14ac:dyDescent="0.3">
      <c r="A970" s="506">
        <v>8173</v>
      </c>
      <c r="B970" s="507" t="s">
        <v>4347</v>
      </c>
      <c r="C970" s="506" t="s">
        <v>328</v>
      </c>
      <c r="D970" s="508">
        <v>10288</v>
      </c>
      <c r="E970" s="507" t="s">
        <v>331</v>
      </c>
    </row>
    <row r="971" spans="1:5" ht="15" x14ac:dyDescent="0.3">
      <c r="A971" s="506">
        <v>8174</v>
      </c>
      <c r="B971" s="507" t="s">
        <v>4348</v>
      </c>
      <c r="C971" s="506" t="s">
        <v>32</v>
      </c>
      <c r="D971" s="508">
        <v>14068</v>
      </c>
      <c r="E971" s="507" t="s">
        <v>331</v>
      </c>
    </row>
    <row r="972" spans="1:5" ht="15" x14ac:dyDescent="0.3">
      <c r="A972" s="506">
        <v>8175</v>
      </c>
      <c r="B972" s="507" t="s">
        <v>4349</v>
      </c>
      <c r="C972" s="506" t="s">
        <v>32</v>
      </c>
      <c r="D972" s="508">
        <v>10702</v>
      </c>
      <c r="E972" s="507" t="s">
        <v>331</v>
      </c>
    </row>
    <row r="973" spans="1:5" ht="15" x14ac:dyDescent="0.3">
      <c r="A973" s="506">
        <v>8177</v>
      </c>
      <c r="B973" s="507" t="s">
        <v>4350</v>
      </c>
      <c r="C973" s="506" t="s">
        <v>32</v>
      </c>
      <c r="D973" s="508">
        <v>5701</v>
      </c>
      <c r="E973" s="507" t="s">
        <v>331</v>
      </c>
    </row>
    <row r="974" spans="1:5" ht="15" x14ac:dyDescent="0.3">
      <c r="A974" s="506">
        <v>8178</v>
      </c>
      <c r="B974" s="507" t="s">
        <v>4351</v>
      </c>
      <c r="C974" s="506" t="s">
        <v>32</v>
      </c>
      <c r="D974" s="508">
        <v>2969</v>
      </c>
      <c r="E974" s="507" t="s">
        <v>331</v>
      </c>
    </row>
    <row r="975" spans="1:5" ht="15" x14ac:dyDescent="0.3">
      <c r="A975" s="506">
        <v>8179</v>
      </c>
      <c r="B975" s="507" t="s">
        <v>4352</v>
      </c>
      <c r="C975" s="506" t="s">
        <v>32</v>
      </c>
      <c r="D975" s="508">
        <v>10643</v>
      </c>
      <c r="E975" s="507" t="s">
        <v>331</v>
      </c>
    </row>
    <row r="976" spans="1:5" ht="15" x14ac:dyDescent="0.3">
      <c r="A976" s="506">
        <v>8180</v>
      </c>
      <c r="B976" s="507" t="s">
        <v>4353</v>
      </c>
      <c r="C976" s="506" t="s">
        <v>32</v>
      </c>
      <c r="D976" s="508">
        <v>5421</v>
      </c>
      <c r="E976" s="507" t="s">
        <v>331</v>
      </c>
    </row>
    <row r="977" spans="1:5" ht="15" x14ac:dyDescent="0.3">
      <c r="A977" s="506">
        <v>8181</v>
      </c>
      <c r="B977" s="507" t="s">
        <v>4354</v>
      </c>
      <c r="C977" s="506" t="s">
        <v>32</v>
      </c>
      <c r="D977" s="508">
        <v>3512</v>
      </c>
      <c r="E977" s="507" t="s">
        <v>331</v>
      </c>
    </row>
    <row r="978" spans="1:5" ht="15" x14ac:dyDescent="0.3">
      <c r="A978" s="506">
        <v>8182</v>
      </c>
      <c r="B978" s="507" t="s">
        <v>4355</v>
      </c>
      <c r="C978" s="506" t="s">
        <v>32</v>
      </c>
      <c r="D978" s="508">
        <v>1829</v>
      </c>
      <c r="E978" s="507" t="s">
        <v>331</v>
      </c>
    </row>
    <row r="979" spans="1:5" ht="15" x14ac:dyDescent="0.3">
      <c r="A979" s="506">
        <v>8183</v>
      </c>
      <c r="B979" s="507" t="s">
        <v>4356</v>
      </c>
      <c r="C979" s="506" t="s">
        <v>32</v>
      </c>
      <c r="D979" s="508">
        <v>919</v>
      </c>
      <c r="E979" s="507" t="s">
        <v>331</v>
      </c>
    </row>
    <row r="980" spans="1:5" ht="15" x14ac:dyDescent="0.3">
      <c r="A980" s="506">
        <v>8185</v>
      </c>
      <c r="B980" s="507" t="s">
        <v>4357</v>
      </c>
      <c r="C980" s="506" t="s">
        <v>32</v>
      </c>
      <c r="D980" s="508">
        <v>27562</v>
      </c>
      <c r="E980" s="507" t="s">
        <v>331</v>
      </c>
    </row>
    <row r="981" spans="1:5" ht="15" x14ac:dyDescent="0.3">
      <c r="A981" s="506">
        <v>8186</v>
      </c>
      <c r="B981" s="507" t="s">
        <v>4358</v>
      </c>
      <c r="C981" s="506" t="s">
        <v>32</v>
      </c>
      <c r="D981" s="508">
        <v>36961</v>
      </c>
      <c r="E981" s="507" t="s">
        <v>331</v>
      </c>
    </row>
    <row r="982" spans="1:5" ht="15" x14ac:dyDescent="0.3">
      <c r="A982" s="506">
        <v>8187</v>
      </c>
      <c r="B982" s="507" t="s">
        <v>4359</v>
      </c>
      <c r="C982" s="506" t="s">
        <v>32</v>
      </c>
      <c r="D982" s="508">
        <v>4767</v>
      </c>
      <c r="E982" s="507" t="s">
        <v>331</v>
      </c>
    </row>
    <row r="983" spans="1:5" ht="15" x14ac:dyDescent="0.3">
      <c r="A983" s="506">
        <v>8188</v>
      </c>
      <c r="B983" s="507" t="s">
        <v>4360</v>
      </c>
      <c r="C983" s="506" t="s">
        <v>32</v>
      </c>
      <c r="D983" s="508">
        <v>4125</v>
      </c>
      <c r="E983" s="507" t="s">
        <v>331</v>
      </c>
    </row>
    <row r="984" spans="1:5" ht="15" x14ac:dyDescent="0.3">
      <c r="A984" s="506">
        <v>8189</v>
      </c>
      <c r="B984" s="507" t="s">
        <v>4361</v>
      </c>
      <c r="C984" s="506" t="s">
        <v>32</v>
      </c>
      <c r="D984" s="508">
        <v>1805</v>
      </c>
      <c r="E984" s="507" t="s">
        <v>331</v>
      </c>
    </row>
    <row r="985" spans="1:5" ht="15" x14ac:dyDescent="0.3">
      <c r="A985" s="506">
        <v>8190</v>
      </c>
      <c r="B985" s="507" t="s">
        <v>4362</v>
      </c>
      <c r="C985" s="506" t="s">
        <v>32</v>
      </c>
      <c r="D985" s="508">
        <v>1568</v>
      </c>
      <c r="E985" s="507" t="s">
        <v>331</v>
      </c>
    </row>
    <row r="986" spans="1:5" ht="15" x14ac:dyDescent="0.3">
      <c r="A986" s="506">
        <v>8191</v>
      </c>
      <c r="B986" s="507" t="s">
        <v>4363</v>
      </c>
      <c r="C986" s="506" t="s">
        <v>328</v>
      </c>
      <c r="D986" s="508">
        <v>4085</v>
      </c>
      <c r="E986" s="507" t="s">
        <v>331</v>
      </c>
    </row>
    <row r="987" spans="1:5" ht="15" x14ac:dyDescent="0.3">
      <c r="A987" s="506">
        <v>8192</v>
      </c>
      <c r="B987" s="507" t="s">
        <v>4364</v>
      </c>
      <c r="C987" s="506" t="s">
        <v>32</v>
      </c>
      <c r="D987" s="508">
        <v>1253</v>
      </c>
      <c r="E987" s="507" t="s">
        <v>331</v>
      </c>
    </row>
    <row r="988" spans="1:5" ht="15" x14ac:dyDescent="0.3">
      <c r="A988" s="506">
        <v>8193</v>
      </c>
      <c r="B988" s="507" t="s">
        <v>4365</v>
      </c>
      <c r="C988" s="506" t="s">
        <v>32</v>
      </c>
      <c r="D988" s="508">
        <v>532</v>
      </c>
      <c r="E988" s="507" t="s">
        <v>331</v>
      </c>
    </row>
    <row r="989" spans="1:5" ht="15" x14ac:dyDescent="0.3">
      <c r="A989" s="506">
        <v>8195</v>
      </c>
      <c r="B989" s="507" t="s">
        <v>4366</v>
      </c>
      <c r="C989" s="506" t="s">
        <v>328</v>
      </c>
      <c r="D989" s="508">
        <v>21932</v>
      </c>
      <c r="E989" s="507" t="s">
        <v>6108</v>
      </c>
    </row>
    <row r="990" spans="1:5" ht="15" x14ac:dyDescent="0.3">
      <c r="A990" s="506">
        <v>8199</v>
      </c>
      <c r="B990" s="507" t="s">
        <v>4367</v>
      </c>
      <c r="C990" s="506" t="s">
        <v>328</v>
      </c>
      <c r="D990" s="508">
        <v>14624</v>
      </c>
      <c r="E990" s="507" t="s">
        <v>6108</v>
      </c>
    </row>
    <row r="991" spans="1:5" ht="15" x14ac:dyDescent="0.3">
      <c r="A991" s="506">
        <v>8202</v>
      </c>
      <c r="B991" s="507" t="s">
        <v>4368</v>
      </c>
      <c r="C991" s="506" t="s">
        <v>32</v>
      </c>
      <c r="D991" s="508">
        <v>232250</v>
      </c>
      <c r="E991" s="507" t="s">
        <v>6108</v>
      </c>
    </row>
    <row r="992" spans="1:5" ht="15" x14ac:dyDescent="0.3">
      <c r="A992" s="506">
        <v>8203</v>
      </c>
      <c r="B992" s="507" t="s">
        <v>4369</v>
      </c>
      <c r="C992" s="506" t="s">
        <v>32</v>
      </c>
      <c r="D992" s="508">
        <v>14700</v>
      </c>
      <c r="E992" s="507" t="s">
        <v>6108</v>
      </c>
    </row>
    <row r="993" spans="1:5" ht="15" x14ac:dyDescent="0.3">
      <c r="A993" s="506">
        <v>8204</v>
      </c>
      <c r="B993" s="507" t="s">
        <v>4370</v>
      </c>
      <c r="C993" s="506" t="s">
        <v>32</v>
      </c>
      <c r="D993" s="508">
        <v>33450</v>
      </c>
      <c r="E993" s="507" t="s">
        <v>6108</v>
      </c>
    </row>
    <row r="994" spans="1:5" ht="15" x14ac:dyDescent="0.3">
      <c r="A994" s="506">
        <v>8205</v>
      </c>
      <c r="B994" s="507" t="s">
        <v>4371</v>
      </c>
      <c r="C994" s="506" t="s">
        <v>4372</v>
      </c>
      <c r="D994" s="508">
        <v>167</v>
      </c>
      <c r="E994" s="507" t="s">
        <v>6108</v>
      </c>
    </row>
    <row r="995" spans="1:5" ht="15" x14ac:dyDescent="0.3">
      <c r="A995" s="506">
        <v>8206</v>
      </c>
      <c r="B995" s="507" t="s">
        <v>4373</v>
      </c>
      <c r="C995" s="506" t="s">
        <v>328</v>
      </c>
      <c r="D995" s="508">
        <v>38900</v>
      </c>
      <c r="E995" s="507" t="s">
        <v>6108</v>
      </c>
    </row>
    <row r="996" spans="1:5" ht="15" x14ac:dyDescent="0.3">
      <c r="A996" s="506">
        <v>8207</v>
      </c>
      <c r="B996" s="507" t="s">
        <v>4374</v>
      </c>
      <c r="C996" s="506" t="s">
        <v>328</v>
      </c>
      <c r="D996" s="508">
        <v>21932</v>
      </c>
      <c r="E996" s="507" t="s">
        <v>6108</v>
      </c>
    </row>
    <row r="997" spans="1:5" ht="15" x14ac:dyDescent="0.3">
      <c r="A997" s="506">
        <v>8208</v>
      </c>
      <c r="B997" s="507" t="s">
        <v>4375</v>
      </c>
      <c r="C997" s="506" t="s">
        <v>328</v>
      </c>
      <c r="D997" s="508">
        <v>50073</v>
      </c>
      <c r="E997" s="507" t="s">
        <v>6108</v>
      </c>
    </row>
    <row r="998" spans="1:5" ht="15" x14ac:dyDescent="0.3">
      <c r="A998" s="506">
        <v>8209</v>
      </c>
      <c r="B998" s="507" t="s">
        <v>4376</v>
      </c>
      <c r="C998" s="506" t="s">
        <v>32</v>
      </c>
      <c r="D998" s="508">
        <v>1350</v>
      </c>
      <c r="E998" s="507" t="s">
        <v>6108</v>
      </c>
    </row>
    <row r="999" spans="1:5" ht="15" x14ac:dyDescent="0.3">
      <c r="A999" s="506">
        <v>8210</v>
      </c>
      <c r="B999" s="507" t="s">
        <v>4377</v>
      </c>
      <c r="C999" s="506" t="s">
        <v>328</v>
      </c>
      <c r="D999" s="508">
        <v>9145</v>
      </c>
      <c r="E999" s="507" t="s">
        <v>6108</v>
      </c>
    </row>
    <row r="1000" spans="1:5" ht="15" x14ac:dyDescent="0.3">
      <c r="A1000" s="506">
        <v>8211</v>
      </c>
      <c r="B1000" s="507" t="s">
        <v>4378</v>
      </c>
      <c r="C1000" s="506" t="s">
        <v>328</v>
      </c>
      <c r="D1000" s="508">
        <v>5775</v>
      </c>
      <c r="E1000" s="507" t="s">
        <v>6108</v>
      </c>
    </row>
    <row r="1001" spans="1:5" ht="15" x14ac:dyDescent="0.3">
      <c r="A1001" s="506">
        <v>8212</v>
      </c>
      <c r="B1001" s="507" t="s">
        <v>4379</v>
      </c>
      <c r="C1001" s="506" t="s">
        <v>328</v>
      </c>
      <c r="D1001" s="508">
        <v>17732</v>
      </c>
      <c r="E1001" s="507" t="s">
        <v>6108</v>
      </c>
    </row>
    <row r="1002" spans="1:5" ht="15" x14ac:dyDescent="0.3">
      <c r="A1002" s="506">
        <v>8213</v>
      </c>
      <c r="B1002" s="507" t="s">
        <v>4380</v>
      </c>
      <c r="C1002" s="506" t="s">
        <v>32</v>
      </c>
      <c r="D1002" s="508">
        <v>450</v>
      </c>
      <c r="E1002" s="507" t="s">
        <v>6108</v>
      </c>
    </row>
    <row r="1003" spans="1:5" ht="15" x14ac:dyDescent="0.3">
      <c r="A1003" s="506">
        <v>8216</v>
      </c>
      <c r="B1003" s="507" t="s">
        <v>4381</v>
      </c>
      <c r="C1003" s="506" t="s">
        <v>32</v>
      </c>
      <c r="D1003" s="508">
        <v>11250</v>
      </c>
      <c r="E1003" s="507" t="s">
        <v>6108</v>
      </c>
    </row>
    <row r="1004" spans="1:5" ht="15" x14ac:dyDescent="0.3">
      <c r="A1004" s="506">
        <v>8217</v>
      </c>
      <c r="B1004" s="507" t="s">
        <v>4382</v>
      </c>
      <c r="C1004" s="506" t="s">
        <v>32</v>
      </c>
      <c r="D1004" s="508">
        <v>1428</v>
      </c>
      <c r="E1004" s="507" t="s">
        <v>6108</v>
      </c>
    </row>
    <row r="1005" spans="1:5" ht="15" x14ac:dyDescent="0.3">
      <c r="A1005" s="506">
        <v>8218</v>
      </c>
      <c r="B1005" s="507" t="s">
        <v>4383</v>
      </c>
      <c r="C1005" s="506" t="s">
        <v>328</v>
      </c>
      <c r="D1005" s="508">
        <v>1583</v>
      </c>
      <c r="E1005" s="507" t="s">
        <v>6108</v>
      </c>
    </row>
    <row r="1006" spans="1:5" ht="15" x14ac:dyDescent="0.3">
      <c r="A1006" s="506">
        <v>8219</v>
      </c>
      <c r="B1006" s="507" t="s">
        <v>4384</v>
      </c>
      <c r="C1006" s="506" t="s">
        <v>32</v>
      </c>
      <c r="D1006" s="508">
        <v>28875</v>
      </c>
      <c r="E1006" s="507" t="s">
        <v>6108</v>
      </c>
    </row>
    <row r="1007" spans="1:5" ht="15" x14ac:dyDescent="0.3">
      <c r="A1007" s="506">
        <v>8221</v>
      </c>
      <c r="B1007" s="507" t="s">
        <v>4385</v>
      </c>
      <c r="C1007" s="506" t="s">
        <v>328</v>
      </c>
      <c r="D1007" s="508">
        <v>2500</v>
      </c>
      <c r="E1007" s="507" t="s">
        <v>6108</v>
      </c>
    </row>
    <row r="1008" spans="1:5" ht="15" x14ac:dyDescent="0.3">
      <c r="A1008" s="506">
        <v>8222</v>
      </c>
      <c r="B1008" s="507" t="s">
        <v>4386</v>
      </c>
      <c r="C1008" s="506" t="s">
        <v>32</v>
      </c>
      <c r="D1008" s="508">
        <v>42007</v>
      </c>
      <c r="E1008" s="507" t="s">
        <v>6108</v>
      </c>
    </row>
    <row r="1009" spans="1:5" ht="15" x14ac:dyDescent="0.3">
      <c r="A1009" s="506">
        <v>8223</v>
      </c>
      <c r="B1009" s="507" t="s">
        <v>4387</v>
      </c>
      <c r="C1009" s="506" t="s">
        <v>32</v>
      </c>
      <c r="D1009" s="508">
        <v>17751</v>
      </c>
      <c r="E1009" s="507" t="s">
        <v>6108</v>
      </c>
    </row>
    <row r="1010" spans="1:5" ht="15" x14ac:dyDescent="0.3">
      <c r="A1010" s="506">
        <v>8224</v>
      </c>
      <c r="B1010" s="507" t="s">
        <v>4388</v>
      </c>
      <c r="C1010" s="506" t="s">
        <v>32</v>
      </c>
      <c r="D1010" s="508">
        <v>9500</v>
      </c>
      <c r="E1010" s="507" t="s">
        <v>6108</v>
      </c>
    </row>
    <row r="1011" spans="1:5" ht="15" x14ac:dyDescent="0.3">
      <c r="A1011" s="506">
        <v>8225</v>
      </c>
      <c r="B1011" s="507" t="s">
        <v>4389</v>
      </c>
      <c r="C1011" s="506" t="s">
        <v>32</v>
      </c>
      <c r="D1011" s="508">
        <v>7350</v>
      </c>
      <c r="E1011" s="507" t="s">
        <v>6108</v>
      </c>
    </row>
    <row r="1012" spans="1:5" ht="15" x14ac:dyDescent="0.3">
      <c r="A1012" s="506">
        <v>8227</v>
      </c>
      <c r="B1012" s="507" t="s">
        <v>4390</v>
      </c>
      <c r="C1012" s="506" t="s">
        <v>32</v>
      </c>
      <c r="D1012" s="508">
        <v>1290</v>
      </c>
      <c r="E1012" s="507" t="s">
        <v>6108</v>
      </c>
    </row>
    <row r="1013" spans="1:5" ht="15" x14ac:dyDescent="0.3">
      <c r="A1013" s="506">
        <v>8228</v>
      </c>
      <c r="B1013" s="507" t="s">
        <v>6273</v>
      </c>
      <c r="C1013" s="506" t="s">
        <v>328</v>
      </c>
      <c r="D1013" s="508">
        <v>61285</v>
      </c>
      <c r="E1013" s="507" t="s">
        <v>6108</v>
      </c>
    </row>
    <row r="1014" spans="1:5" ht="15" x14ac:dyDescent="0.3">
      <c r="A1014" s="506">
        <v>8229</v>
      </c>
      <c r="B1014" s="507" t="s">
        <v>4391</v>
      </c>
      <c r="C1014" s="506" t="s">
        <v>32</v>
      </c>
      <c r="D1014" s="508">
        <v>400</v>
      </c>
      <c r="E1014" s="507" t="s">
        <v>6108</v>
      </c>
    </row>
    <row r="1015" spans="1:5" ht="15" x14ac:dyDescent="0.3">
      <c r="A1015" s="506">
        <v>8230</v>
      </c>
      <c r="B1015" s="507" t="s">
        <v>6274</v>
      </c>
      <c r="C1015" s="506" t="s">
        <v>328</v>
      </c>
      <c r="D1015" s="508">
        <v>18056</v>
      </c>
      <c r="E1015" s="507" t="s">
        <v>6108</v>
      </c>
    </row>
    <row r="1016" spans="1:5" ht="15" x14ac:dyDescent="0.3">
      <c r="A1016" s="506">
        <v>8231</v>
      </c>
      <c r="B1016" s="507" t="s">
        <v>4392</v>
      </c>
      <c r="C1016" s="506" t="s">
        <v>32</v>
      </c>
      <c r="D1016" s="508">
        <v>3689</v>
      </c>
      <c r="E1016" s="507" t="s">
        <v>6108</v>
      </c>
    </row>
    <row r="1017" spans="1:5" ht="15" x14ac:dyDescent="0.3">
      <c r="A1017" s="506">
        <v>8232</v>
      </c>
      <c r="B1017" s="507" t="s">
        <v>4393</v>
      </c>
      <c r="C1017" s="506" t="s">
        <v>328</v>
      </c>
      <c r="D1017" s="508">
        <v>12530</v>
      </c>
      <c r="E1017" s="507" t="s">
        <v>6108</v>
      </c>
    </row>
    <row r="1018" spans="1:5" ht="15" x14ac:dyDescent="0.3">
      <c r="A1018" s="506">
        <v>8233</v>
      </c>
      <c r="B1018" s="507" t="s">
        <v>4394</v>
      </c>
      <c r="C1018" s="506" t="s">
        <v>32</v>
      </c>
      <c r="D1018" s="508">
        <v>13000</v>
      </c>
      <c r="E1018" s="507" t="s">
        <v>6108</v>
      </c>
    </row>
    <row r="1019" spans="1:5" ht="15" x14ac:dyDescent="0.3">
      <c r="A1019" s="506">
        <v>8235</v>
      </c>
      <c r="B1019" s="507" t="s">
        <v>4395</v>
      </c>
      <c r="C1019" s="506" t="s">
        <v>32</v>
      </c>
      <c r="D1019" s="508">
        <v>12000</v>
      </c>
      <c r="E1019" s="507" t="s">
        <v>6108</v>
      </c>
    </row>
    <row r="1020" spans="1:5" ht="15" x14ac:dyDescent="0.3">
      <c r="A1020" s="506">
        <v>8244</v>
      </c>
      <c r="B1020" s="507" t="s">
        <v>4396</v>
      </c>
      <c r="C1020" s="506" t="s">
        <v>32</v>
      </c>
      <c r="D1020" s="508">
        <v>431291</v>
      </c>
      <c r="E1020" s="507" t="s">
        <v>6108</v>
      </c>
    </row>
    <row r="1021" spans="1:5" ht="15" x14ac:dyDescent="0.3">
      <c r="A1021" s="506">
        <v>8245</v>
      </c>
      <c r="B1021" s="507" t="s">
        <v>4397</v>
      </c>
      <c r="C1021" s="506" t="s">
        <v>32</v>
      </c>
      <c r="D1021" s="508">
        <v>1097758</v>
      </c>
      <c r="E1021" s="507" t="s">
        <v>6108</v>
      </c>
    </row>
    <row r="1022" spans="1:5" ht="15" x14ac:dyDescent="0.3">
      <c r="A1022" s="506">
        <v>8246</v>
      </c>
      <c r="B1022" s="507" t="s">
        <v>4398</v>
      </c>
      <c r="C1022" s="506" t="s">
        <v>32</v>
      </c>
      <c r="D1022" s="508">
        <v>360679</v>
      </c>
      <c r="E1022" s="507" t="s">
        <v>6108</v>
      </c>
    </row>
    <row r="1023" spans="1:5" ht="15" x14ac:dyDescent="0.3">
      <c r="A1023" s="506">
        <v>8247</v>
      </c>
      <c r="B1023" s="507" t="s">
        <v>4399</v>
      </c>
      <c r="C1023" s="506" t="s">
        <v>32</v>
      </c>
      <c r="D1023" s="508">
        <v>82038</v>
      </c>
      <c r="E1023" s="507" t="s">
        <v>6108</v>
      </c>
    </row>
    <row r="1024" spans="1:5" ht="15" x14ac:dyDescent="0.3">
      <c r="A1024" s="506">
        <v>8248</v>
      </c>
      <c r="B1024" s="507" t="s">
        <v>4400</v>
      </c>
      <c r="C1024" s="506" t="s">
        <v>32</v>
      </c>
      <c r="D1024" s="508">
        <v>281922</v>
      </c>
      <c r="E1024" s="507" t="s">
        <v>6108</v>
      </c>
    </row>
    <row r="1025" spans="1:5" ht="15" x14ac:dyDescent="0.3">
      <c r="A1025" s="506">
        <v>8249</v>
      </c>
      <c r="B1025" s="507" t="s">
        <v>4401</v>
      </c>
      <c r="C1025" s="506" t="s">
        <v>32</v>
      </c>
      <c r="D1025" s="508">
        <v>558820</v>
      </c>
      <c r="E1025" s="507" t="s">
        <v>6108</v>
      </c>
    </row>
    <row r="1026" spans="1:5" ht="15" x14ac:dyDescent="0.3">
      <c r="A1026" s="506">
        <v>8250</v>
      </c>
      <c r="B1026" s="507" t="s">
        <v>4402</v>
      </c>
      <c r="C1026" s="506" t="s">
        <v>32</v>
      </c>
      <c r="D1026" s="508">
        <v>451138</v>
      </c>
      <c r="E1026" s="507" t="s">
        <v>6108</v>
      </c>
    </row>
    <row r="1027" spans="1:5" ht="15" x14ac:dyDescent="0.3">
      <c r="A1027" s="506">
        <v>8253</v>
      </c>
      <c r="B1027" s="507" t="s">
        <v>4403</v>
      </c>
      <c r="C1027" s="506" t="s">
        <v>3579</v>
      </c>
      <c r="D1027" s="508">
        <v>206900</v>
      </c>
      <c r="E1027" s="507" t="s">
        <v>6108</v>
      </c>
    </row>
    <row r="1028" spans="1:5" ht="15" x14ac:dyDescent="0.3">
      <c r="A1028" s="506">
        <v>8254</v>
      </c>
      <c r="B1028" s="507" t="s">
        <v>4404</v>
      </c>
      <c r="C1028" s="506" t="s">
        <v>670</v>
      </c>
      <c r="D1028" s="508">
        <v>18850</v>
      </c>
      <c r="E1028" s="507" t="s">
        <v>6108</v>
      </c>
    </row>
    <row r="1029" spans="1:5" ht="15" x14ac:dyDescent="0.3">
      <c r="A1029" s="506">
        <v>8256</v>
      </c>
      <c r="B1029" s="507" t="s">
        <v>4405</v>
      </c>
      <c r="C1029" s="506" t="s">
        <v>692</v>
      </c>
      <c r="D1029" s="508">
        <v>121212</v>
      </c>
      <c r="E1029" s="507" t="s">
        <v>6109</v>
      </c>
    </row>
    <row r="1030" spans="1:5" ht="15" x14ac:dyDescent="0.3">
      <c r="A1030" s="506">
        <v>8258</v>
      </c>
      <c r="B1030" s="507" t="s">
        <v>4406</v>
      </c>
      <c r="C1030" s="506" t="s">
        <v>3582</v>
      </c>
      <c r="D1030" s="508">
        <v>44498</v>
      </c>
      <c r="E1030" s="507" t="s">
        <v>6108</v>
      </c>
    </row>
    <row r="1031" spans="1:5" ht="15" x14ac:dyDescent="0.3">
      <c r="A1031" s="506">
        <v>8259</v>
      </c>
      <c r="B1031" s="507" t="s">
        <v>4407</v>
      </c>
      <c r="C1031" s="506" t="s">
        <v>328</v>
      </c>
      <c r="D1031" s="508">
        <v>19203</v>
      </c>
      <c r="E1031" s="507" t="s">
        <v>331</v>
      </c>
    </row>
    <row r="1032" spans="1:5" ht="15" x14ac:dyDescent="0.3">
      <c r="A1032" s="506">
        <v>8260</v>
      </c>
      <c r="B1032" s="507" t="s">
        <v>4408</v>
      </c>
      <c r="C1032" s="506" t="s">
        <v>328</v>
      </c>
      <c r="D1032" s="508">
        <v>5474</v>
      </c>
      <c r="E1032" s="507" t="s">
        <v>331</v>
      </c>
    </row>
    <row r="1033" spans="1:5" ht="15" x14ac:dyDescent="0.3">
      <c r="A1033" s="506">
        <v>8262</v>
      </c>
      <c r="B1033" s="507" t="s">
        <v>4409</v>
      </c>
      <c r="C1033" s="506" t="s">
        <v>3579</v>
      </c>
      <c r="D1033" s="508">
        <v>116996</v>
      </c>
      <c r="E1033" s="507" t="s">
        <v>6108</v>
      </c>
    </row>
    <row r="1034" spans="1:5" ht="15" x14ac:dyDescent="0.3">
      <c r="A1034" s="506">
        <v>8270</v>
      </c>
      <c r="B1034" s="507" t="s">
        <v>4410</v>
      </c>
      <c r="C1034" s="506" t="s">
        <v>328</v>
      </c>
      <c r="D1034" s="508">
        <v>8246</v>
      </c>
      <c r="E1034" s="507" t="s">
        <v>6108</v>
      </c>
    </row>
    <row r="1035" spans="1:5" ht="15" x14ac:dyDescent="0.3">
      <c r="A1035" s="506">
        <v>8271</v>
      </c>
      <c r="B1035" s="507" t="s">
        <v>4411</v>
      </c>
      <c r="C1035" s="506" t="s">
        <v>21</v>
      </c>
      <c r="D1035" s="508">
        <v>11484</v>
      </c>
      <c r="E1035" s="507" t="s">
        <v>6108</v>
      </c>
    </row>
    <row r="1036" spans="1:5" ht="15" x14ac:dyDescent="0.3">
      <c r="A1036" s="506">
        <v>8276</v>
      </c>
      <c r="B1036" s="507" t="s">
        <v>4412</v>
      </c>
      <c r="C1036" s="506" t="s">
        <v>32</v>
      </c>
      <c r="D1036" s="508">
        <v>87406</v>
      </c>
      <c r="E1036" s="507" t="s">
        <v>6108</v>
      </c>
    </row>
    <row r="1037" spans="1:5" ht="15" x14ac:dyDescent="0.3">
      <c r="A1037" s="506">
        <v>8277</v>
      </c>
      <c r="B1037" s="507" t="s">
        <v>4413</v>
      </c>
      <c r="C1037" s="506" t="s">
        <v>32</v>
      </c>
      <c r="D1037" s="508">
        <v>25158</v>
      </c>
      <c r="E1037" s="507" t="s">
        <v>6108</v>
      </c>
    </row>
    <row r="1038" spans="1:5" ht="15" x14ac:dyDescent="0.3">
      <c r="A1038" s="506">
        <v>8278</v>
      </c>
      <c r="B1038" s="507" t="s">
        <v>6275</v>
      </c>
      <c r="C1038" s="506" t="s">
        <v>32</v>
      </c>
      <c r="D1038" s="508">
        <v>20171</v>
      </c>
      <c r="E1038" s="507" t="s">
        <v>6108</v>
      </c>
    </row>
    <row r="1039" spans="1:5" ht="15" x14ac:dyDescent="0.3">
      <c r="A1039" s="506">
        <v>8294</v>
      </c>
      <c r="B1039" s="507" t="s">
        <v>4414</v>
      </c>
      <c r="C1039" s="506" t="s">
        <v>32</v>
      </c>
      <c r="D1039" s="508">
        <v>29884</v>
      </c>
      <c r="E1039" s="507" t="s">
        <v>331</v>
      </c>
    </row>
    <row r="1040" spans="1:5" ht="15" x14ac:dyDescent="0.3">
      <c r="A1040" s="506">
        <v>8295</v>
      </c>
      <c r="B1040" s="507" t="s">
        <v>4415</v>
      </c>
      <c r="C1040" s="506" t="s">
        <v>32</v>
      </c>
      <c r="D1040" s="508">
        <v>37988</v>
      </c>
      <c r="E1040" s="507" t="s">
        <v>331</v>
      </c>
    </row>
    <row r="1041" spans="1:5" ht="15" x14ac:dyDescent="0.3">
      <c r="A1041" s="506">
        <v>8297</v>
      </c>
      <c r="B1041" s="507" t="s">
        <v>6276</v>
      </c>
      <c r="C1041" s="506" t="s">
        <v>3582</v>
      </c>
      <c r="D1041" s="508">
        <v>292000</v>
      </c>
      <c r="E1041" s="507" t="s">
        <v>6109</v>
      </c>
    </row>
    <row r="1042" spans="1:5" ht="15" x14ac:dyDescent="0.3">
      <c r="A1042" s="506">
        <v>8298</v>
      </c>
      <c r="B1042" s="507" t="s">
        <v>4416</v>
      </c>
      <c r="C1042" s="506" t="s">
        <v>979</v>
      </c>
      <c r="D1042" s="508">
        <v>112533</v>
      </c>
      <c r="E1042" s="507" t="s">
        <v>331</v>
      </c>
    </row>
    <row r="1043" spans="1:5" ht="15" x14ac:dyDescent="0.3">
      <c r="A1043" s="506">
        <v>8299</v>
      </c>
      <c r="B1043" s="507" t="s">
        <v>4417</v>
      </c>
      <c r="C1043" s="506" t="s">
        <v>692</v>
      </c>
      <c r="D1043" s="508">
        <v>131508</v>
      </c>
      <c r="E1043" s="507" t="s">
        <v>6109</v>
      </c>
    </row>
    <row r="1044" spans="1:5" ht="15" x14ac:dyDescent="0.3">
      <c r="A1044" s="506">
        <v>8300</v>
      </c>
      <c r="B1044" s="507" t="s">
        <v>4418</v>
      </c>
      <c r="C1044" s="506" t="s">
        <v>692</v>
      </c>
      <c r="D1044" s="508">
        <v>163636</v>
      </c>
      <c r="E1044" s="507" t="s">
        <v>6109</v>
      </c>
    </row>
    <row r="1045" spans="1:5" ht="15" x14ac:dyDescent="0.3">
      <c r="A1045" s="506">
        <v>8302</v>
      </c>
      <c r="B1045" s="507" t="s">
        <v>4419</v>
      </c>
      <c r="C1045" s="506" t="s">
        <v>32</v>
      </c>
      <c r="D1045" s="508">
        <v>26165</v>
      </c>
      <c r="E1045" s="507" t="s">
        <v>6108</v>
      </c>
    </row>
    <row r="1046" spans="1:5" ht="15" x14ac:dyDescent="0.3">
      <c r="A1046" s="506">
        <v>8303</v>
      </c>
      <c r="B1046" s="507" t="s">
        <v>4420</v>
      </c>
      <c r="C1046" s="506" t="s">
        <v>32</v>
      </c>
      <c r="D1046" s="508">
        <v>52920</v>
      </c>
      <c r="E1046" s="507" t="s">
        <v>6108</v>
      </c>
    </row>
    <row r="1047" spans="1:5" ht="15" x14ac:dyDescent="0.3">
      <c r="A1047" s="506">
        <v>8304</v>
      </c>
      <c r="B1047" s="507" t="s">
        <v>4421</v>
      </c>
      <c r="C1047" s="506" t="s">
        <v>254</v>
      </c>
      <c r="D1047" s="508">
        <v>2356200</v>
      </c>
      <c r="E1047" s="507" t="s">
        <v>6108</v>
      </c>
    </row>
    <row r="1048" spans="1:5" ht="15" x14ac:dyDescent="0.3">
      <c r="A1048" s="506">
        <v>8306</v>
      </c>
      <c r="B1048" s="507" t="s">
        <v>4422</v>
      </c>
      <c r="C1048" s="506" t="s">
        <v>32</v>
      </c>
      <c r="D1048" s="508">
        <v>150856</v>
      </c>
      <c r="E1048" s="507" t="s">
        <v>6108</v>
      </c>
    </row>
    <row r="1049" spans="1:5" ht="15" x14ac:dyDescent="0.3">
      <c r="A1049" s="506">
        <v>8313</v>
      </c>
      <c r="B1049" s="507" t="s">
        <v>4423</v>
      </c>
      <c r="C1049" s="506" t="s">
        <v>670</v>
      </c>
      <c r="D1049" s="508">
        <v>7444</v>
      </c>
      <c r="E1049" s="507" t="s">
        <v>6108</v>
      </c>
    </row>
    <row r="1050" spans="1:5" ht="15" x14ac:dyDescent="0.3">
      <c r="A1050" s="506">
        <v>8314</v>
      </c>
      <c r="B1050" s="507" t="s">
        <v>4424</v>
      </c>
      <c r="C1050" s="506" t="s">
        <v>670</v>
      </c>
      <c r="D1050" s="508">
        <v>28293</v>
      </c>
      <c r="E1050" s="507" t="s">
        <v>6108</v>
      </c>
    </row>
    <row r="1051" spans="1:5" ht="15" x14ac:dyDescent="0.3">
      <c r="A1051" s="506">
        <v>8319</v>
      </c>
      <c r="B1051" s="507" t="s">
        <v>4425</v>
      </c>
      <c r="C1051" s="506" t="s">
        <v>328</v>
      </c>
      <c r="D1051" s="508">
        <v>2591</v>
      </c>
      <c r="E1051" s="507" t="s">
        <v>6108</v>
      </c>
    </row>
    <row r="1052" spans="1:5" ht="15" x14ac:dyDescent="0.3">
      <c r="A1052" s="506">
        <v>8320</v>
      </c>
      <c r="B1052" s="507" t="s">
        <v>4426</v>
      </c>
      <c r="C1052" s="506" t="s">
        <v>254</v>
      </c>
      <c r="D1052" s="508">
        <v>3636357</v>
      </c>
      <c r="E1052" s="507" t="s">
        <v>6109</v>
      </c>
    </row>
    <row r="1053" spans="1:5" ht="15" x14ac:dyDescent="0.3">
      <c r="A1053" s="506">
        <v>8321</v>
      </c>
      <c r="B1053" s="507" t="s">
        <v>4427</v>
      </c>
      <c r="C1053" s="506" t="s">
        <v>692</v>
      </c>
      <c r="D1053" s="508">
        <v>121212</v>
      </c>
      <c r="E1053" s="507" t="s">
        <v>6109</v>
      </c>
    </row>
    <row r="1054" spans="1:5" ht="15" x14ac:dyDescent="0.3">
      <c r="A1054" s="506">
        <v>8322</v>
      </c>
      <c r="B1054" s="507" t="s">
        <v>4428</v>
      </c>
      <c r="C1054" s="506" t="s">
        <v>328</v>
      </c>
      <c r="D1054" s="508">
        <v>2579</v>
      </c>
      <c r="E1054" s="507" t="s">
        <v>6108</v>
      </c>
    </row>
    <row r="1055" spans="1:5" ht="15" x14ac:dyDescent="0.3">
      <c r="A1055" s="506">
        <v>8324</v>
      </c>
      <c r="B1055" s="507" t="s">
        <v>6277</v>
      </c>
      <c r="C1055" s="506" t="s">
        <v>3582</v>
      </c>
      <c r="D1055" s="508">
        <v>426525</v>
      </c>
      <c r="E1055" s="507" t="s">
        <v>6109</v>
      </c>
    </row>
    <row r="1056" spans="1:5" ht="15" x14ac:dyDescent="0.3">
      <c r="A1056" s="506">
        <v>8328</v>
      </c>
      <c r="B1056" s="507" t="s">
        <v>4429</v>
      </c>
      <c r="C1056" s="506" t="s">
        <v>3593</v>
      </c>
      <c r="D1056" s="508">
        <v>1034</v>
      </c>
      <c r="E1056" s="507" t="s">
        <v>3594</v>
      </c>
    </row>
    <row r="1057" spans="1:5" ht="15" x14ac:dyDescent="0.3">
      <c r="A1057" s="506">
        <v>8329</v>
      </c>
      <c r="B1057" s="507" t="s">
        <v>4430</v>
      </c>
      <c r="C1057" s="506" t="s">
        <v>328</v>
      </c>
      <c r="D1057" s="508">
        <v>8000</v>
      </c>
      <c r="E1057" s="507" t="s">
        <v>6108</v>
      </c>
    </row>
    <row r="1058" spans="1:5" ht="15" x14ac:dyDescent="0.3">
      <c r="A1058" s="506">
        <v>8330</v>
      </c>
      <c r="B1058" s="507" t="s">
        <v>4431</v>
      </c>
      <c r="C1058" s="506" t="s">
        <v>3579</v>
      </c>
      <c r="D1058" s="508">
        <v>248263</v>
      </c>
      <c r="E1058" s="507" t="s">
        <v>6108</v>
      </c>
    </row>
    <row r="1059" spans="1:5" ht="15" x14ac:dyDescent="0.3">
      <c r="A1059" s="506">
        <v>8331</v>
      </c>
      <c r="B1059" s="507" t="s">
        <v>4432</v>
      </c>
      <c r="C1059" s="506" t="s">
        <v>21</v>
      </c>
      <c r="D1059" s="508">
        <v>49465</v>
      </c>
      <c r="E1059" s="507" t="s">
        <v>6108</v>
      </c>
    </row>
    <row r="1060" spans="1:5" ht="15" x14ac:dyDescent="0.3">
      <c r="A1060" s="506">
        <v>8334</v>
      </c>
      <c r="B1060" s="507" t="s">
        <v>4433</v>
      </c>
      <c r="C1060" s="506" t="s">
        <v>328</v>
      </c>
      <c r="D1060" s="508">
        <v>9970</v>
      </c>
      <c r="E1060" s="507" t="s">
        <v>6108</v>
      </c>
    </row>
    <row r="1061" spans="1:5" ht="15" x14ac:dyDescent="0.3">
      <c r="A1061" s="506">
        <v>8340</v>
      </c>
      <c r="B1061" s="507" t="s">
        <v>4434</v>
      </c>
      <c r="C1061" s="506" t="s">
        <v>670</v>
      </c>
      <c r="D1061" s="508">
        <v>10702</v>
      </c>
      <c r="E1061" s="507" t="s">
        <v>331</v>
      </c>
    </row>
    <row r="1062" spans="1:5" ht="15" x14ac:dyDescent="0.3">
      <c r="A1062" s="506">
        <v>8357</v>
      </c>
      <c r="B1062" s="507" t="s">
        <v>4435</v>
      </c>
      <c r="C1062" s="506" t="s">
        <v>32</v>
      </c>
      <c r="D1062" s="508">
        <v>9230</v>
      </c>
      <c r="E1062" s="507" t="s">
        <v>6108</v>
      </c>
    </row>
    <row r="1063" spans="1:5" ht="15" x14ac:dyDescent="0.3">
      <c r="A1063" s="506">
        <v>8358</v>
      </c>
      <c r="B1063" s="507" t="s">
        <v>4436</v>
      </c>
      <c r="C1063" s="506" t="s">
        <v>32</v>
      </c>
      <c r="D1063" s="508">
        <v>221495</v>
      </c>
      <c r="E1063" s="507" t="s">
        <v>6108</v>
      </c>
    </row>
    <row r="1064" spans="1:5" ht="15" x14ac:dyDescent="0.3">
      <c r="A1064" s="506">
        <v>8359</v>
      </c>
      <c r="B1064" s="507" t="s">
        <v>4437</v>
      </c>
      <c r="C1064" s="506" t="s">
        <v>328</v>
      </c>
      <c r="D1064" s="508">
        <v>3069</v>
      </c>
      <c r="E1064" s="507" t="s">
        <v>331</v>
      </c>
    </row>
    <row r="1065" spans="1:5" ht="15" x14ac:dyDescent="0.3">
      <c r="A1065" s="506">
        <v>8362</v>
      </c>
      <c r="B1065" s="507" t="s">
        <v>4438</v>
      </c>
      <c r="C1065" s="506" t="s">
        <v>328</v>
      </c>
      <c r="D1065" s="508">
        <v>1915178</v>
      </c>
      <c r="E1065" s="507" t="s">
        <v>331</v>
      </c>
    </row>
    <row r="1066" spans="1:5" ht="15" x14ac:dyDescent="0.3">
      <c r="A1066" s="506">
        <v>8364</v>
      </c>
      <c r="B1066" s="507" t="s">
        <v>4439</v>
      </c>
      <c r="C1066" s="506" t="s">
        <v>4440</v>
      </c>
      <c r="D1066" s="508">
        <v>22211</v>
      </c>
      <c r="E1066" s="507" t="s">
        <v>6108</v>
      </c>
    </row>
    <row r="1067" spans="1:5" ht="15" x14ac:dyDescent="0.3">
      <c r="A1067" s="506">
        <v>8365</v>
      </c>
      <c r="B1067" s="507" t="s">
        <v>4441</v>
      </c>
      <c r="C1067" s="506" t="s">
        <v>4440</v>
      </c>
      <c r="D1067" s="508">
        <v>28560</v>
      </c>
      <c r="E1067" s="507" t="s">
        <v>6108</v>
      </c>
    </row>
    <row r="1068" spans="1:5" ht="15" x14ac:dyDescent="0.3">
      <c r="A1068" s="506">
        <v>8366</v>
      </c>
      <c r="B1068" s="507" t="s">
        <v>4442</v>
      </c>
      <c r="C1068" s="506" t="s">
        <v>4440</v>
      </c>
      <c r="D1068" s="508">
        <v>25163</v>
      </c>
      <c r="E1068" s="507" t="s">
        <v>6108</v>
      </c>
    </row>
    <row r="1069" spans="1:5" ht="15" x14ac:dyDescent="0.3">
      <c r="A1069" s="506">
        <v>8367</v>
      </c>
      <c r="B1069" s="507" t="s">
        <v>4443</v>
      </c>
      <c r="C1069" s="506" t="s">
        <v>4440</v>
      </c>
      <c r="D1069" s="508">
        <v>35700</v>
      </c>
      <c r="E1069" s="507" t="s">
        <v>6108</v>
      </c>
    </row>
    <row r="1070" spans="1:5" ht="15" x14ac:dyDescent="0.3">
      <c r="A1070" s="506">
        <v>8369</v>
      </c>
      <c r="B1070" s="507" t="s">
        <v>4444</v>
      </c>
      <c r="C1070" s="506" t="s">
        <v>4440</v>
      </c>
      <c r="D1070" s="508">
        <v>39270</v>
      </c>
      <c r="E1070" s="507" t="s">
        <v>6108</v>
      </c>
    </row>
    <row r="1071" spans="1:5" ht="15" x14ac:dyDescent="0.3">
      <c r="A1071" s="506">
        <v>8370</v>
      </c>
      <c r="B1071" s="507" t="s">
        <v>4445</v>
      </c>
      <c r="C1071" s="506" t="s">
        <v>4440</v>
      </c>
      <c r="D1071" s="508">
        <v>39270</v>
      </c>
      <c r="E1071" s="507" t="s">
        <v>6108</v>
      </c>
    </row>
    <row r="1072" spans="1:5" ht="15" x14ac:dyDescent="0.3">
      <c r="A1072" s="506">
        <v>8404</v>
      </c>
      <c r="B1072" s="507" t="s">
        <v>4446</v>
      </c>
      <c r="C1072" s="506" t="s">
        <v>3579</v>
      </c>
      <c r="D1072" s="508">
        <v>74333</v>
      </c>
      <c r="E1072" s="507" t="s">
        <v>6108</v>
      </c>
    </row>
    <row r="1073" spans="1:5" ht="15" x14ac:dyDescent="0.3">
      <c r="A1073" s="506">
        <v>8430</v>
      </c>
      <c r="B1073" s="507" t="s">
        <v>4447</v>
      </c>
      <c r="C1073" s="506" t="s">
        <v>32</v>
      </c>
      <c r="D1073" s="508">
        <v>101621427</v>
      </c>
      <c r="E1073" s="507" t="s">
        <v>6108</v>
      </c>
    </row>
    <row r="1074" spans="1:5" ht="15" x14ac:dyDescent="0.3">
      <c r="A1074" s="506">
        <v>8431</v>
      </c>
      <c r="B1074" s="507" t="s">
        <v>4448</v>
      </c>
      <c r="C1074" s="506" t="s">
        <v>32</v>
      </c>
      <c r="D1074" s="508">
        <v>108258787</v>
      </c>
      <c r="E1074" s="507" t="s">
        <v>6108</v>
      </c>
    </row>
    <row r="1075" spans="1:5" ht="15" x14ac:dyDescent="0.3">
      <c r="A1075" s="506">
        <v>8432</v>
      </c>
      <c r="B1075" s="507" t="s">
        <v>4449</v>
      </c>
      <c r="C1075" s="506" t="s">
        <v>328</v>
      </c>
      <c r="D1075" s="508">
        <v>456028</v>
      </c>
      <c r="E1075" s="507" t="s">
        <v>6108</v>
      </c>
    </row>
    <row r="1076" spans="1:5" ht="15" x14ac:dyDescent="0.3">
      <c r="A1076" s="506">
        <v>8434</v>
      </c>
      <c r="B1076" s="507" t="s">
        <v>4450</v>
      </c>
      <c r="C1076" s="506" t="s">
        <v>328</v>
      </c>
      <c r="D1076" s="508">
        <v>552176</v>
      </c>
      <c r="E1076" s="507" t="s">
        <v>6108</v>
      </c>
    </row>
    <row r="1077" spans="1:5" ht="15" x14ac:dyDescent="0.3">
      <c r="A1077" s="506">
        <v>8435</v>
      </c>
      <c r="B1077" s="507" t="s">
        <v>4451</v>
      </c>
      <c r="C1077" s="506" t="s">
        <v>32</v>
      </c>
      <c r="D1077" s="508">
        <v>602198</v>
      </c>
      <c r="E1077" s="507" t="s">
        <v>6108</v>
      </c>
    </row>
    <row r="1078" spans="1:5" ht="15" x14ac:dyDescent="0.3">
      <c r="A1078" s="506">
        <v>8436</v>
      </c>
      <c r="B1078" s="507" t="s">
        <v>4452</v>
      </c>
      <c r="C1078" s="506" t="s">
        <v>328</v>
      </c>
      <c r="D1078" s="508">
        <v>686863</v>
      </c>
      <c r="E1078" s="507" t="s">
        <v>6108</v>
      </c>
    </row>
    <row r="1079" spans="1:5" ht="15" x14ac:dyDescent="0.3">
      <c r="A1079" s="506">
        <v>8437</v>
      </c>
      <c r="B1079" s="507" t="s">
        <v>4453</v>
      </c>
      <c r="C1079" s="506" t="s">
        <v>32</v>
      </c>
      <c r="D1079" s="508">
        <v>637620</v>
      </c>
      <c r="E1079" s="507" t="s">
        <v>6108</v>
      </c>
    </row>
    <row r="1080" spans="1:5" ht="15" x14ac:dyDescent="0.3">
      <c r="A1080" s="506">
        <v>8438</v>
      </c>
      <c r="B1080" s="507" t="s">
        <v>4454</v>
      </c>
      <c r="C1080" s="506" t="s">
        <v>328</v>
      </c>
      <c r="D1080" s="508">
        <v>801014</v>
      </c>
      <c r="E1080" s="507" t="s">
        <v>6108</v>
      </c>
    </row>
    <row r="1081" spans="1:5" ht="15" x14ac:dyDescent="0.3">
      <c r="A1081" s="506">
        <v>8440</v>
      </c>
      <c r="B1081" s="507" t="s">
        <v>4455</v>
      </c>
      <c r="C1081" s="506" t="s">
        <v>328</v>
      </c>
      <c r="D1081" s="508">
        <v>953119</v>
      </c>
      <c r="E1081" s="507" t="s">
        <v>6108</v>
      </c>
    </row>
    <row r="1082" spans="1:5" ht="15" x14ac:dyDescent="0.3">
      <c r="A1082" s="506">
        <v>8441</v>
      </c>
      <c r="B1082" s="507" t="s">
        <v>4456</v>
      </c>
      <c r="C1082" s="506" t="s">
        <v>32</v>
      </c>
      <c r="D1082" s="508">
        <v>721119</v>
      </c>
      <c r="E1082" s="507" t="s">
        <v>6108</v>
      </c>
    </row>
    <row r="1083" spans="1:5" ht="15" x14ac:dyDescent="0.3">
      <c r="A1083" s="506">
        <v>8442</v>
      </c>
      <c r="B1083" s="507" t="s">
        <v>4457</v>
      </c>
      <c r="C1083" s="506" t="s">
        <v>328</v>
      </c>
      <c r="D1083" s="508">
        <v>1161765</v>
      </c>
      <c r="E1083" s="507" t="s">
        <v>6108</v>
      </c>
    </row>
    <row r="1084" spans="1:5" ht="15" x14ac:dyDescent="0.3">
      <c r="A1084" s="506">
        <v>8443</v>
      </c>
      <c r="B1084" s="507" t="s">
        <v>4458</v>
      </c>
      <c r="C1084" s="506" t="s">
        <v>32</v>
      </c>
      <c r="D1084" s="508">
        <v>756542</v>
      </c>
      <c r="E1084" s="507" t="s">
        <v>6108</v>
      </c>
    </row>
    <row r="1085" spans="1:5" ht="15" x14ac:dyDescent="0.3">
      <c r="A1085" s="506">
        <v>8444</v>
      </c>
      <c r="B1085" s="507" t="s">
        <v>4459</v>
      </c>
      <c r="C1085" s="506" t="s">
        <v>328</v>
      </c>
      <c r="D1085" s="508">
        <v>7038518</v>
      </c>
      <c r="E1085" s="507" t="s">
        <v>6108</v>
      </c>
    </row>
    <row r="1086" spans="1:5" ht="15" x14ac:dyDescent="0.3">
      <c r="A1086" s="506">
        <v>8445</v>
      </c>
      <c r="B1086" s="507" t="s">
        <v>4460</v>
      </c>
      <c r="C1086" s="506" t="s">
        <v>32</v>
      </c>
      <c r="D1086" s="508">
        <v>2494815</v>
      </c>
      <c r="E1086" s="507" t="s">
        <v>6108</v>
      </c>
    </row>
    <row r="1087" spans="1:5" ht="15" x14ac:dyDescent="0.3">
      <c r="A1087" s="506">
        <v>8447</v>
      </c>
      <c r="B1087" s="507" t="s">
        <v>4461</v>
      </c>
      <c r="C1087" s="506" t="s">
        <v>328</v>
      </c>
      <c r="D1087" s="508">
        <v>7488900</v>
      </c>
      <c r="E1087" s="507" t="s">
        <v>6108</v>
      </c>
    </row>
    <row r="1088" spans="1:5" ht="15" x14ac:dyDescent="0.3">
      <c r="A1088" s="506">
        <v>8448</v>
      </c>
      <c r="B1088" s="507" t="s">
        <v>4462</v>
      </c>
      <c r="C1088" s="506" t="s">
        <v>32</v>
      </c>
      <c r="D1088" s="508">
        <v>3274128</v>
      </c>
      <c r="E1088" s="507" t="s">
        <v>6108</v>
      </c>
    </row>
    <row r="1089" spans="1:5" ht="15" x14ac:dyDescent="0.3">
      <c r="A1089" s="506">
        <v>8449</v>
      </c>
      <c r="B1089" s="507" t="s">
        <v>4463</v>
      </c>
      <c r="C1089" s="506" t="s">
        <v>32</v>
      </c>
      <c r="D1089" s="508">
        <v>28531707</v>
      </c>
      <c r="E1089" s="507" t="s">
        <v>6108</v>
      </c>
    </row>
    <row r="1090" spans="1:5" ht="15" x14ac:dyDescent="0.3">
      <c r="A1090" s="506">
        <v>8450</v>
      </c>
      <c r="B1090" s="507" t="s">
        <v>4464</v>
      </c>
      <c r="C1090" s="506" t="s">
        <v>32</v>
      </c>
      <c r="D1090" s="508">
        <v>28531707</v>
      </c>
      <c r="E1090" s="507" t="s">
        <v>6108</v>
      </c>
    </row>
    <row r="1091" spans="1:5" ht="15" x14ac:dyDescent="0.3">
      <c r="A1091" s="506">
        <v>8451</v>
      </c>
      <c r="B1091" s="507" t="s">
        <v>4465</v>
      </c>
      <c r="C1091" s="506" t="s">
        <v>32</v>
      </c>
      <c r="D1091" s="508">
        <v>30414331</v>
      </c>
      <c r="E1091" s="507" t="s">
        <v>6108</v>
      </c>
    </row>
    <row r="1092" spans="1:5" ht="15" x14ac:dyDescent="0.3">
      <c r="A1092" s="506">
        <v>8452</v>
      </c>
      <c r="B1092" s="507" t="s">
        <v>4466</v>
      </c>
      <c r="C1092" s="506" t="s">
        <v>32</v>
      </c>
      <c r="D1092" s="508">
        <v>33362774</v>
      </c>
      <c r="E1092" s="507" t="s">
        <v>6108</v>
      </c>
    </row>
    <row r="1093" spans="1:5" ht="15" x14ac:dyDescent="0.3">
      <c r="A1093" s="506">
        <v>8453</v>
      </c>
      <c r="B1093" s="507" t="s">
        <v>4467</v>
      </c>
      <c r="C1093" s="506" t="s">
        <v>32</v>
      </c>
      <c r="D1093" s="508">
        <v>40552746</v>
      </c>
      <c r="E1093" s="507" t="s">
        <v>6108</v>
      </c>
    </row>
    <row r="1094" spans="1:5" ht="15" x14ac:dyDescent="0.3">
      <c r="A1094" s="506">
        <v>8454</v>
      </c>
      <c r="B1094" s="507" t="s">
        <v>4468</v>
      </c>
      <c r="C1094" s="506" t="s">
        <v>32</v>
      </c>
      <c r="D1094" s="508">
        <v>49066689</v>
      </c>
      <c r="E1094" s="507" t="s">
        <v>6108</v>
      </c>
    </row>
    <row r="1095" spans="1:5" ht="15" x14ac:dyDescent="0.3">
      <c r="A1095" s="506">
        <v>8455</v>
      </c>
      <c r="B1095" s="507" t="s">
        <v>4469</v>
      </c>
      <c r="C1095" s="506" t="s">
        <v>32</v>
      </c>
      <c r="D1095" s="508">
        <v>58272464</v>
      </c>
      <c r="E1095" s="507" t="s">
        <v>6108</v>
      </c>
    </row>
    <row r="1096" spans="1:5" ht="15" x14ac:dyDescent="0.3">
      <c r="A1096" s="506">
        <v>8456</v>
      </c>
      <c r="B1096" s="507" t="s">
        <v>4470</v>
      </c>
      <c r="C1096" s="506" t="s">
        <v>32</v>
      </c>
      <c r="D1096" s="508">
        <v>64775755</v>
      </c>
      <c r="E1096" s="507" t="s">
        <v>6108</v>
      </c>
    </row>
    <row r="1097" spans="1:5" ht="15" x14ac:dyDescent="0.3">
      <c r="A1097" s="506">
        <v>8457</v>
      </c>
      <c r="B1097" s="507" t="s">
        <v>4471</v>
      </c>
      <c r="C1097" s="506" t="s">
        <v>32</v>
      </c>
      <c r="D1097" s="508">
        <v>72129149</v>
      </c>
      <c r="E1097" s="507" t="s">
        <v>6108</v>
      </c>
    </row>
    <row r="1098" spans="1:5" ht="15" x14ac:dyDescent="0.3">
      <c r="A1098" s="506">
        <v>8460</v>
      </c>
      <c r="B1098" s="507" t="s">
        <v>4472</v>
      </c>
      <c r="C1098" s="506" t="s">
        <v>32</v>
      </c>
      <c r="D1098" s="508">
        <v>8850</v>
      </c>
      <c r="E1098" s="507" t="s">
        <v>6108</v>
      </c>
    </row>
    <row r="1099" spans="1:5" ht="15" x14ac:dyDescent="0.3">
      <c r="A1099" s="506">
        <v>8461</v>
      </c>
      <c r="B1099" s="507" t="s">
        <v>4473</v>
      </c>
      <c r="C1099" s="506" t="s">
        <v>328</v>
      </c>
      <c r="D1099" s="508">
        <v>15772</v>
      </c>
      <c r="E1099" s="507" t="s">
        <v>6108</v>
      </c>
    </row>
    <row r="1100" spans="1:5" ht="15" x14ac:dyDescent="0.3">
      <c r="A1100" s="506">
        <v>8462</v>
      </c>
      <c r="B1100" s="507" t="s">
        <v>4474</v>
      </c>
      <c r="C1100" s="506" t="s">
        <v>32</v>
      </c>
      <c r="D1100" s="508">
        <v>370764</v>
      </c>
      <c r="E1100" s="507" t="s">
        <v>6108</v>
      </c>
    </row>
    <row r="1101" spans="1:5" ht="15" x14ac:dyDescent="0.3">
      <c r="A1101" s="506">
        <v>8463</v>
      </c>
      <c r="B1101" s="507" t="s">
        <v>4475</v>
      </c>
      <c r="C1101" s="506" t="s">
        <v>32</v>
      </c>
      <c r="D1101" s="508">
        <v>763205</v>
      </c>
      <c r="E1101" s="507" t="s">
        <v>6108</v>
      </c>
    </row>
    <row r="1102" spans="1:5" ht="15" x14ac:dyDescent="0.3">
      <c r="A1102" s="506">
        <v>8473</v>
      </c>
      <c r="B1102" s="507" t="s">
        <v>4476</v>
      </c>
      <c r="C1102" s="506" t="s">
        <v>21</v>
      </c>
      <c r="D1102" s="508">
        <v>1568</v>
      </c>
      <c r="E1102" s="507" t="s">
        <v>6108</v>
      </c>
    </row>
    <row r="1103" spans="1:5" ht="15" x14ac:dyDescent="0.3">
      <c r="A1103" s="506">
        <v>8474</v>
      </c>
      <c r="B1103" s="507" t="s">
        <v>4477</v>
      </c>
      <c r="C1103" s="506" t="s">
        <v>670</v>
      </c>
      <c r="D1103" s="508">
        <v>6844</v>
      </c>
      <c r="E1103" s="507" t="s">
        <v>331</v>
      </c>
    </row>
    <row r="1104" spans="1:5" ht="15" x14ac:dyDescent="0.3">
      <c r="A1104" s="506">
        <v>8475</v>
      </c>
      <c r="B1104" s="507" t="s">
        <v>4478</v>
      </c>
      <c r="C1104" s="506" t="s">
        <v>670</v>
      </c>
      <c r="D1104" s="508">
        <v>6418</v>
      </c>
      <c r="E1104" s="507" t="s">
        <v>331</v>
      </c>
    </row>
    <row r="1105" spans="1:5" ht="15" x14ac:dyDescent="0.3">
      <c r="A1105" s="506">
        <v>8476</v>
      </c>
      <c r="B1105" s="507" t="s">
        <v>4479</v>
      </c>
      <c r="C1105" s="506" t="s">
        <v>21</v>
      </c>
      <c r="D1105" s="508">
        <v>25535</v>
      </c>
      <c r="E1105" s="507" t="s">
        <v>331</v>
      </c>
    </row>
    <row r="1106" spans="1:5" ht="15" x14ac:dyDescent="0.3">
      <c r="A1106" s="506">
        <v>8478</v>
      </c>
      <c r="B1106" s="507" t="s">
        <v>4480</v>
      </c>
      <c r="C1106" s="506" t="s">
        <v>32</v>
      </c>
      <c r="D1106" s="508">
        <v>24965</v>
      </c>
      <c r="E1106" s="507" t="s">
        <v>6108</v>
      </c>
    </row>
    <row r="1107" spans="1:5" ht="15" x14ac:dyDescent="0.3">
      <c r="A1107" s="506">
        <v>8479</v>
      </c>
      <c r="B1107" s="507" t="s">
        <v>4481</v>
      </c>
      <c r="C1107" s="506" t="s">
        <v>32</v>
      </c>
      <c r="D1107" s="508">
        <v>130</v>
      </c>
      <c r="E1107" s="507" t="s">
        <v>6108</v>
      </c>
    </row>
    <row r="1108" spans="1:5" ht="15" x14ac:dyDescent="0.3">
      <c r="A1108" s="506">
        <v>8480</v>
      </c>
      <c r="B1108" s="507" t="s">
        <v>4482</v>
      </c>
      <c r="C1108" s="506" t="s">
        <v>32</v>
      </c>
      <c r="D1108" s="508">
        <v>1286</v>
      </c>
      <c r="E1108" s="507" t="s">
        <v>6108</v>
      </c>
    </row>
    <row r="1109" spans="1:5" ht="15" x14ac:dyDescent="0.3">
      <c r="A1109" s="506">
        <v>8481</v>
      </c>
      <c r="B1109" s="507" t="s">
        <v>4483</v>
      </c>
      <c r="C1109" s="506" t="s">
        <v>3579</v>
      </c>
      <c r="D1109" s="508">
        <v>94100</v>
      </c>
      <c r="E1109" s="507" t="s">
        <v>6108</v>
      </c>
    </row>
    <row r="1110" spans="1:5" ht="15" x14ac:dyDescent="0.3">
      <c r="A1110" s="506">
        <v>8482</v>
      </c>
      <c r="B1110" s="507" t="s">
        <v>4484</v>
      </c>
      <c r="C1110" s="506" t="s">
        <v>3579</v>
      </c>
      <c r="D1110" s="508">
        <v>74333</v>
      </c>
      <c r="E1110" s="507" t="s">
        <v>6108</v>
      </c>
    </row>
    <row r="1111" spans="1:5" ht="15" x14ac:dyDescent="0.3">
      <c r="A1111" s="506">
        <v>8483</v>
      </c>
      <c r="B1111" s="507" t="s">
        <v>4485</v>
      </c>
      <c r="C1111" s="506" t="s">
        <v>32</v>
      </c>
      <c r="D1111" s="508">
        <v>200343</v>
      </c>
      <c r="E1111" s="507" t="s">
        <v>6108</v>
      </c>
    </row>
    <row r="1112" spans="1:5" ht="15" x14ac:dyDescent="0.3">
      <c r="A1112" s="506">
        <v>8500</v>
      </c>
      <c r="B1112" s="507" t="s">
        <v>4486</v>
      </c>
      <c r="C1112" s="506" t="s">
        <v>328</v>
      </c>
      <c r="D1112" s="508">
        <v>121094</v>
      </c>
      <c r="E1112" s="507" t="s">
        <v>6108</v>
      </c>
    </row>
    <row r="1113" spans="1:5" ht="15" x14ac:dyDescent="0.3">
      <c r="A1113" s="506">
        <v>8501</v>
      </c>
      <c r="B1113" s="507" t="s">
        <v>6278</v>
      </c>
      <c r="C1113" s="506" t="s">
        <v>32</v>
      </c>
      <c r="D1113" s="508">
        <v>1516027</v>
      </c>
      <c r="E1113" s="507" t="s">
        <v>6108</v>
      </c>
    </row>
    <row r="1114" spans="1:5" ht="15" x14ac:dyDescent="0.3">
      <c r="A1114" s="506">
        <v>8502</v>
      </c>
      <c r="B1114" s="507" t="s">
        <v>4487</v>
      </c>
      <c r="C1114" s="506" t="s">
        <v>670</v>
      </c>
      <c r="D1114" s="508">
        <v>9758</v>
      </c>
      <c r="E1114" s="507" t="s">
        <v>331</v>
      </c>
    </row>
    <row r="1115" spans="1:5" ht="15" x14ac:dyDescent="0.3">
      <c r="A1115" s="506">
        <v>8506</v>
      </c>
      <c r="B1115" s="507" t="s">
        <v>4488</v>
      </c>
      <c r="C1115" s="506" t="s">
        <v>3579</v>
      </c>
      <c r="D1115" s="508">
        <v>114400</v>
      </c>
      <c r="E1115" s="507" t="s">
        <v>6108</v>
      </c>
    </row>
    <row r="1116" spans="1:5" ht="15" x14ac:dyDescent="0.3">
      <c r="A1116" s="506">
        <v>8508</v>
      </c>
      <c r="B1116" s="507" t="s">
        <v>4489</v>
      </c>
      <c r="C1116" s="506" t="s">
        <v>3579</v>
      </c>
      <c r="D1116" s="508">
        <v>119900</v>
      </c>
      <c r="E1116" s="507" t="s">
        <v>6108</v>
      </c>
    </row>
    <row r="1117" spans="1:5" ht="15" x14ac:dyDescent="0.3">
      <c r="A1117" s="506">
        <v>8509</v>
      </c>
      <c r="B1117" s="507" t="s">
        <v>4490</v>
      </c>
      <c r="C1117" s="506" t="s">
        <v>3579</v>
      </c>
      <c r="D1117" s="508">
        <v>131040</v>
      </c>
      <c r="E1117" s="507" t="s">
        <v>6108</v>
      </c>
    </row>
    <row r="1118" spans="1:5" ht="15" x14ac:dyDescent="0.3">
      <c r="A1118" s="506">
        <v>8511</v>
      </c>
      <c r="B1118" s="507" t="s">
        <v>4491</v>
      </c>
      <c r="C1118" s="506" t="s">
        <v>3579</v>
      </c>
      <c r="D1118" s="508">
        <v>144990</v>
      </c>
      <c r="E1118" s="507" t="s">
        <v>6108</v>
      </c>
    </row>
    <row r="1119" spans="1:5" ht="15" x14ac:dyDescent="0.3">
      <c r="A1119" s="506">
        <v>8515</v>
      </c>
      <c r="B1119" s="507" t="s">
        <v>4492</v>
      </c>
      <c r="C1119" s="506" t="s">
        <v>670</v>
      </c>
      <c r="D1119" s="508">
        <v>18652</v>
      </c>
      <c r="E1119" s="507" t="s">
        <v>6108</v>
      </c>
    </row>
    <row r="1120" spans="1:5" ht="15" x14ac:dyDescent="0.3">
      <c r="A1120" s="506">
        <v>8516</v>
      </c>
      <c r="B1120" s="507" t="s">
        <v>4493</v>
      </c>
      <c r="C1120" s="506" t="s">
        <v>21</v>
      </c>
      <c r="D1120" s="508">
        <v>42011</v>
      </c>
      <c r="E1120" s="507" t="s">
        <v>331</v>
      </c>
    </row>
    <row r="1121" spans="1:5" ht="15" x14ac:dyDescent="0.3">
      <c r="A1121" s="506">
        <v>8520</v>
      </c>
      <c r="B1121" s="507" t="s">
        <v>4494</v>
      </c>
      <c r="C1121" s="506" t="s">
        <v>3532</v>
      </c>
      <c r="D1121" s="508">
        <v>1614</v>
      </c>
      <c r="E1121" s="507" t="s">
        <v>331</v>
      </c>
    </row>
    <row r="1122" spans="1:5" ht="15" x14ac:dyDescent="0.3">
      <c r="A1122" s="506">
        <v>8522</v>
      </c>
      <c r="B1122" s="507" t="s">
        <v>4495</v>
      </c>
      <c r="C1122" s="506" t="s">
        <v>21</v>
      </c>
      <c r="D1122" s="508">
        <v>8816</v>
      </c>
      <c r="E1122" s="507" t="s">
        <v>6108</v>
      </c>
    </row>
    <row r="1123" spans="1:5" ht="15" x14ac:dyDescent="0.3">
      <c r="A1123" s="506">
        <v>8524</v>
      </c>
      <c r="B1123" s="507" t="s">
        <v>4496</v>
      </c>
      <c r="C1123" s="506" t="s">
        <v>32</v>
      </c>
      <c r="D1123" s="508">
        <v>51200</v>
      </c>
      <c r="E1123" s="507" t="s">
        <v>6108</v>
      </c>
    </row>
    <row r="1124" spans="1:5" ht="15" x14ac:dyDescent="0.3">
      <c r="A1124" s="506">
        <v>8525</v>
      </c>
      <c r="B1124" s="507" t="s">
        <v>4497</v>
      </c>
      <c r="C1124" s="506" t="s">
        <v>21</v>
      </c>
      <c r="D1124" s="508">
        <v>20254</v>
      </c>
      <c r="E1124" s="507" t="s">
        <v>6108</v>
      </c>
    </row>
    <row r="1125" spans="1:5" ht="15" x14ac:dyDescent="0.3">
      <c r="A1125" s="506">
        <v>8529</v>
      </c>
      <c r="B1125" s="507" t="s">
        <v>4498</v>
      </c>
      <c r="C1125" s="506" t="s">
        <v>3579</v>
      </c>
      <c r="D1125" s="508">
        <v>76900</v>
      </c>
      <c r="E1125" s="507" t="s">
        <v>6108</v>
      </c>
    </row>
    <row r="1126" spans="1:5" ht="15" x14ac:dyDescent="0.3">
      <c r="A1126" s="506">
        <v>8530</v>
      </c>
      <c r="B1126" s="507" t="s">
        <v>4499</v>
      </c>
      <c r="C1126" s="506" t="s">
        <v>32</v>
      </c>
      <c r="D1126" s="508">
        <v>12000</v>
      </c>
      <c r="E1126" s="507" t="s">
        <v>6108</v>
      </c>
    </row>
    <row r="1127" spans="1:5" ht="15" x14ac:dyDescent="0.3">
      <c r="A1127" s="506">
        <v>8531</v>
      </c>
      <c r="B1127" s="507" t="s">
        <v>4500</v>
      </c>
      <c r="C1127" s="506" t="s">
        <v>3579</v>
      </c>
      <c r="D1127" s="508">
        <v>29000</v>
      </c>
      <c r="E1127" s="507" t="s">
        <v>6108</v>
      </c>
    </row>
    <row r="1128" spans="1:5" ht="15" x14ac:dyDescent="0.3">
      <c r="A1128" s="506">
        <v>8539</v>
      </c>
      <c r="B1128" s="507" t="s">
        <v>4501</v>
      </c>
      <c r="C1128" s="506" t="s">
        <v>32</v>
      </c>
      <c r="D1128" s="508">
        <v>4900</v>
      </c>
      <c r="E1128" s="507" t="s">
        <v>331</v>
      </c>
    </row>
    <row r="1129" spans="1:5" ht="15" x14ac:dyDescent="0.3">
      <c r="A1129" s="506">
        <v>8555</v>
      </c>
      <c r="B1129" s="507" t="s">
        <v>4502</v>
      </c>
      <c r="C1129" s="506" t="s">
        <v>32</v>
      </c>
      <c r="D1129" s="508">
        <v>1515</v>
      </c>
      <c r="E1129" s="507" t="s">
        <v>6108</v>
      </c>
    </row>
    <row r="1130" spans="1:5" ht="15" x14ac:dyDescent="0.3">
      <c r="A1130" s="506">
        <v>8560</v>
      </c>
      <c r="B1130" s="507" t="s">
        <v>4503</v>
      </c>
      <c r="C1130" s="506" t="s">
        <v>32</v>
      </c>
      <c r="D1130" s="508">
        <v>9802</v>
      </c>
      <c r="E1130" s="507" t="s">
        <v>6108</v>
      </c>
    </row>
    <row r="1131" spans="1:5" ht="15" x14ac:dyDescent="0.3">
      <c r="A1131" s="506">
        <v>8565</v>
      </c>
      <c r="B1131" s="507" t="s">
        <v>4504</v>
      </c>
      <c r="C1131" s="506" t="s">
        <v>670</v>
      </c>
      <c r="D1131" s="508">
        <v>6340</v>
      </c>
      <c r="E1131" s="507" t="s">
        <v>6108</v>
      </c>
    </row>
    <row r="1132" spans="1:5" ht="15" x14ac:dyDescent="0.3">
      <c r="A1132" s="506">
        <v>8566</v>
      </c>
      <c r="B1132" s="507" t="s">
        <v>4505</v>
      </c>
      <c r="C1132" s="506" t="s">
        <v>328</v>
      </c>
      <c r="D1132" s="508">
        <v>1806</v>
      </c>
      <c r="E1132" s="507" t="s">
        <v>6108</v>
      </c>
    </row>
    <row r="1133" spans="1:5" ht="15" x14ac:dyDescent="0.3">
      <c r="A1133" s="506">
        <v>8567</v>
      </c>
      <c r="B1133" s="507" t="s">
        <v>4506</v>
      </c>
      <c r="C1133" s="506" t="s">
        <v>21</v>
      </c>
      <c r="D1133" s="508">
        <v>71341</v>
      </c>
      <c r="E1133" s="507" t="s">
        <v>6108</v>
      </c>
    </row>
    <row r="1134" spans="1:5" ht="15" x14ac:dyDescent="0.3">
      <c r="A1134" s="506">
        <v>8570</v>
      </c>
      <c r="B1134" s="507" t="s">
        <v>4507</v>
      </c>
      <c r="C1134" s="506" t="s">
        <v>4508</v>
      </c>
      <c r="D1134" s="508">
        <v>22868</v>
      </c>
      <c r="E1134" s="507" t="s">
        <v>6108</v>
      </c>
    </row>
    <row r="1135" spans="1:5" ht="15" x14ac:dyDescent="0.3">
      <c r="A1135" s="506">
        <v>8576</v>
      </c>
      <c r="B1135" s="507" t="s">
        <v>4509</v>
      </c>
      <c r="C1135" s="506" t="s">
        <v>3579</v>
      </c>
      <c r="D1135" s="508">
        <v>109900</v>
      </c>
      <c r="E1135" s="507" t="s">
        <v>6108</v>
      </c>
    </row>
    <row r="1136" spans="1:5" ht="15" x14ac:dyDescent="0.3">
      <c r="A1136" s="506">
        <v>8577</v>
      </c>
      <c r="B1136" s="507" t="s">
        <v>4510</v>
      </c>
      <c r="C1136" s="506" t="s">
        <v>328</v>
      </c>
      <c r="D1136" s="508">
        <v>27330</v>
      </c>
      <c r="E1136" s="507" t="s">
        <v>331</v>
      </c>
    </row>
    <row r="1137" spans="1:5" ht="15" x14ac:dyDescent="0.3">
      <c r="A1137" s="506">
        <v>8578</v>
      </c>
      <c r="B1137" s="507" t="s">
        <v>4511</v>
      </c>
      <c r="C1137" s="506" t="s">
        <v>32</v>
      </c>
      <c r="D1137" s="508">
        <v>4877</v>
      </c>
      <c r="E1137" s="507" t="s">
        <v>331</v>
      </c>
    </row>
    <row r="1138" spans="1:5" ht="15" x14ac:dyDescent="0.3">
      <c r="A1138" s="506">
        <v>8579</v>
      </c>
      <c r="B1138" s="507" t="s">
        <v>4512</v>
      </c>
      <c r="C1138" s="506" t="s">
        <v>32</v>
      </c>
      <c r="D1138" s="508">
        <v>19645</v>
      </c>
      <c r="E1138" s="507" t="s">
        <v>331</v>
      </c>
    </row>
    <row r="1139" spans="1:5" ht="15" x14ac:dyDescent="0.3">
      <c r="A1139" s="506">
        <v>8584</v>
      </c>
      <c r="B1139" s="507" t="s">
        <v>4513</v>
      </c>
      <c r="C1139" s="506" t="s">
        <v>328</v>
      </c>
      <c r="D1139" s="508">
        <v>145094</v>
      </c>
      <c r="E1139" s="507" t="s">
        <v>331</v>
      </c>
    </row>
    <row r="1140" spans="1:5" ht="15" x14ac:dyDescent="0.3">
      <c r="A1140" s="506">
        <v>8586</v>
      </c>
      <c r="B1140" s="507" t="s">
        <v>4514</v>
      </c>
      <c r="C1140" s="506" t="s">
        <v>328</v>
      </c>
      <c r="D1140" s="508">
        <v>17160</v>
      </c>
      <c r="E1140" s="507" t="s">
        <v>331</v>
      </c>
    </row>
    <row r="1141" spans="1:5" ht="15" x14ac:dyDescent="0.3">
      <c r="A1141" s="506">
        <v>8588</v>
      </c>
      <c r="B1141" s="507" t="s">
        <v>4515</v>
      </c>
      <c r="C1141" s="506" t="s">
        <v>328</v>
      </c>
      <c r="D1141" s="508">
        <v>7101</v>
      </c>
      <c r="E1141" s="507" t="s">
        <v>331</v>
      </c>
    </row>
    <row r="1142" spans="1:5" ht="15" x14ac:dyDescent="0.3">
      <c r="A1142" s="506">
        <v>8634</v>
      </c>
      <c r="B1142" s="507" t="s">
        <v>4516</v>
      </c>
      <c r="C1142" s="506" t="s">
        <v>32</v>
      </c>
      <c r="D1142" s="508">
        <v>179841</v>
      </c>
      <c r="E1142" s="507" t="s">
        <v>6108</v>
      </c>
    </row>
    <row r="1143" spans="1:5" ht="15" x14ac:dyDescent="0.3">
      <c r="A1143" s="506">
        <v>8635</v>
      </c>
      <c r="B1143" s="507" t="s">
        <v>4517</v>
      </c>
      <c r="C1143" s="506" t="s">
        <v>32</v>
      </c>
      <c r="D1143" s="508">
        <v>3113</v>
      </c>
      <c r="E1143" s="507" t="s">
        <v>331</v>
      </c>
    </row>
    <row r="1144" spans="1:5" ht="15" x14ac:dyDescent="0.3">
      <c r="A1144" s="506">
        <v>8636</v>
      </c>
      <c r="B1144" s="507" t="s">
        <v>4518</v>
      </c>
      <c r="C1144" s="506" t="s">
        <v>670</v>
      </c>
      <c r="D1144" s="508">
        <v>1875</v>
      </c>
      <c r="E1144" s="507" t="s">
        <v>331</v>
      </c>
    </row>
    <row r="1145" spans="1:5" ht="15" x14ac:dyDescent="0.3">
      <c r="A1145" s="506">
        <v>8644</v>
      </c>
      <c r="B1145" s="507" t="s">
        <v>4519</v>
      </c>
      <c r="C1145" s="506" t="s">
        <v>32</v>
      </c>
      <c r="D1145" s="508">
        <v>198359</v>
      </c>
      <c r="E1145" s="507" t="s">
        <v>6108</v>
      </c>
    </row>
    <row r="1146" spans="1:5" ht="15" x14ac:dyDescent="0.3">
      <c r="A1146" s="506">
        <v>8645</v>
      </c>
      <c r="B1146" s="507" t="s">
        <v>4520</v>
      </c>
      <c r="C1146" s="506" t="s">
        <v>32</v>
      </c>
      <c r="D1146" s="508">
        <v>498677</v>
      </c>
      <c r="E1146" s="507" t="s">
        <v>6108</v>
      </c>
    </row>
    <row r="1147" spans="1:5" ht="15" x14ac:dyDescent="0.3">
      <c r="A1147" s="506">
        <v>8654</v>
      </c>
      <c r="B1147" s="507" t="s">
        <v>4521</v>
      </c>
      <c r="C1147" s="506" t="s">
        <v>670</v>
      </c>
      <c r="D1147" s="508">
        <v>5569</v>
      </c>
      <c r="E1147" s="507" t="s">
        <v>331</v>
      </c>
    </row>
    <row r="1148" spans="1:5" ht="15" x14ac:dyDescent="0.3">
      <c r="A1148" s="506">
        <v>8666</v>
      </c>
      <c r="B1148" s="507" t="s">
        <v>4522</v>
      </c>
      <c r="C1148" s="506" t="s">
        <v>328</v>
      </c>
      <c r="D1148" s="508">
        <v>4315</v>
      </c>
      <c r="E1148" s="507" t="s">
        <v>6108</v>
      </c>
    </row>
    <row r="1149" spans="1:5" ht="15" x14ac:dyDescent="0.3">
      <c r="A1149" s="506">
        <v>8672</v>
      </c>
      <c r="B1149" s="507" t="s">
        <v>4523</v>
      </c>
      <c r="C1149" s="506" t="s">
        <v>32</v>
      </c>
      <c r="D1149" s="508">
        <v>3800</v>
      </c>
      <c r="E1149" s="507" t="s">
        <v>6108</v>
      </c>
    </row>
    <row r="1150" spans="1:5" ht="15" x14ac:dyDescent="0.3">
      <c r="A1150" s="506">
        <v>8674</v>
      </c>
      <c r="B1150" s="507" t="s">
        <v>4524</v>
      </c>
      <c r="C1150" s="506" t="s">
        <v>32</v>
      </c>
      <c r="D1150" s="508">
        <v>4600</v>
      </c>
      <c r="E1150" s="507" t="s">
        <v>6108</v>
      </c>
    </row>
    <row r="1151" spans="1:5" ht="15" x14ac:dyDescent="0.3">
      <c r="A1151" s="506">
        <v>8675</v>
      </c>
      <c r="B1151" s="507" t="s">
        <v>4525</v>
      </c>
      <c r="C1151" s="506" t="s">
        <v>32</v>
      </c>
      <c r="D1151" s="508">
        <v>38554</v>
      </c>
      <c r="E1151" s="507" t="s">
        <v>6108</v>
      </c>
    </row>
    <row r="1152" spans="1:5" ht="15" x14ac:dyDescent="0.3">
      <c r="A1152" s="506">
        <v>8676</v>
      </c>
      <c r="B1152" s="507" t="s">
        <v>4526</v>
      </c>
      <c r="C1152" s="506" t="s">
        <v>32</v>
      </c>
      <c r="D1152" s="508">
        <v>10591</v>
      </c>
      <c r="E1152" s="507" t="s">
        <v>6108</v>
      </c>
    </row>
    <row r="1153" spans="1:5" ht="15" x14ac:dyDescent="0.3">
      <c r="A1153" s="506">
        <v>8688</v>
      </c>
      <c r="B1153" s="507" t="s">
        <v>4527</v>
      </c>
      <c r="C1153" s="506" t="s">
        <v>3593</v>
      </c>
      <c r="D1153" s="508">
        <v>1034</v>
      </c>
      <c r="E1153" s="507" t="s">
        <v>3594</v>
      </c>
    </row>
    <row r="1154" spans="1:5" ht="15" x14ac:dyDescent="0.3">
      <c r="A1154" s="506">
        <v>8689</v>
      </c>
      <c r="B1154" s="507" t="s">
        <v>4528</v>
      </c>
      <c r="C1154" s="506" t="s">
        <v>692</v>
      </c>
      <c r="D1154" s="508">
        <v>139262</v>
      </c>
      <c r="E1154" s="507" t="s">
        <v>6109</v>
      </c>
    </row>
    <row r="1155" spans="1:5" ht="15" x14ac:dyDescent="0.3">
      <c r="A1155" s="506">
        <v>8690</v>
      </c>
      <c r="B1155" s="507" t="s">
        <v>4529</v>
      </c>
      <c r="C1155" s="506" t="s">
        <v>692</v>
      </c>
      <c r="D1155" s="508">
        <v>139262</v>
      </c>
      <c r="E1155" s="507" t="s">
        <v>6109</v>
      </c>
    </row>
    <row r="1156" spans="1:5" ht="15" x14ac:dyDescent="0.3">
      <c r="A1156" s="506">
        <v>8694</v>
      </c>
      <c r="B1156" s="507" t="s">
        <v>4530</v>
      </c>
      <c r="C1156" s="506" t="s">
        <v>328</v>
      </c>
      <c r="D1156" s="508">
        <v>3555</v>
      </c>
      <c r="E1156" s="507" t="s">
        <v>6108</v>
      </c>
    </row>
    <row r="1157" spans="1:5" ht="15" x14ac:dyDescent="0.3">
      <c r="A1157" s="506">
        <v>8695</v>
      </c>
      <c r="B1157" s="507" t="s">
        <v>4531</v>
      </c>
      <c r="C1157" s="506" t="s">
        <v>328</v>
      </c>
      <c r="D1157" s="508">
        <v>6250</v>
      </c>
      <c r="E1157" s="507" t="s">
        <v>6108</v>
      </c>
    </row>
    <row r="1158" spans="1:5" ht="15" x14ac:dyDescent="0.3">
      <c r="A1158" s="506">
        <v>8696</v>
      </c>
      <c r="B1158" s="507" t="s">
        <v>4532</v>
      </c>
      <c r="C1158" s="506" t="s">
        <v>328</v>
      </c>
      <c r="D1158" s="508">
        <v>9650</v>
      </c>
      <c r="E1158" s="507" t="s">
        <v>6108</v>
      </c>
    </row>
    <row r="1159" spans="1:5" ht="15" x14ac:dyDescent="0.3">
      <c r="A1159" s="506">
        <v>8698</v>
      </c>
      <c r="B1159" s="507" t="s">
        <v>4533</v>
      </c>
      <c r="C1159" s="506" t="s">
        <v>328</v>
      </c>
      <c r="D1159" s="508">
        <v>17557</v>
      </c>
      <c r="E1159" s="507" t="s">
        <v>6108</v>
      </c>
    </row>
    <row r="1160" spans="1:5" ht="15" x14ac:dyDescent="0.3">
      <c r="A1160" s="506">
        <v>8699</v>
      </c>
      <c r="B1160" s="507" t="s">
        <v>4534</v>
      </c>
      <c r="C1160" s="506" t="s">
        <v>328</v>
      </c>
      <c r="D1160" s="508">
        <v>21932</v>
      </c>
      <c r="E1160" s="507" t="s">
        <v>6108</v>
      </c>
    </row>
    <row r="1161" spans="1:5" ht="15" x14ac:dyDescent="0.3">
      <c r="A1161" s="506">
        <v>8700</v>
      </c>
      <c r="B1161" s="507" t="s">
        <v>4535</v>
      </c>
      <c r="C1161" s="506" t="s">
        <v>328</v>
      </c>
      <c r="D1161" s="508">
        <v>45454</v>
      </c>
      <c r="E1161" s="507" t="s">
        <v>6108</v>
      </c>
    </row>
    <row r="1162" spans="1:5" ht="15" x14ac:dyDescent="0.3">
      <c r="A1162" s="506">
        <v>8706</v>
      </c>
      <c r="B1162" s="507" t="s">
        <v>4536</v>
      </c>
      <c r="C1162" s="506" t="s">
        <v>32</v>
      </c>
      <c r="D1162" s="508">
        <v>6550</v>
      </c>
      <c r="E1162" s="507" t="s">
        <v>6108</v>
      </c>
    </row>
    <row r="1163" spans="1:5" ht="15" x14ac:dyDescent="0.3">
      <c r="A1163" s="506">
        <v>8708</v>
      </c>
      <c r="B1163" s="507" t="s">
        <v>4537</v>
      </c>
      <c r="C1163" s="506" t="s">
        <v>32</v>
      </c>
      <c r="D1163" s="508">
        <v>34213</v>
      </c>
      <c r="E1163" s="507" t="s">
        <v>6108</v>
      </c>
    </row>
    <row r="1164" spans="1:5" ht="15" x14ac:dyDescent="0.3">
      <c r="A1164" s="506">
        <v>8710</v>
      </c>
      <c r="B1164" s="507" t="s">
        <v>4538</v>
      </c>
      <c r="C1164" s="506" t="s">
        <v>32</v>
      </c>
      <c r="D1164" s="508">
        <v>65142</v>
      </c>
      <c r="E1164" s="507" t="s">
        <v>6108</v>
      </c>
    </row>
    <row r="1165" spans="1:5" ht="15" x14ac:dyDescent="0.3">
      <c r="A1165" s="506">
        <v>8712</v>
      </c>
      <c r="B1165" s="507" t="s">
        <v>4539</v>
      </c>
      <c r="C1165" s="506" t="s">
        <v>32</v>
      </c>
      <c r="D1165" s="508">
        <v>24731</v>
      </c>
      <c r="E1165" s="507" t="s">
        <v>6108</v>
      </c>
    </row>
    <row r="1166" spans="1:5" ht="15" x14ac:dyDescent="0.3">
      <c r="A1166" s="506">
        <v>8721</v>
      </c>
      <c r="B1166" s="507" t="s">
        <v>4540</v>
      </c>
      <c r="C1166" s="506" t="s">
        <v>328</v>
      </c>
      <c r="D1166" s="508">
        <v>70900</v>
      </c>
      <c r="E1166" s="507" t="s">
        <v>6108</v>
      </c>
    </row>
    <row r="1167" spans="1:5" ht="15" x14ac:dyDescent="0.3">
      <c r="A1167" s="506">
        <v>8722</v>
      </c>
      <c r="B1167" s="507" t="s">
        <v>4541</v>
      </c>
      <c r="C1167" s="506" t="s">
        <v>328</v>
      </c>
      <c r="D1167" s="508">
        <v>6250</v>
      </c>
      <c r="E1167" s="507" t="s">
        <v>6108</v>
      </c>
    </row>
    <row r="1168" spans="1:5" ht="15" x14ac:dyDescent="0.3">
      <c r="A1168" s="506">
        <v>8729</v>
      </c>
      <c r="B1168" s="507" t="s">
        <v>4542</v>
      </c>
      <c r="C1168" s="506" t="s">
        <v>32</v>
      </c>
      <c r="D1168" s="508">
        <v>9000</v>
      </c>
      <c r="E1168" s="507" t="s">
        <v>6108</v>
      </c>
    </row>
    <row r="1169" spans="1:5" ht="15" x14ac:dyDescent="0.3">
      <c r="A1169" s="506">
        <v>8731</v>
      </c>
      <c r="B1169" s="507" t="s">
        <v>4543</v>
      </c>
      <c r="C1169" s="506" t="s">
        <v>32</v>
      </c>
      <c r="D1169" s="508">
        <v>3800</v>
      </c>
      <c r="E1169" s="507" t="s">
        <v>6108</v>
      </c>
    </row>
    <row r="1170" spans="1:5" ht="15" x14ac:dyDescent="0.3">
      <c r="A1170" s="506">
        <v>8732</v>
      </c>
      <c r="B1170" s="507" t="s">
        <v>4544</v>
      </c>
      <c r="C1170" s="506" t="s">
        <v>32</v>
      </c>
      <c r="D1170" s="508">
        <v>14840</v>
      </c>
      <c r="E1170" s="507" t="s">
        <v>6108</v>
      </c>
    </row>
    <row r="1171" spans="1:5" ht="15" x14ac:dyDescent="0.3">
      <c r="A1171" s="506">
        <v>8734</v>
      </c>
      <c r="B1171" s="507" t="s">
        <v>4545</v>
      </c>
      <c r="C1171" s="506" t="s">
        <v>32</v>
      </c>
      <c r="D1171" s="508">
        <v>6300</v>
      </c>
      <c r="E1171" s="507" t="s">
        <v>6108</v>
      </c>
    </row>
    <row r="1172" spans="1:5" ht="15" x14ac:dyDescent="0.3">
      <c r="A1172" s="506">
        <v>8737</v>
      </c>
      <c r="B1172" s="507" t="s">
        <v>4546</v>
      </c>
      <c r="C1172" s="506" t="s">
        <v>328</v>
      </c>
      <c r="D1172" s="508">
        <v>67983</v>
      </c>
      <c r="E1172" s="507" t="s">
        <v>6108</v>
      </c>
    </row>
    <row r="1173" spans="1:5" ht="15" x14ac:dyDescent="0.3">
      <c r="A1173" s="506">
        <v>8738</v>
      </c>
      <c r="B1173" s="507" t="s">
        <v>4547</v>
      </c>
      <c r="C1173" s="506" t="s">
        <v>328</v>
      </c>
      <c r="D1173" s="508">
        <v>21000</v>
      </c>
      <c r="E1173" s="507" t="s">
        <v>6108</v>
      </c>
    </row>
    <row r="1174" spans="1:5" ht="15" x14ac:dyDescent="0.3">
      <c r="A1174" s="506">
        <v>8743</v>
      </c>
      <c r="B1174" s="507" t="s">
        <v>4548</v>
      </c>
      <c r="C1174" s="506" t="s">
        <v>32</v>
      </c>
      <c r="D1174" s="508">
        <v>25350</v>
      </c>
      <c r="E1174" s="507" t="s">
        <v>6108</v>
      </c>
    </row>
    <row r="1175" spans="1:5" ht="15" x14ac:dyDescent="0.3">
      <c r="A1175" s="506">
        <v>8746</v>
      </c>
      <c r="B1175" s="507" t="s">
        <v>4549</v>
      </c>
      <c r="C1175" s="506" t="s">
        <v>328</v>
      </c>
      <c r="D1175" s="508">
        <v>65150</v>
      </c>
      <c r="E1175" s="507" t="s">
        <v>6108</v>
      </c>
    </row>
    <row r="1176" spans="1:5" ht="15" x14ac:dyDescent="0.3">
      <c r="A1176" s="506">
        <v>8749</v>
      </c>
      <c r="B1176" s="507" t="s">
        <v>4550</v>
      </c>
      <c r="C1176" s="506" t="s">
        <v>328</v>
      </c>
      <c r="D1176" s="508">
        <v>178850</v>
      </c>
      <c r="E1176" s="507" t="s">
        <v>6108</v>
      </c>
    </row>
    <row r="1177" spans="1:5" ht="15" x14ac:dyDescent="0.3">
      <c r="A1177" s="506">
        <v>8760</v>
      </c>
      <c r="B1177" s="507" t="s">
        <v>4551</v>
      </c>
      <c r="C1177" s="506" t="s">
        <v>328</v>
      </c>
      <c r="D1177" s="508">
        <v>9100</v>
      </c>
      <c r="E1177" s="507" t="s">
        <v>6108</v>
      </c>
    </row>
    <row r="1178" spans="1:5" ht="15" x14ac:dyDescent="0.3">
      <c r="A1178" s="506">
        <v>8768</v>
      </c>
      <c r="B1178" s="507" t="s">
        <v>4552</v>
      </c>
      <c r="C1178" s="506" t="s">
        <v>328</v>
      </c>
      <c r="D1178" s="508">
        <v>43900</v>
      </c>
      <c r="E1178" s="507" t="s">
        <v>6108</v>
      </c>
    </row>
    <row r="1179" spans="1:5" ht="15" x14ac:dyDescent="0.3">
      <c r="A1179" s="506">
        <v>8771</v>
      </c>
      <c r="B1179" s="507" t="s">
        <v>4553</v>
      </c>
      <c r="C1179" s="506" t="s">
        <v>32</v>
      </c>
      <c r="D1179" s="508">
        <v>5250</v>
      </c>
      <c r="E1179" s="507" t="s">
        <v>6108</v>
      </c>
    </row>
    <row r="1180" spans="1:5" ht="15" x14ac:dyDescent="0.3">
      <c r="A1180" s="506">
        <v>8774</v>
      </c>
      <c r="B1180" s="507" t="s">
        <v>4554</v>
      </c>
      <c r="C1180" s="506" t="s">
        <v>32</v>
      </c>
      <c r="D1180" s="508">
        <v>250</v>
      </c>
      <c r="E1180" s="507" t="s">
        <v>6108</v>
      </c>
    </row>
    <row r="1181" spans="1:5" ht="15" x14ac:dyDescent="0.3">
      <c r="A1181" s="506">
        <v>8777</v>
      </c>
      <c r="B1181" s="507" t="s">
        <v>4555</v>
      </c>
      <c r="C1181" s="506" t="s">
        <v>328</v>
      </c>
      <c r="D1181" s="508">
        <v>4125</v>
      </c>
      <c r="E1181" s="507" t="s">
        <v>6108</v>
      </c>
    </row>
    <row r="1182" spans="1:5" ht="15" x14ac:dyDescent="0.3">
      <c r="A1182" s="506">
        <v>8779</v>
      </c>
      <c r="B1182" s="507" t="s">
        <v>4556</v>
      </c>
      <c r="C1182" s="506" t="s">
        <v>32</v>
      </c>
      <c r="D1182" s="508">
        <v>3312</v>
      </c>
      <c r="E1182" s="507" t="s">
        <v>6108</v>
      </c>
    </row>
    <row r="1183" spans="1:5" ht="15" x14ac:dyDescent="0.3">
      <c r="A1183" s="506">
        <v>8789</v>
      </c>
      <c r="B1183" s="507" t="s">
        <v>4557</v>
      </c>
      <c r="C1183" s="506" t="s">
        <v>3579</v>
      </c>
      <c r="D1183" s="508">
        <v>16358</v>
      </c>
      <c r="E1183" s="507" t="s">
        <v>6108</v>
      </c>
    </row>
    <row r="1184" spans="1:5" ht="15" x14ac:dyDescent="0.3">
      <c r="A1184" s="506">
        <v>8790</v>
      </c>
      <c r="B1184" s="507" t="s">
        <v>4558</v>
      </c>
      <c r="C1184" s="506" t="s">
        <v>21</v>
      </c>
      <c r="D1184" s="508">
        <v>196055</v>
      </c>
      <c r="E1184" s="507" t="s">
        <v>6108</v>
      </c>
    </row>
    <row r="1185" spans="1:5" ht="15" x14ac:dyDescent="0.3">
      <c r="A1185" s="506">
        <v>8794</v>
      </c>
      <c r="B1185" s="507" t="s">
        <v>4559</v>
      </c>
      <c r="C1185" s="506" t="s">
        <v>21</v>
      </c>
      <c r="D1185" s="508">
        <v>105656</v>
      </c>
      <c r="E1185" s="507" t="s">
        <v>6108</v>
      </c>
    </row>
    <row r="1186" spans="1:5" ht="15" x14ac:dyDescent="0.3">
      <c r="A1186" s="506">
        <v>8844</v>
      </c>
      <c r="B1186" s="507" t="s">
        <v>4560</v>
      </c>
      <c r="C1186" s="506" t="s">
        <v>979</v>
      </c>
      <c r="D1186" s="508">
        <v>5562</v>
      </c>
      <c r="E1186" s="507" t="s">
        <v>6108</v>
      </c>
    </row>
    <row r="1187" spans="1:5" ht="15" x14ac:dyDescent="0.3">
      <c r="A1187" s="506">
        <v>8845</v>
      </c>
      <c r="B1187" s="507" t="s">
        <v>4561</v>
      </c>
      <c r="C1187" s="506" t="s">
        <v>692</v>
      </c>
      <c r="D1187" s="508">
        <v>139262</v>
      </c>
      <c r="E1187" s="507" t="s">
        <v>6109</v>
      </c>
    </row>
    <row r="1188" spans="1:5" ht="15" x14ac:dyDescent="0.3">
      <c r="A1188" s="506">
        <v>8846</v>
      </c>
      <c r="B1188" s="507" t="s">
        <v>4562</v>
      </c>
      <c r="C1188" s="506" t="s">
        <v>32</v>
      </c>
      <c r="D1188" s="508">
        <v>159221</v>
      </c>
      <c r="E1188" s="507" t="s">
        <v>6108</v>
      </c>
    </row>
    <row r="1189" spans="1:5" ht="15" x14ac:dyDescent="0.3">
      <c r="A1189" s="506">
        <v>8854</v>
      </c>
      <c r="B1189" s="507" t="s">
        <v>4563</v>
      </c>
      <c r="C1189" s="506" t="s">
        <v>32</v>
      </c>
      <c r="D1189" s="508">
        <v>4084232</v>
      </c>
      <c r="E1189" s="507" t="s">
        <v>6108</v>
      </c>
    </row>
    <row r="1190" spans="1:5" ht="15" x14ac:dyDescent="0.3">
      <c r="A1190" s="506">
        <v>8855</v>
      </c>
      <c r="B1190" s="507" t="s">
        <v>4564</v>
      </c>
      <c r="C1190" s="506" t="s">
        <v>32</v>
      </c>
      <c r="D1190" s="508">
        <v>2499</v>
      </c>
      <c r="E1190" s="507" t="s">
        <v>6108</v>
      </c>
    </row>
    <row r="1191" spans="1:5" ht="15" x14ac:dyDescent="0.3">
      <c r="A1191" s="506">
        <v>8856</v>
      </c>
      <c r="B1191" s="507" t="s">
        <v>4565</v>
      </c>
      <c r="C1191" s="506" t="s">
        <v>32</v>
      </c>
      <c r="D1191" s="508">
        <v>1545</v>
      </c>
      <c r="E1191" s="507" t="s">
        <v>6108</v>
      </c>
    </row>
    <row r="1192" spans="1:5" ht="15" x14ac:dyDescent="0.3">
      <c r="A1192" s="506">
        <v>8858</v>
      </c>
      <c r="B1192" s="507" t="s">
        <v>4566</v>
      </c>
      <c r="C1192" s="506" t="s">
        <v>328</v>
      </c>
      <c r="D1192" s="508">
        <v>1171</v>
      </c>
      <c r="E1192" s="507" t="s">
        <v>6108</v>
      </c>
    </row>
    <row r="1193" spans="1:5" ht="15" x14ac:dyDescent="0.3">
      <c r="A1193" s="506">
        <v>8859</v>
      </c>
      <c r="B1193" s="507" t="s">
        <v>4567</v>
      </c>
      <c r="C1193" s="506" t="s">
        <v>328</v>
      </c>
      <c r="D1193" s="508">
        <v>14150</v>
      </c>
      <c r="E1193" s="507" t="s">
        <v>6108</v>
      </c>
    </row>
    <row r="1194" spans="1:5" ht="15" x14ac:dyDescent="0.3">
      <c r="A1194" s="506">
        <v>8860</v>
      </c>
      <c r="B1194" s="507" t="s">
        <v>4568</v>
      </c>
      <c r="C1194" s="506" t="s">
        <v>328</v>
      </c>
      <c r="D1194" s="508">
        <v>2900</v>
      </c>
      <c r="E1194" s="507" t="s">
        <v>6108</v>
      </c>
    </row>
    <row r="1195" spans="1:5" ht="15" x14ac:dyDescent="0.3">
      <c r="A1195" s="506">
        <v>8861</v>
      </c>
      <c r="B1195" s="507" t="s">
        <v>4569</v>
      </c>
      <c r="C1195" s="506" t="s">
        <v>328</v>
      </c>
      <c r="D1195" s="508">
        <v>2960</v>
      </c>
      <c r="E1195" s="507" t="s">
        <v>6108</v>
      </c>
    </row>
    <row r="1196" spans="1:5" ht="15" x14ac:dyDescent="0.3">
      <c r="A1196" s="506">
        <v>8862</v>
      </c>
      <c r="B1196" s="507" t="s">
        <v>4570</v>
      </c>
      <c r="C1196" s="506" t="s">
        <v>328</v>
      </c>
      <c r="D1196" s="508">
        <v>2857</v>
      </c>
      <c r="E1196" s="507" t="s">
        <v>6108</v>
      </c>
    </row>
    <row r="1197" spans="1:5" ht="15" x14ac:dyDescent="0.3">
      <c r="A1197" s="506">
        <v>8865</v>
      </c>
      <c r="B1197" s="507" t="s">
        <v>4571</v>
      </c>
      <c r="C1197" s="506" t="s">
        <v>32</v>
      </c>
      <c r="D1197" s="508">
        <v>559993</v>
      </c>
      <c r="E1197" s="507" t="s">
        <v>6108</v>
      </c>
    </row>
    <row r="1198" spans="1:5" ht="15" x14ac:dyDescent="0.3">
      <c r="A1198" s="506">
        <v>8866</v>
      </c>
      <c r="B1198" s="507" t="s">
        <v>4572</v>
      </c>
      <c r="C1198" s="506" t="s">
        <v>32</v>
      </c>
      <c r="D1198" s="508">
        <v>16400</v>
      </c>
      <c r="E1198" s="507" t="s">
        <v>6108</v>
      </c>
    </row>
    <row r="1199" spans="1:5" ht="15" x14ac:dyDescent="0.3">
      <c r="A1199" s="506">
        <v>8867</v>
      </c>
      <c r="B1199" s="507" t="s">
        <v>4573</v>
      </c>
      <c r="C1199" s="506" t="s">
        <v>32</v>
      </c>
      <c r="D1199" s="508">
        <v>54100</v>
      </c>
      <c r="E1199" s="507" t="s">
        <v>6108</v>
      </c>
    </row>
    <row r="1200" spans="1:5" ht="15" x14ac:dyDescent="0.3">
      <c r="A1200" s="506">
        <v>8868</v>
      </c>
      <c r="B1200" s="507" t="s">
        <v>4574</v>
      </c>
      <c r="C1200" s="506" t="s">
        <v>328</v>
      </c>
      <c r="D1200" s="508">
        <v>39950</v>
      </c>
      <c r="E1200" s="507" t="s">
        <v>6108</v>
      </c>
    </row>
    <row r="1201" spans="1:5" ht="15" x14ac:dyDescent="0.3">
      <c r="A1201" s="506">
        <v>8869</v>
      </c>
      <c r="B1201" s="507" t="s">
        <v>4575</v>
      </c>
      <c r="C1201" s="506" t="s">
        <v>328</v>
      </c>
      <c r="D1201" s="508">
        <v>27278</v>
      </c>
      <c r="E1201" s="507" t="s">
        <v>6108</v>
      </c>
    </row>
    <row r="1202" spans="1:5" ht="15" x14ac:dyDescent="0.3">
      <c r="A1202" s="506">
        <v>8870</v>
      </c>
      <c r="B1202" s="507" t="s">
        <v>4576</v>
      </c>
      <c r="C1202" s="506" t="s">
        <v>32</v>
      </c>
      <c r="D1202" s="508">
        <v>3300</v>
      </c>
      <c r="E1202" s="507" t="s">
        <v>6108</v>
      </c>
    </row>
    <row r="1203" spans="1:5" ht="15" x14ac:dyDescent="0.3">
      <c r="A1203" s="506">
        <v>8871</v>
      </c>
      <c r="B1203" s="507" t="s">
        <v>4577</v>
      </c>
      <c r="C1203" s="506" t="s">
        <v>32</v>
      </c>
      <c r="D1203" s="508">
        <v>2475</v>
      </c>
      <c r="E1203" s="507" t="s">
        <v>6108</v>
      </c>
    </row>
    <row r="1204" spans="1:5" ht="15" x14ac:dyDescent="0.3">
      <c r="A1204" s="506">
        <v>8872</v>
      </c>
      <c r="B1204" s="507" t="s">
        <v>4578</v>
      </c>
      <c r="C1204" s="506" t="s">
        <v>32</v>
      </c>
      <c r="D1204" s="508">
        <v>47900</v>
      </c>
      <c r="E1204" s="507" t="s">
        <v>331</v>
      </c>
    </row>
    <row r="1205" spans="1:5" ht="15" x14ac:dyDescent="0.3">
      <c r="A1205" s="506">
        <v>8873</v>
      </c>
      <c r="B1205" s="507" t="s">
        <v>4579</v>
      </c>
      <c r="C1205" s="506" t="s">
        <v>670</v>
      </c>
      <c r="D1205" s="508">
        <v>6684</v>
      </c>
      <c r="E1205" s="507" t="s">
        <v>6108</v>
      </c>
    </row>
    <row r="1206" spans="1:5" ht="15" x14ac:dyDescent="0.3">
      <c r="A1206" s="506">
        <v>8874</v>
      </c>
      <c r="B1206" s="507" t="s">
        <v>4580</v>
      </c>
      <c r="C1206" s="506" t="s">
        <v>32</v>
      </c>
      <c r="D1206" s="508">
        <v>68500</v>
      </c>
      <c r="E1206" s="507" t="s">
        <v>6108</v>
      </c>
    </row>
    <row r="1207" spans="1:5" ht="15" x14ac:dyDescent="0.3">
      <c r="A1207" s="506">
        <v>8875</v>
      </c>
      <c r="B1207" s="507" t="s">
        <v>4581</v>
      </c>
      <c r="C1207" s="506" t="s">
        <v>32</v>
      </c>
      <c r="D1207" s="508">
        <v>220000</v>
      </c>
      <c r="E1207" s="507" t="s">
        <v>6108</v>
      </c>
    </row>
    <row r="1208" spans="1:5" ht="15" x14ac:dyDescent="0.3">
      <c r="A1208" s="506">
        <v>8876</v>
      </c>
      <c r="B1208" s="507" t="s">
        <v>4582</v>
      </c>
      <c r="C1208" s="506" t="s">
        <v>32</v>
      </c>
      <c r="D1208" s="508">
        <v>19100</v>
      </c>
      <c r="E1208" s="507" t="s">
        <v>6108</v>
      </c>
    </row>
    <row r="1209" spans="1:5" ht="15" x14ac:dyDescent="0.3">
      <c r="A1209" s="506">
        <v>8877</v>
      </c>
      <c r="B1209" s="507" t="s">
        <v>4583</v>
      </c>
      <c r="C1209" s="506" t="s">
        <v>32</v>
      </c>
      <c r="D1209" s="508">
        <v>36295</v>
      </c>
      <c r="E1209" s="507" t="s">
        <v>6108</v>
      </c>
    </row>
    <row r="1210" spans="1:5" ht="15" x14ac:dyDescent="0.3">
      <c r="A1210" s="506">
        <v>8880</v>
      </c>
      <c r="B1210" s="507" t="s">
        <v>4584</v>
      </c>
      <c r="C1210" s="506" t="s">
        <v>328</v>
      </c>
      <c r="D1210" s="508">
        <v>155139</v>
      </c>
      <c r="E1210" s="507" t="s">
        <v>6108</v>
      </c>
    </row>
    <row r="1211" spans="1:5" ht="15" x14ac:dyDescent="0.3">
      <c r="A1211" s="506">
        <v>8883</v>
      </c>
      <c r="B1211" s="507" t="s">
        <v>4585</v>
      </c>
      <c r="C1211" s="506" t="s">
        <v>32</v>
      </c>
      <c r="D1211" s="508">
        <v>1902</v>
      </c>
      <c r="E1211" s="507" t="s">
        <v>6108</v>
      </c>
    </row>
    <row r="1212" spans="1:5" ht="15" x14ac:dyDescent="0.3">
      <c r="A1212" s="506">
        <v>8884</v>
      </c>
      <c r="B1212" s="507" t="s">
        <v>4586</v>
      </c>
      <c r="C1212" s="506" t="s">
        <v>32</v>
      </c>
      <c r="D1212" s="508">
        <v>1200</v>
      </c>
      <c r="E1212" s="507" t="s">
        <v>6108</v>
      </c>
    </row>
    <row r="1213" spans="1:5" ht="15" x14ac:dyDescent="0.3">
      <c r="A1213" s="506">
        <v>8885</v>
      </c>
      <c r="B1213" s="507" t="s">
        <v>6279</v>
      </c>
      <c r="C1213" s="506" t="s">
        <v>32</v>
      </c>
      <c r="D1213" s="508">
        <v>15254</v>
      </c>
      <c r="E1213" s="507" t="s">
        <v>6108</v>
      </c>
    </row>
    <row r="1214" spans="1:5" ht="15" x14ac:dyDescent="0.3">
      <c r="A1214" s="506">
        <v>8907</v>
      </c>
      <c r="B1214" s="507" t="s">
        <v>4587</v>
      </c>
      <c r="C1214" s="506" t="s">
        <v>328</v>
      </c>
      <c r="D1214" s="508">
        <v>134406</v>
      </c>
      <c r="E1214" s="507" t="s">
        <v>6108</v>
      </c>
    </row>
    <row r="1215" spans="1:5" ht="15" x14ac:dyDescent="0.3">
      <c r="A1215" s="506">
        <v>8908</v>
      </c>
      <c r="B1215" s="507" t="s">
        <v>4588</v>
      </c>
      <c r="C1215" s="506" t="s">
        <v>328</v>
      </c>
      <c r="D1215" s="508">
        <v>158386</v>
      </c>
      <c r="E1215" s="507" t="s">
        <v>6108</v>
      </c>
    </row>
    <row r="1216" spans="1:5" ht="15" x14ac:dyDescent="0.3">
      <c r="A1216" s="506">
        <v>8911</v>
      </c>
      <c r="B1216" s="507" t="s">
        <v>4589</v>
      </c>
      <c r="C1216" s="506" t="s">
        <v>692</v>
      </c>
      <c r="D1216" s="508">
        <v>163636</v>
      </c>
      <c r="E1216" s="507" t="s">
        <v>6109</v>
      </c>
    </row>
    <row r="1217" spans="1:5" ht="15" x14ac:dyDescent="0.3">
      <c r="A1217" s="506">
        <v>8913</v>
      </c>
      <c r="B1217" s="507" t="s">
        <v>4590</v>
      </c>
      <c r="C1217" s="506" t="s">
        <v>32</v>
      </c>
      <c r="D1217" s="508">
        <v>42821</v>
      </c>
      <c r="E1217" s="507" t="s">
        <v>6108</v>
      </c>
    </row>
    <row r="1218" spans="1:5" ht="15" x14ac:dyDescent="0.3">
      <c r="A1218" s="506">
        <v>8928</v>
      </c>
      <c r="B1218" s="507" t="s">
        <v>4591</v>
      </c>
      <c r="C1218" s="506" t="s">
        <v>328</v>
      </c>
      <c r="D1218" s="508">
        <v>617699</v>
      </c>
      <c r="E1218" s="507" t="s">
        <v>331</v>
      </c>
    </row>
    <row r="1219" spans="1:5" ht="15" x14ac:dyDescent="0.3">
      <c r="A1219" s="506">
        <v>8929</v>
      </c>
      <c r="B1219" s="507" t="s">
        <v>4592</v>
      </c>
      <c r="C1219" s="506" t="s">
        <v>32</v>
      </c>
      <c r="D1219" s="508">
        <v>1193322</v>
      </c>
      <c r="E1219" s="507" t="s">
        <v>6108</v>
      </c>
    </row>
    <row r="1220" spans="1:5" ht="15" x14ac:dyDescent="0.3">
      <c r="A1220" s="506">
        <v>8930</v>
      </c>
      <c r="B1220" s="507" t="s">
        <v>4593</v>
      </c>
      <c r="C1220" s="506" t="s">
        <v>32</v>
      </c>
      <c r="D1220" s="508">
        <v>1953830</v>
      </c>
      <c r="E1220" s="507" t="s">
        <v>6108</v>
      </c>
    </row>
    <row r="1221" spans="1:5" ht="15" x14ac:dyDescent="0.3">
      <c r="A1221" s="506">
        <v>8931</v>
      </c>
      <c r="B1221" s="507" t="s">
        <v>4594</v>
      </c>
      <c r="C1221" s="506" t="s">
        <v>32</v>
      </c>
      <c r="D1221" s="508">
        <v>4683206</v>
      </c>
      <c r="E1221" s="507" t="s">
        <v>6108</v>
      </c>
    </row>
    <row r="1222" spans="1:5" ht="15" x14ac:dyDescent="0.3">
      <c r="A1222" s="506">
        <v>8932</v>
      </c>
      <c r="B1222" s="507" t="s">
        <v>6280</v>
      </c>
      <c r="C1222" s="506" t="s">
        <v>32</v>
      </c>
      <c r="D1222" s="508">
        <v>158270</v>
      </c>
      <c r="E1222" s="507" t="s">
        <v>6108</v>
      </c>
    </row>
    <row r="1223" spans="1:5" ht="15" x14ac:dyDescent="0.3">
      <c r="A1223" s="506">
        <v>8933</v>
      </c>
      <c r="B1223" s="507" t="s">
        <v>6281</v>
      </c>
      <c r="C1223" s="506" t="s">
        <v>32</v>
      </c>
      <c r="D1223" s="508">
        <v>2222095</v>
      </c>
      <c r="E1223" s="507" t="s">
        <v>6108</v>
      </c>
    </row>
    <row r="1224" spans="1:5" ht="15" x14ac:dyDescent="0.3">
      <c r="A1224" s="506">
        <v>8938</v>
      </c>
      <c r="B1224" s="507" t="s">
        <v>4595</v>
      </c>
      <c r="C1224" s="506" t="s">
        <v>32</v>
      </c>
      <c r="D1224" s="508">
        <v>2500</v>
      </c>
      <c r="E1224" s="507" t="s">
        <v>6108</v>
      </c>
    </row>
    <row r="1225" spans="1:5" ht="15" x14ac:dyDescent="0.3">
      <c r="A1225" s="506">
        <v>8939</v>
      </c>
      <c r="B1225" s="507" t="s">
        <v>4596</v>
      </c>
      <c r="C1225" s="506" t="s">
        <v>328</v>
      </c>
      <c r="D1225" s="508">
        <v>3284</v>
      </c>
      <c r="E1225" s="507" t="s">
        <v>6108</v>
      </c>
    </row>
    <row r="1226" spans="1:5" ht="15" x14ac:dyDescent="0.3">
      <c r="A1226" s="506">
        <v>8941</v>
      </c>
      <c r="B1226" s="507" t="s">
        <v>4597</v>
      </c>
      <c r="C1226" s="506" t="s">
        <v>32</v>
      </c>
      <c r="D1226" s="508">
        <v>192750</v>
      </c>
      <c r="E1226" s="507" t="s">
        <v>6108</v>
      </c>
    </row>
    <row r="1227" spans="1:5" ht="15" x14ac:dyDescent="0.3">
      <c r="A1227" s="506">
        <v>8942</v>
      </c>
      <c r="B1227" s="507" t="s">
        <v>4598</v>
      </c>
      <c r="C1227" s="506" t="s">
        <v>328</v>
      </c>
      <c r="D1227" s="508">
        <v>52326</v>
      </c>
      <c r="E1227" s="507" t="s">
        <v>6108</v>
      </c>
    </row>
    <row r="1228" spans="1:5" ht="15" x14ac:dyDescent="0.3">
      <c r="A1228" s="506">
        <v>8968</v>
      </c>
      <c r="B1228" s="507" t="s">
        <v>4599</v>
      </c>
      <c r="C1228" s="506" t="s">
        <v>3593</v>
      </c>
      <c r="D1228" s="508">
        <v>1037</v>
      </c>
      <c r="E1228" s="507" t="s">
        <v>331</v>
      </c>
    </row>
    <row r="1229" spans="1:5" ht="15" x14ac:dyDescent="0.3">
      <c r="A1229" s="506">
        <v>8969</v>
      </c>
      <c r="B1229" s="507" t="s">
        <v>4600</v>
      </c>
      <c r="C1229" s="506" t="s">
        <v>3593</v>
      </c>
      <c r="D1229" s="508">
        <v>1037</v>
      </c>
      <c r="E1229" s="507" t="s">
        <v>331</v>
      </c>
    </row>
    <row r="1230" spans="1:5" ht="15" x14ac:dyDescent="0.3">
      <c r="A1230" s="506">
        <v>8972</v>
      </c>
      <c r="B1230" s="507" t="s">
        <v>4601</v>
      </c>
      <c r="C1230" s="506" t="s">
        <v>30</v>
      </c>
      <c r="D1230" s="508">
        <v>629736</v>
      </c>
      <c r="E1230" s="507" t="s">
        <v>331</v>
      </c>
    </row>
    <row r="1231" spans="1:5" ht="15" x14ac:dyDescent="0.3">
      <c r="A1231" s="506">
        <v>8973</v>
      </c>
      <c r="B1231" s="507" t="s">
        <v>4602</v>
      </c>
      <c r="C1231" s="506" t="s">
        <v>670</v>
      </c>
      <c r="D1231" s="508">
        <v>23789</v>
      </c>
      <c r="E1231" s="507" t="s">
        <v>6108</v>
      </c>
    </row>
    <row r="1232" spans="1:5" ht="15" x14ac:dyDescent="0.3">
      <c r="A1232" s="506">
        <v>8975</v>
      </c>
      <c r="B1232" s="507" t="s">
        <v>4603</v>
      </c>
      <c r="C1232" s="506" t="s">
        <v>328</v>
      </c>
      <c r="D1232" s="508">
        <v>8502</v>
      </c>
      <c r="E1232" s="507" t="s">
        <v>331</v>
      </c>
    </row>
    <row r="1233" spans="1:5" ht="15" x14ac:dyDescent="0.3">
      <c r="A1233" s="506">
        <v>8978</v>
      </c>
      <c r="B1233" s="507" t="s">
        <v>4604</v>
      </c>
      <c r="C1233" s="506" t="s">
        <v>670</v>
      </c>
      <c r="D1233" s="508">
        <v>2797</v>
      </c>
      <c r="E1233" s="507" t="s">
        <v>331</v>
      </c>
    </row>
    <row r="1234" spans="1:5" ht="15" x14ac:dyDescent="0.3">
      <c r="A1234" s="506">
        <v>8979</v>
      </c>
      <c r="B1234" s="507" t="s">
        <v>4605</v>
      </c>
      <c r="C1234" s="506" t="s">
        <v>30</v>
      </c>
      <c r="D1234" s="508">
        <v>16065</v>
      </c>
      <c r="E1234" s="507" t="s">
        <v>331</v>
      </c>
    </row>
    <row r="1235" spans="1:5" ht="15" x14ac:dyDescent="0.3">
      <c r="A1235" s="506">
        <v>8981</v>
      </c>
      <c r="B1235" s="507" t="s">
        <v>4606</v>
      </c>
      <c r="C1235" s="506" t="s">
        <v>670</v>
      </c>
      <c r="D1235" s="508">
        <v>4526</v>
      </c>
      <c r="E1235" s="507" t="s">
        <v>331</v>
      </c>
    </row>
    <row r="1236" spans="1:5" ht="15" x14ac:dyDescent="0.3">
      <c r="A1236" s="506">
        <v>8983</v>
      </c>
      <c r="B1236" s="507" t="s">
        <v>4607</v>
      </c>
      <c r="C1236" s="506" t="s">
        <v>670</v>
      </c>
      <c r="D1236" s="508">
        <v>7854</v>
      </c>
      <c r="E1236" s="507" t="s">
        <v>331</v>
      </c>
    </row>
    <row r="1237" spans="1:5" ht="15" x14ac:dyDescent="0.3">
      <c r="A1237" s="506">
        <v>8984</v>
      </c>
      <c r="B1237" s="507" t="s">
        <v>4608</v>
      </c>
      <c r="C1237" s="506" t="s">
        <v>670</v>
      </c>
      <c r="D1237" s="508">
        <v>6069</v>
      </c>
      <c r="E1237" s="507" t="s">
        <v>331</v>
      </c>
    </row>
    <row r="1238" spans="1:5" ht="15" x14ac:dyDescent="0.3">
      <c r="A1238" s="506">
        <v>8985</v>
      </c>
      <c r="B1238" s="507" t="s">
        <v>4609</v>
      </c>
      <c r="C1238" s="506" t="s">
        <v>32</v>
      </c>
      <c r="D1238" s="508">
        <v>14042</v>
      </c>
      <c r="E1238" s="507" t="s">
        <v>6108</v>
      </c>
    </row>
    <row r="1239" spans="1:5" ht="15" x14ac:dyDescent="0.3">
      <c r="A1239" s="506">
        <v>8986</v>
      </c>
      <c r="B1239" s="507" t="s">
        <v>4610</v>
      </c>
      <c r="C1239" s="506" t="s">
        <v>32</v>
      </c>
      <c r="D1239" s="508">
        <v>13000</v>
      </c>
      <c r="E1239" s="507" t="s">
        <v>6108</v>
      </c>
    </row>
    <row r="1240" spans="1:5" ht="15" x14ac:dyDescent="0.3">
      <c r="A1240" s="506">
        <v>8987</v>
      </c>
      <c r="B1240" s="507" t="s">
        <v>4611</v>
      </c>
      <c r="C1240" s="506" t="s">
        <v>32</v>
      </c>
      <c r="D1240" s="508">
        <v>36000</v>
      </c>
      <c r="E1240" s="507" t="s">
        <v>6108</v>
      </c>
    </row>
    <row r="1241" spans="1:5" ht="15" x14ac:dyDescent="0.3">
      <c r="A1241" s="506">
        <v>8988</v>
      </c>
      <c r="B1241" s="507" t="s">
        <v>4612</v>
      </c>
      <c r="C1241" s="506" t="s">
        <v>32</v>
      </c>
      <c r="D1241" s="508">
        <v>13550</v>
      </c>
      <c r="E1241" s="507" t="s">
        <v>6108</v>
      </c>
    </row>
    <row r="1242" spans="1:5" ht="15" x14ac:dyDescent="0.3">
      <c r="A1242" s="506">
        <v>8990</v>
      </c>
      <c r="B1242" s="507" t="s">
        <v>4613</v>
      </c>
      <c r="C1242" s="506" t="s">
        <v>32</v>
      </c>
      <c r="D1242" s="508">
        <v>83866</v>
      </c>
      <c r="E1242" s="507" t="s">
        <v>6108</v>
      </c>
    </row>
    <row r="1243" spans="1:5" ht="15" x14ac:dyDescent="0.3">
      <c r="A1243" s="506">
        <v>8993</v>
      </c>
      <c r="B1243" s="507" t="s">
        <v>4614</v>
      </c>
      <c r="C1243" s="506" t="s">
        <v>32</v>
      </c>
      <c r="D1243" s="508">
        <v>535000</v>
      </c>
      <c r="E1243" s="507" t="s">
        <v>6108</v>
      </c>
    </row>
    <row r="1244" spans="1:5" ht="15" x14ac:dyDescent="0.3">
      <c r="A1244" s="506">
        <v>8994</v>
      </c>
      <c r="B1244" s="507" t="s">
        <v>4615</v>
      </c>
      <c r="C1244" s="506" t="s">
        <v>32</v>
      </c>
      <c r="D1244" s="508">
        <v>2100</v>
      </c>
      <c r="E1244" s="507" t="s">
        <v>6108</v>
      </c>
    </row>
    <row r="1245" spans="1:5" ht="15" x14ac:dyDescent="0.3">
      <c r="A1245" s="506">
        <v>8995</v>
      </c>
      <c r="B1245" s="507" t="s">
        <v>4616</v>
      </c>
      <c r="C1245" s="506" t="s">
        <v>32</v>
      </c>
      <c r="D1245" s="508">
        <v>10650</v>
      </c>
      <c r="E1245" s="507" t="s">
        <v>6108</v>
      </c>
    </row>
    <row r="1246" spans="1:5" ht="15" x14ac:dyDescent="0.3">
      <c r="A1246" s="506">
        <v>8996</v>
      </c>
      <c r="B1246" s="507" t="s">
        <v>4617</v>
      </c>
      <c r="C1246" s="506" t="s">
        <v>32</v>
      </c>
      <c r="D1246" s="508">
        <v>397100</v>
      </c>
      <c r="E1246" s="507" t="s">
        <v>6108</v>
      </c>
    </row>
    <row r="1247" spans="1:5" ht="15" x14ac:dyDescent="0.3">
      <c r="A1247" s="506">
        <v>8997</v>
      </c>
      <c r="B1247" s="507" t="s">
        <v>4618</v>
      </c>
      <c r="C1247" s="506" t="s">
        <v>32</v>
      </c>
      <c r="D1247" s="508">
        <v>49980</v>
      </c>
      <c r="E1247" s="507" t="s">
        <v>6108</v>
      </c>
    </row>
    <row r="1248" spans="1:5" ht="15" x14ac:dyDescent="0.3">
      <c r="A1248" s="506">
        <v>9000</v>
      </c>
      <c r="B1248" s="507" t="s">
        <v>4619</v>
      </c>
      <c r="C1248" s="506" t="s">
        <v>32</v>
      </c>
      <c r="D1248" s="508">
        <v>219350</v>
      </c>
      <c r="E1248" s="507" t="s">
        <v>6108</v>
      </c>
    </row>
    <row r="1249" spans="1:5" ht="15" x14ac:dyDescent="0.3">
      <c r="A1249" s="506">
        <v>9001</v>
      </c>
      <c r="B1249" s="507" t="s">
        <v>4620</v>
      </c>
      <c r="C1249" s="506" t="s">
        <v>32</v>
      </c>
      <c r="D1249" s="508">
        <v>211820</v>
      </c>
      <c r="E1249" s="507" t="s">
        <v>6108</v>
      </c>
    </row>
    <row r="1250" spans="1:5" ht="15" x14ac:dyDescent="0.3">
      <c r="A1250" s="506">
        <v>9003</v>
      </c>
      <c r="B1250" s="507" t="s">
        <v>4621</v>
      </c>
      <c r="C1250" s="506" t="s">
        <v>32</v>
      </c>
      <c r="D1250" s="508">
        <v>4850</v>
      </c>
      <c r="E1250" s="507" t="s">
        <v>6108</v>
      </c>
    </row>
    <row r="1251" spans="1:5" ht="15" x14ac:dyDescent="0.3">
      <c r="A1251" s="506">
        <v>9004</v>
      </c>
      <c r="B1251" s="507" t="s">
        <v>4622</v>
      </c>
      <c r="C1251" s="506" t="s">
        <v>328</v>
      </c>
      <c r="D1251" s="508">
        <v>264187</v>
      </c>
      <c r="E1251" s="507" t="s">
        <v>331</v>
      </c>
    </row>
    <row r="1252" spans="1:5" ht="15" x14ac:dyDescent="0.3">
      <c r="A1252" s="506">
        <v>9005</v>
      </c>
      <c r="B1252" s="507" t="s">
        <v>4623</v>
      </c>
      <c r="C1252" s="506" t="s">
        <v>328</v>
      </c>
      <c r="D1252" s="508">
        <v>565393</v>
      </c>
      <c r="E1252" s="507" t="s">
        <v>331</v>
      </c>
    </row>
    <row r="1253" spans="1:5" ht="15" x14ac:dyDescent="0.3">
      <c r="A1253" s="506">
        <v>9006</v>
      </c>
      <c r="B1253" s="507" t="s">
        <v>4624</v>
      </c>
      <c r="C1253" s="506" t="s">
        <v>328</v>
      </c>
      <c r="D1253" s="508">
        <v>702094</v>
      </c>
      <c r="E1253" s="507" t="s">
        <v>331</v>
      </c>
    </row>
    <row r="1254" spans="1:5" ht="15" x14ac:dyDescent="0.3">
      <c r="A1254" s="506">
        <v>9007</v>
      </c>
      <c r="B1254" s="507" t="s">
        <v>4625</v>
      </c>
      <c r="C1254" s="506" t="s">
        <v>328</v>
      </c>
      <c r="D1254" s="508">
        <v>827658</v>
      </c>
      <c r="E1254" s="507" t="s">
        <v>331</v>
      </c>
    </row>
    <row r="1255" spans="1:5" ht="15" x14ac:dyDescent="0.3">
      <c r="A1255" s="506">
        <v>9034</v>
      </c>
      <c r="B1255" s="507" t="s">
        <v>4626</v>
      </c>
      <c r="C1255" s="506" t="s">
        <v>32</v>
      </c>
      <c r="D1255" s="508">
        <v>207510</v>
      </c>
      <c r="E1255" s="507" t="s">
        <v>6108</v>
      </c>
    </row>
    <row r="1256" spans="1:5" ht="15" x14ac:dyDescent="0.3">
      <c r="A1256" s="506">
        <v>9035</v>
      </c>
      <c r="B1256" s="507" t="s">
        <v>4627</v>
      </c>
      <c r="C1256" s="506" t="s">
        <v>32</v>
      </c>
      <c r="D1256" s="508">
        <v>224602</v>
      </c>
      <c r="E1256" s="507" t="s">
        <v>6108</v>
      </c>
    </row>
    <row r="1257" spans="1:5" ht="15" x14ac:dyDescent="0.3">
      <c r="A1257" s="506">
        <v>9036</v>
      </c>
      <c r="B1257" s="507" t="s">
        <v>4628</v>
      </c>
      <c r="C1257" s="506" t="s">
        <v>32</v>
      </c>
      <c r="D1257" s="508">
        <v>61289</v>
      </c>
      <c r="E1257" s="507" t="s">
        <v>6108</v>
      </c>
    </row>
    <row r="1258" spans="1:5" ht="15" x14ac:dyDescent="0.3">
      <c r="A1258" s="506">
        <v>9037</v>
      </c>
      <c r="B1258" s="507" t="s">
        <v>4629</v>
      </c>
      <c r="C1258" s="506" t="s">
        <v>32</v>
      </c>
      <c r="D1258" s="508">
        <v>25055</v>
      </c>
      <c r="E1258" s="507" t="s">
        <v>331</v>
      </c>
    </row>
    <row r="1259" spans="1:5" ht="15" x14ac:dyDescent="0.3">
      <c r="A1259" s="506">
        <v>9038</v>
      </c>
      <c r="B1259" s="507" t="s">
        <v>4630</v>
      </c>
      <c r="C1259" s="506" t="s">
        <v>32</v>
      </c>
      <c r="D1259" s="508">
        <v>4121575</v>
      </c>
      <c r="E1259" s="507" t="s">
        <v>6108</v>
      </c>
    </row>
    <row r="1260" spans="1:5" ht="15" x14ac:dyDescent="0.3">
      <c r="A1260" s="506">
        <v>9043</v>
      </c>
      <c r="B1260" s="507" t="s">
        <v>4631</v>
      </c>
      <c r="C1260" s="506" t="s">
        <v>21</v>
      </c>
      <c r="D1260" s="508">
        <v>19493</v>
      </c>
      <c r="E1260" s="507" t="s">
        <v>6108</v>
      </c>
    </row>
    <row r="1261" spans="1:5" ht="15" x14ac:dyDescent="0.3">
      <c r="A1261" s="506">
        <v>9044</v>
      </c>
      <c r="B1261" s="507" t="s">
        <v>4632</v>
      </c>
      <c r="C1261" s="506" t="s">
        <v>21</v>
      </c>
      <c r="D1261" s="508">
        <v>23991</v>
      </c>
      <c r="E1261" s="507" t="s">
        <v>6108</v>
      </c>
    </row>
    <row r="1262" spans="1:5" ht="15" x14ac:dyDescent="0.3">
      <c r="A1262" s="506">
        <v>9048</v>
      </c>
      <c r="B1262" s="507" t="s">
        <v>4633</v>
      </c>
      <c r="C1262" s="506" t="s">
        <v>32</v>
      </c>
      <c r="D1262" s="508">
        <v>568502</v>
      </c>
      <c r="E1262" s="507" t="s">
        <v>6108</v>
      </c>
    </row>
    <row r="1263" spans="1:5" ht="15" x14ac:dyDescent="0.3">
      <c r="A1263" s="506">
        <v>9050</v>
      </c>
      <c r="B1263" s="507" t="s">
        <v>4634</v>
      </c>
      <c r="C1263" s="506" t="s">
        <v>32</v>
      </c>
      <c r="D1263" s="508">
        <v>573861</v>
      </c>
      <c r="E1263" s="507" t="s">
        <v>6108</v>
      </c>
    </row>
    <row r="1264" spans="1:5" ht="15" x14ac:dyDescent="0.3">
      <c r="A1264" s="506">
        <v>9054</v>
      </c>
      <c r="B1264" s="507" t="s">
        <v>4635</v>
      </c>
      <c r="C1264" s="506" t="s">
        <v>21</v>
      </c>
      <c r="D1264" s="508">
        <v>344300</v>
      </c>
      <c r="E1264" s="507" t="s">
        <v>6108</v>
      </c>
    </row>
    <row r="1265" spans="1:5" ht="15" x14ac:dyDescent="0.3">
      <c r="A1265" s="506">
        <v>9056</v>
      </c>
      <c r="B1265" s="507" t="s">
        <v>4636</v>
      </c>
      <c r="C1265" s="506" t="s">
        <v>21</v>
      </c>
      <c r="D1265" s="508">
        <v>646281</v>
      </c>
      <c r="E1265" s="507" t="s">
        <v>6108</v>
      </c>
    </row>
    <row r="1266" spans="1:5" ht="15" x14ac:dyDescent="0.3">
      <c r="A1266" s="506">
        <v>9057</v>
      </c>
      <c r="B1266" s="507" t="s">
        <v>4637</v>
      </c>
      <c r="C1266" s="506" t="s">
        <v>21</v>
      </c>
      <c r="D1266" s="508">
        <v>314800</v>
      </c>
      <c r="E1266" s="507" t="s">
        <v>6108</v>
      </c>
    </row>
    <row r="1267" spans="1:5" ht="15" x14ac:dyDescent="0.3">
      <c r="A1267" s="506">
        <v>9061</v>
      </c>
      <c r="B1267" s="507" t="s">
        <v>4638</v>
      </c>
      <c r="C1267" s="506" t="s">
        <v>21</v>
      </c>
      <c r="D1267" s="508">
        <v>460104</v>
      </c>
      <c r="E1267" s="507" t="s">
        <v>331</v>
      </c>
    </row>
    <row r="1268" spans="1:5" ht="15" x14ac:dyDescent="0.3">
      <c r="A1268" s="506">
        <v>9062</v>
      </c>
      <c r="B1268" s="507" t="s">
        <v>4639</v>
      </c>
      <c r="C1268" s="506" t="s">
        <v>32</v>
      </c>
      <c r="D1268" s="508">
        <v>435667</v>
      </c>
      <c r="E1268" s="507" t="s">
        <v>6108</v>
      </c>
    </row>
    <row r="1269" spans="1:5" ht="15" x14ac:dyDescent="0.3">
      <c r="A1269" s="506">
        <v>9084</v>
      </c>
      <c r="B1269" s="507" t="s">
        <v>4640</v>
      </c>
      <c r="C1269" s="506" t="s">
        <v>254</v>
      </c>
      <c r="D1269" s="508">
        <v>3584000</v>
      </c>
      <c r="E1269" s="507" t="s">
        <v>6109</v>
      </c>
    </row>
    <row r="1270" spans="1:5" ht="15" x14ac:dyDescent="0.3">
      <c r="A1270" s="506">
        <v>9085</v>
      </c>
      <c r="B1270" s="507" t="s">
        <v>4641</v>
      </c>
      <c r="C1270" s="506" t="s">
        <v>254</v>
      </c>
      <c r="D1270" s="508">
        <v>3150000</v>
      </c>
      <c r="E1270" s="507" t="s">
        <v>6109</v>
      </c>
    </row>
    <row r="1271" spans="1:5" ht="15" x14ac:dyDescent="0.3">
      <c r="A1271" s="506">
        <v>9086</v>
      </c>
      <c r="B1271" s="507" t="s">
        <v>4642</v>
      </c>
      <c r="C1271" s="506" t="s">
        <v>254</v>
      </c>
      <c r="D1271" s="508">
        <v>3303000</v>
      </c>
      <c r="E1271" s="507" t="s">
        <v>6109</v>
      </c>
    </row>
    <row r="1272" spans="1:5" ht="15" x14ac:dyDescent="0.3">
      <c r="A1272" s="506">
        <v>9087</v>
      </c>
      <c r="B1272" s="507" t="s">
        <v>4643</v>
      </c>
      <c r="C1272" s="506" t="s">
        <v>254</v>
      </c>
      <c r="D1272" s="508">
        <v>2670000</v>
      </c>
      <c r="E1272" s="507" t="s">
        <v>6109</v>
      </c>
    </row>
    <row r="1273" spans="1:5" ht="15" x14ac:dyDescent="0.3">
      <c r="A1273" s="506">
        <v>9088</v>
      </c>
      <c r="B1273" s="507" t="s">
        <v>4644</v>
      </c>
      <c r="C1273" s="506" t="s">
        <v>254</v>
      </c>
      <c r="D1273" s="508">
        <v>3736000</v>
      </c>
      <c r="E1273" s="507" t="s">
        <v>6109</v>
      </c>
    </row>
    <row r="1274" spans="1:5" ht="15" x14ac:dyDescent="0.3">
      <c r="A1274" s="506">
        <v>9089</v>
      </c>
      <c r="B1274" s="507" t="s">
        <v>4645</v>
      </c>
      <c r="C1274" s="506" t="s">
        <v>254</v>
      </c>
      <c r="D1274" s="508">
        <v>3310000</v>
      </c>
      <c r="E1274" s="507" t="s">
        <v>6109</v>
      </c>
    </row>
    <row r="1275" spans="1:5" ht="15" x14ac:dyDescent="0.3">
      <c r="A1275" s="506">
        <v>9090</v>
      </c>
      <c r="B1275" s="507" t="s">
        <v>4646</v>
      </c>
      <c r="C1275" s="506" t="s">
        <v>254</v>
      </c>
      <c r="D1275" s="508">
        <v>2316000</v>
      </c>
      <c r="E1275" s="507" t="s">
        <v>6109</v>
      </c>
    </row>
    <row r="1276" spans="1:5" ht="15" x14ac:dyDescent="0.3">
      <c r="A1276" s="506">
        <v>9091</v>
      </c>
      <c r="B1276" s="507" t="s">
        <v>4647</v>
      </c>
      <c r="C1276" s="506" t="s">
        <v>254</v>
      </c>
      <c r="D1276" s="508">
        <v>4690453</v>
      </c>
      <c r="E1276" s="507" t="s">
        <v>6109</v>
      </c>
    </row>
    <row r="1277" spans="1:5" ht="15" x14ac:dyDescent="0.3">
      <c r="A1277" s="506">
        <v>9092</v>
      </c>
      <c r="B1277" s="507" t="s">
        <v>4648</v>
      </c>
      <c r="C1277" s="506" t="s">
        <v>254</v>
      </c>
      <c r="D1277" s="508">
        <v>3264239</v>
      </c>
      <c r="E1277" s="507" t="s">
        <v>6109</v>
      </c>
    </row>
    <row r="1278" spans="1:5" ht="15" x14ac:dyDescent="0.3">
      <c r="A1278" s="506">
        <v>9093</v>
      </c>
      <c r="B1278" s="507" t="s">
        <v>4649</v>
      </c>
      <c r="C1278" s="506" t="s">
        <v>254</v>
      </c>
      <c r="D1278" s="508">
        <v>2718000</v>
      </c>
      <c r="E1278" s="507" t="s">
        <v>6109</v>
      </c>
    </row>
    <row r="1279" spans="1:5" ht="15" x14ac:dyDescent="0.3">
      <c r="A1279" s="506">
        <v>9094</v>
      </c>
      <c r="B1279" s="507" t="s">
        <v>4650</v>
      </c>
      <c r="C1279" s="506" t="s">
        <v>254</v>
      </c>
      <c r="D1279" s="508">
        <v>2447000</v>
      </c>
      <c r="E1279" s="507" t="s">
        <v>6109</v>
      </c>
    </row>
    <row r="1280" spans="1:5" ht="15" x14ac:dyDescent="0.3">
      <c r="A1280" s="506">
        <v>9095</v>
      </c>
      <c r="B1280" s="507" t="s">
        <v>4651</v>
      </c>
      <c r="C1280" s="506" t="s">
        <v>254</v>
      </c>
      <c r="D1280" s="508">
        <v>3064000</v>
      </c>
      <c r="E1280" s="507" t="s">
        <v>6109</v>
      </c>
    </row>
    <row r="1281" spans="1:5" ht="15" x14ac:dyDescent="0.3">
      <c r="A1281" s="506">
        <v>9096</v>
      </c>
      <c r="B1281" s="507" t="s">
        <v>4652</v>
      </c>
      <c r="C1281" s="506" t="s">
        <v>254</v>
      </c>
      <c r="D1281" s="508">
        <v>3736000</v>
      </c>
      <c r="E1281" s="507" t="s">
        <v>6109</v>
      </c>
    </row>
    <row r="1282" spans="1:5" ht="15" x14ac:dyDescent="0.3">
      <c r="A1282" s="506">
        <v>9097</v>
      </c>
      <c r="B1282" s="507" t="s">
        <v>4653</v>
      </c>
      <c r="C1282" s="506" t="s">
        <v>254</v>
      </c>
      <c r="D1282" s="508">
        <v>3064000</v>
      </c>
      <c r="E1282" s="507" t="s">
        <v>6109</v>
      </c>
    </row>
    <row r="1283" spans="1:5" ht="15" x14ac:dyDescent="0.3">
      <c r="A1283" s="506">
        <v>9098</v>
      </c>
      <c r="B1283" s="507" t="s">
        <v>4654</v>
      </c>
      <c r="C1283" s="506" t="s">
        <v>254</v>
      </c>
      <c r="D1283" s="508">
        <v>2316000</v>
      </c>
      <c r="E1283" s="507" t="s">
        <v>6109</v>
      </c>
    </row>
    <row r="1284" spans="1:5" ht="15" x14ac:dyDescent="0.3">
      <c r="A1284" s="506">
        <v>9099</v>
      </c>
      <c r="B1284" s="507" t="s">
        <v>4655</v>
      </c>
      <c r="C1284" s="506" t="s">
        <v>254</v>
      </c>
      <c r="D1284" s="508">
        <v>2018000</v>
      </c>
      <c r="E1284" s="507" t="s">
        <v>6109</v>
      </c>
    </row>
    <row r="1285" spans="1:5" ht="15" x14ac:dyDescent="0.3">
      <c r="A1285" s="506">
        <v>9100</v>
      </c>
      <c r="B1285" s="507" t="s">
        <v>4656</v>
      </c>
      <c r="C1285" s="506" t="s">
        <v>254</v>
      </c>
      <c r="D1285" s="508">
        <v>1750905</v>
      </c>
      <c r="E1285" s="507" t="s">
        <v>6109</v>
      </c>
    </row>
    <row r="1286" spans="1:5" ht="15" x14ac:dyDescent="0.3">
      <c r="A1286" s="506">
        <v>9101</v>
      </c>
      <c r="B1286" s="507" t="s">
        <v>4657</v>
      </c>
      <c r="C1286" s="506" t="s">
        <v>254</v>
      </c>
      <c r="D1286" s="508">
        <v>4488000</v>
      </c>
      <c r="E1286" s="507" t="s">
        <v>6109</v>
      </c>
    </row>
    <row r="1287" spans="1:5" ht="15" x14ac:dyDescent="0.3">
      <c r="A1287" s="506">
        <v>9102</v>
      </c>
      <c r="B1287" s="507" t="s">
        <v>4658</v>
      </c>
      <c r="C1287" s="506" t="s">
        <v>254</v>
      </c>
      <c r="D1287" s="508">
        <v>3479000</v>
      </c>
      <c r="E1287" s="507" t="s">
        <v>6109</v>
      </c>
    </row>
    <row r="1288" spans="1:5" ht="15" x14ac:dyDescent="0.3">
      <c r="A1288" s="506">
        <v>9103</v>
      </c>
      <c r="B1288" s="507" t="s">
        <v>4659</v>
      </c>
      <c r="C1288" s="506" t="s">
        <v>254</v>
      </c>
      <c r="D1288" s="508">
        <v>2481000</v>
      </c>
      <c r="E1288" s="507" t="s">
        <v>6109</v>
      </c>
    </row>
    <row r="1289" spans="1:5" ht="15" x14ac:dyDescent="0.3">
      <c r="A1289" s="506">
        <v>9104</v>
      </c>
      <c r="B1289" s="507" t="s">
        <v>4660</v>
      </c>
      <c r="C1289" s="506" t="s">
        <v>254</v>
      </c>
      <c r="D1289" s="508">
        <v>2018000</v>
      </c>
      <c r="E1289" s="507" t="s">
        <v>6109</v>
      </c>
    </row>
    <row r="1290" spans="1:5" ht="15" x14ac:dyDescent="0.3">
      <c r="A1290" s="506">
        <v>9105</v>
      </c>
      <c r="B1290" s="507" t="s">
        <v>4661</v>
      </c>
      <c r="C1290" s="506" t="s">
        <v>254</v>
      </c>
      <c r="D1290" s="508">
        <v>1750905</v>
      </c>
      <c r="E1290" s="507" t="s">
        <v>6109</v>
      </c>
    </row>
    <row r="1291" spans="1:5" ht="15" x14ac:dyDescent="0.3">
      <c r="A1291" s="506">
        <v>9107</v>
      </c>
      <c r="B1291" s="507" t="s">
        <v>4662</v>
      </c>
      <c r="C1291" s="506" t="s">
        <v>254</v>
      </c>
      <c r="D1291" s="508">
        <v>17387000</v>
      </c>
      <c r="E1291" s="507" t="s">
        <v>6109</v>
      </c>
    </row>
    <row r="1292" spans="1:5" ht="15" x14ac:dyDescent="0.3">
      <c r="A1292" s="506">
        <v>9108</v>
      </c>
      <c r="B1292" s="507" t="s">
        <v>4663</v>
      </c>
      <c r="C1292" s="506" t="s">
        <v>254</v>
      </c>
      <c r="D1292" s="508">
        <v>13251000</v>
      </c>
      <c r="E1292" s="507" t="s">
        <v>6109</v>
      </c>
    </row>
    <row r="1293" spans="1:5" ht="15" x14ac:dyDescent="0.3">
      <c r="A1293" s="506">
        <v>9109</v>
      </c>
      <c r="B1293" s="507" t="s">
        <v>4664</v>
      </c>
      <c r="C1293" s="506" t="s">
        <v>254</v>
      </c>
      <c r="D1293" s="508">
        <v>11183000</v>
      </c>
      <c r="E1293" s="507" t="s">
        <v>6109</v>
      </c>
    </row>
    <row r="1294" spans="1:5" ht="15" x14ac:dyDescent="0.3">
      <c r="A1294" s="506">
        <v>9110</v>
      </c>
      <c r="B1294" s="507" t="s">
        <v>4665</v>
      </c>
      <c r="C1294" s="506" t="s">
        <v>254</v>
      </c>
      <c r="D1294" s="508">
        <v>9522000</v>
      </c>
      <c r="E1294" s="507" t="s">
        <v>6109</v>
      </c>
    </row>
    <row r="1295" spans="1:5" ht="15" x14ac:dyDescent="0.3">
      <c r="A1295" s="506">
        <v>9111</v>
      </c>
      <c r="B1295" s="507" t="s">
        <v>4666</v>
      </c>
      <c r="C1295" s="506" t="s">
        <v>254</v>
      </c>
      <c r="D1295" s="508">
        <v>8589000</v>
      </c>
      <c r="E1295" s="507" t="s">
        <v>6109</v>
      </c>
    </row>
    <row r="1296" spans="1:5" ht="15" x14ac:dyDescent="0.3">
      <c r="A1296" s="506">
        <v>9112</v>
      </c>
      <c r="B1296" s="507" t="s">
        <v>4667</v>
      </c>
      <c r="C1296" s="506" t="s">
        <v>254</v>
      </c>
      <c r="D1296" s="508">
        <v>7659000</v>
      </c>
      <c r="E1296" s="507" t="s">
        <v>6109</v>
      </c>
    </row>
    <row r="1297" spans="1:5" ht="15" x14ac:dyDescent="0.3">
      <c r="A1297" s="506">
        <v>9113</v>
      </c>
      <c r="B1297" s="507" t="s">
        <v>4668</v>
      </c>
      <c r="C1297" s="506" t="s">
        <v>254</v>
      </c>
      <c r="D1297" s="508">
        <v>5791000</v>
      </c>
      <c r="E1297" s="507" t="s">
        <v>6109</v>
      </c>
    </row>
    <row r="1298" spans="1:5" ht="15" x14ac:dyDescent="0.3">
      <c r="A1298" s="506">
        <v>9116</v>
      </c>
      <c r="B1298" s="507" t="s">
        <v>4669</v>
      </c>
      <c r="C1298" s="506" t="s">
        <v>3582</v>
      </c>
      <c r="D1298" s="508">
        <v>268000</v>
      </c>
      <c r="E1298" s="507" t="s">
        <v>6109</v>
      </c>
    </row>
    <row r="1299" spans="1:5" ht="15" x14ac:dyDescent="0.3">
      <c r="A1299" s="506">
        <v>9117</v>
      </c>
      <c r="B1299" s="507" t="s">
        <v>4670</v>
      </c>
      <c r="C1299" s="506" t="s">
        <v>254</v>
      </c>
      <c r="D1299" s="508">
        <v>7732000</v>
      </c>
      <c r="E1299" s="507" t="s">
        <v>6109</v>
      </c>
    </row>
    <row r="1300" spans="1:5" ht="15" x14ac:dyDescent="0.3">
      <c r="A1300" s="506">
        <v>9118</v>
      </c>
      <c r="B1300" s="507" t="s">
        <v>4671</v>
      </c>
      <c r="C1300" s="506" t="s">
        <v>3582</v>
      </c>
      <c r="D1300" s="508">
        <v>461000</v>
      </c>
      <c r="E1300" s="507" t="s">
        <v>6109</v>
      </c>
    </row>
    <row r="1301" spans="1:5" ht="15" x14ac:dyDescent="0.3">
      <c r="A1301" s="506">
        <v>9119</v>
      </c>
      <c r="B1301" s="507" t="s">
        <v>4672</v>
      </c>
      <c r="C1301" s="506" t="s">
        <v>254</v>
      </c>
      <c r="D1301" s="508">
        <v>13668000</v>
      </c>
      <c r="E1301" s="507" t="s">
        <v>6109</v>
      </c>
    </row>
    <row r="1302" spans="1:5" ht="15" x14ac:dyDescent="0.3">
      <c r="A1302" s="506">
        <v>9120</v>
      </c>
      <c r="B1302" s="507" t="s">
        <v>4673</v>
      </c>
      <c r="C1302" s="506" t="s">
        <v>3582</v>
      </c>
      <c r="D1302" s="508">
        <v>329000</v>
      </c>
      <c r="E1302" s="507" t="s">
        <v>6109</v>
      </c>
    </row>
    <row r="1303" spans="1:5" ht="15" x14ac:dyDescent="0.3">
      <c r="A1303" s="506">
        <v>9121</v>
      </c>
      <c r="B1303" s="507" t="s">
        <v>4674</v>
      </c>
      <c r="C1303" s="506" t="s">
        <v>254</v>
      </c>
      <c r="D1303" s="508">
        <v>9921000</v>
      </c>
      <c r="E1303" s="507" t="s">
        <v>6109</v>
      </c>
    </row>
    <row r="1304" spans="1:5" ht="15" x14ac:dyDescent="0.3">
      <c r="A1304" s="506">
        <v>9122</v>
      </c>
      <c r="B1304" s="507" t="s">
        <v>4675</v>
      </c>
      <c r="C1304" s="506" t="s">
        <v>3582</v>
      </c>
      <c r="D1304" s="508">
        <v>50353</v>
      </c>
      <c r="E1304" s="507" t="s">
        <v>6109</v>
      </c>
    </row>
    <row r="1305" spans="1:5" ht="15" x14ac:dyDescent="0.3">
      <c r="A1305" s="506">
        <v>9123</v>
      </c>
      <c r="B1305" s="507" t="s">
        <v>4676</v>
      </c>
      <c r="C1305" s="506" t="s">
        <v>254</v>
      </c>
      <c r="D1305" s="508">
        <v>1516361</v>
      </c>
      <c r="E1305" s="507" t="s">
        <v>6109</v>
      </c>
    </row>
    <row r="1306" spans="1:5" ht="15" x14ac:dyDescent="0.3">
      <c r="A1306" s="506">
        <v>9143</v>
      </c>
      <c r="B1306" s="507" t="s">
        <v>6282</v>
      </c>
      <c r="C1306" s="506" t="s">
        <v>32</v>
      </c>
      <c r="D1306" s="508">
        <v>65142</v>
      </c>
      <c r="E1306" s="507" t="s">
        <v>6108</v>
      </c>
    </row>
    <row r="1307" spans="1:5" ht="15" x14ac:dyDescent="0.3">
      <c r="A1307" s="506">
        <v>9144</v>
      </c>
      <c r="B1307" s="507" t="s">
        <v>4677</v>
      </c>
      <c r="C1307" s="506" t="s">
        <v>32</v>
      </c>
      <c r="D1307" s="508">
        <v>690200</v>
      </c>
      <c r="E1307" s="507" t="s">
        <v>6108</v>
      </c>
    </row>
    <row r="1308" spans="1:5" ht="15" x14ac:dyDescent="0.3">
      <c r="A1308" s="506">
        <v>9145</v>
      </c>
      <c r="B1308" s="507" t="s">
        <v>4678</v>
      </c>
      <c r="C1308" s="506" t="s">
        <v>32</v>
      </c>
      <c r="D1308" s="508">
        <v>690200</v>
      </c>
      <c r="E1308" s="507" t="s">
        <v>6108</v>
      </c>
    </row>
    <row r="1309" spans="1:5" ht="15" x14ac:dyDescent="0.3">
      <c r="A1309" s="506">
        <v>9146</v>
      </c>
      <c r="B1309" s="507" t="s">
        <v>4679</v>
      </c>
      <c r="C1309" s="506" t="s">
        <v>32</v>
      </c>
      <c r="D1309" s="508">
        <v>18269861</v>
      </c>
      <c r="E1309" s="507" t="s">
        <v>6108</v>
      </c>
    </row>
    <row r="1310" spans="1:5" ht="15" x14ac:dyDescent="0.3">
      <c r="A1310" s="506">
        <v>9147</v>
      </c>
      <c r="B1310" s="507" t="s">
        <v>4680</v>
      </c>
      <c r="C1310" s="506" t="s">
        <v>32</v>
      </c>
      <c r="D1310" s="508">
        <v>2049158</v>
      </c>
      <c r="E1310" s="507" t="s">
        <v>6108</v>
      </c>
    </row>
    <row r="1311" spans="1:5" ht="15" x14ac:dyDescent="0.3">
      <c r="A1311" s="506">
        <v>9148</v>
      </c>
      <c r="B1311" s="507" t="s">
        <v>4681</v>
      </c>
      <c r="C1311" s="506" t="s">
        <v>254</v>
      </c>
      <c r="D1311" s="508">
        <v>4350413</v>
      </c>
      <c r="E1311" s="507" t="s">
        <v>331</v>
      </c>
    </row>
    <row r="1312" spans="1:5" ht="15" x14ac:dyDescent="0.3">
      <c r="A1312" s="506">
        <v>9159</v>
      </c>
      <c r="B1312" s="507" t="s">
        <v>4682</v>
      </c>
      <c r="C1312" s="506" t="s">
        <v>3528</v>
      </c>
      <c r="D1312" s="508">
        <v>228300</v>
      </c>
      <c r="E1312" s="507" t="s">
        <v>6108</v>
      </c>
    </row>
    <row r="1313" spans="1:5" ht="15" x14ac:dyDescent="0.3">
      <c r="A1313" s="506">
        <v>9164</v>
      </c>
      <c r="B1313" s="507" t="s">
        <v>6283</v>
      </c>
      <c r="C1313" s="506" t="s">
        <v>3582</v>
      </c>
      <c r="D1313" s="508">
        <v>416000</v>
      </c>
      <c r="E1313" s="507" t="s">
        <v>6109</v>
      </c>
    </row>
    <row r="1314" spans="1:5" ht="15" x14ac:dyDescent="0.3">
      <c r="A1314" s="506">
        <v>9165</v>
      </c>
      <c r="B1314" s="507" t="s">
        <v>6284</v>
      </c>
      <c r="C1314" s="506" t="s">
        <v>254</v>
      </c>
      <c r="D1314" s="508">
        <v>8778000</v>
      </c>
      <c r="E1314" s="507" t="s">
        <v>6109</v>
      </c>
    </row>
    <row r="1315" spans="1:5" ht="15" x14ac:dyDescent="0.3">
      <c r="A1315" s="506">
        <v>9166</v>
      </c>
      <c r="B1315" s="507" t="s">
        <v>6285</v>
      </c>
      <c r="C1315" s="506" t="s">
        <v>254</v>
      </c>
      <c r="D1315" s="508">
        <v>12539000</v>
      </c>
      <c r="E1315" s="507" t="s">
        <v>6109</v>
      </c>
    </row>
    <row r="1316" spans="1:5" ht="15" x14ac:dyDescent="0.3">
      <c r="A1316" s="506">
        <v>9167</v>
      </c>
      <c r="B1316" s="507" t="s">
        <v>6286</v>
      </c>
      <c r="C1316" s="506" t="s">
        <v>3582</v>
      </c>
      <c r="D1316" s="508">
        <v>570000</v>
      </c>
      <c r="E1316" s="507" t="s">
        <v>6109</v>
      </c>
    </row>
    <row r="1317" spans="1:5" ht="15" x14ac:dyDescent="0.3">
      <c r="A1317" s="506">
        <v>9168</v>
      </c>
      <c r="B1317" s="507" t="s">
        <v>6287</v>
      </c>
      <c r="C1317" s="506" t="s">
        <v>254</v>
      </c>
      <c r="D1317" s="508">
        <v>17061000</v>
      </c>
      <c r="E1317" s="507" t="s">
        <v>6109</v>
      </c>
    </row>
    <row r="1318" spans="1:5" ht="15" x14ac:dyDescent="0.3">
      <c r="A1318" s="506">
        <v>9169</v>
      </c>
      <c r="B1318" s="507" t="s">
        <v>4683</v>
      </c>
      <c r="C1318" s="506" t="s">
        <v>32</v>
      </c>
      <c r="D1318" s="508">
        <v>32503</v>
      </c>
      <c r="E1318" s="507" t="s">
        <v>6108</v>
      </c>
    </row>
    <row r="1319" spans="1:5" ht="15" x14ac:dyDescent="0.3">
      <c r="A1319" s="506">
        <v>9170</v>
      </c>
      <c r="B1319" s="507" t="s">
        <v>4684</v>
      </c>
      <c r="C1319" s="506" t="s">
        <v>670</v>
      </c>
      <c r="D1319" s="508">
        <v>10895</v>
      </c>
      <c r="E1319" s="507" t="s">
        <v>331</v>
      </c>
    </row>
    <row r="1320" spans="1:5" ht="15" x14ac:dyDescent="0.3">
      <c r="A1320" s="506">
        <v>9171</v>
      </c>
      <c r="B1320" s="507" t="s">
        <v>4685</v>
      </c>
      <c r="C1320" s="506" t="s">
        <v>670</v>
      </c>
      <c r="D1320" s="508">
        <v>9433</v>
      </c>
      <c r="E1320" s="507" t="s">
        <v>331</v>
      </c>
    </row>
    <row r="1321" spans="1:5" ht="15" x14ac:dyDescent="0.3">
      <c r="A1321" s="506">
        <v>9172</v>
      </c>
      <c r="B1321" s="507" t="s">
        <v>6288</v>
      </c>
      <c r="C1321" s="506" t="s">
        <v>1455</v>
      </c>
      <c r="D1321" s="508">
        <v>720000</v>
      </c>
      <c r="E1321" s="507" t="s">
        <v>331</v>
      </c>
    </row>
    <row r="1322" spans="1:5" ht="15" x14ac:dyDescent="0.3">
      <c r="A1322" s="506">
        <v>9176</v>
      </c>
      <c r="B1322" s="507" t="s">
        <v>4686</v>
      </c>
      <c r="C1322" s="506" t="s">
        <v>254</v>
      </c>
      <c r="D1322" s="508">
        <v>829835</v>
      </c>
      <c r="E1322" s="507" t="s">
        <v>6108</v>
      </c>
    </row>
    <row r="1323" spans="1:5" ht="15" x14ac:dyDescent="0.3">
      <c r="A1323" s="506">
        <v>9184</v>
      </c>
      <c r="B1323" s="507" t="s">
        <v>4687</v>
      </c>
      <c r="C1323" s="506" t="s">
        <v>32</v>
      </c>
      <c r="D1323" s="508">
        <v>435667</v>
      </c>
      <c r="E1323" s="507" t="s">
        <v>6108</v>
      </c>
    </row>
    <row r="1324" spans="1:5" ht="15" x14ac:dyDescent="0.3">
      <c r="A1324" s="506">
        <v>9185</v>
      </c>
      <c r="B1324" s="507" t="s">
        <v>4688</v>
      </c>
      <c r="C1324" s="506" t="s">
        <v>32</v>
      </c>
      <c r="D1324" s="508">
        <v>6131297</v>
      </c>
      <c r="E1324" s="507" t="s">
        <v>6108</v>
      </c>
    </row>
    <row r="1325" spans="1:5" ht="15" x14ac:dyDescent="0.3">
      <c r="A1325" s="506">
        <v>9186</v>
      </c>
      <c r="B1325" s="507" t="s">
        <v>4689</v>
      </c>
      <c r="C1325" s="506" t="s">
        <v>32</v>
      </c>
      <c r="D1325" s="508">
        <v>8033015</v>
      </c>
      <c r="E1325" s="507" t="s">
        <v>6108</v>
      </c>
    </row>
    <row r="1326" spans="1:5" ht="15" x14ac:dyDescent="0.3">
      <c r="A1326" s="506">
        <v>9187</v>
      </c>
      <c r="B1326" s="507" t="s">
        <v>4690</v>
      </c>
      <c r="C1326" s="506" t="s">
        <v>32</v>
      </c>
      <c r="D1326" s="508">
        <v>5420966</v>
      </c>
      <c r="E1326" s="507" t="s">
        <v>6108</v>
      </c>
    </row>
    <row r="1327" spans="1:5" ht="15" x14ac:dyDescent="0.3">
      <c r="A1327" s="506">
        <v>9188</v>
      </c>
      <c r="B1327" s="507" t="s">
        <v>4691</v>
      </c>
      <c r="C1327" s="506" t="s">
        <v>32</v>
      </c>
      <c r="D1327" s="508">
        <v>6783000</v>
      </c>
      <c r="E1327" s="507" t="s">
        <v>6108</v>
      </c>
    </row>
    <row r="1328" spans="1:5" ht="15" x14ac:dyDescent="0.3">
      <c r="A1328" s="506">
        <v>9189</v>
      </c>
      <c r="B1328" s="507" t="s">
        <v>4692</v>
      </c>
      <c r="C1328" s="506" t="s">
        <v>32</v>
      </c>
      <c r="D1328" s="508">
        <v>9382710</v>
      </c>
      <c r="E1328" s="507" t="s">
        <v>6108</v>
      </c>
    </row>
    <row r="1329" spans="1:5" ht="15" x14ac:dyDescent="0.3">
      <c r="A1329" s="506">
        <v>9190</v>
      </c>
      <c r="B1329" s="507" t="s">
        <v>4693</v>
      </c>
      <c r="C1329" s="506" t="s">
        <v>32</v>
      </c>
      <c r="D1329" s="508">
        <v>17484964</v>
      </c>
      <c r="E1329" s="507" t="s">
        <v>6108</v>
      </c>
    </row>
    <row r="1330" spans="1:5" ht="15" x14ac:dyDescent="0.3">
      <c r="A1330" s="506">
        <v>9191</v>
      </c>
      <c r="B1330" s="507" t="s">
        <v>4694</v>
      </c>
      <c r="C1330" s="506" t="s">
        <v>32</v>
      </c>
      <c r="D1330" s="508">
        <v>4815390</v>
      </c>
      <c r="E1330" s="507" t="s">
        <v>6108</v>
      </c>
    </row>
    <row r="1331" spans="1:5" ht="15" x14ac:dyDescent="0.3">
      <c r="A1331" s="506">
        <v>9192</v>
      </c>
      <c r="B1331" s="507" t="s">
        <v>4695</v>
      </c>
      <c r="C1331" s="506" t="s">
        <v>32</v>
      </c>
      <c r="D1331" s="508">
        <v>4690716</v>
      </c>
      <c r="E1331" s="507" t="s">
        <v>6108</v>
      </c>
    </row>
    <row r="1332" spans="1:5" ht="15" x14ac:dyDescent="0.3">
      <c r="A1332" s="506">
        <v>9193</v>
      </c>
      <c r="B1332" s="507" t="s">
        <v>4696</v>
      </c>
      <c r="C1332" s="506" t="s">
        <v>32</v>
      </c>
      <c r="D1332" s="508">
        <v>4345084</v>
      </c>
      <c r="E1332" s="507" t="s">
        <v>6108</v>
      </c>
    </row>
    <row r="1333" spans="1:5" ht="15" x14ac:dyDescent="0.3">
      <c r="A1333" s="506">
        <v>9194</v>
      </c>
      <c r="B1333" s="507" t="s">
        <v>4697</v>
      </c>
      <c r="C1333" s="506" t="s">
        <v>32</v>
      </c>
      <c r="D1333" s="508">
        <v>4295709</v>
      </c>
      <c r="E1333" s="507" t="s">
        <v>6108</v>
      </c>
    </row>
    <row r="1334" spans="1:5" ht="15" x14ac:dyDescent="0.3">
      <c r="A1334" s="506">
        <v>9197</v>
      </c>
      <c r="B1334" s="507" t="s">
        <v>4698</v>
      </c>
      <c r="C1334" s="506" t="s">
        <v>30</v>
      </c>
      <c r="D1334" s="508">
        <v>854462</v>
      </c>
      <c r="E1334" s="507" t="s">
        <v>331</v>
      </c>
    </row>
    <row r="1335" spans="1:5" ht="15" x14ac:dyDescent="0.3">
      <c r="A1335" s="506">
        <v>9199</v>
      </c>
      <c r="B1335" s="507" t="s">
        <v>4699</v>
      </c>
      <c r="C1335" s="506" t="s">
        <v>30</v>
      </c>
      <c r="D1335" s="508">
        <v>701412</v>
      </c>
      <c r="E1335" s="507" t="s">
        <v>331</v>
      </c>
    </row>
    <row r="1336" spans="1:5" ht="15" x14ac:dyDescent="0.3">
      <c r="A1336" s="506">
        <v>9200</v>
      </c>
      <c r="B1336" s="507" t="s">
        <v>4700</v>
      </c>
      <c r="C1336" s="506" t="s">
        <v>32</v>
      </c>
      <c r="D1336" s="508">
        <v>530431</v>
      </c>
      <c r="E1336" s="507" t="s">
        <v>6108</v>
      </c>
    </row>
    <row r="1337" spans="1:5" ht="15" x14ac:dyDescent="0.3">
      <c r="A1337" s="506">
        <v>9201</v>
      </c>
      <c r="B1337" s="507" t="s">
        <v>4701</v>
      </c>
      <c r="C1337" s="506" t="s">
        <v>32</v>
      </c>
      <c r="D1337" s="508">
        <v>509217</v>
      </c>
      <c r="E1337" s="507" t="s">
        <v>6108</v>
      </c>
    </row>
    <row r="1338" spans="1:5" ht="15" x14ac:dyDescent="0.3">
      <c r="A1338" s="506">
        <v>9202</v>
      </c>
      <c r="B1338" s="507" t="s">
        <v>4702</v>
      </c>
      <c r="C1338" s="506" t="s">
        <v>32</v>
      </c>
      <c r="D1338" s="508">
        <v>520664</v>
      </c>
      <c r="E1338" s="507" t="s">
        <v>6108</v>
      </c>
    </row>
    <row r="1339" spans="1:5" ht="15" x14ac:dyDescent="0.3">
      <c r="A1339" s="506">
        <v>9203</v>
      </c>
      <c r="B1339" s="507" t="s">
        <v>4703</v>
      </c>
      <c r="C1339" s="506" t="s">
        <v>32</v>
      </c>
      <c r="D1339" s="508">
        <v>520664</v>
      </c>
      <c r="E1339" s="507" t="s">
        <v>6108</v>
      </c>
    </row>
    <row r="1340" spans="1:5" ht="15" x14ac:dyDescent="0.3">
      <c r="A1340" s="506">
        <v>9204</v>
      </c>
      <c r="B1340" s="507" t="s">
        <v>4704</v>
      </c>
      <c r="C1340" s="506" t="s">
        <v>32</v>
      </c>
      <c r="D1340" s="508">
        <v>520664</v>
      </c>
      <c r="E1340" s="507" t="s">
        <v>6108</v>
      </c>
    </row>
    <row r="1341" spans="1:5" ht="15" x14ac:dyDescent="0.3">
      <c r="A1341" s="506">
        <v>9209</v>
      </c>
      <c r="B1341" s="507" t="s">
        <v>4705</v>
      </c>
      <c r="C1341" s="506" t="s">
        <v>32</v>
      </c>
      <c r="D1341" s="508">
        <v>421236</v>
      </c>
      <c r="E1341" s="507" t="s">
        <v>6108</v>
      </c>
    </row>
    <row r="1342" spans="1:5" ht="15" x14ac:dyDescent="0.3">
      <c r="A1342" s="506">
        <v>9210</v>
      </c>
      <c r="B1342" s="507" t="s">
        <v>4706</v>
      </c>
      <c r="C1342" s="506" t="s">
        <v>3582</v>
      </c>
      <c r="D1342" s="508">
        <v>1416474</v>
      </c>
      <c r="E1342" s="507" t="s">
        <v>331</v>
      </c>
    </row>
    <row r="1343" spans="1:5" ht="15" x14ac:dyDescent="0.3">
      <c r="A1343" s="506">
        <v>9216</v>
      </c>
      <c r="B1343" s="507" t="s">
        <v>6289</v>
      </c>
      <c r="C1343" s="506" t="s">
        <v>32</v>
      </c>
      <c r="D1343" s="508">
        <v>118643</v>
      </c>
      <c r="E1343" s="507" t="s">
        <v>6108</v>
      </c>
    </row>
    <row r="1344" spans="1:5" ht="15" x14ac:dyDescent="0.3">
      <c r="A1344" s="506">
        <v>9217</v>
      </c>
      <c r="B1344" s="507" t="s">
        <v>4707</v>
      </c>
      <c r="C1344" s="506" t="s">
        <v>32</v>
      </c>
      <c r="D1344" s="508">
        <v>271320</v>
      </c>
      <c r="E1344" s="507" t="s">
        <v>6108</v>
      </c>
    </row>
    <row r="1345" spans="1:5" ht="15" x14ac:dyDescent="0.3">
      <c r="A1345" s="506">
        <v>9219</v>
      </c>
      <c r="B1345" s="507" t="s">
        <v>4708</v>
      </c>
      <c r="C1345" s="506" t="s">
        <v>32</v>
      </c>
      <c r="D1345" s="508">
        <v>130900</v>
      </c>
      <c r="E1345" s="507" t="s">
        <v>6108</v>
      </c>
    </row>
    <row r="1346" spans="1:5" ht="15" x14ac:dyDescent="0.3">
      <c r="A1346" s="506">
        <v>9229</v>
      </c>
      <c r="B1346" s="507" t="s">
        <v>4709</v>
      </c>
      <c r="C1346" s="506" t="s">
        <v>4710</v>
      </c>
      <c r="D1346" s="508">
        <v>526696</v>
      </c>
      <c r="E1346" s="507" t="s">
        <v>331</v>
      </c>
    </row>
    <row r="1347" spans="1:5" ht="15" x14ac:dyDescent="0.3">
      <c r="A1347" s="506">
        <v>9247</v>
      </c>
      <c r="B1347" s="507" t="s">
        <v>4711</v>
      </c>
      <c r="C1347" s="506" t="s">
        <v>21</v>
      </c>
      <c r="D1347" s="508">
        <v>60529</v>
      </c>
      <c r="E1347" s="507" t="s">
        <v>6108</v>
      </c>
    </row>
    <row r="1348" spans="1:5" ht="15" x14ac:dyDescent="0.3">
      <c r="A1348" s="506">
        <v>9253</v>
      </c>
      <c r="B1348" s="507" t="s">
        <v>4712</v>
      </c>
      <c r="C1348" s="506" t="s">
        <v>32</v>
      </c>
      <c r="D1348" s="508">
        <v>244584</v>
      </c>
      <c r="E1348" s="507" t="s">
        <v>6108</v>
      </c>
    </row>
    <row r="1349" spans="1:5" ht="15" x14ac:dyDescent="0.3">
      <c r="A1349" s="506">
        <v>9254</v>
      </c>
      <c r="B1349" s="507" t="s">
        <v>4713</v>
      </c>
      <c r="C1349" s="506" t="s">
        <v>692</v>
      </c>
      <c r="D1349" s="508">
        <v>255300</v>
      </c>
      <c r="E1349" s="507" t="s">
        <v>6109</v>
      </c>
    </row>
    <row r="1350" spans="1:5" ht="15" x14ac:dyDescent="0.3">
      <c r="A1350" s="506">
        <v>9255</v>
      </c>
      <c r="B1350" s="507" t="s">
        <v>4714</v>
      </c>
      <c r="C1350" s="506" t="s">
        <v>30</v>
      </c>
      <c r="D1350" s="508">
        <v>785279</v>
      </c>
      <c r="E1350" s="507" t="s">
        <v>331</v>
      </c>
    </row>
    <row r="1351" spans="1:5" ht="15" x14ac:dyDescent="0.3">
      <c r="A1351" s="506">
        <v>9256</v>
      </c>
      <c r="B1351" s="507" t="s">
        <v>4715</v>
      </c>
      <c r="C1351" s="506" t="s">
        <v>328</v>
      </c>
      <c r="D1351" s="508">
        <v>913248</v>
      </c>
      <c r="E1351" s="507" t="s">
        <v>331</v>
      </c>
    </row>
    <row r="1352" spans="1:5" ht="15" x14ac:dyDescent="0.3">
      <c r="A1352" s="506">
        <v>9257</v>
      </c>
      <c r="B1352" s="507" t="s">
        <v>4716</v>
      </c>
      <c r="C1352" s="506" t="s">
        <v>328</v>
      </c>
      <c r="D1352" s="508">
        <v>1219000</v>
      </c>
      <c r="E1352" s="507" t="s">
        <v>331</v>
      </c>
    </row>
    <row r="1353" spans="1:5" ht="15" x14ac:dyDescent="0.3">
      <c r="A1353" s="506">
        <v>9259</v>
      </c>
      <c r="B1353" s="507" t="s">
        <v>4717</v>
      </c>
      <c r="C1353" s="506" t="s">
        <v>328</v>
      </c>
      <c r="D1353" s="508">
        <v>2397366</v>
      </c>
      <c r="E1353" s="507" t="s">
        <v>331</v>
      </c>
    </row>
    <row r="1354" spans="1:5" ht="15" x14ac:dyDescent="0.3">
      <c r="A1354" s="506">
        <v>9260</v>
      </c>
      <c r="B1354" s="507" t="s">
        <v>6290</v>
      </c>
      <c r="C1354" s="506" t="s">
        <v>32</v>
      </c>
      <c r="D1354" s="508">
        <v>2759366</v>
      </c>
      <c r="E1354" s="507" t="s">
        <v>6108</v>
      </c>
    </row>
    <row r="1355" spans="1:5" ht="15" x14ac:dyDescent="0.3">
      <c r="A1355" s="506">
        <v>9275</v>
      </c>
      <c r="B1355" s="507" t="s">
        <v>4718</v>
      </c>
      <c r="C1355" s="506" t="s">
        <v>32</v>
      </c>
      <c r="D1355" s="508">
        <v>431899</v>
      </c>
      <c r="E1355" s="507" t="s">
        <v>6108</v>
      </c>
    </row>
    <row r="1356" spans="1:5" ht="15" x14ac:dyDescent="0.3">
      <c r="A1356" s="506">
        <v>9276</v>
      </c>
      <c r="B1356" s="507" t="s">
        <v>6291</v>
      </c>
      <c r="C1356" s="506" t="s">
        <v>32</v>
      </c>
      <c r="D1356" s="508">
        <v>562095</v>
      </c>
      <c r="E1356" s="507" t="s">
        <v>6108</v>
      </c>
    </row>
    <row r="1357" spans="1:5" ht="15" x14ac:dyDescent="0.3">
      <c r="A1357" s="506">
        <v>9277</v>
      </c>
      <c r="B1357" s="507" t="s">
        <v>6292</v>
      </c>
      <c r="C1357" s="506" t="s">
        <v>32</v>
      </c>
      <c r="D1357" s="508">
        <v>625940</v>
      </c>
      <c r="E1357" s="507" t="s">
        <v>6108</v>
      </c>
    </row>
    <row r="1358" spans="1:5" ht="15" x14ac:dyDescent="0.3">
      <c r="A1358" s="506">
        <v>9278</v>
      </c>
      <c r="B1358" s="507" t="s">
        <v>4719</v>
      </c>
      <c r="C1358" s="506" t="s">
        <v>32</v>
      </c>
      <c r="D1358" s="508">
        <v>950177</v>
      </c>
      <c r="E1358" s="507" t="s">
        <v>6108</v>
      </c>
    </row>
    <row r="1359" spans="1:5" ht="15" x14ac:dyDescent="0.3">
      <c r="A1359" s="506">
        <v>9279</v>
      </c>
      <c r="B1359" s="507" t="s">
        <v>6293</v>
      </c>
      <c r="C1359" s="506" t="s">
        <v>32</v>
      </c>
      <c r="D1359" s="508">
        <v>63070</v>
      </c>
      <c r="E1359" s="507" t="s">
        <v>6108</v>
      </c>
    </row>
    <row r="1360" spans="1:5" ht="15" x14ac:dyDescent="0.3">
      <c r="A1360" s="506">
        <v>9280</v>
      </c>
      <c r="B1360" s="507" t="s">
        <v>4720</v>
      </c>
      <c r="C1360" s="506" t="s">
        <v>32</v>
      </c>
      <c r="D1360" s="508">
        <v>13475</v>
      </c>
      <c r="E1360" s="507" t="s">
        <v>6108</v>
      </c>
    </row>
    <row r="1361" spans="1:5" ht="15" x14ac:dyDescent="0.3">
      <c r="A1361" s="506">
        <v>9283</v>
      </c>
      <c r="B1361" s="507" t="s">
        <v>4721</v>
      </c>
      <c r="C1361" s="506" t="s">
        <v>4222</v>
      </c>
      <c r="D1361" s="508">
        <v>7407</v>
      </c>
      <c r="E1361" s="507" t="s">
        <v>6108</v>
      </c>
    </row>
    <row r="1362" spans="1:5" ht="15" x14ac:dyDescent="0.3">
      <c r="A1362" s="506">
        <v>9286</v>
      </c>
      <c r="B1362" s="507" t="s">
        <v>4722</v>
      </c>
      <c r="C1362" s="506" t="s">
        <v>32</v>
      </c>
      <c r="D1362" s="508">
        <v>71281</v>
      </c>
      <c r="E1362" s="507" t="s">
        <v>6108</v>
      </c>
    </row>
    <row r="1363" spans="1:5" ht="15" x14ac:dyDescent="0.3">
      <c r="A1363" s="506">
        <v>9287</v>
      </c>
      <c r="B1363" s="507" t="s">
        <v>4723</v>
      </c>
      <c r="C1363" s="506" t="s">
        <v>32</v>
      </c>
      <c r="D1363" s="508">
        <v>22046</v>
      </c>
      <c r="E1363" s="507" t="s">
        <v>6108</v>
      </c>
    </row>
    <row r="1364" spans="1:5" ht="15" x14ac:dyDescent="0.3">
      <c r="A1364" s="506">
        <v>9288</v>
      </c>
      <c r="B1364" s="507" t="s">
        <v>4724</v>
      </c>
      <c r="C1364" s="506" t="s">
        <v>32</v>
      </c>
      <c r="D1364" s="508">
        <v>155100</v>
      </c>
      <c r="E1364" s="507" t="s">
        <v>6108</v>
      </c>
    </row>
    <row r="1365" spans="1:5" ht="15" x14ac:dyDescent="0.3">
      <c r="A1365" s="506">
        <v>9289</v>
      </c>
      <c r="B1365" s="507" t="s">
        <v>6294</v>
      </c>
      <c r="C1365" s="506" t="s">
        <v>32</v>
      </c>
      <c r="D1365" s="508">
        <v>12350</v>
      </c>
      <c r="E1365" s="507" t="s">
        <v>6108</v>
      </c>
    </row>
    <row r="1366" spans="1:5" ht="15" x14ac:dyDescent="0.3">
      <c r="A1366" s="506">
        <v>9290</v>
      </c>
      <c r="B1366" s="507" t="s">
        <v>4725</v>
      </c>
      <c r="C1366" s="506" t="s">
        <v>32</v>
      </c>
      <c r="D1366" s="508">
        <v>142496</v>
      </c>
      <c r="E1366" s="507" t="s">
        <v>6108</v>
      </c>
    </row>
    <row r="1367" spans="1:5" ht="15" x14ac:dyDescent="0.3">
      <c r="A1367" s="506">
        <v>9302</v>
      </c>
      <c r="B1367" s="507" t="s">
        <v>4726</v>
      </c>
      <c r="C1367" s="506" t="s">
        <v>30</v>
      </c>
      <c r="D1367" s="508">
        <v>691063</v>
      </c>
      <c r="E1367" s="507" t="s">
        <v>331</v>
      </c>
    </row>
    <row r="1368" spans="1:5" ht="15" x14ac:dyDescent="0.3">
      <c r="A1368" s="506">
        <v>9303</v>
      </c>
      <c r="B1368" s="507" t="s">
        <v>4727</v>
      </c>
      <c r="C1368" s="506" t="s">
        <v>32</v>
      </c>
      <c r="D1368" s="508">
        <v>190400</v>
      </c>
      <c r="E1368" s="507" t="s">
        <v>6108</v>
      </c>
    </row>
    <row r="1369" spans="1:5" ht="15" x14ac:dyDescent="0.3">
      <c r="A1369" s="506">
        <v>9306</v>
      </c>
      <c r="B1369" s="507" t="s">
        <v>4728</v>
      </c>
      <c r="C1369" s="506" t="s">
        <v>4235</v>
      </c>
      <c r="D1369" s="508">
        <v>181717</v>
      </c>
      <c r="E1369" s="507" t="s">
        <v>6108</v>
      </c>
    </row>
    <row r="1370" spans="1:5" ht="15" x14ac:dyDescent="0.3">
      <c r="A1370" s="506">
        <v>9307</v>
      </c>
      <c r="B1370" s="507" t="s">
        <v>4729</v>
      </c>
      <c r="C1370" s="506" t="s">
        <v>670</v>
      </c>
      <c r="D1370" s="508">
        <v>9296</v>
      </c>
      <c r="E1370" s="507" t="s">
        <v>6108</v>
      </c>
    </row>
    <row r="1371" spans="1:5" ht="15" x14ac:dyDescent="0.3">
      <c r="A1371" s="506">
        <v>9309</v>
      </c>
      <c r="B1371" s="507" t="s">
        <v>4730</v>
      </c>
      <c r="C1371" s="506" t="s">
        <v>32</v>
      </c>
      <c r="D1371" s="508">
        <v>158157</v>
      </c>
      <c r="E1371" s="507" t="s">
        <v>6108</v>
      </c>
    </row>
    <row r="1372" spans="1:5" ht="15" x14ac:dyDescent="0.3">
      <c r="A1372" s="506">
        <v>9310</v>
      </c>
      <c r="B1372" s="507" t="s">
        <v>4731</v>
      </c>
      <c r="C1372" s="506" t="s">
        <v>3596</v>
      </c>
      <c r="D1372" s="508">
        <v>29800</v>
      </c>
      <c r="E1372" s="507" t="s">
        <v>6108</v>
      </c>
    </row>
    <row r="1373" spans="1:5" ht="15" x14ac:dyDescent="0.3">
      <c r="A1373" s="506">
        <v>9311</v>
      </c>
      <c r="B1373" s="507" t="s">
        <v>4732</v>
      </c>
      <c r="C1373" s="506" t="s">
        <v>4372</v>
      </c>
      <c r="D1373" s="508">
        <v>148</v>
      </c>
      <c r="E1373" s="507" t="s">
        <v>6108</v>
      </c>
    </row>
    <row r="1374" spans="1:5" ht="15" x14ac:dyDescent="0.3">
      <c r="A1374" s="506">
        <v>9314</v>
      </c>
      <c r="B1374" s="507" t="s">
        <v>4733</v>
      </c>
      <c r="C1374" s="506" t="s">
        <v>692</v>
      </c>
      <c r="D1374" s="508">
        <v>139262</v>
      </c>
      <c r="E1374" s="507" t="s">
        <v>6109</v>
      </c>
    </row>
    <row r="1375" spans="1:5" ht="15" x14ac:dyDescent="0.3">
      <c r="A1375" s="506">
        <v>9317</v>
      </c>
      <c r="B1375" s="507" t="s">
        <v>4734</v>
      </c>
      <c r="C1375" s="506" t="s">
        <v>692</v>
      </c>
      <c r="D1375" s="508">
        <v>157314</v>
      </c>
      <c r="E1375" s="507" t="s">
        <v>6109</v>
      </c>
    </row>
    <row r="1376" spans="1:5" ht="15" x14ac:dyDescent="0.3">
      <c r="A1376" s="506">
        <v>9318</v>
      </c>
      <c r="B1376" s="507" t="s">
        <v>4735</v>
      </c>
      <c r="C1376" s="506" t="s">
        <v>979</v>
      </c>
      <c r="D1376" s="508">
        <v>21451</v>
      </c>
      <c r="E1376" s="507" t="s">
        <v>6109</v>
      </c>
    </row>
    <row r="1377" spans="1:5" ht="15" x14ac:dyDescent="0.3">
      <c r="A1377" s="506">
        <v>9319</v>
      </c>
      <c r="B1377" s="507" t="s">
        <v>4736</v>
      </c>
      <c r="C1377" s="506" t="s">
        <v>692</v>
      </c>
      <c r="D1377" s="508">
        <v>214862</v>
      </c>
      <c r="E1377" s="507" t="s">
        <v>6109</v>
      </c>
    </row>
    <row r="1378" spans="1:5" ht="15" x14ac:dyDescent="0.3">
      <c r="A1378" s="506">
        <v>9320</v>
      </c>
      <c r="B1378" s="507" t="s">
        <v>4737</v>
      </c>
      <c r="C1378" s="506" t="s">
        <v>692</v>
      </c>
      <c r="D1378" s="508">
        <v>131010</v>
      </c>
      <c r="E1378" s="507" t="s">
        <v>6109</v>
      </c>
    </row>
    <row r="1379" spans="1:5" ht="15" x14ac:dyDescent="0.3">
      <c r="A1379" s="506">
        <v>9321</v>
      </c>
      <c r="B1379" s="507" t="s">
        <v>4738</v>
      </c>
      <c r="C1379" s="506" t="s">
        <v>692</v>
      </c>
      <c r="D1379" s="508">
        <v>144089</v>
      </c>
      <c r="E1379" s="507" t="s">
        <v>6109</v>
      </c>
    </row>
    <row r="1380" spans="1:5" ht="15" x14ac:dyDescent="0.3">
      <c r="A1380" s="506">
        <v>9323</v>
      </c>
      <c r="B1380" s="507" t="s">
        <v>4739</v>
      </c>
      <c r="C1380" s="506" t="s">
        <v>692</v>
      </c>
      <c r="D1380" s="508">
        <v>181776</v>
      </c>
      <c r="E1380" s="507" t="s">
        <v>6109</v>
      </c>
    </row>
    <row r="1381" spans="1:5" ht="15" x14ac:dyDescent="0.3">
      <c r="A1381" s="506">
        <v>9324</v>
      </c>
      <c r="B1381" s="507" t="s">
        <v>4740</v>
      </c>
      <c r="C1381" s="506" t="s">
        <v>692</v>
      </c>
      <c r="D1381" s="508">
        <v>110304</v>
      </c>
      <c r="E1381" s="507" t="s">
        <v>6109</v>
      </c>
    </row>
    <row r="1382" spans="1:5" ht="15" x14ac:dyDescent="0.3">
      <c r="A1382" s="506">
        <v>9325</v>
      </c>
      <c r="B1382" s="507" t="s">
        <v>4741</v>
      </c>
      <c r="C1382" s="506" t="s">
        <v>1455</v>
      </c>
      <c r="D1382" s="508">
        <v>300000</v>
      </c>
      <c r="E1382" s="507" t="s">
        <v>331</v>
      </c>
    </row>
    <row r="1383" spans="1:5" ht="15" x14ac:dyDescent="0.3">
      <c r="A1383" s="506">
        <v>9333</v>
      </c>
      <c r="B1383" s="507" t="s">
        <v>6295</v>
      </c>
      <c r="C1383" s="506" t="s">
        <v>32</v>
      </c>
      <c r="D1383" s="508">
        <v>322986</v>
      </c>
      <c r="E1383" s="507" t="s">
        <v>6108</v>
      </c>
    </row>
    <row r="1384" spans="1:5" ht="15" x14ac:dyDescent="0.3">
      <c r="A1384" s="506">
        <v>9334</v>
      </c>
      <c r="B1384" s="507" t="s">
        <v>4742</v>
      </c>
      <c r="C1384" s="506" t="s">
        <v>32</v>
      </c>
      <c r="D1384" s="508">
        <v>148750</v>
      </c>
      <c r="E1384" s="507" t="s">
        <v>6108</v>
      </c>
    </row>
    <row r="1385" spans="1:5" ht="15" x14ac:dyDescent="0.3">
      <c r="A1385" s="506">
        <v>9335</v>
      </c>
      <c r="B1385" s="507" t="s">
        <v>4743</v>
      </c>
      <c r="C1385" s="506" t="s">
        <v>32</v>
      </c>
      <c r="D1385" s="508">
        <v>65450</v>
      </c>
      <c r="E1385" s="507" t="s">
        <v>6108</v>
      </c>
    </row>
    <row r="1386" spans="1:5" ht="15" x14ac:dyDescent="0.3">
      <c r="A1386" s="506">
        <v>9342</v>
      </c>
      <c r="B1386" s="507" t="s">
        <v>6296</v>
      </c>
      <c r="C1386" s="506" t="s">
        <v>32</v>
      </c>
      <c r="D1386" s="508">
        <v>58429</v>
      </c>
      <c r="E1386" s="507" t="s">
        <v>6108</v>
      </c>
    </row>
    <row r="1387" spans="1:5" ht="15" x14ac:dyDescent="0.3">
      <c r="A1387" s="506">
        <v>9343</v>
      </c>
      <c r="B1387" s="507" t="s">
        <v>6297</v>
      </c>
      <c r="C1387" s="506" t="s">
        <v>32</v>
      </c>
      <c r="D1387" s="508">
        <v>38809</v>
      </c>
      <c r="E1387" s="507" t="s">
        <v>6108</v>
      </c>
    </row>
    <row r="1388" spans="1:5" ht="15" x14ac:dyDescent="0.3">
      <c r="A1388" s="506">
        <v>9344</v>
      </c>
      <c r="B1388" s="507" t="s">
        <v>4744</v>
      </c>
      <c r="C1388" s="506" t="s">
        <v>32</v>
      </c>
      <c r="D1388" s="508">
        <v>68068</v>
      </c>
      <c r="E1388" s="507" t="s">
        <v>6108</v>
      </c>
    </row>
    <row r="1389" spans="1:5" ht="15" x14ac:dyDescent="0.3">
      <c r="A1389" s="506">
        <v>9345</v>
      </c>
      <c r="B1389" s="507" t="s">
        <v>6298</v>
      </c>
      <c r="C1389" s="506" t="s">
        <v>32</v>
      </c>
      <c r="D1389" s="508">
        <v>297500</v>
      </c>
      <c r="E1389" s="507" t="s">
        <v>6108</v>
      </c>
    </row>
    <row r="1390" spans="1:5" ht="15" x14ac:dyDescent="0.3">
      <c r="A1390" s="506">
        <v>9346</v>
      </c>
      <c r="B1390" s="507" t="s">
        <v>4745</v>
      </c>
      <c r="C1390" s="506" t="s">
        <v>32</v>
      </c>
      <c r="D1390" s="508">
        <v>154224</v>
      </c>
      <c r="E1390" s="507" t="s">
        <v>6108</v>
      </c>
    </row>
    <row r="1391" spans="1:5" ht="15" x14ac:dyDescent="0.3">
      <c r="A1391" s="506">
        <v>9347</v>
      </c>
      <c r="B1391" s="507" t="s">
        <v>6299</v>
      </c>
      <c r="C1391" s="506" t="s">
        <v>32</v>
      </c>
      <c r="D1391" s="508">
        <v>90137</v>
      </c>
      <c r="E1391" s="507" t="s">
        <v>6108</v>
      </c>
    </row>
    <row r="1392" spans="1:5" ht="15" x14ac:dyDescent="0.3">
      <c r="A1392" s="506">
        <v>9348</v>
      </c>
      <c r="B1392" s="507" t="s">
        <v>6300</v>
      </c>
      <c r="C1392" s="506" t="s">
        <v>32</v>
      </c>
      <c r="D1392" s="508">
        <v>278460</v>
      </c>
      <c r="E1392" s="507" t="s">
        <v>6108</v>
      </c>
    </row>
    <row r="1393" spans="1:5" ht="15" x14ac:dyDescent="0.3">
      <c r="A1393" s="506">
        <v>9350</v>
      </c>
      <c r="B1393" s="507" t="s">
        <v>4746</v>
      </c>
      <c r="C1393" s="506" t="s">
        <v>32</v>
      </c>
      <c r="D1393" s="508">
        <v>312970</v>
      </c>
      <c r="E1393" s="507" t="s">
        <v>6108</v>
      </c>
    </row>
    <row r="1394" spans="1:5" ht="15" x14ac:dyDescent="0.3">
      <c r="A1394" s="506">
        <v>9351</v>
      </c>
      <c r="B1394" s="507" t="s">
        <v>6301</v>
      </c>
      <c r="C1394" s="506" t="s">
        <v>32</v>
      </c>
      <c r="D1394" s="508">
        <v>567035</v>
      </c>
      <c r="E1394" s="507" t="s">
        <v>6108</v>
      </c>
    </row>
    <row r="1395" spans="1:5" ht="15" x14ac:dyDescent="0.3">
      <c r="A1395" s="506">
        <v>9352</v>
      </c>
      <c r="B1395" s="507" t="s">
        <v>4747</v>
      </c>
      <c r="C1395" s="506" t="s">
        <v>32</v>
      </c>
      <c r="D1395" s="508">
        <v>72947</v>
      </c>
      <c r="E1395" s="507" t="s">
        <v>6108</v>
      </c>
    </row>
    <row r="1396" spans="1:5" ht="15" x14ac:dyDescent="0.3">
      <c r="A1396" s="506">
        <v>9353</v>
      </c>
      <c r="B1396" s="507" t="s">
        <v>4748</v>
      </c>
      <c r="C1396" s="506" t="s">
        <v>32</v>
      </c>
      <c r="D1396" s="508">
        <v>245497</v>
      </c>
      <c r="E1396" s="507" t="s">
        <v>6108</v>
      </c>
    </row>
    <row r="1397" spans="1:5" ht="15" x14ac:dyDescent="0.3">
      <c r="A1397" s="506">
        <v>9354</v>
      </c>
      <c r="B1397" s="507" t="s">
        <v>4749</v>
      </c>
      <c r="C1397" s="506" t="s">
        <v>32</v>
      </c>
      <c r="D1397" s="508">
        <v>125545</v>
      </c>
      <c r="E1397" s="507" t="s">
        <v>6108</v>
      </c>
    </row>
    <row r="1398" spans="1:5" ht="15" x14ac:dyDescent="0.3">
      <c r="A1398" s="506">
        <v>9355</v>
      </c>
      <c r="B1398" s="507" t="s">
        <v>6302</v>
      </c>
      <c r="C1398" s="506" t="s">
        <v>32</v>
      </c>
      <c r="D1398" s="508">
        <v>165249</v>
      </c>
      <c r="E1398" s="507" t="s">
        <v>6108</v>
      </c>
    </row>
    <row r="1399" spans="1:5" ht="15" x14ac:dyDescent="0.3">
      <c r="A1399" s="506">
        <v>9356</v>
      </c>
      <c r="B1399" s="507" t="s">
        <v>4750</v>
      </c>
      <c r="C1399" s="506" t="s">
        <v>32</v>
      </c>
      <c r="D1399" s="508">
        <v>1785000</v>
      </c>
      <c r="E1399" s="507" t="s">
        <v>6108</v>
      </c>
    </row>
    <row r="1400" spans="1:5" ht="15" x14ac:dyDescent="0.3">
      <c r="A1400" s="506">
        <v>9357</v>
      </c>
      <c r="B1400" s="507" t="s">
        <v>4751</v>
      </c>
      <c r="C1400" s="506" t="s">
        <v>32</v>
      </c>
      <c r="D1400" s="508">
        <v>1877701</v>
      </c>
      <c r="E1400" s="507" t="s">
        <v>6108</v>
      </c>
    </row>
    <row r="1401" spans="1:5" ht="15" x14ac:dyDescent="0.3">
      <c r="A1401" s="506">
        <v>9358</v>
      </c>
      <c r="B1401" s="507" t="s">
        <v>4752</v>
      </c>
      <c r="C1401" s="506" t="s">
        <v>32</v>
      </c>
      <c r="D1401" s="508">
        <v>2094400</v>
      </c>
      <c r="E1401" s="507" t="s">
        <v>6108</v>
      </c>
    </row>
    <row r="1402" spans="1:5" ht="15" x14ac:dyDescent="0.3">
      <c r="A1402" s="506">
        <v>9359</v>
      </c>
      <c r="B1402" s="507" t="s">
        <v>6303</v>
      </c>
      <c r="C1402" s="506" t="s">
        <v>32</v>
      </c>
      <c r="D1402" s="508">
        <v>251923</v>
      </c>
      <c r="E1402" s="507" t="s">
        <v>6108</v>
      </c>
    </row>
    <row r="1403" spans="1:5" ht="15" x14ac:dyDescent="0.3">
      <c r="A1403" s="506">
        <v>9360</v>
      </c>
      <c r="B1403" s="507" t="s">
        <v>4753</v>
      </c>
      <c r="C1403" s="506" t="s">
        <v>32</v>
      </c>
      <c r="D1403" s="508">
        <v>131971</v>
      </c>
      <c r="E1403" s="507" t="s">
        <v>6108</v>
      </c>
    </row>
    <row r="1404" spans="1:5" ht="15" x14ac:dyDescent="0.3">
      <c r="A1404" s="506">
        <v>9361</v>
      </c>
      <c r="B1404" s="507" t="s">
        <v>4754</v>
      </c>
      <c r="C1404" s="506" t="s">
        <v>32</v>
      </c>
      <c r="D1404" s="508">
        <v>422000</v>
      </c>
      <c r="E1404" s="507" t="s">
        <v>6108</v>
      </c>
    </row>
    <row r="1405" spans="1:5" ht="15" x14ac:dyDescent="0.3">
      <c r="A1405" s="506">
        <v>9363</v>
      </c>
      <c r="B1405" s="507" t="s">
        <v>6304</v>
      </c>
      <c r="C1405" s="506" t="s">
        <v>32</v>
      </c>
      <c r="D1405" s="508">
        <v>358190</v>
      </c>
      <c r="E1405" s="507" t="s">
        <v>6108</v>
      </c>
    </row>
    <row r="1406" spans="1:5" ht="15" x14ac:dyDescent="0.3">
      <c r="A1406" s="506">
        <v>9364</v>
      </c>
      <c r="B1406" s="507" t="s">
        <v>4755</v>
      </c>
      <c r="C1406" s="506" t="s">
        <v>32</v>
      </c>
      <c r="D1406" s="508">
        <v>735301</v>
      </c>
      <c r="E1406" s="507" t="s">
        <v>6108</v>
      </c>
    </row>
    <row r="1407" spans="1:5" ht="15" x14ac:dyDescent="0.3">
      <c r="A1407" s="506">
        <v>9366</v>
      </c>
      <c r="B1407" s="507" t="s">
        <v>4756</v>
      </c>
      <c r="C1407" s="506" t="s">
        <v>32</v>
      </c>
      <c r="D1407" s="508">
        <v>58548</v>
      </c>
      <c r="E1407" s="507" t="s">
        <v>6108</v>
      </c>
    </row>
    <row r="1408" spans="1:5" ht="15" x14ac:dyDescent="0.3">
      <c r="A1408" s="506">
        <v>9367</v>
      </c>
      <c r="B1408" s="507" t="s">
        <v>6305</v>
      </c>
      <c r="C1408" s="506" t="s">
        <v>32</v>
      </c>
      <c r="D1408" s="508">
        <v>128944</v>
      </c>
      <c r="E1408" s="507" t="s">
        <v>6108</v>
      </c>
    </row>
    <row r="1409" spans="1:5" ht="15" x14ac:dyDescent="0.3">
      <c r="A1409" s="506">
        <v>9368</v>
      </c>
      <c r="B1409" s="507" t="s">
        <v>6306</v>
      </c>
      <c r="C1409" s="506" t="s">
        <v>32</v>
      </c>
      <c r="D1409" s="508">
        <v>53550</v>
      </c>
      <c r="E1409" s="507" t="s">
        <v>6108</v>
      </c>
    </row>
    <row r="1410" spans="1:5" ht="15" x14ac:dyDescent="0.3">
      <c r="A1410" s="506">
        <v>9369</v>
      </c>
      <c r="B1410" s="507" t="s">
        <v>6307</v>
      </c>
      <c r="C1410" s="506" t="s">
        <v>32</v>
      </c>
      <c r="D1410" s="508">
        <v>1294601</v>
      </c>
      <c r="E1410" s="507" t="s">
        <v>6108</v>
      </c>
    </row>
    <row r="1411" spans="1:5" ht="15" x14ac:dyDescent="0.3">
      <c r="A1411" s="506">
        <v>9370</v>
      </c>
      <c r="B1411" s="507" t="s">
        <v>4757</v>
      </c>
      <c r="C1411" s="506" t="s">
        <v>32</v>
      </c>
      <c r="D1411" s="508">
        <v>1426929</v>
      </c>
      <c r="E1411" s="507" t="s">
        <v>6108</v>
      </c>
    </row>
    <row r="1412" spans="1:5" ht="15" x14ac:dyDescent="0.3">
      <c r="A1412" s="506">
        <v>9371</v>
      </c>
      <c r="B1412" s="507" t="s">
        <v>4758</v>
      </c>
      <c r="C1412" s="506" t="s">
        <v>32</v>
      </c>
      <c r="D1412" s="508">
        <v>822000</v>
      </c>
      <c r="E1412" s="507" t="s">
        <v>6108</v>
      </c>
    </row>
    <row r="1413" spans="1:5" ht="15" x14ac:dyDescent="0.3">
      <c r="A1413" s="506">
        <v>9373</v>
      </c>
      <c r="B1413" s="507" t="s">
        <v>4759</v>
      </c>
      <c r="C1413" s="506" t="s">
        <v>32</v>
      </c>
      <c r="D1413" s="508">
        <v>243950</v>
      </c>
      <c r="E1413" s="507" t="s">
        <v>6108</v>
      </c>
    </row>
    <row r="1414" spans="1:5" ht="15" x14ac:dyDescent="0.3">
      <c r="A1414" s="506">
        <v>9374</v>
      </c>
      <c r="B1414" s="507" t="s">
        <v>4760</v>
      </c>
      <c r="C1414" s="506" t="s">
        <v>32</v>
      </c>
      <c r="D1414" s="508">
        <v>76365</v>
      </c>
      <c r="E1414" s="507" t="s">
        <v>6108</v>
      </c>
    </row>
    <row r="1415" spans="1:5" ht="15" x14ac:dyDescent="0.3">
      <c r="A1415" s="506">
        <v>9375</v>
      </c>
      <c r="B1415" s="507" t="s">
        <v>4761</v>
      </c>
      <c r="C1415" s="506" t="s">
        <v>32</v>
      </c>
      <c r="D1415" s="508">
        <v>4241160</v>
      </c>
      <c r="E1415" s="507" t="s">
        <v>6108</v>
      </c>
    </row>
    <row r="1416" spans="1:5" ht="15" x14ac:dyDescent="0.3">
      <c r="A1416" s="506">
        <v>9379</v>
      </c>
      <c r="B1416" s="507" t="s">
        <v>6308</v>
      </c>
      <c r="C1416" s="506" t="s">
        <v>32</v>
      </c>
      <c r="D1416" s="508">
        <v>173145</v>
      </c>
      <c r="E1416" s="507" t="s">
        <v>6108</v>
      </c>
    </row>
    <row r="1417" spans="1:5" ht="15" x14ac:dyDescent="0.3">
      <c r="A1417" s="506">
        <v>9381</v>
      </c>
      <c r="B1417" s="507" t="s">
        <v>4762</v>
      </c>
      <c r="C1417" s="506" t="s">
        <v>32</v>
      </c>
      <c r="D1417" s="508">
        <v>84966</v>
      </c>
      <c r="E1417" s="507" t="s">
        <v>6108</v>
      </c>
    </row>
    <row r="1418" spans="1:5" ht="15" x14ac:dyDescent="0.3">
      <c r="A1418" s="506">
        <v>9383</v>
      </c>
      <c r="B1418" s="507" t="s">
        <v>4763</v>
      </c>
      <c r="C1418" s="506" t="s">
        <v>32</v>
      </c>
      <c r="D1418" s="508">
        <v>250852</v>
      </c>
      <c r="E1418" s="507" t="s">
        <v>6108</v>
      </c>
    </row>
    <row r="1419" spans="1:5" ht="15" x14ac:dyDescent="0.3">
      <c r="A1419" s="506">
        <v>9384</v>
      </c>
      <c r="B1419" s="507" t="s">
        <v>6309</v>
      </c>
      <c r="C1419" s="506" t="s">
        <v>32</v>
      </c>
      <c r="D1419" s="508">
        <v>157080</v>
      </c>
      <c r="E1419" s="507" t="s">
        <v>6108</v>
      </c>
    </row>
    <row r="1420" spans="1:5" ht="15" x14ac:dyDescent="0.3">
      <c r="A1420" s="506">
        <v>9385</v>
      </c>
      <c r="B1420" s="507" t="s">
        <v>6310</v>
      </c>
      <c r="C1420" s="506" t="s">
        <v>32</v>
      </c>
      <c r="D1420" s="508">
        <v>49909</v>
      </c>
      <c r="E1420" s="507" t="s">
        <v>6108</v>
      </c>
    </row>
    <row r="1421" spans="1:5" ht="15" x14ac:dyDescent="0.3">
      <c r="A1421" s="506">
        <v>9386</v>
      </c>
      <c r="B1421" s="507" t="s">
        <v>6311</v>
      </c>
      <c r="C1421" s="506" t="s">
        <v>32</v>
      </c>
      <c r="D1421" s="508">
        <v>52122</v>
      </c>
      <c r="E1421" s="507" t="s">
        <v>6108</v>
      </c>
    </row>
    <row r="1422" spans="1:5" ht="15" x14ac:dyDescent="0.3">
      <c r="A1422" s="506">
        <v>9387</v>
      </c>
      <c r="B1422" s="507" t="s">
        <v>4764</v>
      </c>
      <c r="C1422" s="506" t="s">
        <v>32</v>
      </c>
      <c r="D1422" s="508">
        <v>684780</v>
      </c>
      <c r="E1422" s="507" t="s">
        <v>6108</v>
      </c>
    </row>
    <row r="1423" spans="1:5" ht="15" x14ac:dyDescent="0.3">
      <c r="A1423" s="506">
        <v>9388</v>
      </c>
      <c r="B1423" s="507" t="s">
        <v>6312</v>
      </c>
      <c r="C1423" s="506" t="s">
        <v>32</v>
      </c>
      <c r="D1423" s="508">
        <v>80087</v>
      </c>
      <c r="E1423" s="507" t="s">
        <v>6108</v>
      </c>
    </row>
    <row r="1424" spans="1:5" ht="15" x14ac:dyDescent="0.3">
      <c r="A1424" s="506">
        <v>9389</v>
      </c>
      <c r="B1424" s="507" t="s">
        <v>4765</v>
      </c>
      <c r="C1424" s="506" t="s">
        <v>32</v>
      </c>
      <c r="D1424" s="508">
        <v>362950</v>
      </c>
      <c r="E1424" s="507" t="s">
        <v>6108</v>
      </c>
    </row>
    <row r="1425" spans="1:5" ht="15" x14ac:dyDescent="0.3">
      <c r="A1425" s="506">
        <v>9396</v>
      </c>
      <c r="B1425" s="507" t="s">
        <v>6313</v>
      </c>
      <c r="C1425" s="506" t="s">
        <v>32</v>
      </c>
      <c r="D1425" s="508">
        <v>52241</v>
      </c>
      <c r="E1425" s="507" t="s">
        <v>6108</v>
      </c>
    </row>
    <row r="1426" spans="1:5" ht="15" x14ac:dyDescent="0.3">
      <c r="A1426" s="506">
        <v>9397</v>
      </c>
      <c r="B1426" s="507" t="s">
        <v>4766</v>
      </c>
      <c r="C1426" s="506" t="s">
        <v>32</v>
      </c>
      <c r="D1426" s="508">
        <v>49266</v>
      </c>
      <c r="E1426" s="507" t="s">
        <v>6108</v>
      </c>
    </row>
    <row r="1427" spans="1:5" ht="15" x14ac:dyDescent="0.3">
      <c r="A1427" s="506">
        <v>9398</v>
      </c>
      <c r="B1427" s="507" t="s">
        <v>6314</v>
      </c>
      <c r="C1427" s="506" t="s">
        <v>32</v>
      </c>
      <c r="D1427" s="508">
        <v>105375</v>
      </c>
      <c r="E1427" s="507" t="s">
        <v>6108</v>
      </c>
    </row>
    <row r="1428" spans="1:5" ht="15" x14ac:dyDescent="0.3">
      <c r="A1428" s="506">
        <v>9401</v>
      </c>
      <c r="B1428" s="507" t="s">
        <v>6315</v>
      </c>
      <c r="C1428" s="506" t="s">
        <v>32</v>
      </c>
      <c r="D1428" s="508">
        <v>70091</v>
      </c>
      <c r="E1428" s="507" t="s">
        <v>6108</v>
      </c>
    </row>
    <row r="1429" spans="1:5" ht="15" x14ac:dyDescent="0.3">
      <c r="A1429" s="506">
        <v>9402</v>
      </c>
      <c r="B1429" s="507" t="s">
        <v>6316</v>
      </c>
      <c r="C1429" s="506" t="s">
        <v>32</v>
      </c>
      <c r="D1429" s="508">
        <v>47600</v>
      </c>
      <c r="E1429" s="507" t="s">
        <v>6108</v>
      </c>
    </row>
    <row r="1430" spans="1:5" ht="15" x14ac:dyDescent="0.3">
      <c r="A1430" s="506">
        <v>9404</v>
      </c>
      <c r="B1430" s="507" t="s">
        <v>6317</v>
      </c>
      <c r="C1430" s="506" t="s">
        <v>32</v>
      </c>
      <c r="D1430" s="508">
        <v>79730</v>
      </c>
      <c r="E1430" s="507" t="s">
        <v>6108</v>
      </c>
    </row>
    <row r="1431" spans="1:5" ht="15" x14ac:dyDescent="0.3">
      <c r="A1431" s="506">
        <v>9405</v>
      </c>
      <c r="B1431" s="507" t="s">
        <v>6318</v>
      </c>
      <c r="C1431" s="506" t="s">
        <v>32</v>
      </c>
      <c r="D1431" s="508">
        <v>269892</v>
      </c>
      <c r="E1431" s="507" t="s">
        <v>6108</v>
      </c>
    </row>
    <row r="1432" spans="1:5" ht="15" x14ac:dyDescent="0.3">
      <c r="A1432" s="506">
        <v>9407</v>
      </c>
      <c r="B1432" s="507" t="s">
        <v>6319</v>
      </c>
      <c r="C1432" s="506" t="s">
        <v>32</v>
      </c>
      <c r="D1432" s="508">
        <v>166600</v>
      </c>
      <c r="E1432" s="507" t="s">
        <v>6108</v>
      </c>
    </row>
    <row r="1433" spans="1:5" ht="15" x14ac:dyDescent="0.3">
      <c r="A1433" s="506">
        <v>9408</v>
      </c>
      <c r="B1433" s="507" t="s">
        <v>4767</v>
      </c>
      <c r="C1433" s="506" t="s">
        <v>32</v>
      </c>
      <c r="D1433" s="508">
        <v>211607</v>
      </c>
      <c r="E1433" s="507" t="s">
        <v>6108</v>
      </c>
    </row>
    <row r="1434" spans="1:5" ht="15" x14ac:dyDescent="0.3">
      <c r="A1434" s="506">
        <v>9409</v>
      </c>
      <c r="B1434" s="507" t="s">
        <v>4768</v>
      </c>
      <c r="C1434" s="506" t="s">
        <v>32</v>
      </c>
      <c r="D1434" s="508">
        <v>191249</v>
      </c>
      <c r="E1434" s="507" t="s">
        <v>6108</v>
      </c>
    </row>
    <row r="1435" spans="1:5" ht="15" x14ac:dyDescent="0.3">
      <c r="A1435" s="506">
        <v>9413</v>
      </c>
      <c r="B1435" s="507" t="s">
        <v>4769</v>
      </c>
      <c r="C1435" s="506" t="s">
        <v>670</v>
      </c>
      <c r="D1435" s="508">
        <v>6486</v>
      </c>
      <c r="E1435" s="507" t="s">
        <v>331</v>
      </c>
    </row>
    <row r="1436" spans="1:5" ht="15" x14ac:dyDescent="0.3">
      <c r="A1436" s="506">
        <v>9414</v>
      </c>
      <c r="B1436" s="507" t="s">
        <v>4770</v>
      </c>
      <c r="C1436" s="506" t="s">
        <v>32</v>
      </c>
      <c r="D1436" s="508">
        <v>36607</v>
      </c>
      <c r="E1436" s="507" t="s">
        <v>6108</v>
      </c>
    </row>
    <row r="1437" spans="1:5" ht="15" x14ac:dyDescent="0.3">
      <c r="A1437" s="506">
        <v>9423</v>
      </c>
      <c r="B1437" s="507" t="s">
        <v>4771</v>
      </c>
      <c r="C1437" s="506" t="s">
        <v>254</v>
      </c>
      <c r="D1437" s="508">
        <v>4177884</v>
      </c>
      <c r="E1437" s="507" t="s">
        <v>6109</v>
      </c>
    </row>
    <row r="1438" spans="1:5" ht="15" x14ac:dyDescent="0.3">
      <c r="A1438" s="506">
        <v>9424</v>
      </c>
      <c r="B1438" s="507" t="s">
        <v>4772</v>
      </c>
      <c r="C1438" s="506" t="s">
        <v>254</v>
      </c>
      <c r="D1438" s="508">
        <v>2922389</v>
      </c>
      <c r="E1438" s="507" t="s">
        <v>6109</v>
      </c>
    </row>
    <row r="1439" spans="1:5" ht="15" x14ac:dyDescent="0.3">
      <c r="A1439" s="506">
        <v>9427</v>
      </c>
      <c r="B1439" s="507" t="s">
        <v>4773</v>
      </c>
      <c r="C1439" s="506" t="s">
        <v>32</v>
      </c>
      <c r="D1439" s="508">
        <v>13231</v>
      </c>
      <c r="E1439" s="507" t="s">
        <v>6109</v>
      </c>
    </row>
    <row r="1440" spans="1:5" ht="15" x14ac:dyDescent="0.3">
      <c r="A1440" s="506">
        <v>9428</v>
      </c>
      <c r="B1440" s="507" t="s">
        <v>4774</v>
      </c>
      <c r="C1440" s="506" t="s">
        <v>32</v>
      </c>
      <c r="D1440" s="508">
        <v>21900</v>
      </c>
      <c r="E1440" s="507" t="s">
        <v>6109</v>
      </c>
    </row>
    <row r="1441" spans="1:5" ht="15" x14ac:dyDescent="0.3">
      <c r="A1441" s="506">
        <v>9433</v>
      </c>
      <c r="B1441" s="507" t="s">
        <v>6320</v>
      </c>
      <c r="C1441" s="506" t="s">
        <v>32</v>
      </c>
      <c r="D1441" s="508">
        <v>211820</v>
      </c>
      <c r="E1441" s="507" t="s">
        <v>6108</v>
      </c>
    </row>
    <row r="1442" spans="1:5" ht="15" x14ac:dyDescent="0.3">
      <c r="A1442" s="506">
        <v>9434</v>
      </c>
      <c r="B1442" s="507" t="s">
        <v>4775</v>
      </c>
      <c r="C1442" s="506" t="s">
        <v>670</v>
      </c>
      <c r="D1442" s="508">
        <v>381</v>
      </c>
      <c r="E1442" s="507" t="s">
        <v>6108</v>
      </c>
    </row>
    <row r="1443" spans="1:5" ht="15" x14ac:dyDescent="0.3">
      <c r="A1443" s="506">
        <v>9437</v>
      </c>
      <c r="B1443" s="507" t="s">
        <v>4776</v>
      </c>
      <c r="C1443" s="506" t="s">
        <v>32</v>
      </c>
      <c r="D1443" s="508">
        <v>721810</v>
      </c>
      <c r="E1443" s="507" t="s">
        <v>331</v>
      </c>
    </row>
    <row r="1444" spans="1:5" ht="15" x14ac:dyDescent="0.3">
      <c r="A1444" s="506">
        <v>9441</v>
      </c>
      <c r="B1444" s="507" t="s">
        <v>4777</v>
      </c>
      <c r="C1444" s="506" t="s">
        <v>32</v>
      </c>
      <c r="D1444" s="508">
        <v>1402996</v>
      </c>
      <c r="E1444" s="507" t="s">
        <v>6108</v>
      </c>
    </row>
    <row r="1445" spans="1:5" ht="15" x14ac:dyDescent="0.3">
      <c r="A1445" s="506">
        <v>9443</v>
      </c>
      <c r="B1445" s="507" t="s">
        <v>4778</v>
      </c>
      <c r="C1445" s="506" t="s">
        <v>32</v>
      </c>
      <c r="D1445" s="508">
        <v>1861755</v>
      </c>
      <c r="E1445" s="507" t="s">
        <v>6108</v>
      </c>
    </row>
    <row r="1446" spans="1:5" ht="15" x14ac:dyDescent="0.3">
      <c r="A1446" s="506">
        <v>9444</v>
      </c>
      <c r="B1446" s="507" t="s">
        <v>4779</v>
      </c>
      <c r="C1446" s="506" t="s">
        <v>32</v>
      </c>
      <c r="D1446" s="508">
        <v>212415</v>
      </c>
      <c r="E1446" s="507" t="s">
        <v>6108</v>
      </c>
    </row>
    <row r="1447" spans="1:5" ht="15" x14ac:dyDescent="0.3">
      <c r="A1447" s="506">
        <v>9445</v>
      </c>
      <c r="B1447" s="507" t="s">
        <v>4780</v>
      </c>
      <c r="C1447" s="506" t="s">
        <v>32</v>
      </c>
      <c r="D1447" s="508">
        <v>265370</v>
      </c>
      <c r="E1447" s="507" t="s">
        <v>6108</v>
      </c>
    </row>
    <row r="1448" spans="1:5" ht="15" x14ac:dyDescent="0.3">
      <c r="A1448" s="506">
        <v>9446</v>
      </c>
      <c r="B1448" s="507" t="s">
        <v>4781</v>
      </c>
      <c r="C1448" s="506" t="s">
        <v>32</v>
      </c>
      <c r="D1448" s="508">
        <v>81373</v>
      </c>
      <c r="E1448" s="507" t="s">
        <v>6108</v>
      </c>
    </row>
    <row r="1449" spans="1:5" ht="15" x14ac:dyDescent="0.3">
      <c r="A1449" s="506">
        <v>9447</v>
      </c>
      <c r="B1449" s="507" t="s">
        <v>6321</v>
      </c>
      <c r="C1449" s="506" t="s">
        <v>32</v>
      </c>
      <c r="D1449" s="508">
        <v>1731450</v>
      </c>
      <c r="E1449" s="507" t="s">
        <v>6108</v>
      </c>
    </row>
    <row r="1450" spans="1:5" ht="15" x14ac:dyDescent="0.3">
      <c r="A1450" s="506">
        <v>9448</v>
      </c>
      <c r="B1450" s="507" t="s">
        <v>4782</v>
      </c>
      <c r="C1450" s="506" t="s">
        <v>32</v>
      </c>
      <c r="D1450" s="508">
        <v>273819</v>
      </c>
      <c r="E1450" s="507" t="s">
        <v>6108</v>
      </c>
    </row>
    <row r="1451" spans="1:5" ht="15" x14ac:dyDescent="0.3">
      <c r="A1451" s="506">
        <v>9449</v>
      </c>
      <c r="B1451" s="507" t="s">
        <v>4783</v>
      </c>
      <c r="C1451" s="506" t="s">
        <v>32</v>
      </c>
      <c r="D1451" s="508">
        <v>68068</v>
      </c>
      <c r="E1451" s="507" t="s">
        <v>6108</v>
      </c>
    </row>
    <row r="1452" spans="1:5" ht="15" x14ac:dyDescent="0.3">
      <c r="A1452" s="506">
        <v>9450</v>
      </c>
      <c r="B1452" s="507" t="s">
        <v>4784</v>
      </c>
      <c r="C1452" s="506" t="s">
        <v>32</v>
      </c>
      <c r="D1452" s="508">
        <v>160650</v>
      </c>
      <c r="E1452" s="507" t="s">
        <v>6108</v>
      </c>
    </row>
    <row r="1453" spans="1:5" ht="15" x14ac:dyDescent="0.3">
      <c r="A1453" s="506">
        <v>9451</v>
      </c>
      <c r="B1453" s="507" t="s">
        <v>4785</v>
      </c>
      <c r="C1453" s="506" t="s">
        <v>32</v>
      </c>
      <c r="D1453" s="508">
        <v>84490</v>
      </c>
      <c r="E1453" s="507" t="s">
        <v>6108</v>
      </c>
    </row>
    <row r="1454" spans="1:5" ht="15" x14ac:dyDescent="0.3">
      <c r="A1454" s="506">
        <v>9452</v>
      </c>
      <c r="B1454" s="507" t="s">
        <v>4786</v>
      </c>
      <c r="C1454" s="506" t="s">
        <v>32</v>
      </c>
      <c r="D1454" s="508">
        <v>82110</v>
      </c>
      <c r="E1454" s="507" t="s">
        <v>6108</v>
      </c>
    </row>
    <row r="1455" spans="1:5" ht="15" x14ac:dyDescent="0.3">
      <c r="A1455" s="506">
        <v>9453</v>
      </c>
      <c r="B1455" s="507" t="s">
        <v>4787</v>
      </c>
      <c r="C1455" s="506" t="s">
        <v>32</v>
      </c>
      <c r="D1455" s="508">
        <v>302855</v>
      </c>
      <c r="E1455" s="507" t="s">
        <v>6108</v>
      </c>
    </row>
    <row r="1456" spans="1:5" ht="15" x14ac:dyDescent="0.3">
      <c r="A1456" s="506">
        <v>9454</v>
      </c>
      <c r="B1456" s="507" t="s">
        <v>4788</v>
      </c>
      <c r="C1456" s="506" t="s">
        <v>32</v>
      </c>
      <c r="D1456" s="508">
        <v>75565</v>
      </c>
      <c r="E1456" s="507" t="s">
        <v>6108</v>
      </c>
    </row>
    <row r="1457" spans="1:5" ht="15" x14ac:dyDescent="0.3">
      <c r="A1457" s="506">
        <v>9455</v>
      </c>
      <c r="B1457" s="507" t="s">
        <v>4789</v>
      </c>
      <c r="C1457" s="506" t="s">
        <v>254</v>
      </c>
      <c r="D1457" s="508">
        <v>1750905</v>
      </c>
      <c r="E1457" s="507" t="s">
        <v>6109</v>
      </c>
    </row>
    <row r="1458" spans="1:5" ht="15" x14ac:dyDescent="0.3">
      <c r="A1458" s="506">
        <v>9456</v>
      </c>
      <c r="B1458" s="507" t="s">
        <v>6322</v>
      </c>
      <c r="C1458" s="506" t="s">
        <v>254</v>
      </c>
      <c r="D1458" s="508">
        <v>6583500</v>
      </c>
      <c r="E1458" s="507" t="s">
        <v>6109</v>
      </c>
    </row>
    <row r="1459" spans="1:5" ht="15" x14ac:dyDescent="0.3">
      <c r="A1459" s="506">
        <v>9457</v>
      </c>
      <c r="B1459" s="507" t="s">
        <v>4790</v>
      </c>
      <c r="C1459" s="506" t="s">
        <v>254</v>
      </c>
      <c r="D1459" s="508">
        <v>3669300</v>
      </c>
      <c r="E1459" s="507" t="s">
        <v>6109</v>
      </c>
    </row>
    <row r="1460" spans="1:5" ht="15" x14ac:dyDescent="0.3">
      <c r="A1460" s="506">
        <v>9459</v>
      </c>
      <c r="B1460" s="507" t="s">
        <v>4791</v>
      </c>
      <c r="C1460" s="506" t="s">
        <v>254</v>
      </c>
      <c r="D1460" s="508">
        <v>2972000</v>
      </c>
      <c r="E1460" s="507" t="s">
        <v>6109</v>
      </c>
    </row>
    <row r="1461" spans="1:5" ht="15" x14ac:dyDescent="0.3">
      <c r="A1461" s="506">
        <v>9460</v>
      </c>
      <c r="B1461" s="507" t="s">
        <v>4792</v>
      </c>
      <c r="C1461" s="506" t="s">
        <v>254</v>
      </c>
      <c r="D1461" s="508">
        <v>1987000</v>
      </c>
      <c r="E1461" s="507" t="s">
        <v>6109</v>
      </c>
    </row>
    <row r="1462" spans="1:5" ht="15" x14ac:dyDescent="0.3">
      <c r="A1462" s="506">
        <v>9461</v>
      </c>
      <c r="B1462" s="507" t="s">
        <v>4793</v>
      </c>
      <c r="C1462" s="506" t="s">
        <v>254</v>
      </c>
      <c r="D1462" s="508">
        <v>2244000</v>
      </c>
      <c r="E1462" s="507" t="s">
        <v>6109</v>
      </c>
    </row>
    <row r="1463" spans="1:5" ht="15" x14ac:dyDescent="0.3">
      <c r="A1463" s="506">
        <v>9462</v>
      </c>
      <c r="B1463" s="507" t="s">
        <v>4794</v>
      </c>
      <c r="C1463" s="506" t="s">
        <v>254</v>
      </c>
      <c r="D1463" s="508">
        <v>2618000</v>
      </c>
      <c r="E1463" s="507" t="s">
        <v>6109</v>
      </c>
    </row>
    <row r="1464" spans="1:5" ht="15" x14ac:dyDescent="0.3">
      <c r="A1464" s="506">
        <v>9463</v>
      </c>
      <c r="B1464" s="507" t="s">
        <v>4795</v>
      </c>
      <c r="C1464" s="506" t="s">
        <v>254</v>
      </c>
      <c r="D1464" s="508">
        <v>2618000</v>
      </c>
      <c r="E1464" s="507" t="s">
        <v>6109</v>
      </c>
    </row>
    <row r="1465" spans="1:5" ht="15" x14ac:dyDescent="0.3">
      <c r="A1465" s="506">
        <v>9464</v>
      </c>
      <c r="B1465" s="507" t="s">
        <v>4796</v>
      </c>
      <c r="C1465" s="506" t="s">
        <v>254</v>
      </c>
      <c r="D1465" s="508">
        <v>2992000</v>
      </c>
      <c r="E1465" s="507" t="s">
        <v>6109</v>
      </c>
    </row>
    <row r="1466" spans="1:5" ht="15" x14ac:dyDescent="0.3">
      <c r="A1466" s="506">
        <v>9465</v>
      </c>
      <c r="B1466" s="507" t="s">
        <v>4797</v>
      </c>
      <c r="C1466" s="506" t="s">
        <v>254</v>
      </c>
      <c r="D1466" s="508">
        <v>25218989</v>
      </c>
      <c r="E1466" s="507" t="s">
        <v>6109</v>
      </c>
    </row>
    <row r="1467" spans="1:5" ht="15" x14ac:dyDescent="0.3">
      <c r="A1467" s="506">
        <v>9466</v>
      </c>
      <c r="B1467" s="507" t="s">
        <v>4798</v>
      </c>
      <c r="C1467" s="506" t="s">
        <v>254</v>
      </c>
      <c r="D1467" s="508">
        <v>19230337</v>
      </c>
      <c r="E1467" s="507" t="s">
        <v>6109</v>
      </c>
    </row>
    <row r="1468" spans="1:5" ht="15" x14ac:dyDescent="0.3">
      <c r="A1468" s="506">
        <v>9467</v>
      </c>
      <c r="B1468" s="507" t="s">
        <v>4799</v>
      </c>
      <c r="C1468" s="506" t="s">
        <v>254</v>
      </c>
      <c r="D1468" s="508">
        <v>16236011</v>
      </c>
      <c r="E1468" s="507" t="s">
        <v>6109</v>
      </c>
    </row>
    <row r="1469" spans="1:5" ht="15" x14ac:dyDescent="0.3">
      <c r="A1469" s="506">
        <v>9468</v>
      </c>
      <c r="B1469" s="507" t="s">
        <v>4800</v>
      </c>
      <c r="C1469" s="506" t="s">
        <v>254</v>
      </c>
      <c r="D1469" s="508">
        <v>13830994</v>
      </c>
      <c r="E1469" s="507" t="s">
        <v>6109</v>
      </c>
    </row>
    <row r="1470" spans="1:5" ht="15" x14ac:dyDescent="0.3">
      <c r="A1470" s="506">
        <v>9469</v>
      </c>
      <c r="B1470" s="507" t="s">
        <v>4801</v>
      </c>
      <c r="C1470" s="506" t="s">
        <v>254</v>
      </c>
      <c r="D1470" s="508">
        <v>12480071</v>
      </c>
      <c r="E1470" s="507" t="s">
        <v>6109</v>
      </c>
    </row>
    <row r="1471" spans="1:5" ht="15" x14ac:dyDescent="0.3">
      <c r="A1471" s="506">
        <v>9470</v>
      </c>
      <c r="B1471" s="507" t="s">
        <v>4802</v>
      </c>
      <c r="C1471" s="506" t="s">
        <v>254</v>
      </c>
      <c r="D1471" s="508">
        <v>11133493</v>
      </c>
      <c r="E1471" s="507" t="s">
        <v>6109</v>
      </c>
    </row>
    <row r="1472" spans="1:5" ht="15" x14ac:dyDescent="0.3">
      <c r="A1472" s="506">
        <v>9471</v>
      </c>
      <c r="B1472" s="507" t="s">
        <v>4803</v>
      </c>
      <c r="C1472" s="506" t="s">
        <v>254</v>
      </c>
      <c r="D1472" s="508">
        <v>8428754</v>
      </c>
      <c r="E1472" s="507" t="s">
        <v>6109</v>
      </c>
    </row>
    <row r="1473" spans="1:5" ht="15" x14ac:dyDescent="0.3">
      <c r="A1473" s="506">
        <v>9473</v>
      </c>
      <c r="B1473" s="507" t="s">
        <v>4804</v>
      </c>
      <c r="C1473" s="506" t="s">
        <v>254</v>
      </c>
      <c r="D1473" s="508">
        <v>5233165</v>
      </c>
      <c r="E1473" s="507" t="s">
        <v>6109</v>
      </c>
    </row>
    <row r="1474" spans="1:5" ht="15" x14ac:dyDescent="0.3">
      <c r="A1474" s="506">
        <v>9474</v>
      </c>
      <c r="B1474" s="507" t="s">
        <v>4805</v>
      </c>
      <c r="C1474" s="506" t="s">
        <v>254</v>
      </c>
      <c r="D1474" s="508">
        <v>4948184</v>
      </c>
      <c r="E1474" s="507" t="s">
        <v>6109</v>
      </c>
    </row>
    <row r="1475" spans="1:5" ht="15" x14ac:dyDescent="0.3">
      <c r="A1475" s="506">
        <v>9475</v>
      </c>
      <c r="B1475" s="507" t="s">
        <v>4806</v>
      </c>
      <c r="C1475" s="506" t="s">
        <v>254</v>
      </c>
      <c r="D1475" s="508">
        <v>5169718</v>
      </c>
      <c r="E1475" s="507" t="s">
        <v>6109</v>
      </c>
    </row>
    <row r="1476" spans="1:5" ht="15" x14ac:dyDescent="0.3">
      <c r="A1476" s="506">
        <v>9476</v>
      </c>
      <c r="B1476" s="507" t="s">
        <v>4807</v>
      </c>
      <c r="C1476" s="506" t="s">
        <v>254</v>
      </c>
      <c r="D1476" s="508">
        <v>4253177</v>
      </c>
      <c r="E1476" s="507" t="s">
        <v>6109</v>
      </c>
    </row>
    <row r="1477" spans="1:5" ht="15" x14ac:dyDescent="0.3">
      <c r="A1477" s="506">
        <v>9477</v>
      </c>
      <c r="B1477" s="507" t="s">
        <v>4808</v>
      </c>
      <c r="C1477" s="506" t="s">
        <v>254</v>
      </c>
      <c r="D1477" s="508">
        <v>5453251</v>
      </c>
      <c r="E1477" s="507" t="s">
        <v>6109</v>
      </c>
    </row>
    <row r="1478" spans="1:5" ht="15" x14ac:dyDescent="0.3">
      <c r="A1478" s="506">
        <v>9478</v>
      </c>
      <c r="B1478" s="507" t="s">
        <v>4809</v>
      </c>
      <c r="C1478" s="506" t="s">
        <v>254</v>
      </c>
      <c r="D1478" s="508">
        <v>4823661</v>
      </c>
      <c r="E1478" s="507" t="s">
        <v>6109</v>
      </c>
    </row>
    <row r="1479" spans="1:5" ht="15" x14ac:dyDescent="0.3">
      <c r="A1479" s="506">
        <v>9479</v>
      </c>
      <c r="B1479" s="507" t="s">
        <v>4810</v>
      </c>
      <c r="C1479" s="506" t="s">
        <v>254</v>
      </c>
      <c r="D1479" s="508">
        <v>5453251</v>
      </c>
      <c r="E1479" s="507" t="s">
        <v>6109</v>
      </c>
    </row>
    <row r="1480" spans="1:5" ht="15" x14ac:dyDescent="0.3">
      <c r="A1480" s="506">
        <v>9480</v>
      </c>
      <c r="B1480" s="507" t="s">
        <v>4811</v>
      </c>
      <c r="C1480" s="506" t="s">
        <v>254</v>
      </c>
      <c r="D1480" s="508">
        <v>4823661</v>
      </c>
      <c r="E1480" s="507" t="s">
        <v>6109</v>
      </c>
    </row>
    <row r="1481" spans="1:5" ht="15" x14ac:dyDescent="0.3">
      <c r="A1481" s="506">
        <v>9481</v>
      </c>
      <c r="B1481" s="507" t="s">
        <v>4812</v>
      </c>
      <c r="C1481" s="506" t="s">
        <v>254</v>
      </c>
      <c r="D1481" s="508">
        <v>5179853</v>
      </c>
      <c r="E1481" s="507" t="s">
        <v>6109</v>
      </c>
    </row>
    <row r="1482" spans="1:5" ht="15" x14ac:dyDescent="0.3">
      <c r="A1482" s="506">
        <v>9482</v>
      </c>
      <c r="B1482" s="507" t="s">
        <v>4813</v>
      </c>
      <c r="C1482" s="506" t="s">
        <v>254</v>
      </c>
      <c r="D1482" s="508">
        <v>3740609</v>
      </c>
      <c r="E1482" s="507" t="s">
        <v>6109</v>
      </c>
    </row>
    <row r="1483" spans="1:5" ht="15" x14ac:dyDescent="0.3">
      <c r="A1483" s="506">
        <v>9483</v>
      </c>
      <c r="B1483" s="507" t="s">
        <v>4814</v>
      </c>
      <c r="C1483" s="506" t="s">
        <v>254</v>
      </c>
      <c r="D1483" s="508">
        <v>4322677</v>
      </c>
      <c r="E1483" s="507" t="s">
        <v>6109</v>
      </c>
    </row>
    <row r="1484" spans="1:5" ht="15" x14ac:dyDescent="0.3">
      <c r="A1484" s="506">
        <v>9484</v>
      </c>
      <c r="B1484" s="507" t="s">
        <v>4815</v>
      </c>
      <c r="C1484" s="506" t="s">
        <v>254</v>
      </c>
      <c r="D1484" s="508">
        <v>3930288</v>
      </c>
      <c r="E1484" s="507" t="s">
        <v>6109</v>
      </c>
    </row>
    <row r="1485" spans="1:5" ht="15" x14ac:dyDescent="0.3">
      <c r="A1485" s="506">
        <v>9485</v>
      </c>
      <c r="B1485" s="507" t="s">
        <v>4816</v>
      </c>
      <c r="C1485" s="506" t="s">
        <v>254</v>
      </c>
      <c r="D1485" s="508">
        <v>5424555</v>
      </c>
      <c r="E1485" s="507" t="s">
        <v>6109</v>
      </c>
    </row>
    <row r="1486" spans="1:5" ht="15" x14ac:dyDescent="0.3">
      <c r="A1486" s="506">
        <v>9486</v>
      </c>
      <c r="B1486" s="507" t="s">
        <v>4817</v>
      </c>
      <c r="C1486" s="506" t="s">
        <v>254</v>
      </c>
      <c r="D1486" s="508">
        <v>3979518</v>
      </c>
      <c r="E1486" s="507" t="s">
        <v>6109</v>
      </c>
    </row>
    <row r="1487" spans="1:5" ht="15" x14ac:dyDescent="0.3">
      <c r="A1487" s="506">
        <v>9487</v>
      </c>
      <c r="B1487" s="507" t="s">
        <v>4818</v>
      </c>
      <c r="C1487" s="506" t="s">
        <v>254</v>
      </c>
      <c r="D1487" s="508">
        <v>3309125</v>
      </c>
      <c r="E1487" s="507" t="s">
        <v>6109</v>
      </c>
    </row>
    <row r="1488" spans="1:5" ht="15" x14ac:dyDescent="0.3">
      <c r="A1488" s="506">
        <v>9488</v>
      </c>
      <c r="B1488" s="507" t="s">
        <v>4819</v>
      </c>
      <c r="C1488" s="506" t="s">
        <v>254</v>
      </c>
      <c r="D1488" s="508">
        <v>2922389</v>
      </c>
      <c r="E1488" s="507" t="s">
        <v>6109</v>
      </c>
    </row>
    <row r="1489" spans="1:5" ht="15" x14ac:dyDescent="0.3">
      <c r="A1489" s="506">
        <v>9489</v>
      </c>
      <c r="B1489" s="507" t="s">
        <v>4820</v>
      </c>
      <c r="C1489" s="506" t="s">
        <v>254</v>
      </c>
      <c r="D1489" s="508">
        <v>3740609</v>
      </c>
      <c r="E1489" s="507" t="s">
        <v>6109</v>
      </c>
    </row>
    <row r="1490" spans="1:5" ht="15" x14ac:dyDescent="0.3">
      <c r="A1490" s="506">
        <v>9490</v>
      </c>
      <c r="B1490" s="507" t="s">
        <v>4821</v>
      </c>
      <c r="C1490" s="506" t="s">
        <v>254</v>
      </c>
      <c r="D1490" s="508">
        <v>3309125</v>
      </c>
      <c r="E1490" s="507" t="s">
        <v>6109</v>
      </c>
    </row>
    <row r="1491" spans="1:5" ht="15" x14ac:dyDescent="0.3">
      <c r="A1491" s="506">
        <v>9491</v>
      </c>
      <c r="B1491" s="507" t="s">
        <v>4822</v>
      </c>
      <c r="C1491" s="506" t="s">
        <v>254</v>
      </c>
      <c r="D1491" s="508">
        <v>2922389</v>
      </c>
      <c r="E1491" s="507" t="s">
        <v>6109</v>
      </c>
    </row>
    <row r="1492" spans="1:5" ht="15" x14ac:dyDescent="0.3">
      <c r="A1492" s="506">
        <v>9492</v>
      </c>
      <c r="B1492" s="507" t="s">
        <v>4823</v>
      </c>
      <c r="C1492" s="506" t="s">
        <v>254</v>
      </c>
      <c r="D1492" s="508">
        <v>6542098</v>
      </c>
      <c r="E1492" s="507" t="s">
        <v>6109</v>
      </c>
    </row>
    <row r="1493" spans="1:5" ht="15" x14ac:dyDescent="0.3">
      <c r="A1493" s="506">
        <v>9493</v>
      </c>
      <c r="B1493" s="507" t="s">
        <v>4824</v>
      </c>
      <c r="C1493" s="506" t="s">
        <v>254</v>
      </c>
      <c r="D1493" s="508">
        <v>3636357</v>
      </c>
      <c r="E1493" s="507" t="s">
        <v>6109</v>
      </c>
    </row>
    <row r="1494" spans="1:5" ht="15" x14ac:dyDescent="0.3">
      <c r="A1494" s="506">
        <v>9494</v>
      </c>
      <c r="B1494" s="507" t="s">
        <v>4825</v>
      </c>
      <c r="C1494" s="506" t="s">
        <v>254</v>
      </c>
      <c r="D1494" s="508">
        <v>4719411</v>
      </c>
      <c r="E1494" s="507" t="s">
        <v>6109</v>
      </c>
    </row>
    <row r="1495" spans="1:5" ht="15" x14ac:dyDescent="0.3">
      <c r="A1495" s="506">
        <v>9495</v>
      </c>
      <c r="B1495" s="507" t="s">
        <v>4826</v>
      </c>
      <c r="C1495" s="506" t="s">
        <v>670</v>
      </c>
      <c r="D1495" s="508">
        <v>11777</v>
      </c>
      <c r="E1495" s="507" t="s">
        <v>331</v>
      </c>
    </row>
    <row r="1496" spans="1:5" ht="15" x14ac:dyDescent="0.3">
      <c r="A1496" s="506">
        <v>9496</v>
      </c>
      <c r="B1496" s="507" t="s">
        <v>4827</v>
      </c>
      <c r="C1496" s="506" t="s">
        <v>670</v>
      </c>
      <c r="D1496" s="508">
        <v>9994</v>
      </c>
      <c r="E1496" s="507" t="s">
        <v>331</v>
      </c>
    </row>
    <row r="1497" spans="1:5" ht="15" x14ac:dyDescent="0.3">
      <c r="A1497" s="506">
        <v>9497</v>
      </c>
      <c r="B1497" s="507" t="s">
        <v>6323</v>
      </c>
      <c r="C1497" s="506" t="s">
        <v>979</v>
      </c>
      <c r="D1497" s="508">
        <v>16439</v>
      </c>
      <c r="E1497" s="507" t="s">
        <v>6109</v>
      </c>
    </row>
    <row r="1498" spans="1:5" ht="15" x14ac:dyDescent="0.3">
      <c r="A1498" s="506">
        <v>9499</v>
      </c>
      <c r="B1498" s="507" t="s">
        <v>4828</v>
      </c>
      <c r="C1498" s="506" t="s">
        <v>30</v>
      </c>
      <c r="D1498" s="508">
        <v>618688</v>
      </c>
      <c r="E1498" s="507" t="s">
        <v>331</v>
      </c>
    </row>
    <row r="1499" spans="1:5" ht="15" x14ac:dyDescent="0.3">
      <c r="A1499" s="506">
        <v>9500</v>
      </c>
      <c r="B1499" s="507" t="s">
        <v>4829</v>
      </c>
      <c r="C1499" s="506" t="s">
        <v>21</v>
      </c>
      <c r="D1499" s="508">
        <v>106505</v>
      </c>
      <c r="E1499" s="507" t="s">
        <v>331</v>
      </c>
    </row>
    <row r="1500" spans="1:5" ht="15" x14ac:dyDescent="0.3">
      <c r="A1500" s="506">
        <v>9501</v>
      </c>
      <c r="B1500" s="507" t="s">
        <v>4830</v>
      </c>
      <c r="C1500" s="506" t="s">
        <v>21</v>
      </c>
      <c r="D1500" s="508">
        <v>89250</v>
      </c>
      <c r="E1500" s="507" t="s">
        <v>331</v>
      </c>
    </row>
    <row r="1501" spans="1:5" ht="15" x14ac:dyDescent="0.3">
      <c r="A1501" s="506">
        <v>9505</v>
      </c>
      <c r="B1501" s="507" t="s">
        <v>4831</v>
      </c>
      <c r="C1501" s="506" t="s">
        <v>692</v>
      </c>
      <c r="D1501" s="508">
        <v>840633</v>
      </c>
      <c r="E1501" s="507" t="s">
        <v>6109</v>
      </c>
    </row>
    <row r="1502" spans="1:5" ht="15" x14ac:dyDescent="0.3">
      <c r="A1502" s="506">
        <v>9506</v>
      </c>
      <c r="B1502" s="507" t="s">
        <v>4832</v>
      </c>
      <c r="C1502" s="506" t="s">
        <v>692</v>
      </c>
      <c r="D1502" s="508">
        <v>641011</v>
      </c>
      <c r="E1502" s="507" t="s">
        <v>6109</v>
      </c>
    </row>
    <row r="1503" spans="1:5" ht="15" x14ac:dyDescent="0.3">
      <c r="A1503" s="506">
        <v>9507</v>
      </c>
      <c r="B1503" s="507" t="s">
        <v>4833</v>
      </c>
      <c r="C1503" s="506" t="s">
        <v>692</v>
      </c>
      <c r="D1503" s="508">
        <v>541201</v>
      </c>
      <c r="E1503" s="507" t="s">
        <v>6109</v>
      </c>
    </row>
    <row r="1504" spans="1:5" ht="15" x14ac:dyDescent="0.3">
      <c r="A1504" s="506">
        <v>9508</v>
      </c>
      <c r="B1504" s="507" t="s">
        <v>4834</v>
      </c>
      <c r="C1504" s="506" t="s">
        <v>692</v>
      </c>
      <c r="D1504" s="508">
        <v>461034</v>
      </c>
      <c r="E1504" s="507" t="s">
        <v>6109</v>
      </c>
    </row>
    <row r="1505" spans="1:5" ht="15" x14ac:dyDescent="0.3">
      <c r="A1505" s="506">
        <v>9509</v>
      </c>
      <c r="B1505" s="507" t="s">
        <v>4835</v>
      </c>
      <c r="C1505" s="506" t="s">
        <v>692</v>
      </c>
      <c r="D1505" s="508">
        <v>416003</v>
      </c>
      <c r="E1505" s="507" t="s">
        <v>6109</v>
      </c>
    </row>
    <row r="1506" spans="1:5" ht="15" x14ac:dyDescent="0.3">
      <c r="A1506" s="506">
        <v>9510</v>
      </c>
      <c r="B1506" s="507" t="s">
        <v>4836</v>
      </c>
      <c r="C1506" s="506" t="s">
        <v>692</v>
      </c>
      <c r="D1506" s="508">
        <v>371117</v>
      </c>
      <c r="E1506" s="507" t="s">
        <v>6109</v>
      </c>
    </row>
    <row r="1507" spans="1:5" ht="15" x14ac:dyDescent="0.3">
      <c r="A1507" s="506">
        <v>9511</v>
      </c>
      <c r="B1507" s="507" t="s">
        <v>4837</v>
      </c>
      <c r="C1507" s="506" t="s">
        <v>692</v>
      </c>
      <c r="D1507" s="508">
        <v>280958</v>
      </c>
      <c r="E1507" s="507" t="s">
        <v>6109</v>
      </c>
    </row>
    <row r="1508" spans="1:5" ht="15" x14ac:dyDescent="0.3">
      <c r="A1508" s="506">
        <v>9512</v>
      </c>
      <c r="B1508" s="507" t="s">
        <v>4838</v>
      </c>
      <c r="C1508" s="506" t="s">
        <v>692</v>
      </c>
      <c r="D1508" s="508">
        <v>174438</v>
      </c>
      <c r="E1508" s="507" t="s">
        <v>6109</v>
      </c>
    </row>
    <row r="1509" spans="1:5" ht="15" x14ac:dyDescent="0.3">
      <c r="A1509" s="506">
        <v>9513</v>
      </c>
      <c r="B1509" s="507" t="s">
        <v>4839</v>
      </c>
      <c r="C1509" s="506" t="s">
        <v>692</v>
      </c>
      <c r="D1509" s="508">
        <v>164940</v>
      </c>
      <c r="E1509" s="507" t="s">
        <v>6109</v>
      </c>
    </row>
    <row r="1510" spans="1:5" ht="15" x14ac:dyDescent="0.3">
      <c r="A1510" s="506">
        <v>9514</v>
      </c>
      <c r="B1510" s="507" t="s">
        <v>4840</v>
      </c>
      <c r="C1510" s="506" t="s">
        <v>692</v>
      </c>
      <c r="D1510" s="508">
        <v>172324</v>
      </c>
      <c r="E1510" s="507" t="s">
        <v>6109</v>
      </c>
    </row>
    <row r="1511" spans="1:5" ht="15" x14ac:dyDescent="0.3">
      <c r="A1511" s="506">
        <v>9515</v>
      </c>
      <c r="B1511" s="507" t="s">
        <v>4841</v>
      </c>
      <c r="C1511" s="506" t="s">
        <v>692</v>
      </c>
      <c r="D1511" s="508">
        <v>141773</v>
      </c>
      <c r="E1511" s="507" t="s">
        <v>6109</v>
      </c>
    </row>
    <row r="1512" spans="1:5" ht="15" x14ac:dyDescent="0.3">
      <c r="A1512" s="506">
        <v>9516</v>
      </c>
      <c r="B1512" s="507" t="s">
        <v>4842</v>
      </c>
      <c r="C1512" s="506" t="s">
        <v>692</v>
      </c>
      <c r="D1512" s="508">
        <v>160788</v>
      </c>
      <c r="E1512" s="507" t="s">
        <v>6109</v>
      </c>
    </row>
    <row r="1513" spans="1:5" ht="15" x14ac:dyDescent="0.3">
      <c r="A1513" s="506">
        <v>9517</v>
      </c>
      <c r="B1513" s="507" t="s">
        <v>4843</v>
      </c>
      <c r="C1513" s="506" t="s">
        <v>692</v>
      </c>
      <c r="D1513" s="508">
        <v>181776</v>
      </c>
      <c r="E1513" s="507" t="s">
        <v>6109</v>
      </c>
    </row>
    <row r="1514" spans="1:5" ht="15" x14ac:dyDescent="0.3">
      <c r="A1514" s="506">
        <v>9518</v>
      </c>
      <c r="B1514" s="507" t="s">
        <v>4844</v>
      </c>
      <c r="C1514" s="506" t="s">
        <v>692</v>
      </c>
      <c r="D1514" s="508">
        <v>160788</v>
      </c>
      <c r="E1514" s="507" t="s">
        <v>6109</v>
      </c>
    </row>
    <row r="1515" spans="1:5" ht="15" x14ac:dyDescent="0.3">
      <c r="A1515" s="506">
        <v>9519</v>
      </c>
      <c r="B1515" s="507" t="s">
        <v>4845</v>
      </c>
      <c r="C1515" s="506" t="s">
        <v>692</v>
      </c>
      <c r="D1515" s="508">
        <v>172662</v>
      </c>
      <c r="E1515" s="507" t="s">
        <v>6109</v>
      </c>
    </row>
    <row r="1516" spans="1:5" ht="15" x14ac:dyDescent="0.3">
      <c r="A1516" s="506">
        <v>9520</v>
      </c>
      <c r="B1516" s="507" t="s">
        <v>4846</v>
      </c>
      <c r="C1516" s="506" t="s">
        <v>692</v>
      </c>
      <c r="D1516" s="508">
        <v>124687</v>
      </c>
      <c r="E1516" s="507" t="s">
        <v>6109</v>
      </c>
    </row>
    <row r="1517" spans="1:5" ht="15" x14ac:dyDescent="0.3">
      <c r="A1517" s="506">
        <v>9521</v>
      </c>
      <c r="B1517" s="507" t="s">
        <v>4847</v>
      </c>
      <c r="C1517" s="506" t="s">
        <v>692</v>
      </c>
      <c r="D1517" s="508">
        <v>156349</v>
      </c>
      <c r="E1517" s="507" t="s">
        <v>6109</v>
      </c>
    </row>
    <row r="1518" spans="1:5" ht="15" x14ac:dyDescent="0.3">
      <c r="A1518" s="506">
        <v>9522</v>
      </c>
      <c r="B1518" s="507" t="s">
        <v>4848</v>
      </c>
      <c r="C1518" s="506" t="s">
        <v>692</v>
      </c>
      <c r="D1518" s="508">
        <v>108808</v>
      </c>
      <c r="E1518" s="507" t="s">
        <v>6109</v>
      </c>
    </row>
    <row r="1519" spans="1:5" ht="15" x14ac:dyDescent="0.3">
      <c r="A1519" s="506">
        <v>9523</v>
      </c>
      <c r="B1519" s="507" t="s">
        <v>4849</v>
      </c>
      <c r="C1519" s="506" t="s">
        <v>692</v>
      </c>
      <c r="D1519" s="508">
        <v>180819</v>
      </c>
      <c r="E1519" s="507" t="s">
        <v>6109</v>
      </c>
    </row>
    <row r="1520" spans="1:5" ht="15" x14ac:dyDescent="0.3">
      <c r="A1520" s="506">
        <v>9524</v>
      </c>
      <c r="B1520" s="507" t="s">
        <v>4850</v>
      </c>
      <c r="C1520" s="506" t="s">
        <v>692</v>
      </c>
      <c r="D1520" s="508">
        <v>132651</v>
      </c>
      <c r="E1520" s="507" t="s">
        <v>6109</v>
      </c>
    </row>
    <row r="1521" spans="1:5" ht="15" x14ac:dyDescent="0.3">
      <c r="A1521" s="506">
        <v>9525</v>
      </c>
      <c r="B1521" s="507" t="s">
        <v>4851</v>
      </c>
      <c r="C1521" s="506" t="s">
        <v>692</v>
      </c>
      <c r="D1521" s="508">
        <v>110304</v>
      </c>
      <c r="E1521" s="507" t="s">
        <v>6109</v>
      </c>
    </row>
    <row r="1522" spans="1:5" ht="15" x14ac:dyDescent="0.3">
      <c r="A1522" s="506">
        <v>9526</v>
      </c>
      <c r="B1522" s="507" t="s">
        <v>4852</v>
      </c>
      <c r="C1522" s="506" t="s">
        <v>692</v>
      </c>
      <c r="D1522" s="508">
        <v>97414</v>
      </c>
      <c r="E1522" s="507" t="s">
        <v>6109</v>
      </c>
    </row>
    <row r="1523" spans="1:5" ht="15" x14ac:dyDescent="0.3">
      <c r="A1523" s="506">
        <v>9527</v>
      </c>
      <c r="B1523" s="507" t="s">
        <v>4853</v>
      </c>
      <c r="C1523" s="506" t="s">
        <v>692</v>
      </c>
      <c r="D1523" s="508">
        <v>124687</v>
      </c>
      <c r="E1523" s="507" t="s">
        <v>6109</v>
      </c>
    </row>
    <row r="1524" spans="1:5" ht="15" x14ac:dyDescent="0.3">
      <c r="A1524" s="506">
        <v>9528</v>
      </c>
      <c r="B1524" s="507" t="s">
        <v>4854</v>
      </c>
      <c r="C1524" s="506" t="s">
        <v>692</v>
      </c>
      <c r="D1524" s="508">
        <v>97414</v>
      </c>
      <c r="E1524" s="507" t="s">
        <v>6109</v>
      </c>
    </row>
    <row r="1525" spans="1:5" ht="15" x14ac:dyDescent="0.3">
      <c r="A1525" s="506">
        <v>9529</v>
      </c>
      <c r="B1525" s="507" t="s">
        <v>4855</v>
      </c>
      <c r="C1525" s="506" t="s">
        <v>692</v>
      </c>
      <c r="D1525" s="508">
        <v>218070</v>
      </c>
      <c r="E1525" s="507" t="s">
        <v>6109</v>
      </c>
    </row>
    <row r="1526" spans="1:5" ht="15" x14ac:dyDescent="0.3">
      <c r="A1526" s="506">
        <v>9530</v>
      </c>
      <c r="B1526" s="507" t="s">
        <v>4856</v>
      </c>
      <c r="C1526" s="506" t="s">
        <v>254</v>
      </c>
      <c r="D1526" s="508">
        <v>4177884</v>
      </c>
      <c r="E1526" s="507" t="s">
        <v>6109</v>
      </c>
    </row>
    <row r="1527" spans="1:5" ht="15" x14ac:dyDescent="0.3">
      <c r="A1527" s="506">
        <v>9531</v>
      </c>
      <c r="B1527" s="507" t="s">
        <v>4857</v>
      </c>
      <c r="C1527" s="506" t="s">
        <v>979</v>
      </c>
      <c r="D1527" s="508">
        <v>114632</v>
      </c>
      <c r="E1527" s="507" t="s">
        <v>6109</v>
      </c>
    </row>
    <row r="1528" spans="1:5" ht="15" x14ac:dyDescent="0.3">
      <c r="A1528" s="506">
        <v>9532</v>
      </c>
      <c r="B1528" s="507" t="s">
        <v>4858</v>
      </c>
      <c r="C1528" s="506" t="s">
        <v>979</v>
      </c>
      <c r="D1528" s="508">
        <v>87410</v>
      </c>
      <c r="E1528" s="507" t="s">
        <v>6109</v>
      </c>
    </row>
    <row r="1529" spans="1:5" ht="15" x14ac:dyDescent="0.3">
      <c r="A1529" s="506">
        <v>9533</v>
      </c>
      <c r="B1529" s="507" t="s">
        <v>4859</v>
      </c>
      <c r="C1529" s="506" t="s">
        <v>979</v>
      </c>
      <c r="D1529" s="508">
        <v>73799</v>
      </c>
      <c r="E1529" s="507" t="s">
        <v>6109</v>
      </c>
    </row>
    <row r="1530" spans="1:5" ht="15" x14ac:dyDescent="0.3">
      <c r="A1530" s="506">
        <v>9534</v>
      </c>
      <c r="B1530" s="507" t="s">
        <v>4860</v>
      </c>
      <c r="C1530" s="506" t="s">
        <v>979</v>
      </c>
      <c r="D1530" s="508">
        <v>62869</v>
      </c>
      <c r="E1530" s="507" t="s">
        <v>6109</v>
      </c>
    </row>
    <row r="1531" spans="1:5" ht="15" x14ac:dyDescent="0.3">
      <c r="A1531" s="506">
        <v>9535</v>
      </c>
      <c r="B1531" s="507" t="s">
        <v>4861</v>
      </c>
      <c r="C1531" s="506" t="s">
        <v>979</v>
      </c>
      <c r="D1531" s="508">
        <v>56728</v>
      </c>
      <c r="E1531" s="507" t="s">
        <v>6109</v>
      </c>
    </row>
    <row r="1532" spans="1:5" ht="15" x14ac:dyDescent="0.3">
      <c r="A1532" s="506">
        <v>9536</v>
      </c>
      <c r="B1532" s="507" t="s">
        <v>4862</v>
      </c>
      <c r="C1532" s="506" t="s">
        <v>979</v>
      </c>
      <c r="D1532" s="508">
        <v>50607</v>
      </c>
      <c r="E1532" s="507" t="s">
        <v>6109</v>
      </c>
    </row>
    <row r="1533" spans="1:5" ht="15" x14ac:dyDescent="0.3">
      <c r="A1533" s="506">
        <v>9537</v>
      </c>
      <c r="B1533" s="507" t="s">
        <v>4863</v>
      </c>
      <c r="C1533" s="506" t="s">
        <v>979</v>
      </c>
      <c r="D1533" s="508">
        <v>38313</v>
      </c>
      <c r="E1533" s="507" t="s">
        <v>6109</v>
      </c>
    </row>
    <row r="1534" spans="1:5" ht="15" x14ac:dyDescent="0.3">
      <c r="A1534" s="506">
        <v>9539</v>
      </c>
      <c r="B1534" s="507" t="s">
        <v>4864</v>
      </c>
      <c r="C1534" s="506" t="s">
        <v>979</v>
      </c>
      <c r="D1534" s="508">
        <v>23786</v>
      </c>
      <c r="E1534" s="507" t="s">
        <v>6109</v>
      </c>
    </row>
    <row r="1535" spans="1:5" ht="15" x14ac:dyDescent="0.3">
      <c r="A1535" s="506">
        <v>9540</v>
      </c>
      <c r="B1535" s="507" t="s">
        <v>4865</v>
      </c>
      <c r="C1535" s="506" t="s">
        <v>979</v>
      </c>
      <c r="D1535" s="508">
        <v>22492</v>
      </c>
      <c r="E1535" s="507" t="s">
        <v>6109</v>
      </c>
    </row>
    <row r="1536" spans="1:5" ht="15" x14ac:dyDescent="0.3">
      <c r="A1536" s="506">
        <v>9541</v>
      </c>
      <c r="B1536" s="507" t="s">
        <v>4866</v>
      </c>
      <c r="C1536" s="506" t="s">
        <v>979</v>
      </c>
      <c r="D1536" s="508">
        <v>23498</v>
      </c>
      <c r="E1536" s="507" t="s">
        <v>6109</v>
      </c>
    </row>
    <row r="1537" spans="1:5" ht="15" x14ac:dyDescent="0.3">
      <c r="A1537" s="506">
        <v>9542</v>
      </c>
      <c r="B1537" s="507" t="s">
        <v>4867</v>
      </c>
      <c r="C1537" s="506" t="s">
        <v>979</v>
      </c>
      <c r="D1537" s="508">
        <v>19333</v>
      </c>
      <c r="E1537" s="507" t="s">
        <v>6109</v>
      </c>
    </row>
    <row r="1538" spans="1:5" ht="15" x14ac:dyDescent="0.3">
      <c r="A1538" s="506">
        <v>9543</v>
      </c>
      <c r="B1538" s="507" t="s">
        <v>4868</v>
      </c>
      <c r="C1538" s="506" t="s">
        <v>979</v>
      </c>
      <c r="D1538" s="508">
        <v>24787</v>
      </c>
      <c r="E1538" s="507" t="s">
        <v>6109</v>
      </c>
    </row>
    <row r="1539" spans="1:5" ht="15" x14ac:dyDescent="0.3">
      <c r="A1539" s="506">
        <v>9544</v>
      </c>
      <c r="B1539" s="507" t="s">
        <v>4869</v>
      </c>
      <c r="C1539" s="506" t="s">
        <v>979</v>
      </c>
      <c r="D1539" s="508">
        <v>21925</v>
      </c>
      <c r="E1539" s="507" t="s">
        <v>6109</v>
      </c>
    </row>
    <row r="1540" spans="1:5" ht="15" x14ac:dyDescent="0.3">
      <c r="A1540" s="506">
        <v>9545</v>
      </c>
      <c r="B1540" s="507" t="s">
        <v>4870</v>
      </c>
      <c r="C1540" s="506" t="s">
        <v>979</v>
      </c>
      <c r="D1540" s="508">
        <v>24787</v>
      </c>
      <c r="E1540" s="507" t="s">
        <v>6109</v>
      </c>
    </row>
    <row r="1541" spans="1:5" ht="15" x14ac:dyDescent="0.3">
      <c r="A1541" s="506">
        <v>9546</v>
      </c>
      <c r="B1541" s="507" t="s">
        <v>4871</v>
      </c>
      <c r="C1541" s="506" t="s">
        <v>979</v>
      </c>
      <c r="D1541" s="508">
        <v>21925</v>
      </c>
      <c r="E1541" s="507" t="s">
        <v>6109</v>
      </c>
    </row>
    <row r="1542" spans="1:5" ht="15" x14ac:dyDescent="0.3">
      <c r="A1542" s="506">
        <v>9547</v>
      </c>
      <c r="B1542" s="507" t="s">
        <v>4872</v>
      </c>
      <c r="C1542" s="506" t="s">
        <v>979</v>
      </c>
      <c r="D1542" s="508">
        <v>23545</v>
      </c>
      <c r="E1542" s="507" t="s">
        <v>6109</v>
      </c>
    </row>
    <row r="1543" spans="1:5" ht="15" x14ac:dyDescent="0.3">
      <c r="A1543" s="506">
        <v>9548</v>
      </c>
      <c r="B1543" s="507" t="s">
        <v>4873</v>
      </c>
      <c r="C1543" s="506" t="s">
        <v>979</v>
      </c>
      <c r="D1543" s="508">
        <v>17002</v>
      </c>
      <c r="E1543" s="507" t="s">
        <v>6109</v>
      </c>
    </row>
    <row r="1544" spans="1:5" ht="15" x14ac:dyDescent="0.3">
      <c r="A1544" s="506">
        <v>9549</v>
      </c>
      <c r="B1544" s="507" t="s">
        <v>4874</v>
      </c>
      <c r="C1544" s="506" t="s">
        <v>979</v>
      </c>
      <c r="D1544" s="508">
        <v>21320</v>
      </c>
      <c r="E1544" s="507" t="s">
        <v>6109</v>
      </c>
    </row>
    <row r="1545" spans="1:5" ht="15" x14ac:dyDescent="0.3">
      <c r="A1545" s="506">
        <v>9550</v>
      </c>
      <c r="B1545" s="507" t="s">
        <v>4875</v>
      </c>
      <c r="C1545" s="506" t="s">
        <v>979</v>
      </c>
      <c r="D1545" s="508">
        <v>14838</v>
      </c>
      <c r="E1545" s="507" t="s">
        <v>6109</v>
      </c>
    </row>
    <row r="1546" spans="1:5" ht="15" x14ac:dyDescent="0.3">
      <c r="A1546" s="506">
        <v>9551</v>
      </c>
      <c r="B1546" s="507" t="s">
        <v>4876</v>
      </c>
      <c r="C1546" s="506" t="s">
        <v>979</v>
      </c>
      <c r="D1546" s="508">
        <v>19648</v>
      </c>
      <c r="E1546" s="507" t="s">
        <v>6109</v>
      </c>
    </row>
    <row r="1547" spans="1:5" ht="15" x14ac:dyDescent="0.3">
      <c r="A1547" s="506">
        <v>9552</v>
      </c>
      <c r="B1547" s="507" t="s">
        <v>4877</v>
      </c>
      <c r="C1547" s="506" t="s">
        <v>979</v>
      </c>
      <c r="D1547" s="508">
        <v>17864</v>
      </c>
      <c r="E1547" s="507" t="s">
        <v>6109</v>
      </c>
    </row>
    <row r="1548" spans="1:5" ht="15" x14ac:dyDescent="0.3">
      <c r="A1548" s="506">
        <v>9553</v>
      </c>
      <c r="B1548" s="507" t="s">
        <v>4878</v>
      </c>
      <c r="C1548" s="506" t="s">
        <v>979</v>
      </c>
      <c r="D1548" s="508">
        <v>24657</v>
      </c>
      <c r="E1548" s="507" t="s">
        <v>6109</v>
      </c>
    </row>
    <row r="1549" spans="1:5" ht="15" x14ac:dyDescent="0.3">
      <c r="A1549" s="506">
        <v>9554</v>
      </c>
      <c r="B1549" s="507" t="s">
        <v>4879</v>
      </c>
      <c r="C1549" s="506" t="s">
        <v>979</v>
      </c>
      <c r="D1549" s="508">
        <v>18088</v>
      </c>
      <c r="E1549" s="507" t="s">
        <v>6109</v>
      </c>
    </row>
    <row r="1550" spans="1:5" ht="15" x14ac:dyDescent="0.3">
      <c r="A1550" s="506">
        <v>9555</v>
      </c>
      <c r="B1550" s="507" t="s">
        <v>4880</v>
      </c>
      <c r="C1550" s="506" t="s">
        <v>979</v>
      </c>
      <c r="D1550" s="508">
        <v>15042</v>
      </c>
      <c r="E1550" s="507" t="s">
        <v>6109</v>
      </c>
    </row>
    <row r="1551" spans="1:5" ht="15" x14ac:dyDescent="0.3">
      <c r="A1551" s="506">
        <v>9556</v>
      </c>
      <c r="B1551" s="507" t="s">
        <v>4881</v>
      </c>
      <c r="C1551" s="506" t="s">
        <v>979</v>
      </c>
      <c r="D1551" s="508">
        <v>13284</v>
      </c>
      <c r="E1551" s="507" t="s">
        <v>6109</v>
      </c>
    </row>
    <row r="1552" spans="1:5" ht="15" x14ac:dyDescent="0.3">
      <c r="A1552" s="506">
        <v>9557</v>
      </c>
      <c r="B1552" s="507" t="s">
        <v>4882</v>
      </c>
      <c r="C1552" s="506" t="s">
        <v>979</v>
      </c>
      <c r="D1552" s="508">
        <v>17002</v>
      </c>
      <c r="E1552" s="507" t="s">
        <v>6109</v>
      </c>
    </row>
    <row r="1553" spans="1:5" ht="15" x14ac:dyDescent="0.3">
      <c r="A1553" s="506">
        <v>9558</v>
      </c>
      <c r="B1553" s="507" t="s">
        <v>4883</v>
      </c>
      <c r="C1553" s="506" t="s">
        <v>979</v>
      </c>
      <c r="D1553" s="508">
        <v>15042</v>
      </c>
      <c r="E1553" s="507" t="s">
        <v>6109</v>
      </c>
    </row>
    <row r="1554" spans="1:5" ht="15" x14ac:dyDescent="0.3">
      <c r="A1554" s="506">
        <v>9559</v>
      </c>
      <c r="B1554" s="507" t="s">
        <v>4884</v>
      </c>
      <c r="C1554" s="506" t="s">
        <v>979</v>
      </c>
      <c r="D1554" s="508">
        <v>13284</v>
      </c>
      <c r="E1554" s="507" t="s">
        <v>6109</v>
      </c>
    </row>
    <row r="1555" spans="1:5" ht="15" x14ac:dyDescent="0.3">
      <c r="A1555" s="506">
        <v>9560</v>
      </c>
      <c r="B1555" s="507" t="s">
        <v>4885</v>
      </c>
      <c r="C1555" s="506" t="s">
        <v>979</v>
      </c>
      <c r="D1555" s="508">
        <v>29737</v>
      </c>
      <c r="E1555" s="507" t="s">
        <v>6109</v>
      </c>
    </row>
    <row r="1556" spans="1:5" ht="15" x14ac:dyDescent="0.3">
      <c r="A1556" s="506">
        <v>9570</v>
      </c>
      <c r="B1556" s="507" t="s">
        <v>4886</v>
      </c>
      <c r="C1556" s="506" t="s">
        <v>32</v>
      </c>
      <c r="D1556" s="508">
        <v>2206</v>
      </c>
      <c r="E1556" s="507" t="s">
        <v>6108</v>
      </c>
    </row>
    <row r="1557" spans="1:5" ht="15" x14ac:dyDescent="0.3">
      <c r="A1557" s="506">
        <v>9571</v>
      </c>
      <c r="B1557" s="507" t="s">
        <v>4887</v>
      </c>
      <c r="C1557" s="506" t="s">
        <v>32</v>
      </c>
      <c r="D1557" s="508">
        <v>11797</v>
      </c>
      <c r="E1557" s="507" t="s">
        <v>6108</v>
      </c>
    </row>
    <row r="1558" spans="1:5" ht="15" x14ac:dyDescent="0.3">
      <c r="A1558" s="506">
        <v>9572</v>
      </c>
      <c r="B1558" s="507" t="s">
        <v>4888</v>
      </c>
      <c r="C1558" s="506" t="s">
        <v>328</v>
      </c>
      <c r="D1558" s="508">
        <v>4964</v>
      </c>
      <c r="E1558" s="507" t="s">
        <v>6108</v>
      </c>
    </row>
    <row r="1559" spans="1:5" ht="15" x14ac:dyDescent="0.3">
      <c r="A1559" s="506">
        <v>9573</v>
      </c>
      <c r="B1559" s="507" t="s">
        <v>4889</v>
      </c>
      <c r="C1559" s="506" t="s">
        <v>328</v>
      </c>
      <c r="D1559" s="508">
        <v>4626</v>
      </c>
      <c r="E1559" s="507" t="s">
        <v>6108</v>
      </c>
    </row>
    <row r="1560" spans="1:5" ht="15" x14ac:dyDescent="0.3">
      <c r="A1560" s="506">
        <v>9574</v>
      </c>
      <c r="B1560" s="507" t="s">
        <v>4890</v>
      </c>
      <c r="C1560" s="506" t="s">
        <v>32</v>
      </c>
      <c r="D1560" s="508">
        <v>1445</v>
      </c>
      <c r="E1560" s="507" t="s">
        <v>6108</v>
      </c>
    </row>
    <row r="1561" spans="1:5" ht="15" x14ac:dyDescent="0.3">
      <c r="A1561" s="506">
        <v>9575</v>
      </c>
      <c r="B1561" s="507" t="s">
        <v>4891</v>
      </c>
      <c r="C1561" s="506" t="s">
        <v>254</v>
      </c>
      <c r="D1561" s="508">
        <v>18832062</v>
      </c>
      <c r="E1561" s="507" t="s">
        <v>6109</v>
      </c>
    </row>
    <row r="1562" spans="1:5" ht="15" x14ac:dyDescent="0.3">
      <c r="A1562" s="506">
        <v>9576</v>
      </c>
      <c r="B1562" s="507" t="s">
        <v>4892</v>
      </c>
      <c r="C1562" s="506" t="s">
        <v>3528</v>
      </c>
      <c r="D1562" s="508">
        <v>55270</v>
      </c>
      <c r="E1562" s="507" t="s">
        <v>6109</v>
      </c>
    </row>
    <row r="1563" spans="1:5" ht="15" x14ac:dyDescent="0.3">
      <c r="A1563" s="506">
        <v>9577</v>
      </c>
      <c r="B1563" s="507" t="s">
        <v>4893</v>
      </c>
      <c r="C1563" s="506" t="s">
        <v>3528</v>
      </c>
      <c r="D1563" s="508">
        <v>25982</v>
      </c>
      <c r="E1563" s="507" t="s">
        <v>6109</v>
      </c>
    </row>
    <row r="1564" spans="1:5" ht="15" x14ac:dyDescent="0.3">
      <c r="A1564" s="506">
        <v>9578</v>
      </c>
      <c r="B1564" s="507" t="s">
        <v>4894</v>
      </c>
      <c r="C1564" s="506" t="s">
        <v>4895</v>
      </c>
      <c r="D1564" s="508">
        <v>1260967</v>
      </c>
      <c r="E1564" s="507" t="s">
        <v>6109</v>
      </c>
    </row>
    <row r="1565" spans="1:5" ht="15" x14ac:dyDescent="0.3">
      <c r="A1565" s="506">
        <v>9635</v>
      </c>
      <c r="B1565" s="507" t="s">
        <v>4896</v>
      </c>
      <c r="C1565" s="506" t="s">
        <v>32</v>
      </c>
      <c r="D1565" s="508">
        <v>219579</v>
      </c>
      <c r="E1565" s="507" t="s">
        <v>6108</v>
      </c>
    </row>
    <row r="1566" spans="1:5" ht="15" x14ac:dyDescent="0.3">
      <c r="A1566" s="506">
        <v>9638</v>
      </c>
      <c r="B1566" s="507" t="s">
        <v>4897</v>
      </c>
      <c r="C1566" s="506" t="s">
        <v>670</v>
      </c>
      <c r="D1566" s="508">
        <v>159663</v>
      </c>
      <c r="E1566" s="507" t="s">
        <v>6108</v>
      </c>
    </row>
    <row r="1567" spans="1:5" ht="15" x14ac:dyDescent="0.3">
      <c r="A1567" s="506">
        <v>9639</v>
      </c>
      <c r="B1567" s="507" t="s">
        <v>4898</v>
      </c>
      <c r="C1567" s="506" t="s">
        <v>670</v>
      </c>
      <c r="D1567" s="508">
        <v>5833</v>
      </c>
      <c r="E1567" s="507" t="s">
        <v>6108</v>
      </c>
    </row>
    <row r="1568" spans="1:5" ht="15" x14ac:dyDescent="0.3">
      <c r="A1568" s="506">
        <v>9640</v>
      </c>
      <c r="B1568" s="507" t="s">
        <v>4899</v>
      </c>
      <c r="C1568" s="506" t="s">
        <v>670</v>
      </c>
      <c r="D1568" s="508">
        <v>18626</v>
      </c>
      <c r="E1568" s="507" t="s">
        <v>6108</v>
      </c>
    </row>
    <row r="1569" spans="1:5" ht="15" x14ac:dyDescent="0.3">
      <c r="A1569" s="506">
        <v>9642</v>
      </c>
      <c r="B1569" s="507" t="s">
        <v>4900</v>
      </c>
      <c r="C1569" s="506" t="s">
        <v>670</v>
      </c>
      <c r="D1569" s="508">
        <v>104512</v>
      </c>
      <c r="E1569" s="507" t="s">
        <v>6108</v>
      </c>
    </row>
    <row r="1570" spans="1:5" ht="15" x14ac:dyDescent="0.3">
      <c r="A1570" s="506">
        <v>9643</v>
      </c>
      <c r="B1570" s="507" t="s">
        <v>4901</v>
      </c>
      <c r="C1570" s="506" t="s">
        <v>328</v>
      </c>
      <c r="D1570" s="508">
        <v>820</v>
      </c>
      <c r="E1570" s="507" t="s">
        <v>6108</v>
      </c>
    </row>
    <row r="1571" spans="1:5" ht="15" x14ac:dyDescent="0.3">
      <c r="A1571" s="506">
        <v>9644</v>
      </c>
      <c r="B1571" s="507" t="s">
        <v>4902</v>
      </c>
      <c r="C1571" s="506" t="s">
        <v>328</v>
      </c>
      <c r="D1571" s="508">
        <v>25260</v>
      </c>
      <c r="E1571" s="507" t="s">
        <v>6108</v>
      </c>
    </row>
    <row r="1572" spans="1:5" ht="15" x14ac:dyDescent="0.3">
      <c r="A1572" s="506">
        <v>9645</v>
      </c>
      <c r="B1572" s="507" t="s">
        <v>4903</v>
      </c>
      <c r="C1572" s="506" t="s">
        <v>32</v>
      </c>
      <c r="D1572" s="508">
        <v>81223</v>
      </c>
      <c r="E1572" s="507" t="s">
        <v>6108</v>
      </c>
    </row>
    <row r="1573" spans="1:5" ht="15" x14ac:dyDescent="0.3">
      <c r="A1573" s="506">
        <v>9646</v>
      </c>
      <c r="B1573" s="507" t="s">
        <v>4904</v>
      </c>
      <c r="C1573" s="506" t="s">
        <v>32</v>
      </c>
      <c r="D1573" s="508">
        <v>285600</v>
      </c>
      <c r="E1573" s="507" t="s">
        <v>6108</v>
      </c>
    </row>
    <row r="1574" spans="1:5" ht="15" x14ac:dyDescent="0.3">
      <c r="A1574" s="506">
        <v>9647</v>
      </c>
      <c r="B1574" s="507" t="s">
        <v>4905</v>
      </c>
      <c r="C1574" s="506" t="s">
        <v>32</v>
      </c>
      <c r="D1574" s="508">
        <v>930342</v>
      </c>
      <c r="E1574" s="507" t="s">
        <v>6108</v>
      </c>
    </row>
    <row r="1575" spans="1:5" ht="15" x14ac:dyDescent="0.3">
      <c r="A1575" s="506">
        <v>9648</v>
      </c>
      <c r="B1575" s="507" t="s">
        <v>4906</v>
      </c>
      <c r="C1575" s="506" t="s">
        <v>32</v>
      </c>
      <c r="D1575" s="508">
        <v>29750</v>
      </c>
      <c r="E1575" s="507" t="s">
        <v>6108</v>
      </c>
    </row>
    <row r="1576" spans="1:5" ht="15" x14ac:dyDescent="0.3">
      <c r="A1576" s="506">
        <v>9649</v>
      </c>
      <c r="B1576" s="507" t="s">
        <v>4907</v>
      </c>
      <c r="C1576" s="506" t="s">
        <v>3579</v>
      </c>
      <c r="D1576" s="508">
        <v>421313</v>
      </c>
      <c r="E1576" s="507" t="s">
        <v>6108</v>
      </c>
    </row>
    <row r="1577" spans="1:5" ht="15" x14ac:dyDescent="0.3">
      <c r="A1577" s="506">
        <v>9650</v>
      </c>
      <c r="B1577" s="507" t="s">
        <v>4908</v>
      </c>
      <c r="C1577" s="506" t="s">
        <v>670</v>
      </c>
      <c r="D1577" s="508">
        <v>5712</v>
      </c>
      <c r="E1577" s="507" t="s">
        <v>331</v>
      </c>
    </row>
    <row r="1578" spans="1:5" ht="15" x14ac:dyDescent="0.3">
      <c r="A1578" s="506">
        <v>9651</v>
      </c>
      <c r="B1578" s="507" t="s">
        <v>6324</v>
      </c>
      <c r="C1578" s="506" t="s">
        <v>670</v>
      </c>
      <c r="D1578" s="508">
        <v>21800</v>
      </c>
      <c r="E1578" s="507" t="s">
        <v>331</v>
      </c>
    </row>
    <row r="1579" spans="1:5" ht="15" x14ac:dyDescent="0.3">
      <c r="A1579" s="506">
        <v>9652</v>
      </c>
      <c r="B1579" s="507" t="s">
        <v>6325</v>
      </c>
      <c r="C1579" s="506" t="s">
        <v>670</v>
      </c>
      <c r="D1579" s="508">
        <v>19450</v>
      </c>
      <c r="E1579" s="507" t="s">
        <v>331</v>
      </c>
    </row>
    <row r="1580" spans="1:5" ht="15" x14ac:dyDescent="0.3">
      <c r="A1580" s="506">
        <v>9653</v>
      </c>
      <c r="B1580" s="507" t="s">
        <v>6326</v>
      </c>
      <c r="C1580" s="506" t="s">
        <v>670</v>
      </c>
      <c r="D1580" s="508">
        <v>21150</v>
      </c>
      <c r="E1580" s="507" t="s">
        <v>331</v>
      </c>
    </row>
    <row r="1581" spans="1:5" ht="15" x14ac:dyDescent="0.3">
      <c r="A1581" s="506">
        <v>9654</v>
      </c>
      <c r="B1581" s="507" t="s">
        <v>6327</v>
      </c>
      <c r="C1581" s="506" t="s">
        <v>670</v>
      </c>
      <c r="D1581" s="508">
        <v>18800</v>
      </c>
      <c r="E1581" s="507" t="s">
        <v>331</v>
      </c>
    </row>
    <row r="1582" spans="1:5" ht="15" x14ac:dyDescent="0.3">
      <c r="A1582" s="506">
        <v>9655</v>
      </c>
      <c r="B1582" s="507" t="s">
        <v>6328</v>
      </c>
      <c r="C1582" s="506" t="s">
        <v>670</v>
      </c>
      <c r="D1582" s="508">
        <v>18152</v>
      </c>
      <c r="E1582" s="507" t="s">
        <v>331</v>
      </c>
    </row>
    <row r="1583" spans="1:5" ht="15" x14ac:dyDescent="0.3">
      <c r="A1583" s="506">
        <v>9656</v>
      </c>
      <c r="B1583" s="507" t="s">
        <v>4909</v>
      </c>
      <c r="C1583" s="506" t="s">
        <v>21</v>
      </c>
      <c r="D1583" s="508">
        <v>14828</v>
      </c>
      <c r="E1583" s="507" t="s">
        <v>6108</v>
      </c>
    </row>
    <row r="1584" spans="1:5" ht="15" x14ac:dyDescent="0.3">
      <c r="A1584" s="506">
        <v>9663</v>
      </c>
      <c r="B1584" s="507" t="s">
        <v>4910</v>
      </c>
      <c r="C1584" s="506" t="s">
        <v>21</v>
      </c>
      <c r="D1584" s="508">
        <v>437215</v>
      </c>
      <c r="E1584" s="507" t="s">
        <v>6108</v>
      </c>
    </row>
    <row r="1585" spans="1:5" ht="15" x14ac:dyDescent="0.3">
      <c r="A1585" s="506">
        <v>9671</v>
      </c>
      <c r="B1585" s="507" t="s">
        <v>4911</v>
      </c>
      <c r="C1585" s="506" t="s">
        <v>30</v>
      </c>
      <c r="D1585" s="508">
        <v>917091</v>
      </c>
      <c r="E1585" s="507" t="s">
        <v>331</v>
      </c>
    </row>
    <row r="1586" spans="1:5" ht="15" x14ac:dyDescent="0.3">
      <c r="A1586" s="506">
        <v>9672</v>
      </c>
      <c r="B1586" s="507" t="s">
        <v>4912</v>
      </c>
      <c r="C1586" s="506" t="s">
        <v>30</v>
      </c>
      <c r="D1586" s="508">
        <v>911607</v>
      </c>
      <c r="E1586" s="507" t="s">
        <v>331</v>
      </c>
    </row>
    <row r="1587" spans="1:5" ht="15" x14ac:dyDescent="0.3">
      <c r="A1587" s="506">
        <v>9673</v>
      </c>
      <c r="B1587" s="507" t="s">
        <v>4913</v>
      </c>
      <c r="C1587" s="506" t="s">
        <v>30</v>
      </c>
      <c r="D1587" s="508">
        <v>840629</v>
      </c>
      <c r="E1587" s="507" t="s">
        <v>331</v>
      </c>
    </row>
    <row r="1588" spans="1:5" ht="15" x14ac:dyDescent="0.3">
      <c r="A1588" s="506">
        <v>9682</v>
      </c>
      <c r="B1588" s="507" t="s">
        <v>4914</v>
      </c>
      <c r="C1588" s="506" t="s">
        <v>3579</v>
      </c>
      <c r="D1588" s="508">
        <v>121231</v>
      </c>
      <c r="E1588" s="507" t="s">
        <v>6108</v>
      </c>
    </row>
    <row r="1589" spans="1:5" ht="15" x14ac:dyDescent="0.3">
      <c r="A1589" s="506">
        <v>9685</v>
      </c>
      <c r="B1589" s="507" t="s">
        <v>4915</v>
      </c>
      <c r="C1589" s="506" t="s">
        <v>328</v>
      </c>
      <c r="D1589" s="508">
        <v>74731</v>
      </c>
      <c r="E1589" s="507" t="s">
        <v>6108</v>
      </c>
    </row>
    <row r="1590" spans="1:5" ht="15" x14ac:dyDescent="0.3">
      <c r="A1590" s="506">
        <v>9686</v>
      </c>
      <c r="B1590" s="507" t="s">
        <v>4916</v>
      </c>
      <c r="C1590" s="506" t="s">
        <v>328</v>
      </c>
      <c r="D1590" s="508">
        <v>56923</v>
      </c>
      <c r="E1590" s="507" t="s">
        <v>6108</v>
      </c>
    </row>
    <row r="1591" spans="1:5" ht="15" x14ac:dyDescent="0.3">
      <c r="A1591" s="506">
        <v>9687</v>
      </c>
      <c r="B1591" s="507" t="s">
        <v>6329</v>
      </c>
      <c r="C1591" s="506" t="s">
        <v>32</v>
      </c>
      <c r="D1591" s="508">
        <v>6151</v>
      </c>
      <c r="E1591" s="507" t="s">
        <v>6108</v>
      </c>
    </row>
    <row r="1592" spans="1:5" ht="15" x14ac:dyDescent="0.3">
      <c r="A1592" s="506">
        <v>9688</v>
      </c>
      <c r="B1592" s="507" t="s">
        <v>4917</v>
      </c>
      <c r="C1592" s="506" t="s">
        <v>328</v>
      </c>
      <c r="D1592" s="508">
        <v>20270</v>
      </c>
      <c r="E1592" s="507" t="s">
        <v>6108</v>
      </c>
    </row>
    <row r="1593" spans="1:5" ht="15" x14ac:dyDescent="0.3">
      <c r="A1593" s="506">
        <v>9689</v>
      </c>
      <c r="B1593" s="507" t="s">
        <v>6330</v>
      </c>
      <c r="C1593" s="506" t="s">
        <v>32</v>
      </c>
      <c r="D1593" s="508">
        <v>2788</v>
      </c>
      <c r="E1593" s="507" t="s">
        <v>6108</v>
      </c>
    </row>
    <row r="1594" spans="1:5" ht="15" x14ac:dyDescent="0.3">
      <c r="A1594" s="506">
        <v>9690</v>
      </c>
      <c r="B1594" s="507" t="s">
        <v>4918</v>
      </c>
      <c r="C1594" s="506" t="s">
        <v>328</v>
      </c>
      <c r="D1594" s="508">
        <v>23717</v>
      </c>
      <c r="E1594" s="507" t="s">
        <v>6108</v>
      </c>
    </row>
    <row r="1595" spans="1:5" ht="15" x14ac:dyDescent="0.3">
      <c r="A1595" s="506">
        <v>9695</v>
      </c>
      <c r="B1595" s="507" t="s">
        <v>2248</v>
      </c>
      <c r="C1595" s="506" t="s">
        <v>670</v>
      </c>
      <c r="D1595" s="508">
        <v>595</v>
      </c>
      <c r="E1595" s="507" t="s">
        <v>331</v>
      </c>
    </row>
    <row r="1596" spans="1:5" ht="15" x14ac:dyDescent="0.3">
      <c r="A1596" s="506">
        <v>9696</v>
      </c>
      <c r="B1596" s="507" t="s">
        <v>2249</v>
      </c>
      <c r="C1596" s="506" t="s">
        <v>670</v>
      </c>
      <c r="D1596" s="508">
        <v>781</v>
      </c>
      <c r="E1596" s="507" t="s">
        <v>331</v>
      </c>
    </row>
    <row r="1597" spans="1:5" ht="15" x14ac:dyDescent="0.3">
      <c r="A1597" s="506">
        <v>9697</v>
      </c>
      <c r="B1597" s="507" t="s">
        <v>2250</v>
      </c>
      <c r="C1597" s="506" t="s">
        <v>670</v>
      </c>
      <c r="D1597" s="508">
        <v>901</v>
      </c>
      <c r="E1597" s="507" t="s">
        <v>331</v>
      </c>
    </row>
    <row r="1598" spans="1:5" ht="15" x14ac:dyDescent="0.3">
      <c r="A1598" s="506">
        <v>9698</v>
      </c>
      <c r="B1598" s="507" t="s">
        <v>4919</v>
      </c>
      <c r="C1598" s="506" t="s">
        <v>670</v>
      </c>
      <c r="D1598" s="508">
        <v>1022</v>
      </c>
      <c r="E1598" s="507" t="s">
        <v>331</v>
      </c>
    </row>
    <row r="1599" spans="1:5" ht="15" x14ac:dyDescent="0.3">
      <c r="A1599" s="506">
        <v>9699</v>
      </c>
      <c r="B1599" s="507" t="s">
        <v>4920</v>
      </c>
      <c r="C1599" s="506" t="s">
        <v>670</v>
      </c>
      <c r="D1599" s="508">
        <v>1384</v>
      </c>
      <c r="E1599" s="507" t="s">
        <v>331</v>
      </c>
    </row>
    <row r="1600" spans="1:5" ht="15" x14ac:dyDescent="0.3">
      <c r="A1600" s="506">
        <v>9700</v>
      </c>
      <c r="B1600" s="507" t="s">
        <v>4921</v>
      </c>
      <c r="C1600" s="506" t="s">
        <v>670</v>
      </c>
      <c r="D1600" s="508">
        <v>1442</v>
      </c>
      <c r="E1600" s="507" t="s">
        <v>331</v>
      </c>
    </row>
    <row r="1601" spans="1:5" ht="15" x14ac:dyDescent="0.3">
      <c r="A1601" s="506">
        <v>9701</v>
      </c>
      <c r="B1601" s="507" t="s">
        <v>4922</v>
      </c>
      <c r="C1601" s="506" t="s">
        <v>670</v>
      </c>
      <c r="D1601" s="508">
        <v>1616</v>
      </c>
      <c r="E1601" s="507" t="s">
        <v>331</v>
      </c>
    </row>
    <row r="1602" spans="1:5" ht="15" x14ac:dyDescent="0.3">
      <c r="A1602" s="506">
        <v>9704</v>
      </c>
      <c r="B1602" s="507" t="s">
        <v>6331</v>
      </c>
      <c r="C1602" s="506" t="s">
        <v>1455</v>
      </c>
      <c r="D1602" s="508">
        <v>250000</v>
      </c>
      <c r="E1602" s="507" t="s">
        <v>331</v>
      </c>
    </row>
    <row r="1603" spans="1:5" ht="15" x14ac:dyDescent="0.3">
      <c r="A1603" s="506">
        <v>9705</v>
      </c>
      <c r="B1603" s="507" t="s">
        <v>6332</v>
      </c>
      <c r="C1603" s="506" t="s">
        <v>1455</v>
      </c>
      <c r="D1603" s="508">
        <v>600000</v>
      </c>
      <c r="E1603" s="507" t="s">
        <v>331</v>
      </c>
    </row>
    <row r="1604" spans="1:5" ht="15" x14ac:dyDescent="0.3">
      <c r="A1604" s="506">
        <v>9706</v>
      </c>
      <c r="B1604" s="507" t="s">
        <v>6333</v>
      </c>
      <c r="C1604" s="506" t="s">
        <v>1455</v>
      </c>
      <c r="D1604" s="508">
        <v>1000000</v>
      </c>
      <c r="E1604" s="507" t="s">
        <v>331</v>
      </c>
    </row>
    <row r="1605" spans="1:5" ht="15" x14ac:dyDescent="0.3">
      <c r="A1605" s="506">
        <v>9707</v>
      </c>
      <c r="B1605" s="507" t="s">
        <v>6334</v>
      </c>
      <c r="C1605" s="506" t="s">
        <v>1455</v>
      </c>
      <c r="D1605" s="508">
        <v>1000000</v>
      </c>
      <c r="E1605" s="507" t="s">
        <v>331</v>
      </c>
    </row>
    <row r="1606" spans="1:5" ht="15" x14ac:dyDescent="0.3">
      <c r="A1606" s="506">
        <v>9708</v>
      </c>
      <c r="B1606" s="507" t="s">
        <v>6335</v>
      </c>
      <c r="C1606" s="506" t="s">
        <v>1455</v>
      </c>
      <c r="D1606" s="508">
        <v>1300000</v>
      </c>
      <c r="E1606" s="507" t="s">
        <v>331</v>
      </c>
    </row>
    <row r="1607" spans="1:5" ht="15" x14ac:dyDescent="0.3">
      <c r="A1607" s="506">
        <v>9709</v>
      </c>
      <c r="B1607" s="507" t="s">
        <v>4923</v>
      </c>
      <c r="C1607" s="506" t="s">
        <v>254</v>
      </c>
      <c r="D1607" s="508">
        <v>5043600</v>
      </c>
      <c r="E1607" s="507" t="s">
        <v>6109</v>
      </c>
    </row>
    <row r="1608" spans="1:5" ht="15" x14ac:dyDescent="0.3">
      <c r="A1608" s="506">
        <v>9710</v>
      </c>
      <c r="B1608" s="507" t="s">
        <v>4924</v>
      </c>
      <c r="C1608" s="506" t="s">
        <v>254</v>
      </c>
      <c r="D1608" s="508">
        <v>4468500</v>
      </c>
      <c r="E1608" s="507" t="s">
        <v>6109</v>
      </c>
    </row>
    <row r="1609" spans="1:5" ht="15" x14ac:dyDescent="0.3">
      <c r="A1609" s="506">
        <v>9711</v>
      </c>
      <c r="B1609" s="507" t="s">
        <v>4925</v>
      </c>
      <c r="C1609" s="506" t="s">
        <v>254</v>
      </c>
      <c r="D1609" s="508">
        <v>3303450</v>
      </c>
      <c r="E1609" s="507" t="s">
        <v>6109</v>
      </c>
    </row>
    <row r="1610" spans="1:5" ht="15" x14ac:dyDescent="0.3">
      <c r="A1610" s="506">
        <v>9712</v>
      </c>
      <c r="B1610" s="507" t="s">
        <v>4926</v>
      </c>
      <c r="C1610" s="506" t="s">
        <v>254</v>
      </c>
      <c r="D1610" s="508">
        <v>3126600</v>
      </c>
      <c r="E1610" s="507" t="s">
        <v>6109</v>
      </c>
    </row>
    <row r="1611" spans="1:5" ht="15" x14ac:dyDescent="0.3">
      <c r="A1611" s="506">
        <v>9713</v>
      </c>
      <c r="B1611" s="507" t="s">
        <v>4927</v>
      </c>
      <c r="C1611" s="506" t="s">
        <v>254</v>
      </c>
      <c r="D1611" s="508">
        <v>2724300</v>
      </c>
      <c r="E1611" s="507" t="s">
        <v>6109</v>
      </c>
    </row>
    <row r="1612" spans="1:5" ht="15" x14ac:dyDescent="0.3">
      <c r="A1612" s="506">
        <v>9714</v>
      </c>
      <c r="B1612" s="507" t="s">
        <v>4928</v>
      </c>
      <c r="C1612" s="506" t="s">
        <v>254</v>
      </c>
      <c r="D1612" s="508">
        <v>2363722</v>
      </c>
      <c r="E1612" s="507" t="s">
        <v>6109</v>
      </c>
    </row>
    <row r="1613" spans="1:5" ht="15" x14ac:dyDescent="0.3">
      <c r="A1613" s="506">
        <v>9715</v>
      </c>
      <c r="B1613" s="507" t="s">
        <v>4929</v>
      </c>
      <c r="C1613" s="506" t="s">
        <v>254</v>
      </c>
      <c r="D1613" s="508">
        <v>6058800</v>
      </c>
      <c r="E1613" s="507" t="s">
        <v>6109</v>
      </c>
    </row>
    <row r="1614" spans="1:5" ht="15" x14ac:dyDescent="0.3">
      <c r="A1614" s="506">
        <v>9720</v>
      </c>
      <c r="B1614" s="507" t="s">
        <v>6336</v>
      </c>
      <c r="C1614" s="506" t="s">
        <v>32</v>
      </c>
      <c r="D1614" s="508">
        <v>19278</v>
      </c>
      <c r="E1614" s="507" t="s">
        <v>6108</v>
      </c>
    </row>
    <row r="1615" spans="1:5" ht="15" x14ac:dyDescent="0.3">
      <c r="A1615" s="506">
        <v>9723</v>
      </c>
      <c r="B1615" s="507" t="s">
        <v>4930</v>
      </c>
      <c r="C1615" s="506" t="s">
        <v>3596</v>
      </c>
      <c r="D1615" s="508">
        <v>31999</v>
      </c>
      <c r="E1615" s="507" t="s">
        <v>331</v>
      </c>
    </row>
    <row r="1616" spans="1:5" ht="15" x14ac:dyDescent="0.3">
      <c r="A1616" s="506">
        <v>9724</v>
      </c>
      <c r="B1616" s="507" t="s">
        <v>4931</v>
      </c>
      <c r="C1616" s="506" t="s">
        <v>307</v>
      </c>
      <c r="D1616" s="508">
        <v>124818</v>
      </c>
      <c r="E1616" s="507" t="s">
        <v>6108</v>
      </c>
    </row>
    <row r="1617" spans="1:5" ht="15" x14ac:dyDescent="0.3">
      <c r="A1617" s="506">
        <v>9725</v>
      </c>
      <c r="B1617" s="507" t="s">
        <v>4932</v>
      </c>
      <c r="C1617" s="506" t="s">
        <v>307</v>
      </c>
      <c r="D1617" s="508">
        <v>97962</v>
      </c>
      <c r="E1617" s="507" t="s">
        <v>6108</v>
      </c>
    </row>
    <row r="1618" spans="1:5" ht="15" x14ac:dyDescent="0.3">
      <c r="A1618" s="506">
        <v>9726</v>
      </c>
      <c r="B1618" s="507" t="s">
        <v>4933</v>
      </c>
      <c r="C1618" s="506" t="s">
        <v>3596</v>
      </c>
      <c r="D1618" s="508">
        <v>35000</v>
      </c>
      <c r="E1618" s="507" t="s">
        <v>6108</v>
      </c>
    </row>
    <row r="1619" spans="1:5" ht="15" x14ac:dyDescent="0.3">
      <c r="A1619" s="506">
        <v>9727</v>
      </c>
      <c r="B1619" s="507" t="s">
        <v>4934</v>
      </c>
      <c r="C1619" s="506" t="s">
        <v>3582</v>
      </c>
      <c r="D1619" s="508">
        <v>126090</v>
      </c>
      <c r="E1619" s="507" t="s">
        <v>6108</v>
      </c>
    </row>
    <row r="1620" spans="1:5" ht="15" x14ac:dyDescent="0.3">
      <c r="A1620" s="506">
        <v>9728</v>
      </c>
      <c r="B1620" s="507" t="s">
        <v>4935</v>
      </c>
      <c r="C1620" s="506" t="s">
        <v>32</v>
      </c>
      <c r="D1620" s="508">
        <v>3857504</v>
      </c>
      <c r="E1620" s="507" t="s">
        <v>6108</v>
      </c>
    </row>
    <row r="1621" spans="1:5" ht="15" x14ac:dyDescent="0.3">
      <c r="A1621" s="506">
        <v>9733</v>
      </c>
      <c r="B1621" s="507" t="s">
        <v>4936</v>
      </c>
      <c r="C1621" s="506" t="s">
        <v>32</v>
      </c>
      <c r="D1621" s="508">
        <v>117641</v>
      </c>
      <c r="E1621" s="507" t="s">
        <v>331</v>
      </c>
    </row>
    <row r="1622" spans="1:5" ht="15" x14ac:dyDescent="0.3">
      <c r="A1622" s="506">
        <v>9736</v>
      </c>
      <c r="B1622" s="507" t="s">
        <v>4937</v>
      </c>
      <c r="C1622" s="506" t="s">
        <v>328</v>
      </c>
      <c r="D1622" s="508">
        <v>733303</v>
      </c>
      <c r="E1622" s="507" t="s">
        <v>6108</v>
      </c>
    </row>
    <row r="1623" spans="1:5" ht="15" x14ac:dyDescent="0.3">
      <c r="A1623" s="506">
        <v>9743</v>
      </c>
      <c r="B1623" s="507" t="s">
        <v>4938</v>
      </c>
      <c r="C1623" s="506" t="s">
        <v>2192</v>
      </c>
      <c r="D1623" s="508">
        <v>595000</v>
      </c>
      <c r="E1623" s="507" t="s">
        <v>6108</v>
      </c>
    </row>
    <row r="1624" spans="1:5" ht="15" x14ac:dyDescent="0.3">
      <c r="A1624" s="506">
        <v>9744</v>
      </c>
      <c r="B1624" s="507" t="s">
        <v>4939</v>
      </c>
      <c r="C1624" s="506" t="s">
        <v>2192</v>
      </c>
      <c r="D1624" s="508">
        <v>714000</v>
      </c>
      <c r="E1624" s="507" t="s">
        <v>6108</v>
      </c>
    </row>
    <row r="1625" spans="1:5" ht="15" x14ac:dyDescent="0.3">
      <c r="A1625" s="506">
        <v>9745</v>
      </c>
      <c r="B1625" s="507" t="s">
        <v>2916</v>
      </c>
      <c r="C1625" s="506" t="s">
        <v>2192</v>
      </c>
      <c r="D1625" s="508">
        <v>833000</v>
      </c>
      <c r="E1625" s="507" t="s">
        <v>6108</v>
      </c>
    </row>
    <row r="1626" spans="1:5" ht="15" x14ac:dyDescent="0.3">
      <c r="A1626" s="506">
        <v>9746</v>
      </c>
      <c r="B1626" s="507" t="s">
        <v>4940</v>
      </c>
      <c r="C1626" s="506" t="s">
        <v>2192</v>
      </c>
      <c r="D1626" s="508">
        <v>952000</v>
      </c>
      <c r="E1626" s="507" t="s">
        <v>6108</v>
      </c>
    </row>
    <row r="1627" spans="1:5" ht="15" x14ac:dyDescent="0.3">
      <c r="A1627" s="506">
        <v>9747</v>
      </c>
      <c r="B1627" s="507" t="s">
        <v>4941</v>
      </c>
      <c r="C1627" s="506" t="s">
        <v>30</v>
      </c>
      <c r="D1627" s="508">
        <v>71400</v>
      </c>
      <c r="E1627" s="507" t="s">
        <v>331</v>
      </c>
    </row>
    <row r="1628" spans="1:5" ht="15" x14ac:dyDescent="0.3">
      <c r="A1628" s="506">
        <v>9752</v>
      </c>
      <c r="B1628" s="507" t="s">
        <v>4942</v>
      </c>
      <c r="C1628" s="506" t="s">
        <v>979</v>
      </c>
      <c r="D1628" s="508">
        <v>10621</v>
      </c>
      <c r="E1628" s="507" t="s">
        <v>6108</v>
      </c>
    </row>
    <row r="1629" spans="1:5" ht="15" x14ac:dyDescent="0.3">
      <c r="A1629" s="506">
        <v>9754</v>
      </c>
      <c r="B1629" s="507" t="s">
        <v>4943</v>
      </c>
      <c r="C1629" s="506" t="s">
        <v>3579</v>
      </c>
      <c r="D1629" s="508">
        <v>95000</v>
      </c>
      <c r="E1629" s="507" t="s">
        <v>6108</v>
      </c>
    </row>
    <row r="1630" spans="1:5" ht="15" x14ac:dyDescent="0.3">
      <c r="A1630" s="506">
        <v>9764</v>
      </c>
      <c r="B1630" s="507" t="s">
        <v>4944</v>
      </c>
      <c r="C1630" s="506" t="s">
        <v>328</v>
      </c>
      <c r="D1630" s="508">
        <v>121359</v>
      </c>
      <c r="E1630" s="507" t="s">
        <v>6108</v>
      </c>
    </row>
    <row r="1631" spans="1:5" ht="15" x14ac:dyDescent="0.3">
      <c r="A1631" s="506">
        <v>9765</v>
      </c>
      <c r="B1631" s="507" t="s">
        <v>4945</v>
      </c>
      <c r="C1631" s="506" t="s">
        <v>328</v>
      </c>
      <c r="D1631" s="508">
        <v>526467</v>
      </c>
      <c r="E1631" s="507" t="s">
        <v>6108</v>
      </c>
    </row>
    <row r="1632" spans="1:5" ht="15" x14ac:dyDescent="0.3">
      <c r="A1632" s="506">
        <v>9766</v>
      </c>
      <c r="B1632" s="507" t="s">
        <v>4946</v>
      </c>
      <c r="C1632" s="506" t="s">
        <v>32</v>
      </c>
      <c r="D1632" s="508">
        <v>130305</v>
      </c>
      <c r="E1632" s="507" t="s">
        <v>6108</v>
      </c>
    </row>
    <row r="1633" spans="1:5" ht="15" x14ac:dyDescent="0.3">
      <c r="A1633" s="506">
        <v>9767</v>
      </c>
      <c r="B1633" s="507" t="s">
        <v>4947</v>
      </c>
      <c r="C1633" s="506" t="s">
        <v>32</v>
      </c>
      <c r="D1633" s="508">
        <v>243850</v>
      </c>
      <c r="E1633" s="507" t="s">
        <v>6108</v>
      </c>
    </row>
    <row r="1634" spans="1:5" ht="15" x14ac:dyDescent="0.3">
      <c r="A1634" s="506">
        <v>9768</v>
      </c>
      <c r="B1634" s="507" t="s">
        <v>4948</v>
      </c>
      <c r="C1634" s="506" t="s">
        <v>32</v>
      </c>
      <c r="D1634" s="508">
        <v>103530</v>
      </c>
      <c r="E1634" s="507" t="s">
        <v>331</v>
      </c>
    </row>
    <row r="1635" spans="1:5" ht="15" x14ac:dyDescent="0.3">
      <c r="A1635" s="506">
        <v>9774</v>
      </c>
      <c r="B1635" s="507" t="s">
        <v>4949</v>
      </c>
      <c r="C1635" s="506" t="s">
        <v>32</v>
      </c>
      <c r="D1635" s="508">
        <v>366020</v>
      </c>
      <c r="E1635" s="507" t="s">
        <v>6108</v>
      </c>
    </row>
    <row r="1636" spans="1:5" ht="15" x14ac:dyDescent="0.3">
      <c r="A1636" s="506">
        <v>9775</v>
      </c>
      <c r="B1636" s="507" t="s">
        <v>4950</v>
      </c>
      <c r="C1636" s="506" t="s">
        <v>32</v>
      </c>
      <c r="D1636" s="508">
        <v>162956</v>
      </c>
      <c r="E1636" s="507" t="s">
        <v>6108</v>
      </c>
    </row>
    <row r="1637" spans="1:5" ht="15" x14ac:dyDescent="0.3">
      <c r="A1637" s="506">
        <v>9789</v>
      </c>
      <c r="B1637" s="507" t="s">
        <v>4951</v>
      </c>
      <c r="C1637" s="506" t="s">
        <v>32</v>
      </c>
      <c r="D1637" s="508">
        <v>7864390</v>
      </c>
      <c r="E1637" s="507" t="s">
        <v>6108</v>
      </c>
    </row>
    <row r="1638" spans="1:5" ht="15" x14ac:dyDescent="0.3">
      <c r="A1638" s="506">
        <v>9790</v>
      </c>
      <c r="B1638" s="507" t="s">
        <v>4952</v>
      </c>
      <c r="C1638" s="506" t="s">
        <v>32</v>
      </c>
      <c r="D1638" s="508">
        <v>1174162</v>
      </c>
      <c r="E1638" s="507" t="s">
        <v>6108</v>
      </c>
    </row>
    <row r="1639" spans="1:5" ht="15" x14ac:dyDescent="0.3">
      <c r="A1639" s="506">
        <v>9791</v>
      </c>
      <c r="B1639" s="507" t="s">
        <v>4953</v>
      </c>
      <c r="C1639" s="506" t="s">
        <v>32</v>
      </c>
      <c r="D1639" s="508">
        <v>763033</v>
      </c>
      <c r="E1639" s="507" t="s">
        <v>6108</v>
      </c>
    </row>
    <row r="1640" spans="1:5" ht="15" x14ac:dyDescent="0.3">
      <c r="A1640" s="506">
        <v>9792</v>
      </c>
      <c r="B1640" s="507" t="s">
        <v>4954</v>
      </c>
      <c r="C1640" s="506" t="s">
        <v>32</v>
      </c>
      <c r="D1640" s="508">
        <v>666599</v>
      </c>
      <c r="E1640" s="507" t="s">
        <v>6108</v>
      </c>
    </row>
    <row r="1641" spans="1:5" ht="15" x14ac:dyDescent="0.3">
      <c r="A1641" s="506">
        <v>9796</v>
      </c>
      <c r="B1641" s="507" t="s">
        <v>4955</v>
      </c>
      <c r="C1641" s="506" t="s">
        <v>32</v>
      </c>
      <c r="D1641" s="508">
        <v>7864390</v>
      </c>
      <c r="E1641" s="507" t="s">
        <v>6108</v>
      </c>
    </row>
    <row r="1642" spans="1:5" ht="15" x14ac:dyDescent="0.3">
      <c r="A1642" s="506">
        <v>9797</v>
      </c>
      <c r="B1642" s="507" t="s">
        <v>4956</v>
      </c>
      <c r="C1642" s="506" t="s">
        <v>32</v>
      </c>
      <c r="D1642" s="508">
        <v>8944501</v>
      </c>
      <c r="E1642" s="507" t="s">
        <v>6108</v>
      </c>
    </row>
    <row r="1643" spans="1:5" ht="15" x14ac:dyDescent="0.3">
      <c r="A1643" s="506">
        <v>9798</v>
      </c>
      <c r="B1643" s="507" t="s">
        <v>4957</v>
      </c>
      <c r="C1643" s="506" t="s">
        <v>32</v>
      </c>
      <c r="D1643" s="508">
        <v>4934132</v>
      </c>
      <c r="E1643" s="507" t="s">
        <v>6108</v>
      </c>
    </row>
    <row r="1644" spans="1:5" ht="15" x14ac:dyDescent="0.3">
      <c r="A1644" s="506">
        <v>9799</v>
      </c>
      <c r="B1644" s="507" t="s">
        <v>4958</v>
      </c>
      <c r="C1644" s="506" t="s">
        <v>32</v>
      </c>
      <c r="D1644" s="508">
        <v>614360</v>
      </c>
      <c r="E1644" s="507" t="s">
        <v>6108</v>
      </c>
    </row>
    <row r="1645" spans="1:5" ht="15" x14ac:dyDescent="0.3">
      <c r="A1645" s="506">
        <v>9800</v>
      </c>
      <c r="B1645" s="507" t="s">
        <v>4959</v>
      </c>
      <c r="C1645" s="506" t="s">
        <v>32</v>
      </c>
      <c r="D1645" s="508">
        <v>719958</v>
      </c>
      <c r="E1645" s="507" t="s">
        <v>6108</v>
      </c>
    </row>
    <row r="1646" spans="1:5" ht="15" x14ac:dyDescent="0.3">
      <c r="A1646" s="506">
        <v>9801</v>
      </c>
      <c r="B1646" s="507" t="s">
        <v>4960</v>
      </c>
      <c r="C1646" s="506" t="s">
        <v>32</v>
      </c>
      <c r="D1646" s="508">
        <v>752845</v>
      </c>
      <c r="E1646" s="507" t="s">
        <v>6108</v>
      </c>
    </row>
    <row r="1647" spans="1:5" ht="15" x14ac:dyDescent="0.3">
      <c r="A1647" s="506">
        <v>9802</v>
      </c>
      <c r="B1647" s="507" t="s">
        <v>4961</v>
      </c>
      <c r="C1647" s="506" t="s">
        <v>32</v>
      </c>
      <c r="D1647" s="508">
        <v>719958</v>
      </c>
      <c r="E1647" s="507" t="s">
        <v>6108</v>
      </c>
    </row>
    <row r="1648" spans="1:5" ht="15" x14ac:dyDescent="0.3">
      <c r="A1648" s="506">
        <v>9804</v>
      </c>
      <c r="B1648" s="507" t="s">
        <v>4962</v>
      </c>
      <c r="C1648" s="506" t="s">
        <v>32</v>
      </c>
      <c r="D1648" s="508">
        <v>691652</v>
      </c>
      <c r="E1648" s="507" t="s">
        <v>6108</v>
      </c>
    </row>
    <row r="1649" spans="1:5" ht="15" x14ac:dyDescent="0.3">
      <c r="A1649" s="506">
        <v>9813</v>
      </c>
      <c r="B1649" s="507" t="s">
        <v>4963</v>
      </c>
      <c r="C1649" s="506" t="s">
        <v>21</v>
      </c>
      <c r="D1649" s="508">
        <v>256474</v>
      </c>
      <c r="E1649" s="507" t="s">
        <v>6108</v>
      </c>
    </row>
    <row r="1650" spans="1:5" ht="15" x14ac:dyDescent="0.3">
      <c r="A1650" s="506">
        <v>9819</v>
      </c>
      <c r="B1650" s="507" t="s">
        <v>4964</v>
      </c>
      <c r="C1650" s="506" t="s">
        <v>32</v>
      </c>
      <c r="D1650" s="508">
        <v>1785000</v>
      </c>
      <c r="E1650" s="507" t="s">
        <v>6108</v>
      </c>
    </row>
    <row r="1651" spans="1:5" ht="15" x14ac:dyDescent="0.3">
      <c r="A1651" s="506">
        <v>9822</v>
      </c>
      <c r="B1651" s="507" t="s">
        <v>4965</v>
      </c>
      <c r="C1651" s="506" t="s">
        <v>3579</v>
      </c>
      <c r="D1651" s="508">
        <v>549900</v>
      </c>
      <c r="E1651" s="507" t="s">
        <v>6108</v>
      </c>
    </row>
    <row r="1652" spans="1:5" ht="15" x14ac:dyDescent="0.3">
      <c r="A1652" s="506">
        <v>9828</v>
      </c>
      <c r="B1652" s="507" t="s">
        <v>4966</v>
      </c>
      <c r="C1652" s="506" t="s">
        <v>30</v>
      </c>
      <c r="D1652" s="508">
        <v>1181085</v>
      </c>
      <c r="E1652" s="507" t="s">
        <v>331</v>
      </c>
    </row>
    <row r="1653" spans="1:5" ht="15" x14ac:dyDescent="0.3">
      <c r="A1653" s="506">
        <v>9832</v>
      </c>
      <c r="B1653" s="507" t="s">
        <v>4967</v>
      </c>
      <c r="C1653" s="506" t="s">
        <v>32</v>
      </c>
      <c r="D1653" s="508">
        <v>143967</v>
      </c>
      <c r="E1653" s="507" t="s">
        <v>6108</v>
      </c>
    </row>
    <row r="1654" spans="1:5" ht="15" x14ac:dyDescent="0.3">
      <c r="A1654" s="506">
        <v>9833</v>
      </c>
      <c r="B1654" s="507" t="s">
        <v>4968</v>
      </c>
      <c r="C1654" s="506" t="s">
        <v>979</v>
      </c>
      <c r="D1654" s="508">
        <v>20454</v>
      </c>
      <c r="E1654" s="507" t="s">
        <v>6109</v>
      </c>
    </row>
    <row r="1655" spans="1:5" ht="15" x14ac:dyDescent="0.3">
      <c r="A1655" s="506">
        <v>9834</v>
      </c>
      <c r="B1655" s="507" t="s">
        <v>4969</v>
      </c>
      <c r="C1655" s="506" t="s">
        <v>254</v>
      </c>
      <c r="D1655" s="508">
        <v>131990</v>
      </c>
      <c r="E1655" s="507" t="s">
        <v>6109</v>
      </c>
    </row>
    <row r="1656" spans="1:5" ht="15" x14ac:dyDescent="0.3">
      <c r="A1656" s="506">
        <v>9835</v>
      </c>
      <c r="B1656" s="507" t="s">
        <v>4970</v>
      </c>
      <c r="C1656" s="506" t="s">
        <v>254</v>
      </c>
      <c r="D1656" s="508">
        <v>131990</v>
      </c>
      <c r="E1656" s="507" t="s">
        <v>6109</v>
      </c>
    </row>
    <row r="1657" spans="1:5" ht="15" x14ac:dyDescent="0.3">
      <c r="A1657" s="506">
        <v>9836</v>
      </c>
      <c r="B1657" s="507" t="s">
        <v>4971</v>
      </c>
      <c r="C1657" s="506" t="s">
        <v>254</v>
      </c>
      <c r="D1657" s="508">
        <v>131990</v>
      </c>
      <c r="E1657" s="507" t="s">
        <v>6109</v>
      </c>
    </row>
    <row r="1658" spans="1:5" ht="15" x14ac:dyDescent="0.3">
      <c r="A1658" s="506">
        <v>9837</v>
      </c>
      <c r="B1658" s="507" t="s">
        <v>4972</v>
      </c>
      <c r="C1658" s="506" t="s">
        <v>254</v>
      </c>
      <c r="D1658" s="508">
        <v>131990</v>
      </c>
      <c r="E1658" s="507" t="s">
        <v>6109</v>
      </c>
    </row>
    <row r="1659" spans="1:5" ht="15" x14ac:dyDescent="0.3">
      <c r="A1659" s="506">
        <v>9838</v>
      </c>
      <c r="B1659" s="507" t="s">
        <v>4973</v>
      </c>
      <c r="C1659" s="506" t="s">
        <v>254</v>
      </c>
      <c r="D1659" s="508">
        <v>131990</v>
      </c>
      <c r="E1659" s="507" t="s">
        <v>6109</v>
      </c>
    </row>
    <row r="1660" spans="1:5" ht="15" x14ac:dyDescent="0.3">
      <c r="A1660" s="506">
        <v>9839</v>
      </c>
      <c r="B1660" s="507" t="s">
        <v>4974</v>
      </c>
      <c r="C1660" s="506" t="s">
        <v>32</v>
      </c>
      <c r="D1660" s="508">
        <v>13531</v>
      </c>
      <c r="E1660" s="507" t="s">
        <v>6109</v>
      </c>
    </row>
    <row r="1661" spans="1:5" ht="15" x14ac:dyDescent="0.3">
      <c r="A1661" s="506">
        <v>9840</v>
      </c>
      <c r="B1661" s="507" t="s">
        <v>4975</v>
      </c>
      <c r="C1661" s="506" t="s">
        <v>307</v>
      </c>
      <c r="D1661" s="508">
        <v>264000</v>
      </c>
      <c r="E1661" s="507" t="s">
        <v>6109</v>
      </c>
    </row>
    <row r="1662" spans="1:5" ht="15" x14ac:dyDescent="0.3">
      <c r="A1662" s="506">
        <v>9842</v>
      </c>
      <c r="B1662" s="507" t="s">
        <v>4976</v>
      </c>
      <c r="C1662" s="506" t="s">
        <v>21</v>
      </c>
      <c r="D1662" s="508">
        <v>344300</v>
      </c>
      <c r="E1662" s="507" t="s">
        <v>6108</v>
      </c>
    </row>
    <row r="1663" spans="1:5" ht="15" x14ac:dyDescent="0.3">
      <c r="A1663" s="506">
        <v>9845</v>
      </c>
      <c r="B1663" s="507" t="s">
        <v>4977</v>
      </c>
      <c r="C1663" s="506" t="s">
        <v>32</v>
      </c>
      <c r="D1663" s="508">
        <v>198487</v>
      </c>
      <c r="E1663" s="507" t="s">
        <v>6108</v>
      </c>
    </row>
    <row r="1664" spans="1:5" ht="15" x14ac:dyDescent="0.3">
      <c r="A1664" s="506">
        <v>9846</v>
      </c>
      <c r="B1664" s="507" t="s">
        <v>4978</v>
      </c>
      <c r="C1664" s="506" t="s">
        <v>32</v>
      </c>
      <c r="D1664" s="508">
        <v>59500</v>
      </c>
      <c r="E1664" s="507" t="s">
        <v>6108</v>
      </c>
    </row>
    <row r="1665" spans="1:5" ht="15" x14ac:dyDescent="0.3">
      <c r="A1665" s="506">
        <v>9847</v>
      </c>
      <c r="B1665" s="507" t="s">
        <v>4979</v>
      </c>
      <c r="C1665" s="506" t="s">
        <v>32</v>
      </c>
      <c r="D1665" s="508">
        <v>59500</v>
      </c>
      <c r="E1665" s="507" t="s">
        <v>6108</v>
      </c>
    </row>
    <row r="1666" spans="1:5" ht="15" x14ac:dyDescent="0.3">
      <c r="A1666" s="506">
        <v>9848</v>
      </c>
      <c r="B1666" s="507" t="s">
        <v>4980</v>
      </c>
      <c r="C1666" s="506" t="s">
        <v>32</v>
      </c>
      <c r="D1666" s="508">
        <v>57239</v>
      </c>
      <c r="E1666" s="507" t="s">
        <v>6108</v>
      </c>
    </row>
    <row r="1667" spans="1:5" ht="15" x14ac:dyDescent="0.3">
      <c r="A1667" s="506">
        <v>9849</v>
      </c>
      <c r="B1667" s="507" t="s">
        <v>4981</v>
      </c>
      <c r="C1667" s="506" t="s">
        <v>32</v>
      </c>
      <c r="D1667" s="508">
        <v>57239</v>
      </c>
      <c r="E1667" s="507" t="s">
        <v>6108</v>
      </c>
    </row>
    <row r="1668" spans="1:5" ht="15" x14ac:dyDescent="0.3">
      <c r="A1668" s="506">
        <v>9850</v>
      </c>
      <c r="B1668" s="507" t="s">
        <v>4982</v>
      </c>
      <c r="C1668" s="506" t="s">
        <v>32</v>
      </c>
      <c r="D1668" s="508">
        <v>59500</v>
      </c>
      <c r="E1668" s="507" t="s">
        <v>6108</v>
      </c>
    </row>
    <row r="1669" spans="1:5" ht="15" x14ac:dyDescent="0.3">
      <c r="A1669" s="506">
        <v>9851</v>
      </c>
      <c r="B1669" s="507" t="s">
        <v>4983</v>
      </c>
      <c r="C1669" s="506" t="s">
        <v>32</v>
      </c>
      <c r="D1669" s="508">
        <v>59500</v>
      </c>
      <c r="E1669" s="507" t="s">
        <v>6108</v>
      </c>
    </row>
    <row r="1670" spans="1:5" ht="15" x14ac:dyDescent="0.3">
      <c r="A1670" s="506">
        <v>9852</v>
      </c>
      <c r="B1670" s="507" t="s">
        <v>4984</v>
      </c>
      <c r="C1670" s="506" t="s">
        <v>32</v>
      </c>
      <c r="D1670" s="508">
        <v>59500</v>
      </c>
      <c r="E1670" s="507" t="s">
        <v>6108</v>
      </c>
    </row>
    <row r="1671" spans="1:5" ht="15" x14ac:dyDescent="0.3">
      <c r="A1671" s="506">
        <v>9853</v>
      </c>
      <c r="B1671" s="507" t="s">
        <v>4985</v>
      </c>
      <c r="C1671" s="506" t="s">
        <v>32</v>
      </c>
      <c r="D1671" s="508">
        <v>57239</v>
      </c>
      <c r="E1671" s="507" t="s">
        <v>6108</v>
      </c>
    </row>
    <row r="1672" spans="1:5" ht="15" x14ac:dyDescent="0.3">
      <c r="A1672" s="506">
        <v>9854</v>
      </c>
      <c r="B1672" s="507" t="s">
        <v>4986</v>
      </c>
      <c r="C1672" s="506" t="s">
        <v>32</v>
      </c>
      <c r="D1672" s="508">
        <v>59500</v>
      </c>
      <c r="E1672" s="507" t="s">
        <v>6108</v>
      </c>
    </row>
    <row r="1673" spans="1:5" ht="15" x14ac:dyDescent="0.3">
      <c r="A1673" s="506">
        <v>9855</v>
      </c>
      <c r="B1673" s="507" t="s">
        <v>4987</v>
      </c>
      <c r="C1673" s="506" t="s">
        <v>32</v>
      </c>
      <c r="D1673" s="508">
        <v>57239</v>
      </c>
      <c r="E1673" s="507" t="s">
        <v>6108</v>
      </c>
    </row>
    <row r="1674" spans="1:5" ht="15" x14ac:dyDescent="0.3">
      <c r="A1674" s="506">
        <v>9856</v>
      </c>
      <c r="B1674" s="507" t="s">
        <v>4988</v>
      </c>
      <c r="C1674" s="506" t="s">
        <v>32</v>
      </c>
      <c r="D1674" s="508">
        <v>59500</v>
      </c>
      <c r="E1674" s="507" t="s">
        <v>6108</v>
      </c>
    </row>
    <row r="1675" spans="1:5" ht="15" x14ac:dyDescent="0.3">
      <c r="A1675" s="506">
        <v>9857</v>
      </c>
      <c r="B1675" s="507" t="s">
        <v>4989</v>
      </c>
      <c r="C1675" s="506" t="s">
        <v>32</v>
      </c>
      <c r="D1675" s="508">
        <v>71554</v>
      </c>
      <c r="E1675" s="507" t="s">
        <v>6108</v>
      </c>
    </row>
    <row r="1676" spans="1:5" ht="15" x14ac:dyDescent="0.3">
      <c r="A1676" s="506">
        <v>9860</v>
      </c>
      <c r="B1676" s="507" t="s">
        <v>4990</v>
      </c>
      <c r="C1676" s="506" t="s">
        <v>32</v>
      </c>
      <c r="D1676" s="508">
        <v>364030</v>
      </c>
      <c r="E1676" s="507" t="s">
        <v>6108</v>
      </c>
    </row>
    <row r="1677" spans="1:5" ht="15" x14ac:dyDescent="0.3">
      <c r="A1677" s="506">
        <v>9861</v>
      </c>
      <c r="B1677" s="507" t="s">
        <v>4991</v>
      </c>
      <c r="C1677" s="506" t="s">
        <v>32</v>
      </c>
      <c r="D1677" s="508">
        <v>385479</v>
      </c>
      <c r="E1677" s="507" t="s">
        <v>6108</v>
      </c>
    </row>
    <row r="1678" spans="1:5" ht="15" x14ac:dyDescent="0.3">
      <c r="A1678" s="506">
        <v>9862</v>
      </c>
      <c r="B1678" s="507" t="s">
        <v>4992</v>
      </c>
      <c r="C1678" s="506" t="s">
        <v>32</v>
      </c>
      <c r="D1678" s="508">
        <v>328440</v>
      </c>
      <c r="E1678" s="507" t="s">
        <v>6108</v>
      </c>
    </row>
    <row r="1679" spans="1:5" ht="15" x14ac:dyDescent="0.3">
      <c r="A1679" s="506">
        <v>9864</v>
      </c>
      <c r="B1679" s="507" t="s">
        <v>4993</v>
      </c>
      <c r="C1679" s="506" t="s">
        <v>32</v>
      </c>
      <c r="D1679" s="508">
        <v>474000</v>
      </c>
      <c r="E1679" s="507" t="s">
        <v>6108</v>
      </c>
    </row>
    <row r="1680" spans="1:5" ht="15" x14ac:dyDescent="0.3">
      <c r="A1680" s="506">
        <v>9869</v>
      </c>
      <c r="B1680" s="507" t="s">
        <v>4994</v>
      </c>
      <c r="C1680" s="506" t="s">
        <v>32</v>
      </c>
      <c r="D1680" s="508">
        <v>1130500</v>
      </c>
      <c r="E1680" s="507" t="s">
        <v>6108</v>
      </c>
    </row>
    <row r="1681" spans="1:5" ht="15" x14ac:dyDescent="0.3">
      <c r="A1681" s="506">
        <v>9873</v>
      </c>
      <c r="B1681" s="507" t="s">
        <v>4995</v>
      </c>
      <c r="C1681" s="506" t="s">
        <v>32</v>
      </c>
      <c r="D1681" s="508">
        <v>452914</v>
      </c>
      <c r="E1681" s="507" t="s">
        <v>6108</v>
      </c>
    </row>
    <row r="1682" spans="1:5" ht="15" x14ac:dyDescent="0.3">
      <c r="A1682" s="506">
        <v>9879</v>
      </c>
      <c r="B1682" s="507" t="s">
        <v>4996</v>
      </c>
      <c r="C1682" s="506" t="s">
        <v>32</v>
      </c>
      <c r="D1682" s="508">
        <v>9747</v>
      </c>
      <c r="E1682" s="507" t="s">
        <v>6108</v>
      </c>
    </row>
    <row r="1683" spans="1:5" ht="15" x14ac:dyDescent="0.3">
      <c r="A1683" s="506">
        <v>9880</v>
      </c>
      <c r="B1683" s="507" t="s">
        <v>4997</v>
      </c>
      <c r="C1683" s="506" t="s">
        <v>32</v>
      </c>
      <c r="D1683" s="508">
        <v>4695</v>
      </c>
      <c r="E1683" s="507" t="s">
        <v>6108</v>
      </c>
    </row>
    <row r="1684" spans="1:5" ht="15" x14ac:dyDescent="0.3">
      <c r="A1684" s="506">
        <v>9881</v>
      </c>
      <c r="B1684" s="507" t="s">
        <v>4998</v>
      </c>
      <c r="C1684" s="506" t="s">
        <v>32</v>
      </c>
      <c r="D1684" s="508">
        <v>50126</v>
      </c>
      <c r="E1684" s="507" t="s">
        <v>6108</v>
      </c>
    </row>
    <row r="1685" spans="1:5" ht="15" x14ac:dyDescent="0.3">
      <c r="A1685" s="506">
        <v>9882</v>
      </c>
      <c r="B1685" s="507" t="s">
        <v>4999</v>
      </c>
      <c r="C1685" s="506" t="s">
        <v>32</v>
      </c>
      <c r="D1685" s="508">
        <v>50126</v>
      </c>
      <c r="E1685" s="507" t="s">
        <v>6108</v>
      </c>
    </row>
    <row r="1686" spans="1:5" ht="15" x14ac:dyDescent="0.3">
      <c r="A1686" s="506">
        <v>9883</v>
      </c>
      <c r="B1686" s="507" t="s">
        <v>5000</v>
      </c>
      <c r="C1686" s="506" t="s">
        <v>32</v>
      </c>
      <c r="D1686" s="508">
        <v>64260</v>
      </c>
      <c r="E1686" s="507" t="s">
        <v>6108</v>
      </c>
    </row>
    <row r="1687" spans="1:5" ht="15" x14ac:dyDescent="0.3">
      <c r="A1687" s="506">
        <v>9884</v>
      </c>
      <c r="B1687" s="507" t="s">
        <v>5001</v>
      </c>
      <c r="C1687" s="506" t="s">
        <v>32</v>
      </c>
      <c r="D1687" s="508">
        <v>47704</v>
      </c>
      <c r="E1687" s="507" t="s">
        <v>6108</v>
      </c>
    </row>
    <row r="1688" spans="1:5" ht="15" x14ac:dyDescent="0.3">
      <c r="A1688" s="506">
        <v>9885</v>
      </c>
      <c r="B1688" s="507" t="s">
        <v>5002</v>
      </c>
      <c r="C1688" s="506" t="s">
        <v>32</v>
      </c>
      <c r="D1688" s="508">
        <v>48266</v>
      </c>
      <c r="E1688" s="507" t="s">
        <v>6108</v>
      </c>
    </row>
    <row r="1689" spans="1:5" ht="15" x14ac:dyDescent="0.3">
      <c r="A1689" s="506">
        <v>9886</v>
      </c>
      <c r="B1689" s="507" t="s">
        <v>5003</v>
      </c>
      <c r="C1689" s="506" t="s">
        <v>32</v>
      </c>
      <c r="D1689" s="508">
        <v>35700</v>
      </c>
      <c r="E1689" s="507" t="s">
        <v>6108</v>
      </c>
    </row>
    <row r="1690" spans="1:5" ht="15" x14ac:dyDescent="0.3">
      <c r="A1690" s="506">
        <v>9887</v>
      </c>
      <c r="B1690" s="507" t="s">
        <v>5004</v>
      </c>
      <c r="C1690" s="506" t="s">
        <v>32</v>
      </c>
      <c r="D1690" s="508">
        <v>14280</v>
      </c>
      <c r="E1690" s="507" t="s">
        <v>6108</v>
      </c>
    </row>
    <row r="1691" spans="1:5" ht="15" x14ac:dyDescent="0.3">
      <c r="A1691" s="506">
        <v>9888</v>
      </c>
      <c r="B1691" s="507" t="s">
        <v>5005</v>
      </c>
      <c r="C1691" s="506" t="s">
        <v>32</v>
      </c>
      <c r="D1691" s="508">
        <v>29750</v>
      </c>
      <c r="E1691" s="507" t="s">
        <v>6108</v>
      </c>
    </row>
    <row r="1692" spans="1:5" ht="15" x14ac:dyDescent="0.3">
      <c r="A1692" s="506">
        <v>9896</v>
      </c>
      <c r="B1692" s="507" t="s">
        <v>5006</v>
      </c>
      <c r="C1692" s="506" t="s">
        <v>32</v>
      </c>
      <c r="D1692" s="508">
        <v>102966</v>
      </c>
      <c r="E1692" s="507" t="s">
        <v>6108</v>
      </c>
    </row>
    <row r="1693" spans="1:5" ht="15" x14ac:dyDescent="0.3">
      <c r="A1693" s="506">
        <v>9901</v>
      </c>
      <c r="B1693" s="507" t="s">
        <v>5007</v>
      </c>
      <c r="C1693" s="506" t="s">
        <v>328</v>
      </c>
      <c r="D1693" s="508">
        <v>23776</v>
      </c>
      <c r="E1693" s="507" t="s">
        <v>6108</v>
      </c>
    </row>
    <row r="1694" spans="1:5" ht="15" x14ac:dyDescent="0.3">
      <c r="A1694" s="506">
        <v>9902</v>
      </c>
      <c r="B1694" s="507" t="s">
        <v>5008</v>
      </c>
      <c r="C1694" s="506" t="s">
        <v>32</v>
      </c>
      <c r="D1694" s="508">
        <v>26312</v>
      </c>
      <c r="E1694" s="507" t="s">
        <v>6108</v>
      </c>
    </row>
    <row r="1695" spans="1:5" ht="15" x14ac:dyDescent="0.3">
      <c r="A1695" s="506">
        <v>9905</v>
      </c>
      <c r="B1695" s="507" t="s">
        <v>5009</v>
      </c>
      <c r="C1695" s="506" t="s">
        <v>328</v>
      </c>
      <c r="D1695" s="508">
        <v>4213</v>
      </c>
      <c r="E1695" s="507" t="s">
        <v>6108</v>
      </c>
    </row>
    <row r="1696" spans="1:5" ht="15" x14ac:dyDescent="0.3">
      <c r="A1696" s="506">
        <v>9906</v>
      </c>
      <c r="B1696" s="507" t="s">
        <v>5010</v>
      </c>
      <c r="C1696" s="506" t="s">
        <v>32</v>
      </c>
      <c r="D1696" s="508">
        <v>18088</v>
      </c>
      <c r="E1696" s="507" t="s">
        <v>6108</v>
      </c>
    </row>
    <row r="1697" spans="1:5" ht="15" x14ac:dyDescent="0.3">
      <c r="A1697" s="506">
        <v>9907</v>
      </c>
      <c r="B1697" s="507" t="s">
        <v>5011</v>
      </c>
      <c r="C1697" s="506" t="s">
        <v>32</v>
      </c>
      <c r="D1697" s="508">
        <v>59262</v>
      </c>
      <c r="E1697" s="507" t="s">
        <v>6108</v>
      </c>
    </row>
    <row r="1698" spans="1:5" ht="15" x14ac:dyDescent="0.3">
      <c r="A1698" s="506">
        <v>9908</v>
      </c>
      <c r="B1698" s="507" t="s">
        <v>5012</v>
      </c>
      <c r="C1698" s="506" t="s">
        <v>328</v>
      </c>
      <c r="D1698" s="508">
        <v>6850</v>
      </c>
      <c r="E1698" s="507" t="s">
        <v>6108</v>
      </c>
    </row>
    <row r="1699" spans="1:5" ht="15" x14ac:dyDescent="0.3">
      <c r="A1699" s="506">
        <v>9909</v>
      </c>
      <c r="B1699" s="507" t="s">
        <v>5013</v>
      </c>
      <c r="C1699" s="506" t="s">
        <v>328</v>
      </c>
      <c r="D1699" s="508">
        <v>7800</v>
      </c>
      <c r="E1699" s="507" t="s">
        <v>6108</v>
      </c>
    </row>
    <row r="1700" spans="1:5" ht="15" x14ac:dyDescent="0.3">
      <c r="A1700" s="506">
        <v>9922</v>
      </c>
      <c r="B1700" s="507" t="s">
        <v>5014</v>
      </c>
      <c r="C1700" s="506" t="s">
        <v>21</v>
      </c>
      <c r="D1700" s="508">
        <v>163026</v>
      </c>
      <c r="E1700" s="507" t="s">
        <v>6108</v>
      </c>
    </row>
    <row r="1701" spans="1:5" ht="15" x14ac:dyDescent="0.3">
      <c r="A1701" s="506">
        <v>9925</v>
      </c>
      <c r="B1701" s="507" t="s">
        <v>5015</v>
      </c>
      <c r="C1701" s="506" t="s">
        <v>32</v>
      </c>
      <c r="D1701" s="508">
        <v>5212</v>
      </c>
      <c r="E1701" s="507" t="s">
        <v>6108</v>
      </c>
    </row>
    <row r="1702" spans="1:5" ht="15" x14ac:dyDescent="0.3">
      <c r="A1702" s="506">
        <v>9926</v>
      </c>
      <c r="B1702" s="507" t="s">
        <v>5016</v>
      </c>
      <c r="C1702" s="506" t="s">
        <v>328</v>
      </c>
      <c r="D1702" s="508">
        <v>4018</v>
      </c>
      <c r="E1702" s="507" t="s">
        <v>331</v>
      </c>
    </row>
    <row r="1703" spans="1:5" ht="15" x14ac:dyDescent="0.3">
      <c r="A1703" s="506">
        <v>9928</v>
      </c>
      <c r="B1703" s="507" t="s">
        <v>5017</v>
      </c>
      <c r="C1703" s="506" t="s">
        <v>670</v>
      </c>
      <c r="D1703" s="508">
        <v>10173</v>
      </c>
      <c r="E1703" s="507" t="s">
        <v>331</v>
      </c>
    </row>
    <row r="1704" spans="1:5" ht="15" x14ac:dyDescent="0.3">
      <c r="A1704" s="506">
        <v>9930</v>
      </c>
      <c r="B1704" s="507" t="s">
        <v>5018</v>
      </c>
      <c r="C1704" s="506" t="s">
        <v>32</v>
      </c>
      <c r="D1704" s="508">
        <v>84221</v>
      </c>
      <c r="E1704" s="507" t="s">
        <v>6108</v>
      </c>
    </row>
    <row r="1705" spans="1:5" ht="15" x14ac:dyDescent="0.3">
      <c r="A1705" s="506">
        <v>9931</v>
      </c>
      <c r="B1705" s="507" t="s">
        <v>5019</v>
      </c>
      <c r="C1705" s="506" t="s">
        <v>32</v>
      </c>
      <c r="D1705" s="508">
        <v>7207</v>
      </c>
      <c r="E1705" s="507" t="s">
        <v>6108</v>
      </c>
    </row>
    <row r="1706" spans="1:5" ht="15" x14ac:dyDescent="0.3">
      <c r="A1706" s="506">
        <v>9933</v>
      </c>
      <c r="B1706" s="507" t="s">
        <v>5020</v>
      </c>
      <c r="C1706" s="506" t="s">
        <v>32</v>
      </c>
      <c r="D1706" s="508">
        <v>166279</v>
      </c>
      <c r="E1706" s="507" t="s">
        <v>331</v>
      </c>
    </row>
    <row r="1707" spans="1:5" ht="15" x14ac:dyDescent="0.3">
      <c r="A1707" s="506">
        <v>9934</v>
      </c>
      <c r="B1707" s="507" t="s">
        <v>5021</v>
      </c>
      <c r="C1707" s="506" t="s">
        <v>328</v>
      </c>
      <c r="D1707" s="508">
        <v>236133</v>
      </c>
      <c r="E1707" s="507" t="s">
        <v>331</v>
      </c>
    </row>
    <row r="1708" spans="1:5" ht="15" x14ac:dyDescent="0.3">
      <c r="A1708" s="506">
        <v>9935</v>
      </c>
      <c r="B1708" s="507" t="s">
        <v>5022</v>
      </c>
      <c r="C1708" s="506" t="s">
        <v>32</v>
      </c>
      <c r="D1708" s="508">
        <v>12264</v>
      </c>
      <c r="E1708" s="507" t="s">
        <v>6108</v>
      </c>
    </row>
    <row r="1709" spans="1:5" ht="15" x14ac:dyDescent="0.3">
      <c r="A1709" s="506">
        <v>9936</v>
      </c>
      <c r="B1709" s="507" t="s">
        <v>5023</v>
      </c>
      <c r="C1709" s="506" t="s">
        <v>32</v>
      </c>
      <c r="D1709" s="508">
        <v>24873</v>
      </c>
      <c r="E1709" s="507" t="s">
        <v>6108</v>
      </c>
    </row>
    <row r="1710" spans="1:5" ht="15" x14ac:dyDescent="0.3">
      <c r="A1710" s="506">
        <v>9937</v>
      </c>
      <c r="B1710" s="507" t="s">
        <v>5024</v>
      </c>
      <c r="C1710" s="506" t="s">
        <v>32</v>
      </c>
      <c r="D1710" s="508">
        <v>6170</v>
      </c>
      <c r="E1710" s="507" t="s">
        <v>331</v>
      </c>
    </row>
    <row r="1711" spans="1:5" ht="15" x14ac:dyDescent="0.3">
      <c r="A1711" s="506">
        <v>9939</v>
      </c>
      <c r="B1711" s="507" t="s">
        <v>5025</v>
      </c>
      <c r="C1711" s="506" t="s">
        <v>32</v>
      </c>
      <c r="D1711" s="508">
        <v>14122</v>
      </c>
      <c r="E1711" s="507" t="s">
        <v>331</v>
      </c>
    </row>
    <row r="1712" spans="1:5" ht="15" x14ac:dyDescent="0.3">
      <c r="A1712" s="506">
        <v>9940</v>
      </c>
      <c r="B1712" s="507" t="s">
        <v>5026</v>
      </c>
      <c r="C1712" s="506" t="s">
        <v>32</v>
      </c>
      <c r="D1712" s="508">
        <v>62983</v>
      </c>
      <c r="E1712" s="507" t="s">
        <v>6108</v>
      </c>
    </row>
    <row r="1713" spans="1:5" ht="15" x14ac:dyDescent="0.3">
      <c r="A1713" s="506">
        <v>9941</v>
      </c>
      <c r="B1713" s="507" t="s">
        <v>6337</v>
      </c>
      <c r="C1713" s="506" t="s">
        <v>32</v>
      </c>
      <c r="D1713" s="508">
        <v>195900</v>
      </c>
      <c r="E1713" s="507" t="s">
        <v>6108</v>
      </c>
    </row>
    <row r="1714" spans="1:5" ht="15" x14ac:dyDescent="0.3">
      <c r="A1714" s="506">
        <v>9943</v>
      </c>
      <c r="B1714" s="507" t="s">
        <v>5027</v>
      </c>
      <c r="C1714" s="506" t="s">
        <v>32</v>
      </c>
      <c r="D1714" s="508">
        <v>671300</v>
      </c>
      <c r="E1714" s="507" t="s">
        <v>6108</v>
      </c>
    </row>
    <row r="1715" spans="1:5" ht="15" x14ac:dyDescent="0.3">
      <c r="A1715" s="506">
        <v>9944</v>
      </c>
      <c r="B1715" s="507" t="s">
        <v>5028</v>
      </c>
      <c r="C1715" s="506" t="s">
        <v>32</v>
      </c>
      <c r="D1715" s="508">
        <v>97000</v>
      </c>
      <c r="E1715" s="507" t="s">
        <v>6108</v>
      </c>
    </row>
    <row r="1716" spans="1:5" ht="15" x14ac:dyDescent="0.3">
      <c r="A1716" s="506">
        <v>9945</v>
      </c>
      <c r="B1716" s="507" t="s">
        <v>5029</v>
      </c>
      <c r="C1716" s="506" t="s">
        <v>32</v>
      </c>
      <c r="D1716" s="508">
        <v>287750</v>
      </c>
      <c r="E1716" s="507" t="s">
        <v>6108</v>
      </c>
    </row>
    <row r="1717" spans="1:5" ht="15" x14ac:dyDescent="0.3">
      <c r="A1717" s="506">
        <v>9948</v>
      </c>
      <c r="B1717" s="507" t="s">
        <v>5030</v>
      </c>
      <c r="C1717" s="506" t="s">
        <v>32</v>
      </c>
      <c r="D1717" s="508">
        <v>2497</v>
      </c>
      <c r="E1717" s="507" t="s">
        <v>331</v>
      </c>
    </row>
    <row r="1718" spans="1:5" ht="15" x14ac:dyDescent="0.3">
      <c r="A1718" s="506">
        <v>9949</v>
      </c>
      <c r="B1718" s="507" t="s">
        <v>5031</v>
      </c>
      <c r="C1718" s="506" t="s">
        <v>32</v>
      </c>
      <c r="D1718" s="508">
        <v>1037</v>
      </c>
      <c r="E1718" s="507" t="s">
        <v>6108</v>
      </c>
    </row>
    <row r="1719" spans="1:5" ht="15" x14ac:dyDescent="0.3">
      <c r="A1719" s="506">
        <v>9950</v>
      </c>
      <c r="B1719" s="507" t="s">
        <v>5032</v>
      </c>
      <c r="C1719" s="506" t="s">
        <v>21</v>
      </c>
      <c r="D1719" s="508">
        <v>186500</v>
      </c>
      <c r="E1719" s="507" t="s">
        <v>6108</v>
      </c>
    </row>
    <row r="1720" spans="1:5" ht="15" x14ac:dyDescent="0.3">
      <c r="A1720" s="506">
        <v>9951</v>
      </c>
      <c r="B1720" s="507" t="s">
        <v>5033</v>
      </c>
      <c r="C1720" s="506" t="s">
        <v>32</v>
      </c>
      <c r="D1720" s="508">
        <v>19450</v>
      </c>
      <c r="E1720" s="507" t="s">
        <v>6108</v>
      </c>
    </row>
    <row r="1721" spans="1:5" ht="15" x14ac:dyDescent="0.3">
      <c r="A1721" s="506">
        <v>9952</v>
      </c>
      <c r="B1721" s="507" t="s">
        <v>5034</v>
      </c>
      <c r="C1721" s="506" t="s">
        <v>32</v>
      </c>
      <c r="D1721" s="508">
        <v>222700</v>
      </c>
      <c r="E1721" s="507" t="s">
        <v>6108</v>
      </c>
    </row>
    <row r="1722" spans="1:5" ht="15" x14ac:dyDescent="0.3">
      <c r="A1722" s="506">
        <v>9953</v>
      </c>
      <c r="B1722" s="507" t="s">
        <v>5035</v>
      </c>
      <c r="C1722" s="506" t="s">
        <v>328</v>
      </c>
      <c r="D1722" s="508">
        <v>53147</v>
      </c>
      <c r="E1722" s="507" t="s">
        <v>6108</v>
      </c>
    </row>
    <row r="1723" spans="1:5" ht="15" x14ac:dyDescent="0.3">
      <c r="A1723" s="506">
        <v>9961</v>
      </c>
      <c r="B1723" s="507" t="s">
        <v>5036</v>
      </c>
      <c r="C1723" s="506" t="s">
        <v>21</v>
      </c>
      <c r="D1723" s="508">
        <v>61880</v>
      </c>
      <c r="E1723" s="507" t="s">
        <v>331</v>
      </c>
    </row>
    <row r="1724" spans="1:5" ht="15" x14ac:dyDescent="0.3">
      <c r="A1724" s="506">
        <v>9962</v>
      </c>
      <c r="B1724" s="507" t="s">
        <v>5037</v>
      </c>
      <c r="C1724" s="506" t="s">
        <v>21</v>
      </c>
      <c r="D1724" s="508">
        <v>17133</v>
      </c>
      <c r="E1724" s="507" t="s">
        <v>6108</v>
      </c>
    </row>
    <row r="1725" spans="1:5" ht="15" x14ac:dyDescent="0.3">
      <c r="A1725" s="506">
        <v>9963</v>
      </c>
      <c r="B1725" s="507" t="s">
        <v>5038</v>
      </c>
      <c r="C1725" s="506" t="s">
        <v>32</v>
      </c>
      <c r="D1725" s="508">
        <v>80364</v>
      </c>
      <c r="E1725" s="507" t="s">
        <v>331</v>
      </c>
    </row>
    <row r="1726" spans="1:5" ht="15" x14ac:dyDescent="0.3">
      <c r="A1726" s="506">
        <v>9964</v>
      </c>
      <c r="B1726" s="507" t="s">
        <v>5039</v>
      </c>
      <c r="C1726" s="506" t="s">
        <v>32</v>
      </c>
      <c r="D1726" s="508">
        <v>945</v>
      </c>
      <c r="E1726" s="507" t="s">
        <v>331</v>
      </c>
    </row>
    <row r="1727" spans="1:5" ht="15" x14ac:dyDescent="0.3">
      <c r="A1727" s="506">
        <v>9966</v>
      </c>
      <c r="B1727" s="507" t="s">
        <v>5040</v>
      </c>
      <c r="C1727" s="506" t="s">
        <v>32</v>
      </c>
      <c r="D1727" s="508">
        <v>44349</v>
      </c>
      <c r="E1727" s="507" t="s">
        <v>6108</v>
      </c>
    </row>
    <row r="1728" spans="1:5" ht="15" x14ac:dyDescent="0.3">
      <c r="A1728" s="506">
        <v>9968</v>
      </c>
      <c r="B1728" s="507" t="s">
        <v>5041</v>
      </c>
      <c r="C1728" s="506" t="s">
        <v>32</v>
      </c>
      <c r="D1728" s="508">
        <v>79360</v>
      </c>
      <c r="E1728" s="507" t="s">
        <v>6108</v>
      </c>
    </row>
    <row r="1729" spans="1:5" ht="15" x14ac:dyDescent="0.3">
      <c r="A1729" s="506">
        <v>9972</v>
      </c>
      <c r="B1729" s="507" t="s">
        <v>5042</v>
      </c>
      <c r="C1729" s="506" t="s">
        <v>328</v>
      </c>
      <c r="D1729" s="508">
        <v>4284</v>
      </c>
      <c r="E1729" s="507" t="s">
        <v>6108</v>
      </c>
    </row>
    <row r="1730" spans="1:5" ht="15" x14ac:dyDescent="0.3">
      <c r="A1730" s="506">
        <v>9975</v>
      </c>
      <c r="B1730" s="507" t="s">
        <v>5043</v>
      </c>
      <c r="C1730" s="506" t="s">
        <v>32</v>
      </c>
      <c r="D1730" s="508">
        <v>20468</v>
      </c>
      <c r="E1730" s="507" t="s">
        <v>331</v>
      </c>
    </row>
    <row r="1731" spans="1:5" ht="15" x14ac:dyDescent="0.3">
      <c r="A1731" s="506">
        <v>9976</v>
      </c>
      <c r="B1731" s="507" t="s">
        <v>5044</v>
      </c>
      <c r="C1731" s="506" t="s">
        <v>32</v>
      </c>
      <c r="D1731" s="508">
        <v>1829</v>
      </c>
      <c r="E1731" s="507" t="s">
        <v>331</v>
      </c>
    </row>
    <row r="1732" spans="1:5" ht="15" x14ac:dyDescent="0.3">
      <c r="A1732" s="506">
        <v>9977</v>
      </c>
      <c r="B1732" s="507" t="s">
        <v>5045</v>
      </c>
      <c r="C1732" s="506" t="s">
        <v>32</v>
      </c>
      <c r="D1732" s="508">
        <v>79879</v>
      </c>
      <c r="E1732" s="507" t="s">
        <v>6108</v>
      </c>
    </row>
    <row r="1733" spans="1:5" ht="15" x14ac:dyDescent="0.3">
      <c r="A1733" s="506">
        <v>9978</v>
      </c>
      <c r="B1733" s="507" t="s">
        <v>5046</v>
      </c>
      <c r="C1733" s="506" t="s">
        <v>32</v>
      </c>
      <c r="D1733" s="508">
        <v>49743000</v>
      </c>
      <c r="E1733" s="507" t="s">
        <v>6108</v>
      </c>
    </row>
    <row r="1734" spans="1:5" ht="15" x14ac:dyDescent="0.3">
      <c r="A1734" s="506">
        <v>9980</v>
      </c>
      <c r="B1734" s="507" t="s">
        <v>5047</v>
      </c>
      <c r="C1734" s="506" t="s">
        <v>32</v>
      </c>
      <c r="D1734" s="508">
        <v>350</v>
      </c>
      <c r="E1734" s="507" t="s">
        <v>6108</v>
      </c>
    </row>
    <row r="1735" spans="1:5" ht="15" x14ac:dyDescent="0.3">
      <c r="A1735" s="506">
        <v>9981</v>
      </c>
      <c r="B1735" s="507" t="s">
        <v>5048</v>
      </c>
      <c r="C1735" s="506" t="s">
        <v>32</v>
      </c>
      <c r="D1735" s="508">
        <v>79900</v>
      </c>
      <c r="E1735" s="507" t="s">
        <v>6108</v>
      </c>
    </row>
    <row r="1736" spans="1:5" ht="15" x14ac:dyDescent="0.3">
      <c r="A1736" s="506">
        <v>9982</v>
      </c>
      <c r="B1736" s="507" t="s">
        <v>5049</v>
      </c>
      <c r="C1736" s="506" t="s">
        <v>32</v>
      </c>
      <c r="D1736" s="508">
        <v>4601</v>
      </c>
      <c r="E1736" s="507" t="s">
        <v>6108</v>
      </c>
    </row>
    <row r="1737" spans="1:5" ht="15" x14ac:dyDescent="0.3">
      <c r="A1737" s="506">
        <v>9984</v>
      </c>
      <c r="B1737" s="507" t="s">
        <v>5050</v>
      </c>
      <c r="C1737" s="506" t="s">
        <v>328</v>
      </c>
      <c r="D1737" s="508">
        <v>41761</v>
      </c>
      <c r="E1737" s="507" t="s">
        <v>6108</v>
      </c>
    </row>
    <row r="1738" spans="1:5" ht="15" x14ac:dyDescent="0.3">
      <c r="A1738" s="506">
        <v>9985</v>
      </c>
      <c r="B1738" s="507" t="s">
        <v>5051</v>
      </c>
      <c r="C1738" s="506" t="s">
        <v>32</v>
      </c>
      <c r="D1738" s="508">
        <v>70765</v>
      </c>
      <c r="E1738" s="507" t="s">
        <v>6108</v>
      </c>
    </row>
    <row r="1739" spans="1:5" ht="15" x14ac:dyDescent="0.3">
      <c r="A1739" s="506">
        <v>9986</v>
      </c>
      <c r="B1739" s="507" t="s">
        <v>5052</v>
      </c>
      <c r="C1739" s="506" t="s">
        <v>32</v>
      </c>
      <c r="D1739" s="508">
        <v>93902</v>
      </c>
      <c r="E1739" s="507" t="s">
        <v>6108</v>
      </c>
    </row>
    <row r="1740" spans="1:5" ht="15" x14ac:dyDescent="0.3">
      <c r="A1740" s="506">
        <v>9987</v>
      </c>
      <c r="B1740" s="507" t="s">
        <v>5053</v>
      </c>
      <c r="C1740" s="506" t="s">
        <v>670</v>
      </c>
      <c r="D1740" s="508">
        <v>5117</v>
      </c>
      <c r="E1740" s="507" t="s">
        <v>331</v>
      </c>
    </row>
    <row r="1741" spans="1:5" ht="15" x14ac:dyDescent="0.3">
      <c r="A1741" s="506">
        <v>9988</v>
      </c>
      <c r="B1741" s="507" t="s">
        <v>5054</v>
      </c>
      <c r="C1741" s="506" t="s">
        <v>32</v>
      </c>
      <c r="D1741" s="508">
        <v>1657097</v>
      </c>
      <c r="E1741" s="507" t="s">
        <v>6108</v>
      </c>
    </row>
    <row r="1742" spans="1:5" ht="15" x14ac:dyDescent="0.3">
      <c r="A1742" s="506">
        <v>9989</v>
      </c>
      <c r="B1742" s="507" t="s">
        <v>5055</v>
      </c>
      <c r="C1742" s="506" t="s">
        <v>32</v>
      </c>
      <c r="D1742" s="508">
        <v>23920</v>
      </c>
      <c r="E1742" s="507" t="s">
        <v>6108</v>
      </c>
    </row>
    <row r="1743" spans="1:5" ht="15" x14ac:dyDescent="0.3">
      <c r="A1743" s="506">
        <v>9990</v>
      </c>
      <c r="B1743" s="507" t="s">
        <v>5056</v>
      </c>
      <c r="C1743" s="506" t="s">
        <v>32</v>
      </c>
      <c r="D1743" s="508">
        <v>36455</v>
      </c>
      <c r="E1743" s="507" t="s">
        <v>6108</v>
      </c>
    </row>
    <row r="1744" spans="1:5" ht="15" x14ac:dyDescent="0.3">
      <c r="A1744" s="506">
        <v>9991</v>
      </c>
      <c r="B1744" s="507" t="s">
        <v>5057</v>
      </c>
      <c r="C1744" s="506" t="s">
        <v>32</v>
      </c>
      <c r="D1744" s="508">
        <v>387940</v>
      </c>
      <c r="E1744" s="507" t="s">
        <v>6108</v>
      </c>
    </row>
    <row r="1745" spans="1:5" ht="15" x14ac:dyDescent="0.3">
      <c r="A1745" s="506">
        <v>9992</v>
      </c>
      <c r="B1745" s="507" t="s">
        <v>6338</v>
      </c>
      <c r="C1745" s="506" t="s">
        <v>328</v>
      </c>
      <c r="D1745" s="508">
        <v>104273</v>
      </c>
      <c r="E1745" s="507" t="s">
        <v>6108</v>
      </c>
    </row>
    <row r="1746" spans="1:5" ht="15" x14ac:dyDescent="0.3">
      <c r="A1746" s="506">
        <v>9994</v>
      </c>
      <c r="B1746" s="507" t="s">
        <v>5058</v>
      </c>
      <c r="C1746" s="506" t="s">
        <v>670</v>
      </c>
      <c r="D1746" s="508">
        <v>20617</v>
      </c>
      <c r="E1746" s="507" t="s">
        <v>6108</v>
      </c>
    </row>
    <row r="1747" spans="1:5" ht="15" x14ac:dyDescent="0.3">
      <c r="A1747" s="506">
        <v>9995</v>
      </c>
      <c r="B1747" s="507" t="s">
        <v>5059</v>
      </c>
      <c r="C1747" s="506" t="s">
        <v>979</v>
      </c>
      <c r="D1747" s="508">
        <v>91048</v>
      </c>
      <c r="E1747" s="507" t="s">
        <v>6108</v>
      </c>
    </row>
    <row r="1748" spans="1:5" ht="15" x14ac:dyDescent="0.3">
      <c r="A1748" s="506">
        <v>9997</v>
      </c>
      <c r="B1748" s="507" t="s">
        <v>5060</v>
      </c>
      <c r="C1748" s="506" t="s">
        <v>328</v>
      </c>
      <c r="D1748" s="508">
        <v>17462</v>
      </c>
      <c r="E1748" s="507" t="s">
        <v>6108</v>
      </c>
    </row>
    <row r="1749" spans="1:5" ht="15" x14ac:dyDescent="0.3">
      <c r="A1749" s="506">
        <v>9999</v>
      </c>
      <c r="B1749" s="507" t="s">
        <v>5061</v>
      </c>
      <c r="C1749" s="506" t="s">
        <v>328</v>
      </c>
      <c r="D1749" s="508">
        <v>19474</v>
      </c>
      <c r="E1749" s="507" t="s">
        <v>6108</v>
      </c>
    </row>
    <row r="1750" spans="1:5" ht="15" x14ac:dyDescent="0.3">
      <c r="A1750" s="506">
        <v>10000</v>
      </c>
      <c r="B1750" s="507" t="s">
        <v>5062</v>
      </c>
      <c r="C1750" s="506" t="s">
        <v>328</v>
      </c>
      <c r="D1750" s="508">
        <v>330498</v>
      </c>
      <c r="E1750" s="507" t="s">
        <v>6108</v>
      </c>
    </row>
    <row r="1751" spans="1:5" ht="15" x14ac:dyDescent="0.3">
      <c r="A1751" s="506">
        <v>10009</v>
      </c>
      <c r="B1751" s="507" t="s">
        <v>5063</v>
      </c>
      <c r="C1751" s="506" t="s">
        <v>21</v>
      </c>
      <c r="D1751" s="508">
        <v>40822</v>
      </c>
      <c r="E1751" s="507" t="s">
        <v>6108</v>
      </c>
    </row>
    <row r="1752" spans="1:5" ht="15" x14ac:dyDescent="0.3">
      <c r="A1752" s="506">
        <v>10010</v>
      </c>
      <c r="B1752" s="507" t="s">
        <v>5064</v>
      </c>
      <c r="C1752" s="506" t="s">
        <v>328</v>
      </c>
      <c r="D1752" s="508">
        <v>7107</v>
      </c>
      <c r="E1752" s="507" t="s">
        <v>6108</v>
      </c>
    </row>
    <row r="1753" spans="1:5" ht="15" x14ac:dyDescent="0.3">
      <c r="A1753" s="506">
        <v>10011</v>
      </c>
      <c r="B1753" s="507" t="s">
        <v>5065</v>
      </c>
      <c r="C1753" s="506" t="s">
        <v>328</v>
      </c>
      <c r="D1753" s="508">
        <v>1693</v>
      </c>
      <c r="E1753" s="507" t="s">
        <v>6108</v>
      </c>
    </row>
    <row r="1754" spans="1:5" ht="15" x14ac:dyDescent="0.3">
      <c r="A1754" s="506">
        <v>10012</v>
      </c>
      <c r="B1754" s="507" t="s">
        <v>5066</v>
      </c>
      <c r="C1754" s="506" t="s">
        <v>21</v>
      </c>
      <c r="D1754" s="508">
        <v>26586</v>
      </c>
      <c r="E1754" s="507" t="s">
        <v>6108</v>
      </c>
    </row>
    <row r="1755" spans="1:5" ht="15" x14ac:dyDescent="0.3">
      <c r="A1755" s="506">
        <v>10013</v>
      </c>
      <c r="B1755" s="507" t="s">
        <v>5067</v>
      </c>
      <c r="C1755" s="506" t="s">
        <v>32</v>
      </c>
      <c r="D1755" s="508">
        <v>52360</v>
      </c>
      <c r="E1755" s="507" t="s">
        <v>6108</v>
      </c>
    </row>
    <row r="1756" spans="1:5" ht="15" x14ac:dyDescent="0.3">
      <c r="A1756" s="506">
        <v>10014</v>
      </c>
      <c r="B1756" s="507" t="s">
        <v>6339</v>
      </c>
      <c r="C1756" s="506" t="s">
        <v>32</v>
      </c>
      <c r="D1756" s="508">
        <v>59500</v>
      </c>
      <c r="E1756" s="507" t="s">
        <v>6108</v>
      </c>
    </row>
    <row r="1757" spans="1:5" ht="15" x14ac:dyDescent="0.3">
      <c r="A1757" s="506">
        <v>10015</v>
      </c>
      <c r="B1757" s="507" t="s">
        <v>5068</v>
      </c>
      <c r="C1757" s="506" t="s">
        <v>32</v>
      </c>
      <c r="D1757" s="508">
        <v>82467</v>
      </c>
      <c r="E1757" s="507" t="s">
        <v>6108</v>
      </c>
    </row>
    <row r="1758" spans="1:5" ht="15" x14ac:dyDescent="0.3">
      <c r="A1758" s="506">
        <v>10016</v>
      </c>
      <c r="B1758" s="507" t="s">
        <v>5069</v>
      </c>
      <c r="C1758" s="506" t="s">
        <v>32</v>
      </c>
      <c r="D1758" s="508">
        <v>226100</v>
      </c>
      <c r="E1758" s="507" t="s">
        <v>6108</v>
      </c>
    </row>
    <row r="1759" spans="1:5" ht="15" x14ac:dyDescent="0.3">
      <c r="A1759" s="506">
        <v>10017</v>
      </c>
      <c r="B1759" s="507" t="s">
        <v>6340</v>
      </c>
      <c r="C1759" s="506" t="s">
        <v>32</v>
      </c>
      <c r="D1759" s="508">
        <v>101150</v>
      </c>
      <c r="E1759" s="507" t="s">
        <v>6108</v>
      </c>
    </row>
    <row r="1760" spans="1:5" ht="15" x14ac:dyDescent="0.3">
      <c r="A1760" s="506">
        <v>10018</v>
      </c>
      <c r="B1760" s="507" t="s">
        <v>6341</v>
      </c>
      <c r="C1760" s="506" t="s">
        <v>32</v>
      </c>
      <c r="D1760" s="508">
        <v>236215</v>
      </c>
      <c r="E1760" s="507" t="s">
        <v>6108</v>
      </c>
    </row>
    <row r="1761" spans="1:5" ht="15" x14ac:dyDescent="0.3">
      <c r="A1761" s="506">
        <v>10019</v>
      </c>
      <c r="B1761" s="507" t="s">
        <v>5070</v>
      </c>
      <c r="C1761" s="506" t="s">
        <v>32</v>
      </c>
      <c r="D1761" s="508">
        <v>69020</v>
      </c>
      <c r="E1761" s="507" t="s">
        <v>6108</v>
      </c>
    </row>
    <row r="1762" spans="1:5" ht="15" x14ac:dyDescent="0.3">
      <c r="A1762" s="506">
        <v>10020</v>
      </c>
      <c r="B1762" s="507" t="s">
        <v>5071</v>
      </c>
      <c r="C1762" s="506" t="s">
        <v>32</v>
      </c>
      <c r="D1762" s="508">
        <v>54383</v>
      </c>
      <c r="E1762" s="507" t="s">
        <v>6108</v>
      </c>
    </row>
    <row r="1763" spans="1:5" ht="15" x14ac:dyDescent="0.3">
      <c r="A1763" s="506">
        <v>10021</v>
      </c>
      <c r="B1763" s="507" t="s">
        <v>5072</v>
      </c>
      <c r="C1763" s="506" t="s">
        <v>32</v>
      </c>
      <c r="D1763" s="508">
        <v>199049</v>
      </c>
      <c r="E1763" s="507" t="s">
        <v>6108</v>
      </c>
    </row>
    <row r="1764" spans="1:5" ht="15" x14ac:dyDescent="0.3">
      <c r="A1764" s="506">
        <v>10022</v>
      </c>
      <c r="B1764" s="507" t="s">
        <v>6342</v>
      </c>
      <c r="C1764" s="506" t="s">
        <v>32</v>
      </c>
      <c r="D1764" s="508">
        <v>741370</v>
      </c>
      <c r="E1764" s="507" t="s">
        <v>6108</v>
      </c>
    </row>
    <row r="1765" spans="1:5" ht="15" x14ac:dyDescent="0.3">
      <c r="A1765" s="506">
        <v>10023</v>
      </c>
      <c r="B1765" s="507" t="s">
        <v>6343</v>
      </c>
      <c r="C1765" s="506" t="s">
        <v>32</v>
      </c>
      <c r="D1765" s="508">
        <v>23205</v>
      </c>
      <c r="E1765" s="507" t="s">
        <v>6108</v>
      </c>
    </row>
    <row r="1766" spans="1:5" ht="15" x14ac:dyDescent="0.3">
      <c r="A1766" s="506">
        <v>10024</v>
      </c>
      <c r="B1766" s="507" t="s">
        <v>5073</v>
      </c>
      <c r="C1766" s="506" t="s">
        <v>32</v>
      </c>
      <c r="D1766" s="508">
        <v>263228</v>
      </c>
      <c r="E1766" s="507" t="s">
        <v>6108</v>
      </c>
    </row>
    <row r="1767" spans="1:5" ht="15" x14ac:dyDescent="0.3">
      <c r="A1767" s="506">
        <v>10025</v>
      </c>
      <c r="B1767" s="507" t="s">
        <v>5074</v>
      </c>
      <c r="C1767" s="506" t="s">
        <v>32</v>
      </c>
      <c r="D1767" s="508">
        <v>331653</v>
      </c>
      <c r="E1767" s="507" t="s">
        <v>6108</v>
      </c>
    </row>
    <row r="1768" spans="1:5" ht="15" x14ac:dyDescent="0.3">
      <c r="A1768" s="506">
        <v>10026</v>
      </c>
      <c r="B1768" s="507" t="s">
        <v>5075</v>
      </c>
      <c r="C1768" s="506" t="s">
        <v>32</v>
      </c>
      <c r="D1768" s="508">
        <v>392700</v>
      </c>
      <c r="E1768" s="507" t="s">
        <v>6108</v>
      </c>
    </row>
    <row r="1769" spans="1:5" ht="15" x14ac:dyDescent="0.3">
      <c r="A1769" s="506">
        <v>10027</v>
      </c>
      <c r="B1769" s="507" t="s">
        <v>5076</v>
      </c>
      <c r="C1769" s="506" t="s">
        <v>32</v>
      </c>
      <c r="D1769" s="508">
        <v>474929</v>
      </c>
      <c r="E1769" s="507" t="s">
        <v>6108</v>
      </c>
    </row>
    <row r="1770" spans="1:5" ht="15" x14ac:dyDescent="0.3">
      <c r="A1770" s="506">
        <v>10028</v>
      </c>
      <c r="B1770" s="507" t="s">
        <v>5077</v>
      </c>
      <c r="C1770" s="506" t="s">
        <v>32</v>
      </c>
      <c r="D1770" s="508">
        <v>280364</v>
      </c>
      <c r="E1770" s="507" t="s">
        <v>6108</v>
      </c>
    </row>
    <row r="1771" spans="1:5" ht="15" x14ac:dyDescent="0.3">
      <c r="A1771" s="506">
        <v>10032</v>
      </c>
      <c r="B1771" s="507" t="s">
        <v>5078</v>
      </c>
      <c r="C1771" s="506" t="s">
        <v>32</v>
      </c>
      <c r="D1771" s="508">
        <v>28577850</v>
      </c>
      <c r="E1771" s="507" t="s">
        <v>6108</v>
      </c>
    </row>
    <row r="1772" spans="1:5" ht="15" x14ac:dyDescent="0.3">
      <c r="A1772" s="506">
        <v>10035</v>
      </c>
      <c r="B1772" s="507" t="s">
        <v>5079</v>
      </c>
      <c r="C1772" s="506" t="s">
        <v>32</v>
      </c>
      <c r="D1772" s="508">
        <v>5421</v>
      </c>
      <c r="E1772" s="507" t="s">
        <v>331</v>
      </c>
    </row>
    <row r="1773" spans="1:5" ht="15" x14ac:dyDescent="0.3">
      <c r="A1773" s="506">
        <v>10066</v>
      </c>
      <c r="B1773" s="507" t="s">
        <v>6344</v>
      </c>
      <c r="C1773" s="506" t="s">
        <v>32</v>
      </c>
      <c r="D1773" s="508">
        <v>192780</v>
      </c>
      <c r="E1773" s="507" t="s">
        <v>6108</v>
      </c>
    </row>
    <row r="1774" spans="1:5" ht="15" x14ac:dyDescent="0.3">
      <c r="A1774" s="506">
        <v>10072</v>
      </c>
      <c r="B1774" s="507" t="s">
        <v>5080</v>
      </c>
      <c r="C1774" s="506" t="s">
        <v>32</v>
      </c>
      <c r="D1774" s="508">
        <v>25233</v>
      </c>
      <c r="E1774" s="507" t="s">
        <v>6108</v>
      </c>
    </row>
    <row r="1775" spans="1:5" ht="15" x14ac:dyDescent="0.3">
      <c r="A1775" s="506">
        <v>10079</v>
      </c>
      <c r="B1775" s="507" t="s">
        <v>5081</v>
      </c>
      <c r="C1775" s="506" t="s">
        <v>32</v>
      </c>
      <c r="D1775" s="508">
        <v>157900</v>
      </c>
      <c r="E1775" s="507" t="s">
        <v>6108</v>
      </c>
    </row>
    <row r="1776" spans="1:5" ht="15" x14ac:dyDescent="0.3">
      <c r="A1776" s="506">
        <v>10085</v>
      </c>
      <c r="B1776" s="507" t="s">
        <v>5082</v>
      </c>
      <c r="C1776" s="506" t="s">
        <v>32</v>
      </c>
      <c r="D1776" s="508">
        <v>155463</v>
      </c>
      <c r="E1776" s="507" t="s">
        <v>6108</v>
      </c>
    </row>
    <row r="1777" spans="1:5" ht="15" x14ac:dyDescent="0.3">
      <c r="A1777" s="506">
        <v>10089</v>
      </c>
      <c r="B1777" s="507" t="s">
        <v>5083</v>
      </c>
      <c r="C1777" s="506" t="s">
        <v>670</v>
      </c>
      <c r="D1777" s="508">
        <v>6069</v>
      </c>
      <c r="E1777" s="507" t="s">
        <v>331</v>
      </c>
    </row>
    <row r="1778" spans="1:5" ht="15" x14ac:dyDescent="0.3">
      <c r="A1778" s="506">
        <v>10090</v>
      </c>
      <c r="B1778" s="507" t="s">
        <v>5084</v>
      </c>
      <c r="C1778" s="506" t="s">
        <v>670</v>
      </c>
      <c r="D1778" s="508">
        <v>6069</v>
      </c>
      <c r="E1778" s="507" t="s">
        <v>331</v>
      </c>
    </row>
    <row r="1779" spans="1:5" ht="15" x14ac:dyDescent="0.3">
      <c r="A1779" s="506">
        <v>10094</v>
      </c>
      <c r="B1779" s="507" t="s">
        <v>5085</v>
      </c>
      <c r="C1779" s="506" t="s">
        <v>32</v>
      </c>
      <c r="D1779" s="508">
        <v>3808</v>
      </c>
      <c r="E1779" s="507" t="s">
        <v>6108</v>
      </c>
    </row>
    <row r="1780" spans="1:5" ht="15" x14ac:dyDescent="0.3">
      <c r="A1780" s="506">
        <v>10096</v>
      </c>
      <c r="B1780" s="507" t="s">
        <v>5086</v>
      </c>
      <c r="C1780" s="506" t="s">
        <v>32</v>
      </c>
      <c r="D1780" s="508">
        <v>155463</v>
      </c>
      <c r="E1780" s="507" t="s">
        <v>6108</v>
      </c>
    </row>
    <row r="1781" spans="1:5" ht="15" x14ac:dyDescent="0.3">
      <c r="A1781" s="506">
        <v>10101</v>
      </c>
      <c r="B1781" s="507" t="s">
        <v>5087</v>
      </c>
      <c r="C1781" s="506" t="s">
        <v>32</v>
      </c>
      <c r="D1781" s="508">
        <v>1514</v>
      </c>
      <c r="E1781" s="507" t="s">
        <v>331</v>
      </c>
    </row>
    <row r="1782" spans="1:5" ht="15" x14ac:dyDescent="0.3">
      <c r="A1782" s="506">
        <v>10136</v>
      </c>
      <c r="B1782" s="507" t="s">
        <v>5088</v>
      </c>
      <c r="C1782" s="506" t="s">
        <v>32</v>
      </c>
      <c r="D1782" s="508">
        <v>22318</v>
      </c>
      <c r="E1782" s="507" t="s">
        <v>331</v>
      </c>
    </row>
    <row r="1783" spans="1:5" ht="15" x14ac:dyDescent="0.3">
      <c r="A1783" s="506">
        <v>10145</v>
      </c>
      <c r="B1783" s="507" t="s">
        <v>6345</v>
      </c>
      <c r="C1783" s="506" t="s">
        <v>32</v>
      </c>
      <c r="D1783" s="508">
        <v>449820</v>
      </c>
      <c r="E1783" s="507" t="s">
        <v>6108</v>
      </c>
    </row>
    <row r="1784" spans="1:5" ht="15" x14ac:dyDescent="0.3">
      <c r="A1784" s="506">
        <v>10147</v>
      </c>
      <c r="B1784" s="507" t="s">
        <v>5089</v>
      </c>
      <c r="C1784" s="506" t="s">
        <v>32</v>
      </c>
      <c r="D1784" s="508">
        <v>2409</v>
      </c>
      <c r="E1784" s="507" t="s">
        <v>331</v>
      </c>
    </row>
    <row r="1785" spans="1:5" ht="15" x14ac:dyDescent="0.3">
      <c r="A1785" s="506">
        <v>10154</v>
      </c>
      <c r="B1785" s="507" t="s">
        <v>5090</v>
      </c>
      <c r="C1785" s="506" t="s">
        <v>32</v>
      </c>
      <c r="D1785" s="508">
        <v>1535113</v>
      </c>
      <c r="E1785" s="507" t="s">
        <v>6108</v>
      </c>
    </row>
    <row r="1786" spans="1:5" ht="15" x14ac:dyDescent="0.3">
      <c r="A1786" s="506">
        <v>10158</v>
      </c>
      <c r="B1786" s="507" t="s">
        <v>6346</v>
      </c>
      <c r="C1786" s="506" t="s">
        <v>32</v>
      </c>
      <c r="D1786" s="508">
        <v>708734</v>
      </c>
      <c r="E1786" s="507" t="s">
        <v>6108</v>
      </c>
    </row>
    <row r="1787" spans="1:5" ht="15" x14ac:dyDescent="0.3">
      <c r="A1787" s="506">
        <v>10163</v>
      </c>
      <c r="B1787" s="507" t="s">
        <v>5091</v>
      </c>
      <c r="C1787" s="506" t="s">
        <v>32</v>
      </c>
      <c r="D1787" s="508">
        <v>336665</v>
      </c>
      <c r="E1787" s="507" t="s">
        <v>6108</v>
      </c>
    </row>
    <row r="1788" spans="1:5" ht="15" x14ac:dyDescent="0.3">
      <c r="A1788" s="506">
        <v>10167</v>
      </c>
      <c r="B1788" s="507" t="s">
        <v>5092</v>
      </c>
      <c r="C1788" s="506" t="s">
        <v>32</v>
      </c>
      <c r="D1788" s="508">
        <v>62668</v>
      </c>
      <c r="E1788" s="507" t="s">
        <v>6108</v>
      </c>
    </row>
    <row r="1789" spans="1:5" ht="15" x14ac:dyDescent="0.3">
      <c r="A1789" s="506">
        <v>10181</v>
      </c>
      <c r="B1789" s="507" t="s">
        <v>5093</v>
      </c>
      <c r="C1789" s="506" t="s">
        <v>32</v>
      </c>
      <c r="D1789" s="508">
        <v>1570</v>
      </c>
      <c r="E1789" s="507" t="s">
        <v>331</v>
      </c>
    </row>
    <row r="1790" spans="1:5" ht="15" x14ac:dyDescent="0.3">
      <c r="A1790" s="506">
        <v>10211</v>
      </c>
      <c r="B1790" s="507" t="s">
        <v>5094</v>
      </c>
      <c r="C1790" s="506" t="s">
        <v>32</v>
      </c>
      <c r="D1790" s="508">
        <v>146044</v>
      </c>
      <c r="E1790" s="507" t="s">
        <v>6108</v>
      </c>
    </row>
    <row r="1791" spans="1:5" ht="15" x14ac:dyDescent="0.3">
      <c r="A1791" s="506">
        <v>10212</v>
      </c>
      <c r="B1791" s="507" t="s">
        <v>5095</v>
      </c>
      <c r="C1791" s="506" t="s">
        <v>32</v>
      </c>
      <c r="D1791" s="508">
        <v>152681</v>
      </c>
      <c r="E1791" s="507" t="s">
        <v>6108</v>
      </c>
    </row>
    <row r="1792" spans="1:5" ht="15" x14ac:dyDescent="0.3">
      <c r="A1792" s="506">
        <v>10251</v>
      </c>
      <c r="B1792" s="507" t="s">
        <v>5096</v>
      </c>
      <c r="C1792" s="506" t="s">
        <v>32</v>
      </c>
      <c r="D1792" s="508">
        <v>2111</v>
      </c>
      <c r="E1792" s="507" t="s">
        <v>331</v>
      </c>
    </row>
    <row r="1793" spans="1:5" ht="15" x14ac:dyDescent="0.3">
      <c r="A1793" s="506">
        <v>10262</v>
      </c>
      <c r="B1793" s="507" t="s">
        <v>6347</v>
      </c>
      <c r="C1793" s="506" t="s">
        <v>32</v>
      </c>
      <c r="D1793" s="508">
        <v>251090</v>
      </c>
      <c r="E1793" s="507" t="s">
        <v>6108</v>
      </c>
    </row>
    <row r="1794" spans="1:5" ht="15" x14ac:dyDescent="0.3">
      <c r="A1794" s="506">
        <v>10282</v>
      </c>
      <c r="B1794" s="507" t="s">
        <v>5097</v>
      </c>
      <c r="C1794" s="506" t="s">
        <v>3579</v>
      </c>
      <c r="D1794" s="508">
        <v>11328</v>
      </c>
      <c r="E1794" s="507" t="s">
        <v>6108</v>
      </c>
    </row>
    <row r="1795" spans="1:5" ht="15" x14ac:dyDescent="0.3">
      <c r="A1795" s="506">
        <v>10283</v>
      </c>
      <c r="B1795" s="507" t="s">
        <v>5098</v>
      </c>
      <c r="C1795" s="506" t="s">
        <v>328</v>
      </c>
      <c r="D1795" s="508">
        <v>138</v>
      </c>
      <c r="E1795" s="507" t="s">
        <v>6108</v>
      </c>
    </row>
    <row r="1796" spans="1:5" ht="15" x14ac:dyDescent="0.3">
      <c r="A1796" s="506">
        <v>10288</v>
      </c>
      <c r="B1796" s="507" t="s">
        <v>5099</v>
      </c>
      <c r="C1796" s="506" t="s">
        <v>32</v>
      </c>
      <c r="D1796" s="508">
        <v>240986</v>
      </c>
      <c r="E1796" s="507" t="s">
        <v>6108</v>
      </c>
    </row>
    <row r="1797" spans="1:5" ht="15" x14ac:dyDescent="0.3">
      <c r="A1797" s="506">
        <v>10299</v>
      </c>
      <c r="B1797" s="507" t="s">
        <v>5100</v>
      </c>
      <c r="C1797" s="506" t="s">
        <v>328</v>
      </c>
      <c r="D1797" s="508">
        <v>5059</v>
      </c>
      <c r="E1797" s="507" t="s">
        <v>331</v>
      </c>
    </row>
    <row r="1798" spans="1:5" ht="15" x14ac:dyDescent="0.3">
      <c r="A1798" s="506">
        <v>10348</v>
      </c>
      <c r="B1798" s="507" t="s">
        <v>6348</v>
      </c>
      <c r="C1798" s="506" t="s">
        <v>32</v>
      </c>
      <c r="D1798" s="508">
        <v>153612</v>
      </c>
      <c r="E1798" s="507" t="s">
        <v>6108</v>
      </c>
    </row>
    <row r="1799" spans="1:5" ht="15" x14ac:dyDescent="0.3">
      <c r="A1799" s="506">
        <v>10355</v>
      </c>
      <c r="B1799" s="507" t="s">
        <v>5101</v>
      </c>
      <c r="C1799" s="506" t="s">
        <v>32</v>
      </c>
      <c r="D1799" s="508">
        <v>1200</v>
      </c>
      <c r="E1799" s="507" t="s">
        <v>331</v>
      </c>
    </row>
    <row r="1800" spans="1:5" ht="15" x14ac:dyDescent="0.3">
      <c r="A1800" s="506">
        <v>10357</v>
      </c>
      <c r="B1800" s="507" t="s">
        <v>5102</v>
      </c>
      <c r="C1800" s="506" t="s">
        <v>21</v>
      </c>
      <c r="D1800" s="508">
        <v>100000</v>
      </c>
      <c r="E1800" s="507" t="s">
        <v>6108</v>
      </c>
    </row>
    <row r="1801" spans="1:5" ht="15" x14ac:dyDescent="0.3">
      <c r="A1801" s="506">
        <v>10359</v>
      </c>
      <c r="B1801" s="507" t="s">
        <v>5103</v>
      </c>
      <c r="C1801" s="506" t="s">
        <v>32</v>
      </c>
      <c r="D1801" s="508">
        <v>34500</v>
      </c>
      <c r="E1801" s="507" t="s">
        <v>331</v>
      </c>
    </row>
    <row r="1802" spans="1:5" ht="15" x14ac:dyDescent="0.3">
      <c r="A1802" s="506">
        <v>10375</v>
      </c>
      <c r="B1802" s="507" t="s">
        <v>5104</v>
      </c>
      <c r="C1802" s="506" t="s">
        <v>32</v>
      </c>
      <c r="D1802" s="508">
        <v>239099</v>
      </c>
      <c r="E1802" s="507" t="s">
        <v>6108</v>
      </c>
    </row>
    <row r="1803" spans="1:5" ht="15" x14ac:dyDescent="0.3">
      <c r="A1803" s="506">
        <v>10381</v>
      </c>
      <c r="B1803" s="507" t="s">
        <v>5105</v>
      </c>
      <c r="C1803" s="506" t="s">
        <v>32</v>
      </c>
      <c r="D1803" s="508">
        <v>504764</v>
      </c>
      <c r="E1803" s="507" t="s">
        <v>6108</v>
      </c>
    </row>
    <row r="1804" spans="1:5" ht="15" x14ac:dyDescent="0.3">
      <c r="A1804" s="506">
        <v>10401</v>
      </c>
      <c r="B1804" s="507" t="s">
        <v>5106</v>
      </c>
      <c r="C1804" s="506" t="s">
        <v>32</v>
      </c>
      <c r="D1804" s="508">
        <v>2705</v>
      </c>
      <c r="E1804" s="507" t="s">
        <v>6108</v>
      </c>
    </row>
    <row r="1805" spans="1:5" ht="15" x14ac:dyDescent="0.3">
      <c r="A1805" s="506">
        <v>10421</v>
      </c>
      <c r="B1805" s="507" t="s">
        <v>5107</v>
      </c>
      <c r="C1805" s="506" t="s">
        <v>21</v>
      </c>
      <c r="D1805" s="508">
        <v>55297</v>
      </c>
      <c r="E1805" s="507" t="s">
        <v>6108</v>
      </c>
    </row>
    <row r="1806" spans="1:5" ht="15" x14ac:dyDescent="0.3">
      <c r="A1806" s="506">
        <v>10441</v>
      </c>
      <c r="B1806" s="507" t="s">
        <v>5108</v>
      </c>
      <c r="C1806" s="506" t="s">
        <v>328</v>
      </c>
      <c r="D1806" s="508">
        <v>4736</v>
      </c>
      <c r="E1806" s="507" t="s">
        <v>6108</v>
      </c>
    </row>
    <row r="1807" spans="1:5" ht="15" x14ac:dyDescent="0.3">
      <c r="A1807" s="506">
        <v>10442</v>
      </c>
      <c r="B1807" s="507" t="s">
        <v>5109</v>
      </c>
      <c r="C1807" s="506" t="s">
        <v>328</v>
      </c>
      <c r="D1807" s="508">
        <v>6527</v>
      </c>
      <c r="E1807" s="507" t="s">
        <v>6108</v>
      </c>
    </row>
    <row r="1808" spans="1:5" ht="15" x14ac:dyDescent="0.3">
      <c r="A1808" s="506">
        <v>10506</v>
      </c>
      <c r="B1808" s="507" t="s">
        <v>5110</v>
      </c>
      <c r="C1808" s="506" t="s">
        <v>32</v>
      </c>
      <c r="D1808" s="508">
        <v>120018</v>
      </c>
      <c r="E1808" s="507" t="s">
        <v>6108</v>
      </c>
    </row>
    <row r="1809" spans="1:5" ht="15" x14ac:dyDescent="0.3">
      <c r="A1809" s="506">
        <v>10510</v>
      </c>
      <c r="B1809" s="507" t="s">
        <v>5111</v>
      </c>
      <c r="C1809" s="506" t="s">
        <v>32</v>
      </c>
      <c r="D1809" s="508">
        <v>331882</v>
      </c>
      <c r="E1809" s="507" t="s">
        <v>6108</v>
      </c>
    </row>
    <row r="1810" spans="1:5" ht="15" x14ac:dyDescent="0.3">
      <c r="A1810" s="506">
        <v>10511</v>
      </c>
      <c r="B1810" s="507" t="s">
        <v>5112</v>
      </c>
      <c r="C1810" s="506" t="s">
        <v>32</v>
      </c>
      <c r="D1810" s="508">
        <v>180601</v>
      </c>
      <c r="E1810" s="507" t="s">
        <v>6108</v>
      </c>
    </row>
    <row r="1811" spans="1:5" ht="15" x14ac:dyDescent="0.3">
      <c r="A1811" s="506">
        <v>10517</v>
      </c>
      <c r="B1811" s="507" t="s">
        <v>5113</v>
      </c>
      <c r="C1811" s="506" t="s">
        <v>670</v>
      </c>
      <c r="D1811" s="508">
        <v>5117</v>
      </c>
      <c r="E1811" s="507" t="s">
        <v>331</v>
      </c>
    </row>
    <row r="1812" spans="1:5" ht="15" x14ac:dyDescent="0.3">
      <c r="A1812" s="506">
        <v>10521</v>
      </c>
      <c r="B1812" s="507" t="s">
        <v>5114</v>
      </c>
      <c r="C1812" s="506" t="s">
        <v>670</v>
      </c>
      <c r="D1812" s="508">
        <v>3470</v>
      </c>
      <c r="E1812" s="507" t="s">
        <v>6108</v>
      </c>
    </row>
    <row r="1813" spans="1:5" ht="15" x14ac:dyDescent="0.3">
      <c r="A1813" s="506">
        <v>10547</v>
      </c>
      <c r="B1813" s="507" t="s">
        <v>5115</v>
      </c>
      <c r="C1813" s="506" t="s">
        <v>21</v>
      </c>
      <c r="D1813" s="508">
        <v>209194</v>
      </c>
      <c r="E1813" s="507" t="s">
        <v>6108</v>
      </c>
    </row>
    <row r="1814" spans="1:5" ht="15" x14ac:dyDescent="0.3">
      <c r="A1814" s="506">
        <v>10548</v>
      </c>
      <c r="B1814" s="507" t="s">
        <v>5116</v>
      </c>
      <c r="C1814" s="506" t="s">
        <v>4235</v>
      </c>
      <c r="D1814" s="508">
        <v>22875</v>
      </c>
      <c r="E1814" s="507" t="s">
        <v>6108</v>
      </c>
    </row>
    <row r="1815" spans="1:5" ht="15" x14ac:dyDescent="0.3">
      <c r="A1815" s="506">
        <v>10591</v>
      </c>
      <c r="B1815" s="507" t="s">
        <v>6349</v>
      </c>
      <c r="C1815" s="506" t="s">
        <v>32</v>
      </c>
      <c r="D1815" s="508">
        <v>5595412</v>
      </c>
      <c r="E1815" s="507" t="s">
        <v>6108</v>
      </c>
    </row>
    <row r="1816" spans="1:5" ht="15" x14ac:dyDescent="0.3">
      <c r="A1816" s="506">
        <v>10593</v>
      </c>
      <c r="B1816" s="507" t="s">
        <v>6350</v>
      </c>
      <c r="C1816" s="506" t="s">
        <v>328</v>
      </c>
      <c r="D1816" s="508">
        <v>989802</v>
      </c>
      <c r="E1816" s="507" t="s">
        <v>6108</v>
      </c>
    </row>
    <row r="1817" spans="1:5" ht="15" x14ac:dyDescent="0.3">
      <c r="A1817" s="506">
        <v>10594</v>
      </c>
      <c r="B1817" s="507" t="s">
        <v>5117</v>
      </c>
      <c r="C1817" s="506" t="s">
        <v>32</v>
      </c>
      <c r="D1817" s="508">
        <v>455908</v>
      </c>
      <c r="E1817" s="507" t="s">
        <v>331</v>
      </c>
    </row>
    <row r="1818" spans="1:5" ht="15" x14ac:dyDescent="0.3">
      <c r="A1818" s="506">
        <v>10596</v>
      </c>
      <c r="B1818" s="507" t="s">
        <v>5118</v>
      </c>
      <c r="C1818" s="506" t="s">
        <v>32</v>
      </c>
      <c r="D1818" s="508">
        <v>698305</v>
      </c>
      <c r="E1818" s="507" t="s">
        <v>331</v>
      </c>
    </row>
    <row r="1819" spans="1:5" ht="15" x14ac:dyDescent="0.3">
      <c r="A1819" s="506">
        <v>10597</v>
      </c>
      <c r="B1819" s="507" t="s">
        <v>5119</v>
      </c>
      <c r="C1819" s="506" t="s">
        <v>32</v>
      </c>
      <c r="D1819" s="508">
        <v>2284787</v>
      </c>
      <c r="E1819" s="507" t="s">
        <v>331</v>
      </c>
    </row>
    <row r="1820" spans="1:5" ht="15" x14ac:dyDescent="0.3">
      <c r="A1820" s="506">
        <v>10599</v>
      </c>
      <c r="B1820" s="507" t="s">
        <v>6351</v>
      </c>
      <c r="C1820" s="506" t="s">
        <v>32</v>
      </c>
      <c r="D1820" s="508">
        <v>1553581</v>
      </c>
      <c r="E1820" s="507" t="s">
        <v>6108</v>
      </c>
    </row>
    <row r="1821" spans="1:5" ht="15" x14ac:dyDescent="0.3">
      <c r="A1821" s="506">
        <v>10600</v>
      </c>
      <c r="B1821" s="507" t="s">
        <v>6352</v>
      </c>
      <c r="C1821" s="506" t="s">
        <v>328</v>
      </c>
      <c r="D1821" s="508">
        <v>1038156</v>
      </c>
      <c r="E1821" s="507" t="s">
        <v>6108</v>
      </c>
    </row>
    <row r="1822" spans="1:5" ht="15" x14ac:dyDescent="0.3">
      <c r="A1822" s="506">
        <v>10601</v>
      </c>
      <c r="B1822" s="507" t="s">
        <v>6353</v>
      </c>
      <c r="C1822" s="506" t="s">
        <v>328</v>
      </c>
      <c r="D1822" s="508">
        <v>130662</v>
      </c>
      <c r="E1822" s="507" t="s">
        <v>6108</v>
      </c>
    </row>
    <row r="1823" spans="1:5" ht="15" x14ac:dyDescent="0.3">
      <c r="A1823" s="506">
        <v>10603</v>
      </c>
      <c r="B1823" s="507" t="s">
        <v>5120</v>
      </c>
      <c r="C1823" s="506" t="s">
        <v>32</v>
      </c>
      <c r="D1823" s="508">
        <v>1074786</v>
      </c>
      <c r="E1823" s="507" t="s">
        <v>6108</v>
      </c>
    </row>
    <row r="1824" spans="1:5" ht="15" x14ac:dyDescent="0.3">
      <c r="A1824" s="506">
        <v>10605</v>
      </c>
      <c r="B1824" s="507" t="s">
        <v>6354</v>
      </c>
      <c r="C1824" s="506" t="s">
        <v>328</v>
      </c>
      <c r="D1824" s="508">
        <v>1626849</v>
      </c>
      <c r="E1824" s="507" t="s">
        <v>6108</v>
      </c>
    </row>
    <row r="1825" spans="1:5" ht="15" x14ac:dyDescent="0.3">
      <c r="A1825" s="506">
        <v>10609</v>
      </c>
      <c r="B1825" s="507" t="s">
        <v>6355</v>
      </c>
      <c r="C1825" s="506" t="s">
        <v>32</v>
      </c>
      <c r="D1825" s="508">
        <v>881685</v>
      </c>
      <c r="E1825" s="507" t="s">
        <v>6108</v>
      </c>
    </row>
    <row r="1826" spans="1:5" ht="15" x14ac:dyDescent="0.3">
      <c r="A1826" s="506">
        <v>10613</v>
      </c>
      <c r="B1826" s="507" t="s">
        <v>6356</v>
      </c>
      <c r="C1826" s="506" t="s">
        <v>32</v>
      </c>
      <c r="D1826" s="508">
        <v>185336</v>
      </c>
      <c r="E1826" s="507" t="s">
        <v>6108</v>
      </c>
    </row>
    <row r="1827" spans="1:5" ht="15" x14ac:dyDescent="0.3">
      <c r="A1827" s="506">
        <v>10614</v>
      </c>
      <c r="B1827" s="507" t="s">
        <v>5121</v>
      </c>
      <c r="C1827" s="506" t="s">
        <v>32</v>
      </c>
      <c r="D1827" s="508">
        <v>327356</v>
      </c>
      <c r="E1827" s="507" t="s">
        <v>6108</v>
      </c>
    </row>
    <row r="1828" spans="1:5" ht="15" x14ac:dyDescent="0.3">
      <c r="A1828" s="506">
        <v>10617</v>
      </c>
      <c r="B1828" s="507" t="s">
        <v>5122</v>
      </c>
      <c r="C1828" s="506" t="s">
        <v>32</v>
      </c>
      <c r="D1828" s="508">
        <v>421313</v>
      </c>
      <c r="E1828" s="507" t="s">
        <v>6108</v>
      </c>
    </row>
    <row r="1829" spans="1:5" ht="15" x14ac:dyDescent="0.3">
      <c r="A1829" s="506">
        <v>10618</v>
      </c>
      <c r="B1829" s="507" t="s">
        <v>5123</v>
      </c>
      <c r="C1829" s="506" t="s">
        <v>328</v>
      </c>
      <c r="D1829" s="508">
        <v>4485035</v>
      </c>
      <c r="E1829" s="507" t="s">
        <v>6108</v>
      </c>
    </row>
    <row r="1830" spans="1:5" ht="15" x14ac:dyDescent="0.3">
      <c r="A1830" s="506">
        <v>10619</v>
      </c>
      <c r="B1830" s="507" t="s">
        <v>5124</v>
      </c>
      <c r="C1830" s="506" t="s">
        <v>328</v>
      </c>
      <c r="D1830" s="508">
        <v>6727552</v>
      </c>
      <c r="E1830" s="507" t="s">
        <v>6108</v>
      </c>
    </row>
    <row r="1831" spans="1:5" ht="15" x14ac:dyDescent="0.3">
      <c r="A1831" s="506">
        <v>10620</v>
      </c>
      <c r="B1831" s="507" t="s">
        <v>5125</v>
      </c>
      <c r="C1831" s="506" t="s">
        <v>32</v>
      </c>
      <c r="D1831" s="508">
        <v>6064607</v>
      </c>
      <c r="E1831" s="507" t="s">
        <v>6108</v>
      </c>
    </row>
    <row r="1832" spans="1:5" ht="15" x14ac:dyDescent="0.3">
      <c r="A1832" s="506">
        <v>10621</v>
      </c>
      <c r="B1832" s="507" t="s">
        <v>6357</v>
      </c>
      <c r="C1832" s="506" t="s">
        <v>32</v>
      </c>
      <c r="D1832" s="508">
        <v>1908760</v>
      </c>
      <c r="E1832" s="507" t="s">
        <v>6108</v>
      </c>
    </row>
    <row r="1833" spans="1:5" ht="15" x14ac:dyDescent="0.3">
      <c r="A1833" s="506">
        <v>10624</v>
      </c>
      <c r="B1833" s="507" t="s">
        <v>5126</v>
      </c>
      <c r="C1833" s="506" t="s">
        <v>670</v>
      </c>
      <c r="D1833" s="508">
        <v>7140</v>
      </c>
      <c r="E1833" s="507" t="s">
        <v>331</v>
      </c>
    </row>
    <row r="1834" spans="1:5" ht="15" x14ac:dyDescent="0.3">
      <c r="A1834" s="506">
        <v>10625</v>
      </c>
      <c r="B1834" s="507" t="s">
        <v>2450</v>
      </c>
      <c r="C1834" s="506" t="s">
        <v>32</v>
      </c>
      <c r="D1834" s="508">
        <v>427411</v>
      </c>
      <c r="E1834" s="507" t="s">
        <v>6108</v>
      </c>
    </row>
    <row r="1835" spans="1:5" ht="15" x14ac:dyDescent="0.3">
      <c r="A1835" s="506">
        <v>10626</v>
      </c>
      <c r="B1835" s="507" t="s">
        <v>2451</v>
      </c>
      <c r="C1835" s="506" t="s">
        <v>32</v>
      </c>
      <c r="D1835" s="508">
        <v>535354</v>
      </c>
      <c r="E1835" s="507" t="s">
        <v>6108</v>
      </c>
    </row>
    <row r="1836" spans="1:5" ht="15" x14ac:dyDescent="0.3">
      <c r="A1836" s="506">
        <v>10627</v>
      </c>
      <c r="B1836" s="507" t="s">
        <v>5127</v>
      </c>
      <c r="C1836" s="506" t="s">
        <v>32</v>
      </c>
      <c r="D1836" s="508">
        <v>465521</v>
      </c>
      <c r="E1836" s="507" t="s">
        <v>6108</v>
      </c>
    </row>
    <row r="1837" spans="1:5" ht="15" x14ac:dyDescent="0.3">
      <c r="A1837" s="506">
        <v>10628</v>
      </c>
      <c r="B1837" s="507" t="s">
        <v>2453</v>
      </c>
      <c r="C1837" s="506" t="s">
        <v>32</v>
      </c>
      <c r="D1837" s="508">
        <v>465521</v>
      </c>
      <c r="E1837" s="507" t="s">
        <v>6108</v>
      </c>
    </row>
    <row r="1838" spans="1:5" ht="15" x14ac:dyDescent="0.3">
      <c r="A1838" s="506">
        <v>10629</v>
      </c>
      <c r="B1838" s="507" t="s">
        <v>5128</v>
      </c>
      <c r="C1838" s="506" t="s">
        <v>32</v>
      </c>
      <c r="D1838" s="508">
        <v>465521</v>
      </c>
      <c r="E1838" s="507" t="s">
        <v>6108</v>
      </c>
    </row>
    <row r="1839" spans="1:5" ht="15" x14ac:dyDescent="0.3">
      <c r="A1839" s="506">
        <v>10634</v>
      </c>
      <c r="B1839" s="507" t="s">
        <v>5129</v>
      </c>
      <c r="C1839" s="506" t="s">
        <v>32</v>
      </c>
      <c r="D1839" s="508">
        <v>468040</v>
      </c>
      <c r="E1839" s="507" t="s">
        <v>6108</v>
      </c>
    </row>
    <row r="1840" spans="1:5" ht="15" x14ac:dyDescent="0.3">
      <c r="A1840" s="506">
        <v>10635</v>
      </c>
      <c r="B1840" s="507" t="s">
        <v>5130</v>
      </c>
      <c r="C1840" s="506" t="s">
        <v>32</v>
      </c>
      <c r="D1840" s="508">
        <v>440667</v>
      </c>
      <c r="E1840" s="507" t="s">
        <v>6108</v>
      </c>
    </row>
    <row r="1841" spans="1:5" ht="15" x14ac:dyDescent="0.3">
      <c r="A1841" s="506">
        <v>10636</v>
      </c>
      <c r="B1841" s="507" t="s">
        <v>5131</v>
      </c>
      <c r="C1841" s="506" t="s">
        <v>32</v>
      </c>
      <c r="D1841" s="508">
        <v>559968</v>
      </c>
      <c r="E1841" s="507" t="s">
        <v>6108</v>
      </c>
    </row>
    <row r="1842" spans="1:5" ht="15" x14ac:dyDescent="0.3">
      <c r="A1842" s="506">
        <v>10639</v>
      </c>
      <c r="B1842" s="507" t="s">
        <v>5132</v>
      </c>
      <c r="C1842" s="506" t="s">
        <v>32</v>
      </c>
      <c r="D1842" s="508">
        <v>262920</v>
      </c>
      <c r="E1842" s="507" t="s">
        <v>331</v>
      </c>
    </row>
    <row r="1843" spans="1:5" ht="15" x14ac:dyDescent="0.3">
      <c r="A1843" s="506">
        <v>10640</v>
      </c>
      <c r="B1843" s="507" t="s">
        <v>5133</v>
      </c>
      <c r="C1843" s="506" t="s">
        <v>32</v>
      </c>
      <c r="D1843" s="508">
        <v>1901033</v>
      </c>
      <c r="E1843" s="507" t="s">
        <v>331</v>
      </c>
    </row>
    <row r="1844" spans="1:5" ht="15" x14ac:dyDescent="0.3">
      <c r="A1844" s="506">
        <v>10641</v>
      </c>
      <c r="B1844" s="507" t="s">
        <v>5134</v>
      </c>
      <c r="C1844" s="506" t="s">
        <v>32</v>
      </c>
      <c r="D1844" s="508">
        <v>1901033</v>
      </c>
      <c r="E1844" s="507" t="s">
        <v>331</v>
      </c>
    </row>
    <row r="1845" spans="1:5" ht="15" x14ac:dyDescent="0.3">
      <c r="A1845" s="506">
        <v>10642</v>
      </c>
      <c r="B1845" s="507" t="s">
        <v>5135</v>
      </c>
      <c r="C1845" s="506" t="s">
        <v>32</v>
      </c>
      <c r="D1845" s="508">
        <v>726863</v>
      </c>
      <c r="E1845" s="507" t="s">
        <v>331</v>
      </c>
    </row>
    <row r="1846" spans="1:5" ht="15" x14ac:dyDescent="0.3">
      <c r="A1846" s="506">
        <v>10643</v>
      </c>
      <c r="B1846" s="507" t="s">
        <v>5136</v>
      </c>
      <c r="C1846" s="506" t="s">
        <v>32</v>
      </c>
      <c r="D1846" s="508">
        <v>3283968</v>
      </c>
      <c r="E1846" s="507" t="s">
        <v>331</v>
      </c>
    </row>
    <row r="1847" spans="1:5" ht="15" x14ac:dyDescent="0.3">
      <c r="A1847" s="506">
        <v>10644</v>
      </c>
      <c r="B1847" s="507" t="s">
        <v>5137</v>
      </c>
      <c r="C1847" s="506" t="s">
        <v>32</v>
      </c>
      <c r="D1847" s="508">
        <v>3359067</v>
      </c>
      <c r="E1847" s="507" t="s">
        <v>331</v>
      </c>
    </row>
    <row r="1848" spans="1:5" ht="15" x14ac:dyDescent="0.3">
      <c r="A1848" s="506">
        <v>10645</v>
      </c>
      <c r="B1848" s="507" t="s">
        <v>5138</v>
      </c>
      <c r="C1848" s="506" t="s">
        <v>328</v>
      </c>
      <c r="D1848" s="508">
        <v>658308</v>
      </c>
      <c r="E1848" s="507" t="s">
        <v>331</v>
      </c>
    </row>
    <row r="1849" spans="1:5" ht="15" x14ac:dyDescent="0.3">
      <c r="A1849" s="506">
        <v>10646</v>
      </c>
      <c r="B1849" s="507" t="s">
        <v>5139</v>
      </c>
      <c r="C1849" s="506" t="s">
        <v>328</v>
      </c>
      <c r="D1849" s="508">
        <v>793692</v>
      </c>
      <c r="E1849" s="507" t="s">
        <v>331</v>
      </c>
    </row>
    <row r="1850" spans="1:5" ht="15" x14ac:dyDescent="0.3">
      <c r="A1850" s="506">
        <v>10647</v>
      </c>
      <c r="B1850" s="507" t="s">
        <v>5140</v>
      </c>
      <c r="C1850" s="506" t="s">
        <v>328</v>
      </c>
      <c r="D1850" s="508">
        <v>979846</v>
      </c>
      <c r="E1850" s="507" t="s">
        <v>331</v>
      </c>
    </row>
    <row r="1851" spans="1:5" ht="15" x14ac:dyDescent="0.3">
      <c r="A1851" s="506">
        <v>10648</v>
      </c>
      <c r="B1851" s="507" t="s">
        <v>5141</v>
      </c>
      <c r="C1851" s="506" t="s">
        <v>328</v>
      </c>
      <c r="D1851" s="508">
        <v>1818385</v>
      </c>
      <c r="E1851" s="507" t="s">
        <v>331</v>
      </c>
    </row>
    <row r="1852" spans="1:5" ht="15" x14ac:dyDescent="0.3">
      <c r="A1852" s="506">
        <v>10649</v>
      </c>
      <c r="B1852" s="507" t="s">
        <v>5142</v>
      </c>
      <c r="C1852" s="506" t="s">
        <v>328</v>
      </c>
      <c r="D1852" s="508">
        <v>2435231</v>
      </c>
      <c r="E1852" s="507" t="s">
        <v>331</v>
      </c>
    </row>
    <row r="1853" spans="1:5" ht="15" x14ac:dyDescent="0.3">
      <c r="A1853" s="506">
        <v>10650</v>
      </c>
      <c r="B1853" s="507" t="s">
        <v>5143</v>
      </c>
      <c r="C1853" s="506" t="s">
        <v>328</v>
      </c>
      <c r="D1853" s="508">
        <v>3756923</v>
      </c>
      <c r="E1853" s="507" t="s">
        <v>331</v>
      </c>
    </row>
    <row r="1854" spans="1:5" ht="15" x14ac:dyDescent="0.3">
      <c r="A1854" s="506">
        <v>10651</v>
      </c>
      <c r="B1854" s="507" t="s">
        <v>6358</v>
      </c>
      <c r="C1854" s="506" t="s">
        <v>32</v>
      </c>
      <c r="D1854" s="508">
        <v>534310</v>
      </c>
      <c r="E1854" s="507" t="s">
        <v>6108</v>
      </c>
    </row>
    <row r="1855" spans="1:5" ht="15" x14ac:dyDescent="0.3">
      <c r="A1855" s="506">
        <v>10653</v>
      </c>
      <c r="B1855" s="507" t="s">
        <v>5144</v>
      </c>
      <c r="C1855" s="506" t="s">
        <v>32</v>
      </c>
      <c r="D1855" s="508">
        <v>116822</v>
      </c>
      <c r="E1855" s="507" t="s">
        <v>6108</v>
      </c>
    </row>
    <row r="1856" spans="1:5" ht="15" x14ac:dyDescent="0.3">
      <c r="A1856" s="506">
        <v>10655</v>
      </c>
      <c r="B1856" s="507" t="s">
        <v>6359</v>
      </c>
      <c r="C1856" s="506" t="s">
        <v>328</v>
      </c>
      <c r="D1856" s="508">
        <v>34028</v>
      </c>
      <c r="E1856" s="507" t="s">
        <v>6108</v>
      </c>
    </row>
    <row r="1857" spans="1:5" ht="15" x14ac:dyDescent="0.3">
      <c r="A1857" s="506">
        <v>10656</v>
      </c>
      <c r="B1857" s="507" t="s">
        <v>6360</v>
      </c>
      <c r="C1857" s="506" t="s">
        <v>32</v>
      </c>
      <c r="D1857" s="508">
        <v>1455370</v>
      </c>
      <c r="E1857" s="507" t="s">
        <v>6108</v>
      </c>
    </row>
    <row r="1858" spans="1:5" ht="15" x14ac:dyDescent="0.3">
      <c r="A1858" s="506">
        <v>10657</v>
      </c>
      <c r="B1858" s="507" t="s">
        <v>5145</v>
      </c>
      <c r="C1858" s="506" t="s">
        <v>32</v>
      </c>
      <c r="D1858" s="508">
        <v>2706453</v>
      </c>
      <c r="E1858" s="507" t="s">
        <v>6108</v>
      </c>
    </row>
    <row r="1859" spans="1:5" ht="15" x14ac:dyDescent="0.3">
      <c r="A1859" s="506">
        <v>10658</v>
      </c>
      <c r="B1859" s="507" t="s">
        <v>5146</v>
      </c>
      <c r="C1859" s="506" t="s">
        <v>32</v>
      </c>
      <c r="D1859" s="508">
        <v>97223</v>
      </c>
      <c r="E1859" s="507" t="s">
        <v>6108</v>
      </c>
    </row>
    <row r="1860" spans="1:5" ht="15" x14ac:dyDescent="0.3">
      <c r="A1860" s="506">
        <v>10659</v>
      </c>
      <c r="B1860" s="507" t="s">
        <v>6361</v>
      </c>
      <c r="C1860" s="506" t="s">
        <v>32</v>
      </c>
      <c r="D1860" s="508">
        <v>10939538</v>
      </c>
      <c r="E1860" s="507" t="s">
        <v>6108</v>
      </c>
    </row>
    <row r="1861" spans="1:5" ht="15" x14ac:dyDescent="0.3">
      <c r="A1861" s="506">
        <v>10662</v>
      </c>
      <c r="B1861" s="507" t="s">
        <v>5147</v>
      </c>
      <c r="C1861" s="506" t="s">
        <v>32</v>
      </c>
      <c r="D1861" s="508">
        <v>38627</v>
      </c>
      <c r="E1861" s="507" t="s">
        <v>331</v>
      </c>
    </row>
    <row r="1862" spans="1:5" ht="15" x14ac:dyDescent="0.3">
      <c r="A1862" s="506">
        <v>10669</v>
      </c>
      <c r="B1862" s="507" t="s">
        <v>5148</v>
      </c>
      <c r="C1862" s="506" t="s">
        <v>32</v>
      </c>
      <c r="D1862" s="508">
        <v>421433</v>
      </c>
      <c r="E1862" s="507" t="s">
        <v>6108</v>
      </c>
    </row>
    <row r="1863" spans="1:5" ht="15" x14ac:dyDescent="0.3">
      <c r="A1863" s="506">
        <v>10670</v>
      </c>
      <c r="B1863" s="507" t="s">
        <v>5149</v>
      </c>
      <c r="C1863" s="506" t="s">
        <v>32</v>
      </c>
      <c r="D1863" s="508">
        <v>328408</v>
      </c>
      <c r="E1863" s="507" t="s">
        <v>6108</v>
      </c>
    </row>
    <row r="1864" spans="1:5" ht="15" x14ac:dyDescent="0.3">
      <c r="A1864" s="506">
        <v>10673</v>
      </c>
      <c r="B1864" s="507" t="s">
        <v>5150</v>
      </c>
      <c r="C1864" s="506" t="s">
        <v>328</v>
      </c>
      <c r="D1864" s="508">
        <v>1345385</v>
      </c>
      <c r="E1864" s="507" t="s">
        <v>331</v>
      </c>
    </row>
    <row r="1865" spans="1:5" ht="15" x14ac:dyDescent="0.3">
      <c r="A1865" s="506">
        <v>10674</v>
      </c>
      <c r="B1865" s="507" t="s">
        <v>5151</v>
      </c>
      <c r="C1865" s="506" t="s">
        <v>328</v>
      </c>
      <c r="D1865" s="508">
        <v>2855769</v>
      </c>
      <c r="E1865" s="507" t="s">
        <v>331</v>
      </c>
    </row>
    <row r="1866" spans="1:5" ht="15" x14ac:dyDescent="0.3">
      <c r="A1866" s="506">
        <v>10676</v>
      </c>
      <c r="B1866" s="507" t="s">
        <v>6362</v>
      </c>
      <c r="C1866" s="506" t="s">
        <v>328</v>
      </c>
      <c r="D1866" s="508">
        <v>21420</v>
      </c>
      <c r="E1866" s="507" t="s">
        <v>6108</v>
      </c>
    </row>
    <row r="1867" spans="1:5" ht="15" x14ac:dyDescent="0.3">
      <c r="A1867" s="506">
        <v>10677</v>
      </c>
      <c r="B1867" s="507" t="s">
        <v>6363</v>
      </c>
      <c r="C1867" s="506" t="s">
        <v>328</v>
      </c>
      <c r="D1867" s="508">
        <v>32725</v>
      </c>
      <c r="E1867" s="507" t="s">
        <v>6108</v>
      </c>
    </row>
    <row r="1868" spans="1:5" ht="15" x14ac:dyDescent="0.3">
      <c r="A1868" s="506">
        <v>10678</v>
      </c>
      <c r="B1868" s="507" t="s">
        <v>6364</v>
      </c>
      <c r="C1868" s="506" t="s">
        <v>32</v>
      </c>
      <c r="D1868" s="508">
        <v>4515969</v>
      </c>
      <c r="E1868" s="507" t="s">
        <v>6108</v>
      </c>
    </row>
    <row r="1869" spans="1:5" ht="15" x14ac:dyDescent="0.3">
      <c r="A1869" s="506">
        <v>10680</v>
      </c>
      <c r="B1869" s="507" t="s">
        <v>6365</v>
      </c>
      <c r="C1869" s="506" t="s">
        <v>32</v>
      </c>
      <c r="D1869" s="508">
        <v>4156670</v>
      </c>
      <c r="E1869" s="507" t="s">
        <v>6108</v>
      </c>
    </row>
    <row r="1870" spans="1:5" ht="15" x14ac:dyDescent="0.3">
      <c r="A1870" s="506">
        <v>10681</v>
      </c>
      <c r="B1870" s="507" t="s">
        <v>6366</v>
      </c>
      <c r="C1870" s="506" t="s">
        <v>32</v>
      </c>
      <c r="D1870" s="508">
        <v>9881288</v>
      </c>
      <c r="E1870" s="507" t="s">
        <v>6108</v>
      </c>
    </row>
    <row r="1871" spans="1:5" ht="15" x14ac:dyDescent="0.3">
      <c r="A1871" s="506">
        <v>10682</v>
      </c>
      <c r="B1871" s="507" t="s">
        <v>5152</v>
      </c>
      <c r="C1871" s="506" t="s">
        <v>32</v>
      </c>
      <c r="D1871" s="508">
        <v>3015210</v>
      </c>
      <c r="E1871" s="507" t="s">
        <v>6108</v>
      </c>
    </row>
    <row r="1872" spans="1:5" ht="15" x14ac:dyDescent="0.3">
      <c r="A1872" s="506">
        <v>10684</v>
      </c>
      <c r="B1872" s="507" t="s">
        <v>6367</v>
      </c>
      <c r="C1872" s="506" t="s">
        <v>32</v>
      </c>
      <c r="D1872" s="508">
        <v>783020</v>
      </c>
      <c r="E1872" s="507" t="s">
        <v>6108</v>
      </c>
    </row>
    <row r="1873" spans="1:5" ht="15" x14ac:dyDescent="0.3">
      <c r="A1873" s="506">
        <v>10687</v>
      </c>
      <c r="B1873" s="507" t="s">
        <v>6368</v>
      </c>
      <c r="C1873" s="506" t="s">
        <v>32</v>
      </c>
      <c r="D1873" s="508">
        <v>6386223</v>
      </c>
      <c r="E1873" s="507" t="s">
        <v>6108</v>
      </c>
    </row>
    <row r="1874" spans="1:5" ht="15" x14ac:dyDescent="0.3">
      <c r="A1874" s="506">
        <v>10689</v>
      </c>
      <c r="B1874" s="507" t="s">
        <v>5153</v>
      </c>
      <c r="C1874" s="506" t="s">
        <v>32</v>
      </c>
      <c r="D1874" s="508">
        <v>596889</v>
      </c>
      <c r="E1874" s="507" t="s">
        <v>6108</v>
      </c>
    </row>
    <row r="1875" spans="1:5" ht="15" x14ac:dyDescent="0.3">
      <c r="A1875" s="506">
        <v>10690</v>
      </c>
      <c r="B1875" s="507" t="s">
        <v>6369</v>
      </c>
      <c r="C1875" s="506" t="s">
        <v>32</v>
      </c>
      <c r="D1875" s="508">
        <v>5212503</v>
      </c>
      <c r="E1875" s="507" t="s">
        <v>6108</v>
      </c>
    </row>
    <row r="1876" spans="1:5" ht="15" x14ac:dyDescent="0.3">
      <c r="A1876" s="506">
        <v>10692</v>
      </c>
      <c r="B1876" s="507" t="s">
        <v>5154</v>
      </c>
      <c r="C1876" s="506" t="s">
        <v>32</v>
      </c>
      <c r="D1876" s="508">
        <v>575926</v>
      </c>
      <c r="E1876" s="507" t="s">
        <v>6108</v>
      </c>
    </row>
    <row r="1877" spans="1:5" ht="15" x14ac:dyDescent="0.3">
      <c r="A1877" s="506">
        <v>10694</v>
      </c>
      <c r="B1877" s="507" t="s">
        <v>5155</v>
      </c>
      <c r="C1877" s="506" t="s">
        <v>32</v>
      </c>
      <c r="D1877" s="508">
        <v>510740</v>
      </c>
      <c r="E1877" s="507" t="s">
        <v>6108</v>
      </c>
    </row>
    <row r="1878" spans="1:5" ht="15" x14ac:dyDescent="0.3">
      <c r="A1878" s="506">
        <v>10695</v>
      </c>
      <c r="B1878" s="507" t="s">
        <v>6370</v>
      </c>
      <c r="C1878" s="506" t="s">
        <v>328</v>
      </c>
      <c r="D1878" s="508">
        <v>49843</v>
      </c>
      <c r="E1878" s="507" t="s">
        <v>6108</v>
      </c>
    </row>
    <row r="1879" spans="1:5" ht="15" x14ac:dyDescent="0.3">
      <c r="A1879" s="506">
        <v>10696</v>
      </c>
      <c r="B1879" s="507" t="s">
        <v>6371</v>
      </c>
      <c r="C1879" s="506" t="s">
        <v>328</v>
      </c>
      <c r="D1879" s="508">
        <v>85150</v>
      </c>
      <c r="E1879" s="507" t="s">
        <v>6108</v>
      </c>
    </row>
    <row r="1880" spans="1:5" ht="15" x14ac:dyDescent="0.3">
      <c r="A1880" s="506">
        <v>10697</v>
      </c>
      <c r="B1880" s="507" t="s">
        <v>5156</v>
      </c>
      <c r="C1880" s="506" t="s">
        <v>32</v>
      </c>
      <c r="D1880" s="508">
        <v>539545</v>
      </c>
      <c r="E1880" s="507" t="s">
        <v>6108</v>
      </c>
    </row>
    <row r="1881" spans="1:5" ht="15" x14ac:dyDescent="0.3">
      <c r="A1881" s="506">
        <v>10698</v>
      </c>
      <c r="B1881" s="507" t="s">
        <v>5157</v>
      </c>
      <c r="C1881" s="506" t="s">
        <v>32</v>
      </c>
      <c r="D1881" s="508">
        <v>468040</v>
      </c>
      <c r="E1881" s="507" t="s">
        <v>6108</v>
      </c>
    </row>
    <row r="1882" spans="1:5" ht="15" x14ac:dyDescent="0.3">
      <c r="A1882" s="506">
        <v>10699</v>
      </c>
      <c r="B1882" s="507" t="s">
        <v>5158</v>
      </c>
      <c r="C1882" s="506" t="s">
        <v>32</v>
      </c>
      <c r="D1882" s="508">
        <v>512690</v>
      </c>
      <c r="E1882" s="507" t="s">
        <v>6108</v>
      </c>
    </row>
    <row r="1883" spans="1:5" ht="15" x14ac:dyDescent="0.3">
      <c r="A1883" s="506">
        <v>10700</v>
      </c>
      <c r="B1883" s="507" t="s">
        <v>5159</v>
      </c>
      <c r="C1883" s="506" t="s">
        <v>32</v>
      </c>
      <c r="D1883" s="508">
        <v>238403</v>
      </c>
      <c r="E1883" s="507" t="s">
        <v>331</v>
      </c>
    </row>
    <row r="1884" spans="1:5" ht="15" x14ac:dyDescent="0.3">
      <c r="A1884" s="506">
        <v>10710</v>
      </c>
      <c r="B1884" s="507" t="s">
        <v>5160</v>
      </c>
      <c r="C1884" s="506" t="s">
        <v>32</v>
      </c>
      <c r="D1884" s="508">
        <v>4608042</v>
      </c>
      <c r="E1884" s="507" t="s">
        <v>6108</v>
      </c>
    </row>
    <row r="1885" spans="1:5" ht="15" x14ac:dyDescent="0.3">
      <c r="A1885" s="506">
        <v>10712</v>
      </c>
      <c r="B1885" s="507" t="s">
        <v>6372</v>
      </c>
      <c r="C1885" s="506" t="s">
        <v>32</v>
      </c>
      <c r="D1885" s="508">
        <v>567414</v>
      </c>
      <c r="E1885" s="507" t="s">
        <v>6108</v>
      </c>
    </row>
    <row r="1886" spans="1:5" ht="15" x14ac:dyDescent="0.3">
      <c r="A1886" s="506">
        <v>10723</v>
      </c>
      <c r="B1886" s="507" t="s">
        <v>5161</v>
      </c>
      <c r="C1886" s="506" t="s">
        <v>5162</v>
      </c>
      <c r="D1886" s="508">
        <v>59500</v>
      </c>
      <c r="E1886" s="507" t="s">
        <v>6108</v>
      </c>
    </row>
    <row r="1887" spans="1:5" ht="15" x14ac:dyDescent="0.3">
      <c r="A1887" s="506">
        <v>10728</v>
      </c>
      <c r="B1887" s="507" t="s">
        <v>5163</v>
      </c>
      <c r="C1887" s="506" t="s">
        <v>5162</v>
      </c>
      <c r="D1887" s="508">
        <v>17574</v>
      </c>
      <c r="E1887" s="507" t="s">
        <v>6108</v>
      </c>
    </row>
    <row r="1888" spans="1:5" ht="15" x14ac:dyDescent="0.3">
      <c r="A1888" s="506">
        <v>10754</v>
      </c>
      <c r="B1888" s="507" t="s">
        <v>5164</v>
      </c>
      <c r="C1888" s="506" t="s">
        <v>32</v>
      </c>
      <c r="D1888" s="508">
        <v>11350443</v>
      </c>
      <c r="E1888" s="507" t="s">
        <v>6108</v>
      </c>
    </row>
    <row r="1889" spans="1:5" ht="15" x14ac:dyDescent="0.3">
      <c r="A1889" s="506">
        <v>10756</v>
      </c>
      <c r="B1889" s="507" t="s">
        <v>6373</v>
      </c>
      <c r="C1889" s="506" t="s">
        <v>32</v>
      </c>
      <c r="D1889" s="508">
        <v>1333594</v>
      </c>
      <c r="E1889" s="507" t="s">
        <v>6108</v>
      </c>
    </row>
    <row r="1890" spans="1:5" ht="15" x14ac:dyDescent="0.3">
      <c r="A1890" s="506">
        <v>10757</v>
      </c>
      <c r="B1890" s="507" t="s">
        <v>6374</v>
      </c>
      <c r="C1890" s="506" t="s">
        <v>32</v>
      </c>
      <c r="D1890" s="508">
        <v>1571053</v>
      </c>
      <c r="E1890" s="507" t="s">
        <v>6108</v>
      </c>
    </row>
    <row r="1891" spans="1:5" ht="15" x14ac:dyDescent="0.3">
      <c r="A1891" s="506">
        <v>10758</v>
      </c>
      <c r="B1891" s="507" t="s">
        <v>6375</v>
      </c>
      <c r="C1891" s="506" t="s">
        <v>32</v>
      </c>
      <c r="D1891" s="508">
        <v>1113377</v>
      </c>
      <c r="E1891" s="507" t="s">
        <v>6108</v>
      </c>
    </row>
    <row r="1892" spans="1:5" ht="15" x14ac:dyDescent="0.3">
      <c r="A1892" s="506">
        <v>10767</v>
      </c>
      <c r="B1892" s="507" t="s">
        <v>5165</v>
      </c>
      <c r="C1892" s="506" t="s">
        <v>21</v>
      </c>
      <c r="D1892" s="508">
        <v>150203</v>
      </c>
      <c r="E1892" s="507" t="s">
        <v>6108</v>
      </c>
    </row>
    <row r="1893" spans="1:5" ht="15" x14ac:dyDescent="0.3">
      <c r="A1893" s="506">
        <v>10768</v>
      </c>
      <c r="B1893" s="507" t="s">
        <v>5166</v>
      </c>
      <c r="C1893" s="506" t="s">
        <v>32</v>
      </c>
      <c r="D1893" s="508">
        <v>215290</v>
      </c>
      <c r="E1893" s="507" t="s">
        <v>6108</v>
      </c>
    </row>
    <row r="1894" spans="1:5" ht="15" x14ac:dyDescent="0.3">
      <c r="A1894" s="506">
        <v>10770</v>
      </c>
      <c r="B1894" s="507" t="s">
        <v>5167</v>
      </c>
      <c r="C1894" s="506" t="s">
        <v>32</v>
      </c>
      <c r="D1894" s="508">
        <v>94873</v>
      </c>
      <c r="E1894" s="507" t="s">
        <v>6108</v>
      </c>
    </row>
    <row r="1895" spans="1:5" ht="15" x14ac:dyDescent="0.3">
      <c r="A1895" s="506">
        <v>10774</v>
      </c>
      <c r="B1895" s="507" t="s">
        <v>5168</v>
      </c>
      <c r="C1895" s="506" t="s">
        <v>32</v>
      </c>
      <c r="D1895" s="508">
        <v>83184</v>
      </c>
      <c r="E1895" s="507" t="s">
        <v>6108</v>
      </c>
    </row>
    <row r="1896" spans="1:5" ht="15" x14ac:dyDescent="0.3">
      <c r="A1896" s="506">
        <v>10776</v>
      </c>
      <c r="B1896" s="507" t="s">
        <v>2554</v>
      </c>
      <c r="C1896" s="506" t="s">
        <v>32</v>
      </c>
      <c r="D1896" s="508">
        <v>100679</v>
      </c>
      <c r="E1896" s="507" t="s">
        <v>6108</v>
      </c>
    </row>
    <row r="1897" spans="1:5" ht="15" x14ac:dyDescent="0.3">
      <c r="A1897" s="506">
        <v>10777</v>
      </c>
      <c r="B1897" s="507" t="s">
        <v>5169</v>
      </c>
      <c r="C1897" s="506" t="s">
        <v>32</v>
      </c>
      <c r="D1897" s="508">
        <v>34330</v>
      </c>
      <c r="E1897" s="507" t="s">
        <v>331</v>
      </c>
    </row>
    <row r="1898" spans="1:5" ht="15" x14ac:dyDescent="0.3">
      <c r="A1898" s="506">
        <v>10787</v>
      </c>
      <c r="B1898" s="507" t="s">
        <v>5170</v>
      </c>
      <c r="C1898" s="506" t="s">
        <v>32</v>
      </c>
      <c r="D1898" s="508">
        <v>16279</v>
      </c>
      <c r="E1898" s="507" t="s">
        <v>331</v>
      </c>
    </row>
    <row r="1899" spans="1:5" ht="15" x14ac:dyDescent="0.3">
      <c r="A1899" s="506">
        <v>10788</v>
      </c>
      <c r="B1899" s="507" t="s">
        <v>2559</v>
      </c>
      <c r="C1899" s="506" t="s">
        <v>32</v>
      </c>
      <c r="D1899" s="508">
        <v>304537</v>
      </c>
      <c r="E1899" s="507" t="s">
        <v>6108</v>
      </c>
    </row>
    <row r="1900" spans="1:5" ht="15" x14ac:dyDescent="0.3">
      <c r="A1900" s="506">
        <v>10790</v>
      </c>
      <c r="B1900" s="507" t="s">
        <v>5171</v>
      </c>
      <c r="C1900" s="506" t="s">
        <v>21</v>
      </c>
      <c r="D1900" s="508">
        <v>465570</v>
      </c>
      <c r="E1900" s="507" t="s">
        <v>6108</v>
      </c>
    </row>
    <row r="1901" spans="1:5" ht="15" x14ac:dyDescent="0.3">
      <c r="A1901" s="506">
        <v>10794</v>
      </c>
      <c r="B1901" s="507" t="s">
        <v>5172</v>
      </c>
      <c r="C1901" s="506" t="s">
        <v>32</v>
      </c>
      <c r="D1901" s="508">
        <v>35593</v>
      </c>
      <c r="E1901" s="507" t="s">
        <v>331</v>
      </c>
    </row>
    <row r="1902" spans="1:5" ht="15" x14ac:dyDescent="0.3">
      <c r="A1902" s="506">
        <v>10808</v>
      </c>
      <c r="B1902" s="507" t="s">
        <v>5173</v>
      </c>
      <c r="C1902" s="506" t="s">
        <v>32</v>
      </c>
      <c r="D1902" s="508">
        <v>65359</v>
      </c>
      <c r="E1902" s="507" t="s">
        <v>6108</v>
      </c>
    </row>
    <row r="1903" spans="1:5" ht="15" x14ac:dyDescent="0.3">
      <c r="A1903" s="506">
        <v>10813</v>
      </c>
      <c r="B1903" s="507" t="s">
        <v>5174</v>
      </c>
      <c r="C1903" s="506" t="s">
        <v>32</v>
      </c>
      <c r="D1903" s="508">
        <v>17453</v>
      </c>
      <c r="E1903" s="507" t="s">
        <v>331</v>
      </c>
    </row>
    <row r="1904" spans="1:5" ht="15" x14ac:dyDescent="0.3">
      <c r="A1904" s="506">
        <v>10824</v>
      </c>
      <c r="B1904" s="507" t="s">
        <v>5175</v>
      </c>
      <c r="C1904" s="506" t="s">
        <v>32</v>
      </c>
      <c r="D1904" s="508">
        <v>1815000</v>
      </c>
      <c r="E1904" s="507" t="s">
        <v>6108</v>
      </c>
    </row>
    <row r="1905" spans="1:5" ht="15" x14ac:dyDescent="0.3">
      <c r="A1905" s="506">
        <v>10825</v>
      </c>
      <c r="B1905" s="507" t="s">
        <v>5176</v>
      </c>
      <c r="C1905" s="506" t="s">
        <v>21</v>
      </c>
      <c r="D1905" s="508">
        <v>77021</v>
      </c>
      <c r="E1905" s="507" t="s">
        <v>6108</v>
      </c>
    </row>
    <row r="1906" spans="1:5" ht="15" x14ac:dyDescent="0.3">
      <c r="A1906" s="506">
        <v>10830</v>
      </c>
      <c r="B1906" s="507" t="s">
        <v>5177</v>
      </c>
      <c r="C1906" s="506" t="s">
        <v>21</v>
      </c>
      <c r="D1906" s="508">
        <v>85579</v>
      </c>
      <c r="E1906" s="507" t="s">
        <v>6108</v>
      </c>
    </row>
    <row r="1907" spans="1:5" ht="15" x14ac:dyDescent="0.3">
      <c r="A1907" s="506">
        <v>10836</v>
      </c>
      <c r="B1907" s="507" t="s">
        <v>5178</v>
      </c>
      <c r="C1907" s="506" t="s">
        <v>32</v>
      </c>
      <c r="D1907" s="508">
        <v>5292942</v>
      </c>
      <c r="E1907" s="507" t="s">
        <v>6108</v>
      </c>
    </row>
    <row r="1908" spans="1:5" ht="15" x14ac:dyDescent="0.3">
      <c r="A1908" s="506">
        <v>10842</v>
      </c>
      <c r="B1908" s="507" t="s">
        <v>5179</v>
      </c>
      <c r="C1908" s="506" t="s">
        <v>32</v>
      </c>
      <c r="D1908" s="508">
        <v>17788</v>
      </c>
      <c r="E1908" s="507" t="s">
        <v>6108</v>
      </c>
    </row>
    <row r="1909" spans="1:5" ht="15" x14ac:dyDescent="0.3">
      <c r="A1909" s="506">
        <v>10847</v>
      </c>
      <c r="B1909" s="507" t="s">
        <v>5180</v>
      </c>
      <c r="C1909" s="506" t="s">
        <v>32</v>
      </c>
      <c r="D1909" s="508">
        <v>5439371</v>
      </c>
      <c r="E1909" s="507" t="s">
        <v>6108</v>
      </c>
    </row>
    <row r="1910" spans="1:5" ht="15" x14ac:dyDescent="0.3">
      <c r="A1910" s="506">
        <v>10852</v>
      </c>
      <c r="B1910" s="507" t="s">
        <v>5181</v>
      </c>
      <c r="C1910" s="506" t="s">
        <v>32</v>
      </c>
      <c r="D1910" s="508">
        <v>1446627</v>
      </c>
      <c r="E1910" s="507" t="s">
        <v>6108</v>
      </c>
    </row>
    <row r="1911" spans="1:5" ht="15" x14ac:dyDescent="0.3">
      <c r="A1911" s="506">
        <v>10855</v>
      </c>
      <c r="B1911" s="507" t="s">
        <v>5182</v>
      </c>
      <c r="C1911" s="506" t="s">
        <v>32</v>
      </c>
      <c r="D1911" s="508">
        <v>57120</v>
      </c>
      <c r="E1911" s="507" t="s">
        <v>6108</v>
      </c>
    </row>
    <row r="1912" spans="1:5" ht="15" x14ac:dyDescent="0.3">
      <c r="A1912" s="506">
        <v>10872</v>
      </c>
      <c r="B1912" s="507" t="s">
        <v>5183</v>
      </c>
      <c r="C1912" s="506" t="s">
        <v>32</v>
      </c>
      <c r="D1912" s="508">
        <v>490280</v>
      </c>
      <c r="E1912" s="507" t="s">
        <v>6108</v>
      </c>
    </row>
    <row r="1913" spans="1:5" ht="15" x14ac:dyDescent="0.3">
      <c r="A1913" s="506">
        <v>10877</v>
      </c>
      <c r="B1913" s="507" t="s">
        <v>5184</v>
      </c>
      <c r="C1913" s="506" t="s">
        <v>32</v>
      </c>
      <c r="D1913" s="508">
        <v>5593106</v>
      </c>
      <c r="E1913" s="507" t="s">
        <v>6108</v>
      </c>
    </row>
    <row r="1914" spans="1:5" ht="15" x14ac:dyDescent="0.3">
      <c r="A1914" s="506">
        <v>10878</v>
      </c>
      <c r="B1914" s="507" t="s">
        <v>5185</v>
      </c>
      <c r="C1914" s="506" t="s">
        <v>32</v>
      </c>
      <c r="D1914" s="508">
        <v>6588</v>
      </c>
      <c r="E1914" s="507" t="s">
        <v>6108</v>
      </c>
    </row>
    <row r="1915" spans="1:5" ht="15" x14ac:dyDescent="0.3">
      <c r="A1915" s="506">
        <v>10880</v>
      </c>
      <c r="B1915" s="507" t="s">
        <v>5186</v>
      </c>
      <c r="C1915" s="506" t="s">
        <v>30</v>
      </c>
      <c r="D1915" s="508">
        <v>28739</v>
      </c>
      <c r="E1915" s="507" t="s">
        <v>331</v>
      </c>
    </row>
    <row r="1916" spans="1:5" ht="15" x14ac:dyDescent="0.3">
      <c r="A1916" s="506">
        <v>10890</v>
      </c>
      <c r="B1916" s="507" t="s">
        <v>5187</v>
      </c>
      <c r="C1916" s="506" t="s">
        <v>328</v>
      </c>
      <c r="D1916" s="508">
        <v>44495</v>
      </c>
      <c r="E1916" s="507" t="s">
        <v>6108</v>
      </c>
    </row>
    <row r="1917" spans="1:5" ht="15" x14ac:dyDescent="0.3">
      <c r="A1917" s="506">
        <v>10920</v>
      </c>
      <c r="B1917" s="507" t="s">
        <v>6376</v>
      </c>
      <c r="C1917" s="506" t="s">
        <v>32</v>
      </c>
      <c r="D1917" s="508">
        <v>1261400</v>
      </c>
      <c r="E1917" s="507" t="s">
        <v>6108</v>
      </c>
    </row>
    <row r="1918" spans="1:5" ht="15" x14ac:dyDescent="0.3">
      <c r="A1918" s="506">
        <v>10936</v>
      </c>
      <c r="B1918" s="507" t="s">
        <v>6377</v>
      </c>
      <c r="C1918" s="506" t="s">
        <v>32</v>
      </c>
      <c r="D1918" s="508">
        <v>125809</v>
      </c>
      <c r="E1918" s="507" t="s">
        <v>6108</v>
      </c>
    </row>
    <row r="1919" spans="1:5" ht="15" x14ac:dyDescent="0.3">
      <c r="A1919" s="506">
        <v>10937</v>
      </c>
      <c r="B1919" s="507" t="s">
        <v>6378</v>
      </c>
      <c r="C1919" s="506" t="s">
        <v>32</v>
      </c>
      <c r="D1919" s="508">
        <v>249635</v>
      </c>
      <c r="E1919" s="507" t="s">
        <v>6108</v>
      </c>
    </row>
    <row r="1920" spans="1:5" ht="15" x14ac:dyDescent="0.3">
      <c r="A1920" s="506">
        <v>10947</v>
      </c>
      <c r="B1920" s="507" t="s">
        <v>5188</v>
      </c>
      <c r="C1920" s="506" t="s">
        <v>670</v>
      </c>
      <c r="D1920" s="508">
        <v>7140</v>
      </c>
      <c r="E1920" s="507" t="s">
        <v>331</v>
      </c>
    </row>
    <row r="1921" spans="1:5" ht="15" x14ac:dyDescent="0.3">
      <c r="A1921" s="506">
        <v>10948</v>
      </c>
      <c r="B1921" s="507" t="s">
        <v>5189</v>
      </c>
      <c r="C1921" s="506" t="s">
        <v>670</v>
      </c>
      <c r="D1921" s="508">
        <v>7140</v>
      </c>
      <c r="E1921" s="507" t="s">
        <v>331</v>
      </c>
    </row>
    <row r="1922" spans="1:5" ht="15" x14ac:dyDescent="0.3">
      <c r="A1922" s="506">
        <v>10955</v>
      </c>
      <c r="B1922" s="507" t="s">
        <v>5190</v>
      </c>
      <c r="C1922" s="506" t="s">
        <v>3582</v>
      </c>
      <c r="D1922" s="508">
        <v>4907108</v>
      </c>
      <c r="E1922" s="507" t="s">
        <v>6108</v>
      </c>
    </row>
    <row r="1923" spans="1:5" ht="15" x14ac:dyDescent="0.3">
      <c r="A1923" s="506">
        <v>10957</v>
      </c>
      <c r="B1923" s="507" t="s">
        <v>6379</v>
      </c>
      <c r="C1923" s="506" t="s">
        <v>32</v>
      </c>
      <c r="D1923" s="508">
        <v>73957</v>
      </c>
      <c r="E1923" s="507" t="s">
        <v>6108</v>
      </c>
    </row>
    <row r="1924" spans="1:5" ht="15" x14ac:dyDescent="0.3">
      <c r="A1924" s="506">
        <v>10958</v>
      </c>
      <c r="B1924" s="507" t="s">
        <v>6380</v>
      </c>
      <c r="C1924" s="506" t="s">
        <v>32</v>
      </c>
      <c r="D1924" s="508">
        <v>46201</v>
      </c>
      <c r="E1924" s="507" t="s">
        <v>6108</v>
      </c>
    </row>
    <row r="1925" spans="1:5" ht="15" x14ac:dyDescent="0.3">
      <c r="A1925" s="506">
        <v>10959</v>
      </c>
      <c r="B1925" s="507" t="s">
        <v>6381</v>
      </c>
      <c r="C1925" s="506" t="s">
        <v>32</v>
      </c>
      <c r="D1925" s="508">
        <v>41650</v>
      </c>
      <c r="E1925" s="507" t="s">
        <v>6108</v>
      </c>
    </row>
    <row r="1926" spans="1:5" ht="15" x14ac:dyDescent="0.3">
      <c r="A1926" s="506">
        <v>10960</v>
      </c>
      <c r="B1926" s="507" t="s">
        <v>6382</v>
      </c>
      <c r="C1926" s="506" t="s">
        <v>32</v>
      </c>
      <c r="D1926" s="508">
        <v>38080</v>
      </c>
      <c r="E1926" s="507" t="s">
        <v>6108</v>
      </c>
    </row>
    <row r="1927" spans="1:5" ht="15" x14ac:dyDescent="0.3">
      <c r="A1927" s="506">
        <v>10961</v>
      </c>
      <c r="B1927" s="507" t="s">
        <v>6383</v>
      </c>
      <c r="C1927" s="506" t="s">
        <v>32</v>
      </c>
      <c r="D1927" s="508">
        <v>26180</v>
      </c>
      <c r="E1927" s="507" t="s">
        <v>6108</v>
      </c>
    </row>
    <row r="1928" spans="1:5" ht="15" x14ac:dyDescent="0.3">
      <c r="A1928" s="506">
        <v>10962</v>
      </c>
      <c r="B1928" s="507" t="s">
        <v>6384</v>
      </c>
      <c r="C1928" s="506" t="s">
        <v>32</v>
      </c>
      <c r="D1928" s="508">
        <v>43554</v>
      </c>
      <c r="E1928" s="507" t="s">
        <v>6108</v>
      </c>
    </row>
    <row r="1929" spans="1:5" ht="15" x14ac:dyDescent="0.3">
      <c r="A1929" s="506">
        <v>10963</v>
      </c>
      <c r="B1929" s="507" t="s">
        <v>6385</v>
      </c>
      <c r="C1929" s="506" t="s">
        <v>32</v>
      </c>
      <c r="D1929" s="508">
        <v>43816</v>
      </c>
      <c r="E1929" s="507" t="s">
        <v>6108</v>
      </c>
    </row>
    <row r="1930" spans="1:5" ht="15" x14ac:dyDescent="0.3">
      <c r="A1930" s="506">
        <v>10964</v>
      </c>
      <c r="B1930" s="507" t="s">
        <v>6386</v>
      </c>
      <c r="C1930" s="506" t="s">
        <v>32</v>
      </c>
      <c r="D1930" s="508">
        <v>43316</v>
      </c>
      <c r="E1930" s="507" t="s">
        <v>6108</v>
      </c>
    </row>
    <row r="1931" spans="1:5" ht="15" x14ac:dyDescent="0.3">
      <c r="A1931" s="506">
        <v>10965</v>
      </c>
      <c r="B1931" s="507" t="s">
        <v>5191</v>
      </c>
      <c r="C1931" s="506" t="s">
        <v>32</v>
      </c>
      <c r="D1931" s="508">
        <v>261800</v>
      </c>
      <c r="E1931" s="507" t="s">
        <v>6108</v>
      </c>
    </row>
    <row r="1932" spans="1:5" ht="15" x14ac:dyDescent="0.3">
      <c r="A1932" s="506">
        <v>10966</v>
      </c>
      <c r="B1932" s="507" t="s">
        <v>5192</v>
      </c>
      <c r="C1932" s="506" t="s">
        <v>32</v>
      </c>
      <c r="D1932" s="508">
        <v>194291</v>
      </c>
      <c r="E1932" s="507" t="s">
        <v>6108</v>
      </c>
    </row>
    <row r="1933" spans="1:5" ht="15" x14ac:dyDescent="0.3">
      <c r="A1933" s="506">
        <v>10967</v>
      </c>
      <c r="B1933" s="507" t="s">
        <v>5193</v>
      </c>
      <c r="C1933" s="506" t="s">
        <v>32</v>
      </c>
      <c r="D1933" s="508">
        <v>1148350</v>
      </c>
      <c r="E1933" s="507" t="s">
        <v>6108</v>
      </c>
    </row>
    <row r="1934" spans="1:5" ht="15" x14ac:dyDescent="0.3">
      <c r="A1934" s="506">
        <v>10968</v>
      </c>
      <c r="B1934" s="507" t="s">
        <v>5194</v>
      </c>
      <c r="C1934" s="506" t="s">
        <v>32</v>
      </c>
      <c r="D1934" s="508">
        <v>131449</v>
      </c>
      <c r="E1934" s="507" t="s">
        <v>6108</v>
      </c>
    </row>
    <row r="1935" spans="1:5" ht="15" x14ac:dyDescent="0.3">
      <c r="A1935" s="506">
        <v>10969</v>
      </c>
      <c r="B1935" s="507" t="s">
        <v>6387</v>
      </c>
      <c r="C1935" s="506" t="s">
        <v>32</v>
      </c>
      <c r="D1935" s="508">
        <v>816340</v>
      </c>
      <c r="E1935" s="507" t="s">
        <v>6108</v>
      </c>
    </row>
    <row r="1936" spans="1:5" ht="15" x14ac:dyDescent="0.3">
      <c r="A1936" s="506">
        <v>10971</v>
      </c>
      <c r="B1936" s="507" t="s">
        <v>5195</v>
      </c>
      <c r="C1936" s="506" t="s">
        <v>32</v>
      </c>
      <c r="D1936" s="508">
        <v>773500</v>
      </c>
      <c r="E1936" s="507" t="s">
        <v>6108</v>
      </c>
    </row>
    <row r="1937" spans="1:5" ht="15" x14ac:dyDescent="0.3">
      <c r="A1937" s="506">
        <v>10972</v>
      </c>
      <c r="B1937" s="507" t="s">
        <v>5196</v>
      </c>
      <c r="C1937" s="506" t="s">
        <v>32</v>
      </c>
      <c r="D1937" s="508">
        <v>2501975</v>
      </c>
      <c r="E1937" s="507" t="s">
        <v>6108</v>
      </c>
    </row>
    <row r="1938" spans="1:5" ht="15" x14ac:dyDescent="0.3">
      <c r="A1938" s="506">
        <v>10973</v>
      </c>
      <c r="B1938" s="507" t="s">
        <v>5197</v>
      </c>
      <c r="C1938" s="506" t="s">
        <v>32</v>
      </c>
      <c r="D1938" s="508">
        <v>259000</v>
      </c>
      <c r="E1938" s="507" t="s">
        <v>6108</v>
      </c>
    </row>
    <row r="1939" spans="1:5" ht="15" x14ac:dyDescent="0.3">
      <c r="A1939" s="506">
        <v>10974</v>
      </c>
      <c r="B1939" s="507" t="s">
        <v>6388</v>
      </c>
      <c r="C1939" s="506" t="s">
        <v>32</v>
      </c>
      <c r="D1939" s="508">
        <v>142800</v>
      </c>
      <c r="E1939" s="507" t="s">
        <v>6108</v>
      </c>
    </row>
    <row r="1940" spans="1:5" ht="15" x14ac:dyDescent="0.3">
      <c r="A1940" s="506">
        <v>10975</v>
      </c>
      <c r="B1940" s="507" t="s">
        <v>6389</v>
      </c>
      <c r="C1940" s="506" t="s">
        <v>32</v>
      </c>
      <c r="D1940" s="508">
        <v>83300</v>
      </c>
      <c r="E1940" s="507" t="s">
        <v>6108</v>
      </c>
    </row>
    <row r="1941" spans="1:5" ht="15" x14ac:dyDescent="0.3">
      <c r="A1941" s="506">
        <v>10976</v>
      </c>
      <c r="B1941" s="507" t="s">
        <v>6390</v>
      </c>
      <c r="C1941" s="506" t="s">
        <v>32</v>
      </c>
      <c r="D1941" s="508">
        <v>2171152</v>
      </c>
      <c r="E1941" s="507" t="s">
        <v>6108</v>
      </c>
    </row>
    <row r="1942" spans="1:5" ht="15" x14ac:dyDescent="0.3">
      <c r="A1942" s="506">
        <v>10977</v>
      </c>
      <c r="B1942" s="507" t="s">
        <v>5198</v>
      </c>
      <c r="C1942" s="506" t="s">
        <v>32</v>
      </c>
      <c r="D1942" s="508">
        <v>3208524</v>
      </c>
      <c r="E1942" s="507" t="s">
        <v>331</v>
      </c>
    </row>
    <row r="1943" spans="1:5" ht="15" x14ac:dyDescent="0.3">
      <c r="A1943" s="506">
        <v>10987</v>
      </c>
      <c r="B1943" s="507" t="s">
        <v>6391</v>
      </c>
      <c r="C1943" s="506" t="s">
        <v>32</v>
      </c>
      <c r="D1943" s="508">
        <v>88060</v>
      </c>
      <c r="E1943" s="507" t="s">
        <v>6108</v>
      </c>
    </row>
    <row r="1944" spans="1:5" ht="15" x14ac:dyDescent="0.3">
      <c r="A1944" s="506">
        <v>10988</v>
      </c>
      <c r="B1944" s="507" t="s">
        <v>6392</v>
      </c>
      <c r="C1944" s="506" t="s">
        <v>32</v>
      </c>
      <c r="D1944" s="508">
        <v>210630</v>
      </c>
      <c r="E1944" s="507" t="s">
        <v>6108</v>
      </c>
    </row>
    <row r="1945" spans="1:5" ht="15" x14ac:dyDescent="0.3">
      <c r="A1945" s="506">
        <v>10989</v>
      </c>
      <c r="B1945" s="507" t="s">
        <v>6393</v>
      </c>
      <c r="C1945" s="506" t="s">
        <v>32</v>
      </c>
      <c r="D1945" s="508">
        <v>1449420</v>
      </c>
      <c r="E1945" s="507" t="s">
        <v>6108</v>
      </c>
    </row>
    <row r="1946" spans="1:5" ht="15" x14ac:dyDescent="0.3">
      <c r="A1946" s="506">
        <v>10992</v>
      </c>
      <c r="B1946" s="507" t="s">
        <v>6394</v>
      </c>
      <c r="C1946" s="506" t="s">
        <v>32</v>
      </c>
      <c r="D1946" s="508">
        <v>116745</v>
      </c>
      <c r="E1946" s="507" t="s">
        <v>6108</v>
      </c>
    </row>
    <row r="1947" spans="1:5" ht="15" x14ac:dyDescent="0.3">
      <c r="A1947" s="506">
        <v>10996</v>
      </c>
      <c r="B1947" s="507" t="s">
        <v>2780</v>
      </c>
      <c r="C1947" s="506" t="s">
        <v>32</v>
      </c>
      <c r="D1947" s="508">
        <v>325822</v>
      </c>
      <c r="E1947" s="507" t="s">
        <v>6108</v>
      </c>
    </row>
    <row r="1948" spans="1:5" ht="15" x14ac:dyDescent="0.3">
      <c r="A1948" s="506">
        <v>11007</v>
      </c>
      <c r="B1948" s="507" t="s">
        <v>6395</v>
      </c>
      <c r="C1948" s="506" t="s">
        <v>328</v>
      </c>
      <c r="D1948" s="508">
        <v>46398</v>
      </c>
      <c r="E1948" s="507" t="s">
        <v>6108</v>
      </c>
    </row>
    <row r="1949" spans="1:5" ht="15" x14ac:dyDescent="0.3">
      <c r="A1949" s="506">
        <v>11008</v>
      </c>
      <c r="B1949" s="507" t="s">
        <v>5199</v>
      </c>
      <c r="C1949" s="506" t="s">
        <v>30</v>
      </c>
      <c r="D1949" s="508">
        <v>126198</v>
      </c>
      <c r="E1949" s="507" t="s">
        <v>6108</v>
      </c>
    </row>
    <row r="1950" spans="1:5" ht="15" x14ac:dyDescent="0.3">
      <c r="A1950" s="506">
        <v>11026</v>
      </c>
      <c r="B1950" s="507" t="s">
        <v>5200</v>
      </c>
      <c r="C1950" s="506" t="s">
        <v>30</v>
      </c>
      <c r="D1950" s="508">
        <v>83062</v>
      </c>
      <c r="E1950" s="507" t="s">
        <v>331</v>
      </c>
    </row>
    <row r="1951" spans="1:5" ht="15" x14ac:dyDescent="0.3">
      <c r="A1951" s="506">
        <v>11027</v>
      </c>
      <c r="B1951" s="507" t="s">
        <v>5201</v>
      </c>
      <c r="C1951" s="506" t="s">
        <v>30</v>
      </c>
      <c r="D1951" s="508">
        <v>83062</v>
      </c>
      <c r="E1951" s="507" t="s">
        <v>331</v>
      </c>
    </row>
    <row r="1952" spans="1:5" ht="15" x14ac:dyDescent="0.3">
      <c r="A1952" s="506">
        <v>11028</v>
      </c>
      <c r="B1952" s="507" t="s">
        <v>5202</v>
      </c>
      <c r="C1952" s="506" t="s">
        <v>30</v>
      </c>
      <c r="D1952" s="508">
        <v>90135</v>
      </c>
      <c r="E1952" s="507" t="s">
        <v>331</v>
      </c>
    </row>
    <row r="1953" spans="1:5" ht="15" x14ac:dyDescent="0.3">
      <c r="A1953" s="506">
        <v>11029</v>
      </c>
      <c r="B1953" s="507" t="s">
        <v>5203</v>
      </c>
      <c r="C1953" s="506" t="s">
        <v>30</v>
      </c>
      <c r="D1953" s="508">
        <v>90135</v>
      </c>
      <c r="E1953" s="507" t="s">
        <v>331</v>
      </c>
    </row>
    <row r="1954" spans="1:5" ht="15" x14ac:dyDescent="0.3">
      <c r="A1954" s="506">
        <v>11030</v>
      </c>
      <c r="B1954" s="507" t="s">
        <v>5204</v>
      </c>
      <c r="C1954" s="506" t="s">
        <v>30</v>
      </c>
      <c r="D1954" s="508">
        <v>93265</v>
      </c>
      <c r="E1954" s="507" t="s">
        <v>331</v>
      </c>
    </row>
    <row r="1955" spans="1:5" ht="15" x14ac:dyDescent="0.3">
      <c r="A1955" s="506">
        <v>11031</v>
      </c>
      <c r="B1955" s="507" t="s">
        <v>5205</v>
      </c>
      <c r="C1955" s="506" t="s">
        <v>30</v>
      </c>
      <c r="D1955" s="508">
        <v>93265</v>
      </c>
      <c r="E1955" s="507" t="s">
        <v>331</v>
      </c>
    </row>
    <row r="1956" spans="1:5" ht="15" x14ac:dyDescent="0.3">
      <c r="A1956" s="506">
        <v>11032</v>
      </c>
      <c r="B1956" s="507" t="s">
        <v>5206</v>
      </c>
      <c r="C1956" s="506" t="s">
        <v>30</v>
      </c>
      <c r="D1956" s="508">
        <v>74137</v>
      </c>
      <c r="E1956" s="507" t="s">
        <v>331</v>
      </c>
    </row>
    <row r="1957" spans="1:5" ht="15" x14ac:dyDescent="0.3">
      <c r="A1957" s="506">
        <v>11033</v>
      </c>
      <c r="B1957" s="507" t="s">
        <v>5207</v>
      </c>
      <c r="C1957" s="506" t="s">
        <v>30</v>
      </c>
      <c r="D1957" s="508">
        <v>74137</v>
      </c>
      <c r="E1957" s="507" t="s">
        <v>331</v>
      </c>
    </row>
    <row r="1958" spans="1:5" ht="15" x14ac:dyDescent="0.3">
      <c r="A1958" s="506">
        <v>11034</v>
      </c>
      <c r="B1958" s="507" t="s">
        <v>5208</v>
      </c>
      <c r="C1958" s="506" t="s">
        <v>30</v>
      </c>
      <c r="D1958" s="508">
        <v>76517</v>
      </c>
      <c r="E1958" s="507" t="s">
        <v>331</v>
      </c>
    </row>
    <row r="1959" spans="1:5" ht="15" x14ac:dyDescent="0.3">
      <c r="A1959" s="506">
        <v>11035</v>
      </c>
      <c r="B1959" s="507" t="s">
        <v>5209</v>
      </c>
      <c r="C1959" s="506" t="s">
        <v>30</v>
      </c>
      <c r="D1959" s="508">
        <v>76517</v>
      </c>
      <c r="E1959" s="507" t="s">
        <v>331</v>
      </c>
    </row>
    <row r="1960" spans="1:5" ht="15" x14ac:dyDescent="0.3">
      <c r="A1960" s="506">
        <v>11036</v>
      </c>
      <c r="B1960" s="507" t="s">
        <v>5210</v>
      </c>
      <c r="C1960" s="506" t="s">
        <v>30</v>
      </c>
      <c r="D1960" s="508">
        <v>80920</v>
      </c>
      <c r="E1960" s="507" t="s">
        <v>331</v>
      </c>
    </row>
    <row r="1961" spans="1:5" ht="15" x14ac:dyDescent="0.3">
      <c r="A1961" s="506">
        <v>11037</v>
      </c>
      <c r="B1961" s="507" t="s">
        <v>5211</v>
      </c>
      <c r="C1961" s="506" t="s">
        <v>30</v>
      </c>
      <c r="D1961" s="508">
        <v>80920</v>
      </c>
      <c r="E1961" s="507" t="s">
        <v>331</v>
      </c>
    </row>
    <row r="1962" spans="1:5" ht="15" x14ac:dyDescent="0.3">
      <c r="A1962" s="506">
        <v>11038</v>
      </c>
      <c r="B1962" s="507" t="s">
        <v>5212</v>
      </c>
      <c r="C1962" s="506" t="s">
        <v>30</v>
      </c>
      <c r="D1962" s="508">
        <v>24059</v>
      </c>
      <c r="E1962" s="507" t="s">
        <v>331</v>
      </c>
    </row>
    <row r="1963" spans="1:5" ht="15" x14ac:dyDescent="0.3">
      <c r="A1963" s="506">
        <v>11039</v>
      </c>
      <c r="B1963" s="507" t="s">
        <v>5213</v>
      </c>
      <c r="C1963" s="506" t="s">
        <v>30</v>
      </c>
      <c r="D1963" s="508">
        <v>20988</v>
      </c>
      <c r="E1963" s="507" t="s">
        <v>331</v>
      </c>
    </row>
    <row r="1964" spans="1:5" ht="15" x14ac:dyDescent="0.3">
      <c r="A1964" s="506">
        <v>11057</v>
      </c>
      <c r="B1964" s="507" t="s">
        <v>5214</v>
      </c>
      <c r="C1964" s="506" t="s">
        <v>21</v>
      </c>
      <c r="D1964" s="508">
        <v>55145</v>
      </c>
      <c r="E1964" s="507" t="s">
        <v>6108</v>
      </c>
    </row>
    <row r="1965" spans="1:5" ht="15" x14ac:dyDescent="0.3">
      <c r="A1965" s="506">
        <v>11080</v>
      </c>
      <c r="B1965" s="507" t="s">
        <v>5215</v>
      </c>
      <c r="C1965" s="506" t="s">
        <v>30</v>
      </c>
      <c r="D1965" s="508">
        <v>1305125</v>
      </c>
      <c r="E1965" s="507" t="s">
        <v>331</v>
      </c>
    </row>
    <row r="1966" spans="1:5" ht="15" x14ac:dyDescent="0.3">
      <c r="A1966" s="506">
        <v>11081</v>
      </c>
      <c r="B1966" s="507" t="s">
        <v>5216</v>
      </c>
      <c r="C1966" s="506" t="s">
        <v>30</v>
      </c>
      <c r="D1966" s="508">
        <v>1185129</v>
      </c>
      <c r="E1966" s="507" t="s">
        <v>331</v>
      </c>
    </row>
    <row r="1967" spans="1:5" ht="15" x14ac:dyDescent="0.3">
      <c r="A1967" s="506">
        <v>11082</v>
      </c>
      <c r="B1967" s="507" t="s">
        <v>5217</v>
      </c>
      <c r="C1967" s="506" t="s">
        <v>30</v>
      </c>
      <c r="D1967" s="508">
        <v>1106930</v>
      </c>
      <c r="E1967" s="507" t="s">
        <v>331</v>
      </c>
    </row>
    <row r="1968" spans="1:5" ht="15" x14ac:dyDescent="0.3">
      <c r="A1968" s="506">
        <v>11083</v>
      </c>
      <c r="B1968" s="507" t="s">
        <v>5218</v>
      </c>
      <c r="C1968" s="506" t="s">
        <v>32</v>
      </c>
      <c r="D1968" s="508">
        <v>54379</v>
      </c>
      <c r="E1968" s="507" t="s">
        <v>6108</v>
      </c>
    </row>
    <row r="1969" spans="1:5" ht="15" x14ac:dyDescent="0.3">
      <c r="A1969" s="506">
        <v>11084</v>
      </c>
      <c r="B1969" s="507" t="s">
        <v>6396</v>
      </c>
      <c r="C1969" s="506" t="s">
        <v>32</v>
      </c>
      <c r="D1969" s="508">
        <v>158000</v>
      </c>
      <c r="E1969" s="507" t="s">
        <v>6108</v>
      </c>
    </row>
    <row r="1970" spans="1:5" ht="15" x14ac:dyDescent="0.3">
      <c r="A1970" s="506">
        <v>11085</v>
      </c>
      <c r="B1970" s="507" t="s">
        <v>5219</v>
      </c>
      <c r="C1970" s="506" t="s">
        <v>32</v>
      </c>
      <c r="D1970" s="508">
        <v>6942537</v>
      </c>
      <c r="E1970" s="507" t="s">
        <v>6108</v>
      </c>
    </row>
    <row r="1971" spans="1:5" ht="15" x14ac:dyDescent="0.3">
      <c r="A1971" s="506">
        <v>11086</v>
      </c>
      <c r="B1971" s="507" t="s">
        <v>5220</v>
      </c>
      <c r="C1971" s="506" t="s">
        <v>32</v>
      </c>
      <c r="D1971" s="508">
        <v>674690</v>
      </c>
      <c r="E1971" s="507" t="s">
        <v>6108</v>
      </c>
    </row>
    <row r="1972" spans="1:5" ht="15" x14ac:dyDescent="0.3">
      <c r="A1972" s="506">
        <v>11089</v>
      </c>
      <c r="B1972" s="507" t="s">
        <v>5221</v>
      </c>
      <c r="C1972" s="506" t="s">
        <v>32</v>
      </c>
      <c r="D1972" s="508">
        <v>28654</v>
      </c>
      <c r="E1972" s="507" t="s">
        <v>6108</v>
      </c>
    </row>
    <row r="1973" spans="1:5" ht="15" x14ac:dyDescent="0.3">
      <c r="A1973" s="506">
        <v>11091</v>
      </c>
      <c r="B1973" s="507" t="s">
        <v>5222</v>
      </c>
      <c r="C1973" s="506" t="s">
        <v>670</v>
      </c>
      <c r="D1973" s="508">
        <v>4451</v>
      </c>
      <c r="E1973" s="507" t="s">
        <v>6108</v>
      </c>
    </row>
    <row r="1974" spans="1:5" ht="15" x14ac:dyDescent="0.3">
      <c r="A1974" s="506">
        <v>11092</v>
      </c>
      <c r="B1974" s="507" t="s">
        <v>5223</v>
      </c>
      <c r="C1974" s="506" t="s">
        <v>670</v>
      </c>
      <c r="D1974" s="508">
        <v>8053</v>
      </c>
      <c r="E1974" s="507" t="s">
        <v>6108</v>
      </c>
    </row>
    <row r="1975" spans="1:5" ht="15" x14ac:dyDescent="0.3">
      <c r="A1975" s="506">
        <v>11093</v>
      </c>
      <c r="B1975" s="507" t="s">
        <v>5224</v>
      </c>
      <c r="C1975" s="506" t="s">
        <v>670</v>
      </c>
      <c r="D1975" s="508">
        <v>8693</v>
      </c>
      <c r="E1975" s="507" t="s">
        <v>6108</v>
      </c>
    </row>
    <row r="1976" spans="1:5" ht="15" x14ac:dyDescent="0.3">
      <c r="A1976" s="506">
        <v>11094</v>
      </c>
      <c r="B1976" s="507" t="s">
        <v>5225</v>
      </c>
      <c r="C1976" s="506" t="s">
        <v>670</v>
      </c>
      <c r="D1976" s="508">
        <v>6815</v>
      </c>
      <c r="E1976" s="507" t="s">
        <v>6108</v>
      </c>
    </row>
    <row r="1977" spans="1:5" ht="15" x14ac:dyDescent="0.3">
      <c r="A1977" s="506">
        <v>11096</v>
      </c>
      <c r="B1977" s="507" t="s">
        <v>5226</v>
      </c>
      <c r="C1977" s="506" t="s">
        <v>670</v>
      </c>
      <c r="D1977" s="508">
        <v>12553</v>
      </c>
      <c r="E1977" s="507" t="s">
        <v>6108</v>
      </c>
    </row>
    <row r="1978" spans="1:5" ht="15" x14ac:dyDescent="0.3">
      <c r="A1978" s="506">
        <v>11097</v>
      </c>
      <c r="B1978" s="507" t="s">
        <v>5227</v>
      </c>
      <c r="C1978" s="506" t="s">
        <v>670</v>
      </c>
      <c r="D1978" s="508">
        <v>12609</v>
      </c>
      <c r="E1978" s="507" t="s">
        <v>6108</v>
      </c>
    </row>
    <row r="1979" spans="1:5" ht="15" x14ac:dyDescent="0.3">
      <c r="A1979" s="506">
        <v>11098</v>
      </c>
      <c r="B1979" s="507" t="s">
        <v>5228</v>
      </c>
      <c r="C1979" s="506" t="s">
        <v>670</v>
      </c>
      <c r="D1979" s="508">
        <v>13345</v>
      </c>
      <c r="E1979" s="507" t="s">
        <v>6108</v>
      </c>
    </row>
    <row r="1980" spans="1:5" ht="15" x14ac:dyDescent="0.3">
      <c r="A1980" s="506">
        <v>11101</v>
      </c>
      <c r="B1980" s="507" t="s">
        <v>6397</v>
      </c>
      <c r="C1980" s="506" t="s">
        <v>328</v>
      </c>
      <c r="D1980" s="508">
        <v>97964</v>
      </c>
      <c r="E1980" s="507" t="s">
        <v>6108</v>
      </c>
    </row>
    <row r="1981" spans="1:5" ht="15" x14ac:dyDescent="0.3">
      <c r="A1981" s="506">
        <v>11102</v>
      </c>
      <c r="B1981" s="507" t="s">
        <v>6398</v>
      </c>
      <c r="C1981" s="506" t="s">
        <v>328</v>
      </c>
      <c r="D1981" s="508">
        <v>344595</v>
      </c>
      <c r="E1981" s="507" t="s">
        <v>6108</v>
      </c>
    </row>
    <row r="1982" spans="1:5" ht="15" x14ac:dyDescent="0.3">
      <c r="A1982" s="506">
        <v>11103</v>
      </c>
      <c r="B1982" s="507" t="s">
        <v>6399</v>
      </c>
      <c r="C1982" s="506" t="s">
        <v>328</v>
      </c>
      <c r="D1982" s="508">
        <v>430744</v>
      </c>
      <c r="E1982" s="507" t="s">
        <v>6108</v>
      </c>
    </row>
    <row r="1983" spans="1:5" ht="15" x14ac:dyDescent="0.3">
      <c r="A1983" s="506">
        <v>11106</v>
      </c>
      <c r="B1983" s="507" t="s">
        <v>6400</v>
      </c>
      <c r="C1983" s="506" t="s">
        <v>328</v>
      </c>
      <c r="D1983" s="508">
        <v>455358</v>
      </c>
      <c r="E1983" s="507" t="s">
        <v>6108</v>
      </c>
    </row>
    <row r="1984" spans="1:5" ht="15" x14ac:dyDescent="0.3">
      <c r="A1984" s="506">
        <v>11107</v>
      </c>
      <c r="B1984" s="507" t="s">
        <v>6401</v>
      </c>
      <c r="C1984" s="506" t="s">
        <v>328</v>
      </c>
      <c r="D1984" s="508">
        <v>639963</v>
      </c>
      <c r="E1984" s="507" t="s">
        <v>6108</v>
      </c>
    </row>
    <row r="1985" spans="1:5" ht="15" x14ac:dyDescent="0.3">
      <c r="A1985" s="506">
        <v>11110</v>
      </c>
      <c r="B1985" s="507" t="s">
        <v>6402</v>
      </c>
      <c r="C1985" s="506" t="s">
        <v>328</v>
      </c>
      <c r="D1985" s="508">
        <v>479972</v>
      </c>
      <c r="E1985" s="507" t="s">
        <v>6108</v>
      </c>
    </row>
    <row r="1986" spans="1:5" ht="15" x14ac:dyDescent="0.3">
      <c r="A1986" s="506">
        <v>11114</v>
      </c>
      <c r="B1986" s="507" t="s">
        <v>6403</v>
      </c>
      <c r="C1986" s="506" t="s">
        <v>328</v>
      </c>
      <c r="D1986" s="508">
        <v>504586</v>
      </c>
      <c r="E1986" s="507" t="s">
        <v>6108</v>
      </c>
    </row>
    <row r="1987" spans="1:5" ht="15" x14ac:dyDescent="0.3">
      <c r="A1987" s="506">
        <v>11116</v>
      </c>
      <c r="B1987" s="507" t="s">
        <v>5229</v>
      </c>
      <c r="C1987" s="506" t="s">
        <v>328</v>
      </c>
      <c r="D1987" s="508">
        <v>309400</v>
      </c>
      <c r="E1987" s="507" t="s">
        <v>6108</v>
      </c>
    </row>
    <row r="1988" spans="1:5" ht="15" x14ac:dyDescent="0.3">
      <c r="A1988" s="506">
        <v>11117</v>
      </c>
      <c r="B1988" s="507" t="s">
        <v>5230</v>
      </c>
      <c r="C1988" s="506" t="s">
        <v>328</v>
      </c>
      <c r="D1988" s="508">
        <v>333200</v>
      </c>
      <c r="E1988" s="507" t="s">
        <v>6108</v>
      </c>
    </row>
    <row r="1989" spans="1:5" ht="15" x14ac:dyDescent="0.3">
      <c r="A1989" s="506">
        <v>11118</v>
      </c>
      <c r="B1989" s="507" t="s">
        <v>5231</v>
      </c>
      <c r="C1989" s="506" t="s">
        <v>328</v>
      </c>
      <c r="D1989" s="508">
        <v>376849</v>
      </c>
      <c r="E1989" s="507" t="s">
        <v>6108</v>
      </c>
    </row>
    <row r="1990" spans="1:5" ht="15" x14ac:dyDescent="0.3">
      <c r="A1990" s="506">
        <v>11119</v>
      </c>
      <c r="B1990" s="507" t="s">
        <v>5232</v>
      </c>
      <c r="C1990" s="506" t="s">
        <v>328</v>
      </c>
      <c r="D1990" s="508">
        <v>537880</v>
      </c>
      <c r="E1990" s="507" t="s">
        <v>6108</v>
      </c>
    </row>
    <row r="1991" spans="1:5" ht="15" x14ac:dyDescent="0.3">
      <c r="A1991" s="506">
        <v>11120</v>
      </c>
      <c r="B1991" s="507" t="s">
        <v>5233</v>
      </c>
      <c r="C1991" s="506" t="s">
        <v>32</v>
      </c>
      <c r="D1991" s="508">
        <v>2215256</v>
      </c>
      <c r="E1991" s="507" t="s">
        <v>6108</v>
      </c>
    </row>
    <row r="1992" spans="1:5" ht="15" x14ac:dyDescent="0.3">
      <c r="A1992" s="506">
        <v>11121</v>
      </c>
      <c r="B1992" s="507" t="s">
        <v>5234</v>
      </c>
      <c r="C1992" s="506" t="s">
        <v>32</v>
      </c>
      <c r="D1992" s="508">
        <v>2953675</v>
      </c>
      <c r="E1992" s="507" t="s">
        <v>6108</v>
      </c>
    </row>
    <row r="1993" spans="1:5" ht="15" x14ac:dyDescent="0.3">
      <c r="A1993" s="506">
        <v>11125</v>
      </c>
      <c r="B1993" s="507" t="s">
        <v>5235</v>
      </c>
      <c r="C1993" s="506" t="s">
        <v>670</v>
      </c>
      <c r="D1993" s="508">
        <v>4356</v>
      </c>
      <c r="E1993" s="507" t="s">
        <v>331</v>
      </c>
    </row>
    <row r="1994" spans="1:5" ht="15" x14ac:dyDescent="0.3">
      <c r="A1994" s="506">
        <v>11127</v>
      </c>
      <c r="B1994" s="507" t="s">
        <v>5236</v>
      </c>
      <c r="C1994" s="506" t="s">
        <v>670</v>
      </c>
      <c r="D1994" s="508">
        <v>4414</v>
      </c>
      <c r="E1994" s="507" t="s">
        <v>331</v>
      </c>
    </row>
    <row r="1995" spans="1:5" ht="15" x14ac:dyDescent="0.3">
      <c r="A1995" s="506">
        <v>11136</v>
      </c>
      <c r="B1995" s="507" t="s">
        <v>5237</v>
      </c>
      <c r="C1995" s="506" t="s">
        <v>328</v>
      </c>
      <c r="D1995" s="508">
        <v>319007</v>
      </c>
      <c r="E1995" s="507" t="s">
        <v>6108</v>
      </c>
    </row>
    <row r="1996" spans="1:5" ht="15" x14ac:dyDescent="0.3">
      <c r="A1996" s="506">
        <v>11156</v>
      </c>
      <c r="B1996" s="507" t="s">
        <v>5238</v>
      </c>
      <c r="C1996" s="506" t="s">
        <v>3582</v>
      </c>
      <c r="D1996" s="508">
        <v>93298</v>
      </c>
      <c r="E1996" s="507" t="s">
        <v>331</v>
      </c>
    </row>
    <row r="1997" spans="1:5" ht="15" x14ac:dyDescent="0.3">
      <c r="A1997" s="506">
        <v>11161</v>
      </c>
      <c r="B1997" s="507" t="s">
        <v>5239</v>
      </c>
      <c r="C1997" s="506" t="s">
        <v>670</v>
      </c>
      <c r="D1997" s="508">
        <v>1314</v>
      </c>
      <c r="E1997" s="507" t="s">
        <v>6108</v>
      </c>
    </row>
    <row r="1998" spans="1:5" ht="15" x14ac:dyDescent="0.3">
      <c r="A1998" s="506">
        <v>11164</v>
      </c>
      <c r="B1998" s="507" t="s">
        <v>5240</v>
      </c>
      <c r="C1998" s="506" t="s">
        <v>32</v>
      </c>
      <c r="D1998" s="508">
        <v>42386</v>
      </c>
      <c r="E1998" s="507" t="s">
        <v>6108</v>
      </c>
    </row>
    <row r="1999" spans="1:5" ht="15" x14ac:dyDescent="0.3">
      <c r="A1999" s="506">
        <v>11165</v>
      </c>
      <c r="B1999" s="507" t="s">
        <v>2672</v>
      </c>
      <c r="C1999" s="506" t="s">
        <v>32</v>
      </c>
      <c r="D1999" s="508">
        <v>6583</v>
      </c>
      <c r="E1999" s="507" t="s">
        <v>6108</v>
      </c>
    </row>
    <row r="2000" spans="1:5" ht="15" x14ac:dyDescent="0.3">
      <c r="A2000" s="506">
        <v>11167</v>
      </c>
      <c r="B2000" s="507" t="s">
        <v>5241</v>
      </c>
      <c r="C2000" s="506" t="s">
        <v>979</v>
      </c>
      <c r="D2000" s="508">
        <v>5207</v>
      </c>
      <c r="E2000" s="507" t="s">
        <v>6108</v>
      </c>
    </row>
    <row r="2001" spans="1:5" ht="15" x14ac:dyDescent="0.3">
      <c r="A2001" s="506">
        <v>11169</v>
      </c>
      <c r="B2001" s="507" t="s">
        <v>5242</v>
      </c>
      <c r="C2001" s="506" t="s">
        <v>328</v>
      </c>
      <c r="D2001" s="508">
        <v>104323</v>
      </c>
      <c r="E2001" s="507" t="s">
        <v>331</v>
      </c>
    </row>
    <row r="2002" spans="1:5" ht="15" x14ac:dyDescent="0.3">
      <c r="A2002" s="506">
        <v>11171</v>
      </c>
      <c r="B2002" s="507" t="s">
        <v>5243</v>
      </c>
      <c r="C2002" s="506" t="s">
        <v>30</v>
      </c>
      <c r="D2002" s="508">
        <v>792600</v>
      </c>
      <c r="E2002" s="507" t="s">
        <v>331</v>
      </c>
    </row>
    <row r="2003" spans="1:5" ht="15" x14ac:dyDescent="0.3">
      <c r="A2003" s="506">
        <v>11172</v>
      </c>
      <c r="B2003" s="507" t="s">
        <v>5244</v>
      </c>
      <c r="C2003" s="506" t="s">
        <v>30</v>
      </c>
      <c r="D2003" s="508">
        <v>859928</v>
      </c>
      <c r="E2003" s="507" t="s">
        <v>331</v>
      </c>
    </row>
    <row r="2004" spans="1:5" ht="15" x14ac:dyDescent="0.3">
      <c r="A2004" s="506">
        <v>11173</v>
      </c>
      <c r="B2004" s="507" t="s">
        <v>5245</v>
      </c>
      <c r="C2004" s="506" t="s">
        <v>32</v>
      </c>
      <c r="D2004" s="508">
        <v>101150</v>
      </c>
      <c r="E2004" s="507" t="s">
        <v>6108</v>
      </c>
    </row>
    <row r="2005" spans="1:5" ht="15" x14ac:dyDescent="0.3">
      <c r="A2005" s="506">
        <v>11175</v>
      </c>
      <c r="B2005" s="507" t="s">
        <v>5246</v>
      </c>
      <c r="C2005" s="506" t="s">
        <v>32</v>
      </c>
      <c r="D2005" s="508">
        <v>59814</v>
      </c>
      <c r="E2005" s="507" t="s">
        <v>6108</v>
      </c>
    </row>
    <row r="2006" spans="1:5" ht="15" x14ac:dyDescent="0.3">
      <c r="A2006" s="506">
        <v>11277</v>
      </c>
      <c r="B2006" s="507" t="s">
        <v>5247</v>
      </c>
      <c r="C2006" s="506" t="s">
        <v>32</v>
      </c>
      <c r="D2006" s="508">
        <v>12188</v>
      </c>
      <c r="E2006" s="507" t="s">
        <v>6108</v>
      </c>
    </row>
    <row r="2007" spans="1:5" ht="15" x14ac:dyDescent="0.3">
      <c r="A2007" s="506">
        <v>11278</v>
      </c>
      <c r="B2007" s="507" t="s">
        <v>5248</v>
      </c>
      <c r="C2007" s="506" t="s">
        <v>32</v>
      </c>
      <c r="D2007" s="508">
        <v>643554</v>
      </c>
      <c r="E2007" s="507" t="s">
        <v>6108</v>
      </c>
    </row>
    <row r="2008" spans="1:5" ht="15" x14ac:dyDescent="0.3">
      <c r="A2008" s="506">
        <v>11279</v>
      </c>
      <c r="B2008" s="507" t="s">
        <v>2711</v>
      </c>
      <c r="C2008" s="506" t="s">
        <v>32</v>
      </c>
      <c r="D2008" s="508">
        <v>643554</v>
      </c>
      <c r="E2008" s="507" t="s">
        <v>6108</v>
      </c>
    </row>
    <row r="2009" spans="1:5" ht="15" x14ac:dyDescent="0.3">
      <c r="A2009" s="506">
        <v>11280</v>
      </c>
      <c r="B2009" s="507" t="s">
        <v>5249</v>
      </c>
      <c r="C2009" s="506" t="s">
        <v>32</v>
      </c>
      <c r="D2009" s="508">
        <v>5414500</v>
      </c>
      <c r="E2009" s="507" t="s">
        <v>6108</v>
      </c>
    </row>
    <row r="2010" spans="1:5" ht="15" x14ac:dyDescent="0.3">
      <c r="A2010" s="506">
        <v>11292</v>
      </c>
      <c r="B2010" s="507" t="s">
        <v>5250</v>
      </c>
      <c r="C2010" s="506" t="s">
        <v>32</v>
      </c>
      <c r="D2010" s="508">
        <v>29200</v>
      </c>
      <c r="E2010" s="507" t="s">
        <v>331</v>
      </c>
    </row>
    <row r="2011" spans="1:5" ht="15" x14ac:dyDescent="0.3">
      <c r="A2011" s="506">
        <v>11305</v>
      </c>
      <c r="B2011" s="507" t="s">
        <v>6404</v>
      </c>
      <c r="C2011" s="506" t="s">
        <v>2721</v>
      </c>
      <c r="D2011" s="508">
        <v>155678</v>
      </c>
      <c r="E2011" s="507" t="s">
        <v>6108</v>
      </c>
    </row>
    <row r="2012" spans="1:5" ht="15" x14ac:dyDescent="0.3">
      <c r="A2012" s="506">
        <v>11308</v>
      </c>
      <c r="B2012" s="507" t="s">
        <v>5251</v>
      </c>
      <c r="C2012" s="506" t="s">
        <v>3582</v>
      </c>
      <c r="D2012" s="508">
        <v>5412</v>
      </c>
      <c r="E2012" s="507" t="s">
        <v>6108</v>
      </c>
    </row>
    <row r="2013" spans="1:5" ht="15" x14ac:dyDescent="0.3">
      <c r="A2013" s="506">
        <v>11328</v>
      </c>
      <c r="B2013" s="507" t="s">
        <v>5252</v>
      </c>
      <c r="C2013" s="506" t="s">
        <v>3579</v>
      </c>
      <c r="D2013" s="508">
        <v>191408</v>
      </c>
      <c r="E2013" s="507" t="s">
        <v>6108</v>
      </c>
    </row>
    <row r="2014" spans="1:5" ht="15" x14ac:dyDescent="0.3">
      <c r="A2014" s="506">
        <v>11329</v>
      </c>
      <c r="B2014" s="507" t="s">
        <v>5253</v>
      </c>
      <c r="C2014" s="506" t="s">
        <v>3579</v>
      </c>
      <c r="D2014" s="508">
        <v>320000</v>
      </c>
      <c r="E2014" s="507" t="s">
        <v>6108</v>
      </c>
    </row>
    <row r="2015" spans="1:5" ht="15" x14ac:dyDescent="0.3">
      <c r="A2015" s="506">
        <v>11330</v>
      </c>
      <c r="B2015" s="507" t="s">
        <v>5254</v>
      </c>
      <c r="C2015" s="506" t="s">
        <v>3579</v>
      </c>
      <c r="D2015" s="508">
        <v>290000</v>
      </c>
      <c r="E2015" s="507" t="s">
        <v>6108</v>
      </c>
    </row>
    <row r="2016" spans="1:5" ht="15" x14ac:dyDescent="0.3">
      <c r="A2016" s="506">
        <v>11331</v>
      </c>
      <c r="B2016" s="507" t="s">
        <v>5255</v>
      </c>
      <c r="C2016" s="506" t="s">
        <v>3579</v>
      </c>
      <c r="D2016" s="508">
        <v>290000</v>
      </c>
      <c r="E2016" s="507" t="s">
        <v>6108</v>
      </c>
    </row>
    <row r="2017" spans="1:5" ht="15" x14ac:dyDescent="0.3">
      <c r="A2017" s="506">
        <v>11332</v>
      </c>
      <c r="B2017" s="507" t="s">
        <v>5256</v>
      </c>
      <c r="C2017" s="506" t="s">
        <v>328</v>
      </c>
      <c r="D2017" s="508">
        <v>392700</v>
      </c>
      <c r="E2017" s="507" t="s">
        <v>6108</v>
      </c>
    </row>
    <row r="2018" spans="1:5" ht="15" x14ac:dyDescent="0.3">
      <c r="A2018" s="506">
        <v>11337</v>
      </c>
      <c r="B2018" s="507" t="s">
        <v>5257</v>
      </c>
      <c r="C2018" s="506" t="s">
        <v>670</v>
      </c>
      <c r="D2018" s="508">
        <v>25981</v>
      </c>
      <c r="E2018" s="507" t="s">
        <v>6108</v>
      </c>
    </row>
    <row r="2019" spans="1:5" ht="15" x14ac:dyDescent="0.3">
      <c r="A2019" s="506">
        <v>11338</v>
      </c>
      <c r="B2019" s="507" t="s">
        <v>5258</v>
      </c>
      <c r="C2019" s="506" t="s">
        <v>30</v>
      </c>
      <c r="D2019" s="508">
        <v>986934</v>
      </c>
      <c r="E2019" s="507" t="s">
        <v>331</v>
      </c>
    </row>
    <row r="2020" spans="1:5" ht="15" x14ac:dyDescent="0.3">
      <c r="A2020" s="506">
        <v>11342</v>
      </c>
      <c r="B2020" s="507" t="s">
        <v>5259</v>
      </c>
      <c r="C2020" s="506" t="s">
        <v>30</v>
      </c>
      <c r="D2020" s="508">
        <v>792302</v>
      </c>
      <c r="E2020" s="507" t="s">
        <v>331</v>
      </c>
    </row>
    <row r="2021" spans="1:5" ht="15" x14ac:dyDescent="0.3">
      <c r="A2021" s="506">
        <v>11343</v>
      </c>
      <c r="B2021" s="507" t="s">
        <v>5260</v>
      </c>
      <c r="C2021" s="506" t="s">
        <v>30</v>
      </c>
      <c r="D2021" s="508">
        <v>860251</v>
      </c>
      <c r="E2021" s="507" t="s">
        <v>331</v>
      </c>
    </row>
    <row r="2022" spans="1:5" ht="15" x14ac:dyDescent="0.3">
      <c r="A2022" s="506">
        <v>11344</v>
      </c>
      <c r="B2022" s="507" t="s">
        <v>5261</v>
      </c>
      <c r="C2022" s="506" t="s">
        <v>670</v>
      </c>
      <c r="D2022" s="508">
        <v>54839</v>
      </c>
      <c r="E2022" s="507" t="s">
        <v>6108</v>
      </c>
    </row>
    <row r="2023" spans="1:5" ht="15" x14ac:dyDescent="0.3">
      <c r="A2023" s="506">
        <v>11346</v>
      </c>
      <c r="B2023" s="507" t="s">
        <v>5262</v>
      </c>
      <c r="C2023" s="506" t="s">
        <v>328</v>
      </c>
      <c r="D2023" s="508">
        <v>10674</v>
      </c>
      <c r="E2023" s="507" t="s">
        <v>6108</v>
      </c>
    </row>
    <row r="2024" spans="1:5" ht="15" x14ac:dyDescent="0.3">
      <c r="A2024" s="506">
        <v>11349</v>
      </c>
      <c r="B2024" s="507" t="s">
        <v>5263</v>
      </c>
      <c r="C2024" s="506" t="s">
        <v>328</v>
      </c>
      <c r="D2024" s="508">
        <v>1725500</v>
      </c>
      <c r="E2024" s="507" t="s">
        <v>331</v>
      </c>
    </row>
    <row r="2025" spans="1:5" ht="15" x14ac:dyDescent="0.3">
      <c r="A2025" s="506">
        <v>11350</v>
      </c>
      <c r="B2025" s="507" t="s">
        <v>5264</v>
      </c>
      <c r="C2025" s="506" t="s">
        <v>328</v>
      </c>
      <c r="D2025" s="508">
        <v>1892100</v>
      </c>
      <c r="E2025" s="507" t="s">
        <v>331</v>
      </c>
    </row>
    <row r="2026" spans="1:5" ht="15" x14ac:dyDescent="0.3">
      <c r="A2026" s="506">
        <v>11351</v>
      </c>
      <c r="B2026" s="507" t="s">
        <v>5265</v>
      </c>
      <c r="C2026" s="506" t="s">
        <v>328</v>
      </c>
      <c r="D2026" s="508">
        <v>2082500</v>
      </c>
      <c r="E2026" s="507" t="s">
        <v>331</v>
      </c>
    </row>
    <row r="2027" spans="1:5" ht="15" x14ac:dyDescent="0.3">
      <c r="A2027" s="506">
        <v>11352</v>
      </c>
      <c r="B2027" s="507" t="s">
        <v>5266</v>
      </c>
      <c r="C2027" s="506" t="s">
        <v>328</v>
      </c>
      <c r="D2027" s="508">
        <v>2475200</v>
      </c>
      <c r="E2027" s="507" t="s">
        <v>331</v>
      </c>
    </row>
    <row r="2028" spans="1:5" ht="15" x14ac:dyDescent="0.3">
      <c r="A2028" s="506">
        <v>11353</v>
      </c>
      <c r="B2028" s="507" t="s">
        <v>5267</v>
      </c>
      <c r="C2028" s="506" t="s">
        <v>328</v>
      </c>
      <c r="D2028" s="508">
        <v>2826250</v>
      </c>
      <c r="E2028" s="507" t="s">
        <v>331</v>
      </c>
    </row>
    <row r="2029" spans="1:5" ht="15" x14ac:dyDescent="0.3">
      <c r="A2029" s="506">
        <v>11354</v>
      </c>
      <c r="B2029" s="507" t="s">
        <v>5268</v>
      </c>
      <c r="C2029" s="506" t="s">
        <v>328</v>
      </c>
      <c r="D2029" s="508">
        <v>3088050</v>
      </c>
      <c r="E2029" s="507" t="s">
        <v>331</v>
      </c>
    </row>
    <row r="2030" spans="1:5" ht="15" x14ac:dyDescent="0.3">
      <c r="A2030" s="506">
        <v>11355</v>
      </c>
      <c r="B2030" s="507" t="s">
        <v>5269</v>
      </c>
      <c r="C2030" s="506" t="s">
        <v>328</v>
      </c>
      <c r="D2030" s="508">
        <v>3790150</v>
      </c>
      <c r="E2030" s="507" t="s">
        <v>331</v>
      </c>
    </row>
    <row r="2031" spans="1:5" ht="15" x14ac:dyDescent="0.3">
      <c r="A2031" s="506">
        <v>11356</v>
      </c>
      <c r="B2031" s="507" t="s">
        <v>5270</v>
      </c>
      <c r="C2031" s="506" t="s">
        <v>328</v>
      </c>
      <c r="D2031" s="508">
        <v>4237152</v>
      </c>
      <c r="E2031" s="507" t="s">
        <v>331</v>
      </c>
    </row>
    <row r="2032" spans="1:5" ht="15" x14ac:dyDescent="0.3">
      <c r="A2032" s="506">
        <v>11357</v>
      </c>
      <c r="B2032" s="507" t="s">
        <v>5271</v>
      </c>
      <c r="C2032" s="506" t="s">
        <v>328</v>
      </c>
      <c r="D2032" s="508">
        <v>5033700</v>
      </c>
      <c r="E2032" s="507" t="s">
        <v>331</v>
      </c>
    </row>
    <row r="2033" spans="1:5" ht="15" x14ac:dyDescent="0.3">
      <c r="A2033" s="506">
        <v>11358</v>
      </c>
      <c r="B2033" s="507" t="s">
        <v>5272</v>
      </c>
      <c r="C2033" s="506" t="s">
        <v>328</v>
      </c>
      <c r="D2033" s="508">
        <v>6012016</v>
      </c>
      <c r="E2033" s="507" t="s">
        <v>331</v>
      </c>
    </row>
    <row r="2034" spans="1:5" ht="15" x14ac:dyDescent="0.3">
      <c r="A2034" s="506">
        <v>11359</v>
      </c>
      <c r="B2034" s="507" t="s">
        <v>5273</v>
      </c>
      <c r="C2034" s="506" t="s">
        <v>328</v>
      </c>
      <c r="D2034" s="508">
        <v>7610050</v>
      </c>
      <c r="E2034" s="507" t="s">
        <v>331</v>
      </c>
    </row>
    <row r="2035" spans="1:5" ht="15" x14ac:dyDescent="0.3">
      <c r="A2035" s="506">
        <v>11360</v>
      </c>
      <c r="B2035" s="507" t="s">
        <v>5274</v>
      </c>
      <c r="C2035" s="506" t="s">
        <v>328</v>
      </c>
      <c r="D2035" s="508">
        <v>9686600</v>
      </c>
      <c r="E2035" s="507" t="s">
        <v>331</v>
      </c>
    </row>
    <row r="2036" spans="1:5" ht="15" x14ac:dyDescent="0.3">
      <c r="A2036" s="506">
        <v>11361</v>
      </c>
      <c r="B2036" s="507" t="s">
        <v>5275</v>
      </c>
      <c r="C2036" s="506" t="s">
        <v>328</v>
      </c>
      <c r="D2036" s="508">
        <v>10642406</v>
      </c>
      <c r="E2036" s="507" t="s">
        <v>331</v>
      </c>
    </row>
    <row r="2037" spans="1:5" ht="15" x14ac:dyDescent="0.3">
      <c r="A2037" s="506">
        <v>11362</v>
      </c>
      <c r="B2037" s="507" t="s">
        <v>5276</v>
      </c>
      <c r="C2037" s="506" t="s">
        <v>32</v>
      </c>
      <c r="D2037" s="508">
        <v>5421</v>
      </c>
      <c r="E2037" s="507" t="s">
        <v>331</v>
      </c>
    </row>
    <row r="2038" spans="1:5" ht="15" x14ac:dyDescent="0.3">
      <c r="A2038" s="506">
        <v>11363</v>
      </c>
      <c r="B2038" s="507" t="s">
        <v>5277</v>
      </c>
      <c r="C2038" s="506" t="s">
        <v>32</v>
      </c>
      <c r="D2038" s="508">
        <v>89202</v>
      </c>
      <c r="E2038" s="507" t="s">
        <v>6108</v>
      </c>
    </row>
    <row r="2039" spans="1:5" ht="15" x14ac:dyDescent="0.3">
      <c r="A2039" s="506">
        <v>11366</v>
      </c>
      <c r="B2039" s="507" t="s">
        <v>5278</v>
      </c>
      <c r="C2039" s="506" t="s">
        <v>30</v>
      </c>
      <c r="D2039" s="508">
        <v>904392</v>
      </c>
      <c r="E2039" s="507" t="s">
        <v>331</v>
      </c>
    </row>
    <row r="2040" spans="1:5" ht="15" x14ac:dyDescent="0.3">
      <c r="A2040" s="506">
        <v>11367</v>
      </c>
      <c r="B2040" s="507" t="s">
        <v>5279</v>
      </c>
      <c r="C2040" s="506" t="s">
        <v>3579</v>
      </c>
      <c r="D2040" s="508">
        <v>192493</v>
      </c>
      <c r="E2040" s="507" t="s">
        <v>6108</v>
      </c>
    </row>
    <row r="2041" spans="1:5" ht="15" x14ac:dyDescent="0.3">
      <c r="A2041" s="506">
        <v>11368</v>
      </c>
      <c r="B2041" s="507" t="s">
        <v>5280</v>
      </c>
      <c r="C2041" s="506" t="s">
        <v>3579</v>
      </c>
      <c r="D2041" s="508">
        <v>192493</v>
      </c>
      <c r="E2041" s="507" t="s">
        <v>6108</v>
      </c>
    </row>
    <row r="2042" spans="1:5" ht="15" x14ac:dyDescent="0.3">
      <c r="A2042" s="506">
        <v>11370</v>
      </c>
      <c r="B2042" s="507" t="s">
        <v>5281</v>
      </c>
      <c r="C2042" s="506" t="s">
        <v>3579</v>
      </c>
      <c r="D2042" s="508">
        <v>365104</v>
      </c>
      <c r="E2042" s="507" t="s">
        <v>6108</v>
      </c>
    </row>
    <row r="2043" spans="1:5" ht="15" x14ac:dyDescent="0.3">
      <c r="A2043" s="506">
        <v>11381</v>
      </c>
      <c r="B2043" s="507" t="s">
        <v>6405</v>
      </c>
      <c r="C2043" s="506" t="s">
        <v>32</v>
      </c>
      <c r="D2043" s="508">
        <v>665128</v>
      </c>
      <c r="E2043" s="507" t="s">
        <v>6108</v>
      </c>
    </row>
    <row r="2044" spans="1:5" ht="15" x14ac:dyDescent="0.3">
      <c r="A2044" s="506">
        <v>11382</v>
      </c>
      <c r="B2044" s="507" t="s">
        <v>6406</v>
      </c>
      <c r="C2044" s="506" t="s">
        <v>32</v>
      </c>
      <c r="D2044" s="508">
        <v>930176</v>
      </c>
      <c r="E2044" s="507" t="s">
        <v>6108</v>
      </c>
    </row>
    <row r="2045" spans="1:5" ht="15" x14ac:dyDescent="0.3">
      <c r="A2045" s="506">
        <v>11384</v>
      </c>
      <c r="B2045" s="507" t="s">
        <v>6407</v>
      </c>
      <c r="C2045" s="506" t="s">
        <v>32</v>
      </c>
      <c r="D2045" s="508">
        <v>482257</v>
      </c>
      <c r="E2045" s="507" t="s">
        <v>6108</v>
      </c>
    </row>
    <row r="2046" spans="1:5" ht="15" x14ac:dyDescent="0.3">
      <c r="A2046" s="506">
        <v>11385</v>
      </c>
      <c r="B2046" s="507" t="s">
        <v>6408</v>
      </c>
      <c r="C2046" s="506" t="s">
        <v>32</v>
      </c>
      <c r="D2046" s="508">
        <v>783185</v>
      </c>
      <c r="E2046" s="507" t="s">
        <v>6108</v>
      </c>
    </row>
    <row r="2047" spans="1:5" ht="15" x14ac:dyDescent="0.3">
      <c r="A2047" s="506">
        <v>11408</v>
      </c>
      <c r="B2047" s="507" t="s">
        <v>5282</v>
      </c>
      <c r="C2047" s="506" t="s">
        <v>328</v>
      </c>
      <c r="D2047" s="508">
        <v>43911</v>
      </c>
      <c r="E2047" s="507" t="s">
        <v>6108</v>
      </c>
    </row>
    <row r="2048" spans="1:5" ht="15" x14ac:dyDescent="0.3">
      <c r="A2048" s="506">
        <v>11409</v>
      </c>
      <c r="B2048" s="507" t="s">
        <v>6409</v>
      </c>
      <c r="C2048" s="506" t="s">
        <v>32</v>
      </c>
      <c r="D2048" s="508">
        <v>1457750</v>
      </c>
      <c r="E2048" s="507" t="s">
        <v>6108</v>
      </c>
    </row>
    <row r="2049" spans="1:5" ht="15" x14ac:dyDescent="0.3">
      <c r="A2049" s="506">
        <v>11424</v>
      </c>
      <c r="B2049" s="507" t="s">
        <v>6410</v>
      </c>
      <c r="C2049" s="506" t="s">
        <v>32</v>
      </c>
      <c r="D2049" s="508">
        <v>3844460</v>
      </c>
      <c r="E2049" s="507" t="s">
        <v>6108</v>
      </c>
    </row>
    <row r="2050" spans="1:5" ht="15" x14ac:dyDescent="0.3">
      <c r="A2050" s="506">
        <v>11425</v>
      </c>
      <c r="B2050" s="507" t="s">
        <v>6411</v>
      </c>
      <c r="C2050" s="506" t="s">
        <v>32</v>
      </c>
      <c r="D2050" s="508">
        <v>4739025</v>
      </c>
      <c r="E2050" s="507" t="s">
        <v>6108</v>
      </c>
    </row>
    <row r="2051" spans="1:5" ht="15" x14ac:dyDescent="0.3">
      <c r="A2051" s="506">
        <v>11426</v>
      </c>
      <c r="B2051" s="507" t="s">
        <v>6412</v>
      </c>
      <c r="C2051" s="506" t="s">
        <v>32</v>
      </c>
      <c r="D2051" s="508">
        <v>5898972</v>
      </c>
      <c r="E2051" s="507" t="s">
        <v>6108</v>
      </c>
    </row>
    <row r="2052" spans="1:5" ht="15" x14ac:dyDescent="0.3">
      <c r="A2052" s="506">
        <v>11427</v>
      </c>
      <c r="B2052" s="507" t="s">
        <v>6413</v>
      </c>
      <c r="C2052" s="506" t="s">
        <v>32</v>
      </c>
      <c r="D2052" s="508">
        <v>7456992</v>
      </c>
      <c r="E2052" s="507" t="s">
        <v>6108</v>
      </c>
    </row>
    <row r="2053" spans="1:5" ht="15" x14ac:dyDescent="0.3">
      <c r="A2053" s="506">
        <v>11429</v>
      </c>
      <c r="B2053" s="507" t="s">
        <v>6414</v>
      </c>
      <c r="C2053" s="506" t="s">
        <v>32</v>
      </c>
      <c r="D2053" s="508">
        <v>4217083</v>
      </c>
      <c r="E2053" s="507" t="s">
        <v>6108</v>
      </c>
    </row>
    <row r="2054" spans="1:5" ht="15" x14ac:dyDescent="0.3">
      <c r="A2054" s="506">
        <v>11430</v>
      </c>
      <c r="B2054" s="507" t="s">
        <v>6415</v>
      </c>
      <c r="C2054" s="506" t="s">
        <v>32</v>
      </c>
      <c r="D2054" s="508">
        <v>5339674</v>
      </c>
      <c r="E2054" s="507" t="s">
        <v>6108</v>
      </c>
    </row>
    <row r="2055" spans="1:5" ht="15" x14ac:dyDescent="0.3">
      <c r="A2055" s="506">
        <v>11432</v>
      </c>
      <c r="B2055" s="507" t="s">
        <v>6416</v>
      </c>
      <c r="C2055" s="506" t="s">
        <v>32</v>
      </c>
      <c r="D2055" s="508">
        <v>4657453</v>
      </c>
      <c r="E2055" s="507" t="s">
        <v>6108</v>
      </c>
    </row>
    <row r="2056" spans="1:5" ht="15" x14ac:dyDescent="0.3">
      <c r="A2056" s="506">
        <v>11433</v>
      </c>
      <c r="B2056" s="507" t="s">
        <v>6417</v>
      </c>
      <c r="C2056" s="506" t="s">
        <v>32</v>
      </c>
      <c r="D2056" s="508">
        <v>7136172</v>
      </c>
      <c r="E2056" s="507" t="s">
        <v>6108</v>
      </c>
    </row>
    <row r="2057" spans="1:5" ht="15" x14ac:dyDescent="0.3">
      <c r="A2057" s="506">
        <v>11434</v>
      </c>
      <c r="B2057" s="507" t="s">
        <v>6418</v>
      </c>
      <c r="C2057" s="506" t="s">
        <v>32</v>
      </c>
      <c r="D2057" s="508">
        <v>9268560</v>
      </c>
      <c r="E2057" s="507" t="s">
        <v>6108</v>
      </c>
    </row>
    <row r="2058" spans="1:5" ht="15" x14ac:dyDescent="0.3">
      <c r="A2058" s="506">
        <v>11435</v>
      </c>
      <c r="B2058" s="507" t="s">
        <v>5283</v>
      </c>
      <c r="C2058" s="506" t="s">
        <v>328</v>
      </c>
      <c r="D2058" s="508">
        <v>718105</v>
      </c>
      <c r="E2058" s="507" t="s">
        <v>6108</v>
      </c>
    </row>
    <row r="2059" spans="1:5" ht="15" x14ac:dyDescent="0.3">
      <c r="A2059" s="506">
        <v>11436</v>
      </c>
      <c r="B2059" s="507" t="s">
        <v>5284</v>
      </c>
      <c r="C2059" s="506" t="s">
        <v>32</v>
      </c>
      <c r="D2059" s="508">
        <v>936558</v>
      </c>
      <c r="E2059" s="507" t="s">
        <v>6108</v>
      </c>
    </row>
    <row r="2060" spans="1:5" ht="15" x14ac:dyDescent="0.3">
      <c r="A2060" s="506">
        <v>11437</v>
      </c>
      <c r="B2060" s="507" t="s">
        <v>5285</v>
      </c>
      <c r="C2060" s="506" t="s">
        <v>32</v>
      </c>
      <c r="D2060" s="508">
        <v>1404837</v>
      </c>
      <c r="E2060" s="507" t="s">
        <v>6108</v>
      </c>
    </row>
    <row r="2061" spans="1:5" ht="15" x14ac:dyDescent="0.3">
      <c r="A2061" s="506">
        <v>11438</v>
      </c>
      <c r="B2061" s="507" t="s">
        <v>5286</v>
      </c>
      <c r="C2061" s="506" t="s">
        <v>328</v>
      </c>
      <c r="D2061" s="508">
        <v>1533200</v>
      </c>
      <c r="E2061" s="507" t="s">
        <v>6108</v>
      </c>
    </row>
    <row r="2062" spans="1:5" ht="15" x14ac:dyDescent="0.3">
      <c r="A2062" s="506">
        <v>11439</v>
      </c>
      <c r="B2062" s="507" t="s">
        <v>5287</v>
      </c>
      <c r="C2062" s="506" t="s">
        <v>32</v>
      </c>
      <c r="D2062" s="508">
        <v>1987700</v>
      </c>
      <c r="E2062" s="507" t="s">
        <v>6108</v>
      </c>
    </row>
    <row r="2063" spans="1:5" ht="15" x14ac:dyDescent="0.3">
      <c r="A2063" s="506">
        <v>11442</v>
      </c>
      <c r="B2063" s="507" t="s">
        <v>5288</v>
      </c>
      <c r="C2063" s="506" t="s">
        <v>21</v>
      </c>
      <c r="D2063" s="508">
        <v>94796</v>
      </c>
      <c r="E2063" s="507" t="s">
        <v>6108</v>
      </c>
    </row>
    <row r="2064" spans="1:5" ht="15" x14ac:dyDescent="0.3">
      <c r="A2064" s="506">
        <v>11443</v>
      </c>
      <c r="B2064" s="507" t="s">
        <v>5289</v>
      </c>
      <c r="C2064" s="506" t="s">
        <v>21</v>
      </c>
      <c r="D2064" s="508">
        <v>72413</v>
      </c>
      <c r="E2064" s="507" t="s">
        <v>6108</v>
      </c>
    </row>
    <row r="2065" spans="1:5" ht="15" x14ac:dyDescent="0.3">
      <c r="A2065" s="506">
        <v>11444</v>
      </c>
      <c r="B2065" s="507" t="s">
        <v>5290</v>
      </c>
      <c r="C2065" s="506" t="s">
        <v>21</v>
      </c>
      <c r="D2065" s="508">
        <v>46081</v>
      </c>
      <c r="E2065" s="507" t="s">
        <v>6108</v>
      </c>
    </row>
    <row r="2066" spans="1:5" ht="15" x14ac:dyDescent="0.3">
      <c r="A2066" s="506">
        <v>11447</v>
      </c>
      <c r="B2066" s="507" t="s">
        <v>5291</v>
      </c>
      <c r="C2066" s="506" t="s">
        <v>21</v>
      </c>
      <c r="D2066" s="508">
        <v>69900</v>
      </c>
      <c r="E2066" s="507" t="s">
        <v>6108</v>
      </c>
    </row>
    <row r="2067" spans="1:5" ht="15" x14ac:dyDescent="0.3">
      <c r="A2067" s="506">
        <v>11448</v>
      </c>
      <c r="B2067" s="507" t="s">
        <v>5292</v>
      </c>
      <c r="C2067" s="506" t="s">
        <v>32</v>
      </c>
      <c r="D2067" s="508">
        <v>146044</v>
      </c>
      <c r="E2067" s="507" t="s">
        <v>6108</v>
      </c>
    </row>
    <row r="2068" spans="1:5" ht="15" x14ac:dyDescent="0.3">
      <c r="A2068" s="506">
        <v>11449</v>
      </c>
      <c r="B2068" s="507" t="s">
        <v>5293</v>
      </c>
      <c r="C2068" s="506" t="s">
        <v>32</v>
      </c>
      <c r="D2068" s="508">
        <v>42993</v>
      </c>
      <c r="E2068" s="507" t="s">
        <v>6108</v>
      </c>
    </row>
    <row r="2069" spans="1:5" ht="15" x14ac:dyDescent="0.3">
      <c r="A2069" s="506">
        <v>11450</v>
      </c>
      <c r="B2069" s="507" t="s">
        <v>5294</v>
      </c>
      <c r="C2069" s="506" t="s">
        <v>32</v>
      </c>
      <c r="D2069" s="508">
        <v>27965</v>
      </c>
      <c r="E2069" s="507" t="s">
        <v>6108</v>
      </c>
    </row>
    <row r="2070" spans="1:5" ht="15" x14ac:dyDescent="0.3">
      <c r="A2070" s="506">
        <v>11451</v>
      </c>
      <c r="B2070" s="507" t="s">
        <v>5295</v>
      </c>
      <c r="C2070" s="506" t="s">
        <v>32</v>
      </c>
      <c r="D2070" s="508">
        <v>54740</v>
      </c>
      <c r="E2070" s="507" t="s">
        <v>6108</v>
      </c>
    </row>
    <row r="2071" spans="1:5" ht="15" x14ac:dyDescent="0.3">
      <c r="A2071" s="506">
        <v>11452</v>
      </c>
      <c r="B2071" s="507" t="s">
        <v>5296</v>
      </c>
      <c r="C2071" s="506" t="s">
        <v>4222</v>
      </c>
      <c r="D2071" s="508">
        <v>42840</v>
      </c>
      <c r="E2071" s="507" t="s">
        <v>6108</v>
      </c>
    </row>
    <row r="2072" spans="1:5" ht="15" x14ac:dyDescent="0.3">
      <c r="A2072" s="506">
        <v>11453</v>
      </c>
      <c r="B2072" s="507" t="s">
        <v>5297</v>
      </c>
      <c r="C2072" s="506" t="s">
        <v>4222</v>
      </c>
      <c r="D2072" s="508">
        <v>852494</v>
      </c>
      <c r="E2072" s="507" t="s">
        <v>6108</v>
      </c>
    </row>
    <row r="2073" spans="1:5" ht="15" x14ac:dyDescent="0.3">
      <c r="A2073" s="506">
        <v>11454</v>
      </c>
      <c r="B2073" s="507" t="s">
        <v>5298</v>
      </c>
      <c r="C2073" s="506" t="s">
        <v>32</v>
      </c>
      <c r="D2073" s="508">
        <v>99000</v>
      </c>
      <c r="E2073" s="507" t="s">
        <v>6108</v>
      </c>
    </row>
    <row r="2074" spans="1:5" ht="15" x14ac:dyDescent="0.3">
      <c r="A2074" s="506">
        <v>11455</v>
      </c>
      <c r="B2074" s="507" t="s">
        <v>6419</v>
      </c>
      <c r="C2074" s="506" t="s">
        <v>5299</v>
      </c>
      <c r="D2074" s="508">
        <v>37691</v>
      </c>
      <c r="E2074" s="507" t="s">
        <v>6108</v>
      </c>
    </row>
    <row r="2075" spans="1:5" ht="15" x14ac:dyDescent="0.3">
      <c r="A2075" s="506">
        <v>11456</v>
      </c>
      <c r="B2075" s="507" t="s">
        <v>6420</v>
      </c>
      <c r="C2075" s="506" t="s">
        <v>5299</v>
      </c>
      <c r="D2075" s="508">
        <v>46704</v>
      </c>
      <c r="E2075" s="507" t="s">
        <v>6108</v>
      </c>
    </row>
    <row r="2076" spans="1:5" ht="15" x14ac:dyDescent="0.3">
      <c r="A2076" s="506">
        <v>11457</v>
      </c>
      <c r="B2076" s="507" t="s">
        <v>6421</v>
      </c>
      <c r="C2076" s="506" t="s">
        <v>4440</v>
      </c>
      <c r="D2076" s="508">
        <v>59813</v>
      </c>
      <c r="E2076" s="507" t="s">
        <v>6108</v>
      </c>
    </row>
    <row r="2077" spans="1:5" ht="15" x14ac:dyDescent="0.3">
      <c r="A2077" s="506">
        <v>11458</v>
      </c>
      <c r="B2077" s="507" t="s">
        <v>6422</v>
      </c>
      <c r="C2077" s="506" t="s">
        <v>2721</v>
      </c>
      <c r="D2077" s="508">
        <v>98618</v>
      </c>
      <c r="E2077" s="507" t="s">
        <v>6108</v>
      </c>
    </row>
    <row r="2078" spans="1:5" ht="15" x14ac:dyDescent="0.3">
      <c r="A2078" s="506">
        <v>11459</v>
      </c>
      <c r="B2078" s="507" t="s">
        <v>6423</v>
      </c>
      <c r="C2078" s="506" t="s">
        <v>2721</v>
      </c>
      <c r="D2078" s="508">
        <v>90555</v>
      </c>
      <c r="E2078" s="507" t="s">
        <v>6108</v>
      </c>
    </row>
    <row r="2079" spans="1:5" ht="15" x14ac:dyDescent="0.3">
      <c r="A2079" s="506">
        <v>11461</v>
      </c>
      <c r="B2079" s="507" t="s">
        <v>6424</v>
      </c>
      <c r="C2079" s="506" t="s">
        <v>2721</v>
      </c>
      <c r="D2079" s="508">
        <v>245806</v>
      </c>
      <c r="E2079" s="507" t="s">
        <v>6108</v>
      </c>
    </row>
    <row r="2080" spans="1:5" ht="15" x14ac:dyDescent="0.3">
      <c r="A2080" s="506">
        <v>11463</v>
      </c>
      <c r="B2080" s="507" t="s">
        <v>6425</v>
      </c>
      <c r="C2080" s="506" t="s">
        <v>2721</v>
      </c>
      <c r="D2080" s="508">
        <v>283025</v>
      </c>
      <c r="E2080" s="507" t="s">
        <v>6108</v>
      </c>
    </row>
    <row r="2081" spans="1:5" ht="15" x14ac:dyDescent="0.3">
      <c r="A2081" s="506">
        <v>11464</v>
      </c>
      <c r="B2081" s="507" t="s">
        <v>6426</v>
      </c>
      <c r="C2081" s="506" t="s">
        <v>2721</v>
      </c>
      <c r="D2081" s="508">
        <v>356584</v>
      </c>
      <c r="E2081" s="507" t="s">
        <v>6108</v>
      </c>
    </row>
    <row r="2082" spans="1:5" ht="15" x14ac:dyDescent="0.3">
      <c r="A2082" s="506">
        <v>11466</v>
      </c>
      <c r="B2082" s="507" t="s">
        <v>6427</v>
      </c>
      <c r="C2082" s="506" t="s">
        <v>2721</v>
      </c>
      <c r="D2082" s="508">
        <v>226813</v>
      </c>
      <c r="E2082" s="507" t="s">
        <v>6108</v>
      </c>
    </row>
    <row r="2083" spans="1:5" ht="15" x14ac:dyDescent="0.3">
      <c r="A2083" s="506">
        <v>11467</v>
      </c>
      <c r="B2083" s="507" t="s">
        <v>6428</v>
      </c>
      <c r="C2083" s="506" t="s">
        <v>2721</v>
      </c>
      <c r="D2083" s="508">
        <v>260987</v>
      </c>
      <c r="E2083" s="507" t="s">
        <v>6108</v>
      </c>
    </row>
    <row r="2084" spans="1:5" ht="15" x14ac:dyDescent="0.3">
      <c r="A2084" s="506">
        <v>11470</v>
      </c>
      <c r="B2084" s="507" t="s">
        <v>6429</v>
      </c>
      <c r="C2084" s="506" t="s">
        <v>2721</v>
      </c>
      <c r="D2084" s="508">
        <v>105399</v>
      </c>
      <c r="E2084" s="507" t="s">
        <v>6108</v>
      </c>
    </row>
    <row r="2085" spans="1:5" ht="15" x14ac:dyDescent="0.3">
      <c r="A2085" s="506">
        <v>11471</v>
      </c>
      <c r="B2085" s="507" t="s">
        <v>6430</v>
      </c>
      <c r="C2085" s="506" t="s">
        <v>2721</v>
      </c>
      <c r="D2085" s="508">
        <v>139409</v>
      </c>
      <c r="E2085" s="507" t="s">
        <v>6108</v>
      </c>
    </row>
    <row r="2086" spans="1:5" ht="15" x14ac:dyDescent="0.3">
      <c r="A2086" s="506">
        <v>11472</v>
      </c>
      <c r="B2086" s="507" t="s">
        <v>6431</v>
      </c>
      <c r="C2086" s="506" t="s">
        <v>2721</v>
      </c>
      <c r="D2086" s="508">
        <v>155678</v>
      </c>
      <c r="E2086" s="507" t="s">
        <v>6108</v>
      </c>
    </row>
    <row r="2087" spans="1:5" ht="15" x14ac:dyDescent="0.3">
      <c r="A2087" s="506">
        <v>11477</v>
      </c>
      <c r="B2087" s="507" t="s">
        <v>5300</v>
      </c>
      <c r="C2087" s="506" t="s">
        <v>3582</v>
      </c>
      <c r="D2087" s="508">
        <v>1383280</v>
      </c>
      <c r="E2087" s="507" t="s">
        <v>6108</v>
      </c>
    </row>
    <row r="2088" spans="1:5" ht="15" x14ac:dyDescent="0.3">
      <c r="A2088" s="506">
        <v>11481</v>
      </c>
      <c r="B2088" s="507" t="s">
        <v>5301</v>
      </c>
      <c r="C2088" s="506" t="s">
        <v>3582</v>
      </c>
      <c r="D2088" s="508">
        <v>1029988</v>
      </c>
      <c r="E2088" s="507" t="s">
        <v>6108</v>
      </c>
    </row>
    <row r="2089" spans="1:5" ht="15" x14ac:dyDescent="0.3">
      <c r="A2089" s="506">
        <v>11482</v>
      </c>
      <c r="B2089" s="507" t="s">
        <v>5302</v>
      </c>
      <c r="C2089" s="506" t="s">
        <v>3582</v>
      </c>
      <c r="D2089" s="508">
        <v>1029988</v>
      </c>
      <c r="E2089" s="507" t="s">
        <v>6108</v>
      </c>
    </row>
    <row r="2090" spans="1:5" ht="15" x14ac:dyDescent="0.3">
      <c r="A2090" s="506">
        <v>11483</v>
      </c>
      <c r="B2090" s="507" t="s">
        <v>5303</v>
      </c>
      <c r="C2090" s="506" t="s">
        <v>3582</v>
      </c>
      <c r="D2090" s="508">
        <v>1029988</v>
      </c>
      <c r="E2090" s="507" t="s">
        <v>6108</v>
      </c>
    </row>
    <row r="2091" spans="1:5" ht="15" x14ac:dyDescent="0.3">
      <c r="A2091" s="506">
        <v>11484</v>
      </c>
      <c r="B2091" s="507" t="s">
        <v>5304</v>
      </c>
      <c r="C2091" s="506" t="s">
        <v>3582</v>
      </c>
      <c r="D2091" s="508">
        <v>1029988</v>
      </c>
      <c r="E2091" s="507" t="s">
        <v>6108</v>
      </c>
    </row>
    <row r="2092" spans="1:5" ht="15" x14ac:dyDescent="0.3">
      <c r="A2092" s="506">
        <v>11485</v>
      </c>
      <c r="B2092" s="507" t="s">
        <v>6432</v>
      </c>
      <c r="C2092" s="506" t="s">
        <v>3582</v>
      </c>
      <c r="D2092" s="508">
        <v>1029988</v>
      </c>
      <c r="E2092" s="507" t="s">
        <v>6108</v>
      </c>
    </row>
    <row r="2093" spans="1:5" ht="15" x14ac:dyDescent="0.3">
      <c r="A2093" s="506">
        <v>11489</v>
      </c>
      <c r="B2093" s="507" t="s">
        <v>6433</v>
      </c>
      <c r="C2093" s="506" t="s">
        <v>3582</v>
      </c>
      <c r="D2093" s="508">
        <v>1029988</v>
      </c>
      <c r="E2093" s="507" t="s">
        <v>6108</v>
      </c>
    </row>
    <row r="2094" spans="1:5" ht="15" x14ac:dyDescent="0.3">
      <c r="A2094" s="506">
        <v>11498</v>
      </c>
      <c r="B2094" s="507" t="s">
        <v>6434</v>
      </c>
      <c r="C2094" s="506" t="s">
        <v>32</v>
      </c>
      <c r="D2094" s="508">
        <v>193000</v>
      </c>
      <c r="E2094" s="507" t="s">
        <v>6108</v>
      </c>
    </row>
    <row r="2095" spans="1:5" ht="15" x14ac:dyDescent="0.3">
      <c r="A2095" s="506">
        <v>11499</v>
      </c>
      <c r="B2095" s="507" t="s">
        <v>6435</v>
      </c>
      <c r="C2095" s="506" t="s">
        <v>32</v>
      </c>
      <c r="D2095" s="508">
        <v>175050</v>
      </c>
      <c r="E2095" s="507" t="s">
        <v>6108</v>
      </c>
    </row>
    <row r="2096" spans="1:5" ht="15" x14ac:dyDescent="0.3">
      <c r="A2096" s="506">
        <v>11500</v>
      </c>
      <c r="B2096" s="507" t="s">
        <v>6436</v>
      </c>
      <c r="C2096" s="506" t="s">
        <v>32</v>
      </c>
      <c r="D2096" s="508">
        <v>229670</v>
      </c>
      <c r="E2096" s="507" t="s">
        <v>6108</v>
      </c>
    </row>
    <row r="2097" spans="1:5" ht="15" x14ac:dyDescent="0.3">
      <c r="A2097" s="506">
        <v>11501</v>
      </c>
      <c r="B2097" s="507" t="s">
        <v>6437</v>
      </c>
      <c r="C2097" s="506" t="s">
        <v>32</v>
      </c>
      <c r="D2097" s="508">
        <v>120000</v>
      </c>
      <c r="E2097" s="507" t="s">
        <v>6108</v>
      </c>
    </row>
    <row r="2098" spans="1:5" ht="15" x14ac:dyDescent="0.3">
      <c r="A2098" s="506">
        <v>11502</v>
      </c>
      <c r="B2098" s="507" t="s">
        <v>5305</v>
      </c>
      <c r="C2098" s="506" t="s">
        <v>32</v>
      </c>
      <c r="D2098" s="508">
        <v>816340</v>
      </c>
      <c r="E2098" s="507" t="s">
        <v>6108</v>
      </c>
    </row>
    <row r="2099" spans="1:5" ht="15" x14ac:dyDescent="0.3">
      <c r="A2099" s="506">
        <v>11503</v>
      </c>
      <c r="B2099" s="507" t="s">
        <v>5306</v>
      </c>
      <c r="C2099" s="506" t="s">
        <v>32</v>
      </c>
      <c r="D2099" s="508">
        <v>907864</v>
      </c>
      <c r="E2099" s="507" t="s">
        <v>6108</v>
      </c>
    </row>
    <row r="2100" spans="1:5" ht="15" x14ac:dyDescent="0.3">
      <c r="A2100" s="506">
        <v>11504</v>
      </c>
      <c r="B2100" s="507" t="s">
        <v>6438</v>
      </c>
      <c r="C2100" s="506" t="s">
        <v>32</v>
      </c>
      <c r="D2100" s="508">
        <v>357000</v>
      </c>
      <c r="E2100" s="507" t="s">
        <v>6108</v>
      </c>
    </row>
    <row r="2101" spans="1:5" ht="15" x14ac:dyDescent="0.3">
      <c r="A2101" s="506">
        <v>11505</v>
      </c>
      <c r="B2101" s="507" t="s">
        <v>6439</v>
      </c>
      <c r="C2101" s="506" t="s">
        <v>32</v>
      </c>
      <c r="D2101" s="508">
        <v>490000</v>
      </c>
      <c r="E2101" s="507" t="s">
        <v>6108</v>
      </c>
    </row>
    <row r="2102" spans="1:5" ht="15" x14ac:dyDescent="0.3">
      <c r="A2102" s="506">
        <v>11506</v>
      </c>
      <c r="B2102" s="507" t="s">
        <v>5307</v>
      </c>
      <c r="C2102" s="506" t="s">
        <v>32</v>
      </c>
      <c r="D2102" s="508">
        <v>664000</v>
      </c>
      <c r="E2102" s="507" t="s">
        <v>6108</v>
      </c>
    </row>
    <row r="2103" spans="1:5" ht="15" x14ac:dyDescent="0.3">
      <c r="A2103" s="506">
        <v>11507</v>
      </c>
      <c r="B2103" s="507" t="s">
        <v>5308</v>
      </c>
      <c r="C2103" s="506" t="s">
        <v>32</v>
      </c>
      <c r="D2103" s="508">
        <v>93415</v>
      </c>
      <c r="E2103" s="507" t="s">
        <v>6108</v>
      </c>
    </row>
    <row r="2104" spans="1:5" ht="15" x14ac:dyDescent="0.3">
      <c r="A2104" s="506">
        <v>11508</v>
      </c>
      <c r="B2104" s="507" t="s">
        <v>5309</v>
      </c>
      <c r="C2104" s="506" t="s">
        <v>32</v>
      </c>
      <c r="D2104" s="508">
        <v>113050</v>
      </c>
      <c r="E2104" s="507" t="s">
        <v>6108</v>
      </c>
    </row>
    <row r="2105" spans="1:5" ht="15" x14ac:dyDescent="0.3">
      <c r="A2105" s="506">
        <v>11509</v>
      </c>
      <c r="B2105" s="507" t="s">
        <v>6440</v>
      </c>
      <c r="C2105" s="506" t="s">
        <v>32</v>
      </c>
      <c r="D2105" s="508">
        <v>141015</v>
      </c>
      <c r="E2105" s="507" t="s">
        <v>6108</v>
      </c>
    </row>
    <row r="2106" spans="1:5" ht="15" x14ac:dyDescent="0.3">
      <c r="A2106" s="506">
        <v>11510</v>
      </c>
      <c r="B2106" s="507" t="s">
        <v>5310</v>
      </c>
      <c r="C2106" s="506" t="s">
        <v>32</v>
      </c>
      <c r="D2106" s="508">
        <v>235620</v>
      </c>
      <c r="E2106" s="507" t="s">
        <v>6108</v>
      </c>
    </row>
    <row r="2107" spans="1:5" ht="15" x14ac:dyDescent="0.3">
      <c r="A2107" s="506">
        <v>11511</v>
      </c>
      <c r="B2107" s="507" t="s">
        <v>5311</v>
      </c>
      <c r="C2107" s="506" t="s">
        <v>5312</v>
      </c>
      <c r="D2107" s="508">
        <v>152915</v>
      </c>
      <c r="E2107" s="507" t="s">
        <v>6108</v>
      </c>
    </row>
    <row r="2108" spans="1:5" ht="15" x14ac:dyDescent="0.3">
      <c r="A2108" s="506">
        <v>11512</v>
      </c>
      <c r="B2108" s="507" t="s">
        <v>5313</v>
      </c>
      <c r="C2108" s="506" t="s">
        <v>32</v>
      </c>
      <c r="D2108" s="508">
        <v>351288</v>
      </c>
      <c r="E2108" s="507" t="s">
        <v>6108</v>
      </c>
    </row>
    <row r="2109" spans="1:5" ht="15" x14ac:dyDescent="0.3">
      <c r="A2109" s="506">
        <v>11513</v>
      </c>
      <c r="B2109" s="507" t="s">
        <v>5314</v>
      </c>
      <c r="C2109" s="506" t="s">
        <v>32</v>
      </c>
      <c r="D2109" s="508">
        <v>227290</v>
      </c>
      <c r="E2109" s="507" t="s">
        <v>6108</v>
      </c>
    </row>
    <row r="2110" spans="1:5" ht="15" x14ac:dyDescent="0.3">
      <c r="A2110" s="506">
        <v>11514</v>
      </c>
      <c r="B2110" s="507" t="s">
        <v>6441</v>
      </c>
      <c r="C2110" s="506" t="s">
        <v>979</v>
      </c>
      <c r="D2110" s="508">
        <v>23800</v>
      </c>
      <c r="E2110" s="507" t="s">
        <v>6108</v>
      </c>
    </row>
    <row r="2111" spans="1:5" ht="15" x14ac:dyDescent="0.3">
      <c r="A2111" s="506">
        <v>11515</v>
      </c>
      <c r="B2111" s="507" t="s">
        <v>5315</v>
      </c>
      <c r="C2111" s="506" t="s">
        <v>32</v>
      </c>
      <c r="D2111" s="508">
        <v>333200</v>
      </c>
      <c r="E2111" s="507" t="s">
        <v>6108</v>
      </c>
    </row>
    <row r="2112" spans="1:5" ht="15" x14ac:dyDescent="0.3">
      <c r="A2112" s="506">
        <v>11516</v>
      </c>
      <c r="B2112" s="507" t="s">
        <v>5316</v>
      </c>
      <c r="C2112" s="506" t="s">
        <v>32</v>
      </c>
      <c r="D2112" s="508">
        <v>142800</v>
      </c>
      <c r="E2112" s="507" t="s">
        <v>6108</v>
      </c>
    </row>
    <row r="2113" spans="1:5" ht="15" x14ac:dyDescent="0.3">
      <c r="A2113" s="506">
        <v>11517</v>
      </c>
      <c r="B2113" s="507" t="s">
        <v>5317</v>
      </c>
      <c r="C2113" s="506" t="s">
        <v>32</v>
      </c>
      <c r="D2113" s="508">
        <v>125000</v>
      </c>
      <c r="E2113" s="507" t="s">
        <v>6108</v>
      </c>
    </row>
    <row r="2114" spans="1:5" ht="15" x14ac:dyDescent="0.3">
      <c r="A2114" s="506">
        <v>11518</v>
      </c>
      <c r="B2114" s="507" t="s">
        <v>6442</v>
      </c>
      <c r="C2114" s="506" t="s">
        <v>32</v>
      </c>
      <c r="D2114" s="508">
        <v>382714</v>
      </c>
      <c r="E2114" s="507" t="s">
        <v>6108</v>
      </c>
    </row>
    <row r="2115" spans="1:5" ht="15" x14ac:dyDescent="0.3">
      <c r="A2115" s="506">
        <v>11519</v>
      </c>
      <c r="B2115" s="507" t="s">
        <v>6443</v>
      </c>
      <c r="C2115" s="506" t="s">
        <v>32</v>
      </c>
      <c r="D2115" s="508">
        <v>189210</v>
      </c>
      <c r="E2115" s="507" t="s">
        <v>6108</v>
      </c>
    </row>
    <row r="2116" spans="1:5" ht="15" x14ac:dyDescent="0.3">
      <c r="A2116" s="506">
        <v>11520</v>
      </c>
      <c r="B2116" s="507" t="s">
        <v>6444</v>
      </c>
      <c r="C2116" s="506" t="s">
        <v>32</v>
      </c>
      <c r="D2116" s="508">
        <v>214200</v>
      </c>
      <c r="E2116" s="507" t="s">
        <v>6108</v>
      </c>
    </row>
    <row r="2117" spans="1:5" ht="15" x14ac:dyDescent="0.3">
      <c r="A2117" s="506">
        <v>11521</v>
      </c>
      <c r="B2117" s="507" t="s">
        <v>6445</v>
      </c>
      <c r="C2117" s="506" t="s">
        <v>32</v>
      </c>
      <c r="D2117" s="508">
        <v>1011500</v>
      </c>
      <c r="E2117" s="507" t="s">
        <v>6108</v>
      </c>
    </row>
    <row r="2118" spans="1:5" ht="15" x14ac:dyDescent="0.3">
      <c r="A2118" s="506">
        <v>11522</v>
      </c>
      <c r="B2118" s="507" t="s">
        <v>5318</v>
      </c>
      <c r="C2118" s="506" t="s">
        <v>32</v>
      </c>
      <c r="D2118" s="508">
        <v>214200</v>
      </c>
      <c r="E2118" s="507" t="s">
        <v>6108</v>
      </c>
    </row>
    <row r="2119" spans="1:5" ht="15" x14ac:dyDescent="0.3">
      <c r="A2119" s="506">
        <v>11523</v>
      </c>
      <c r="B2119" s="507" t="s">
        <v>5319</v>
      </c>
      <c r="C2119" s="506" t="s">
        <v>32</v>
      </c>
      <c r="D2119" s="508">
        <v>511700</v>
      </c>
      <c r="E2119" s="507" t="s">
        <v>6108</v>
      </c>
    </row>
    <row r="2120" spans="1:5" ht="15" x14ac:dyDescent="0.3">
      <c r="A2120" s="506">
        <v>11524</v>
      </c>
      <c r="B2120" s="507" t="s">
        <v>6446</v>
      </c>
      <c r="C2120" s="506" t="s">
        <v>32</v>
      </c>
      <c r="D2120" s="508">
        <v>205025</v>
      </c>
      <c r="E2120" s="507" t="s">
        <v>6108</v>
      </c>
    </row>
    <row r="2121" spans="1:5" ht="15" x14ac:dyDescent="0.3">
      <c r="A2121" s="506">
        <v>11525</v>
      </c>
      <c r="B2121" s="507" t="s">
        <v>6447</v>
      </c>
      <c r="C2121" s="506" t="s">
        <v>32</v>
      </c>
      <c r="D2121" s="508">
        <v>173588</v>
      </c>
      <c r="E2121" s="507" t="s">
        <v>6108</v>
      </c>
    </row>
    <row r="2122" spans="1:5" ht="15" x14ac:dyDescent="0.3">
      <c r="A2122" s="506">
        <v>11526</v>
      </c>
      <c r="B2122" s="507" t="s">
        <v>6448</v>
      </c>
      <c r="C2122" s="506" t="s">
        <v>32</v>
      </c>
      <c r="D2122" s="508">
        <v>714000</v>
      </c>
      <c r="E2122" s="507" t="s">
        <v>6108</v>
      </c>
    </row>
    <row r="2123" spans="1:5" ht="15" x14ac:dyDescent="0.3">
      <c r="A2123" s="506">
        <v>11528</v>
      </c>
      <c r="B2123" s="507" t="s">
        <v>6449</v>
      </c>
      <c r="C2123" s="506" t="s">
        <v>32</v>
      </c>
      <c r="D2123" s="508">
        <v>249900</v>
      </c>
      <c r="E2123" s="507" t="s">
        <v>6108</v>
      </c>
    </row>
    <row r="2124" spans="1:5" ht="15" x14ac:dyDescent="0.3">
      <c r="A2124" s="506">
        <v>11529</v>
      </c>
      <c r="B2124" s="507" t="s">
        <v>5320</v>
      </c>
      <c r="C2124" s="506" t="s">
        <v>32</v>
      </c>
      <c r="D2124" s="508">
        <v>273819</v>
      </c>
      <c r="E2124" s="507" t="s">
        <v>6108</v>
      </c>
    </row>
    <row r="2125" spans="1:5" ht="15" x14ac:dyDescent="0.3">
      <c r="A2125" s="506">
        <v>11531</v>
      </c>
      <c r="B2125" s="507" t="s">
        <v>6450</v>
      </c>
      <c r="C2125" s="506" t="s">
        <v>32</v>
      </c>
      <c r="D2125" s="508">
        <v>225701</v>
      </c>
      <c r="E2125" s="507" t="s">
        <v>6108</v>
      </c>
    </row>
    <row r="2126" spans="1:5" ht="15" x14ac:dyDescent="0.3">
      <c r="A2126" s="506">
        <v>11532</v>
      </c>
      <c r="B2126" s="507" t="s">
        <v>6451</v>
      </c>
      <c r="C2126" s="506" t="s">
        <v>32</v>
      </c>
      <c r="D2126" s="508">
        <v>225701</v>
      </c>
      <c r="E2126" s="507" t="s">
        <v>6108</v>
      </c>
    </row>
    <row r="2127" spans="1:5" ht="15" x14ac:dyDescent="0.3">
      <c r="A2127" s="506">
        <v>11533</v>
      </c>
      <c r="B2127" s="507" t="s">
        <v>6452</v>
      </c>
      <c r="C2127" s="506" t="s">
        <v>32</v>
      </c>
      <c r="D2127" s="508">
        <v>571200</v>
      </c>
      <c r="E2127" s="507" t="s">
        <v>6108</v>
      </c>
    </row>
    <row r="2128" spans="1:5" ht="15" x14ac:dyDescent="0.3">
      <c r="A2128" s="506">
        <v>11534</v>
      </c>
      <c r="B2128" s="507" t="s">
        <v>5321</v>
      </c>
      <c r="C2128" s="506" t="s">
        <v>32</v>
      </c>
      <c r="D2128" s="508">
        <v>1428000</v>
      </c>
      <c r="E2128" s="507" t="s">
        <v>6108</v>
      </c>
    </row>
    <row r="2129" spans="1:5" ht="15" x14ac:dyDescent="0.3">
      <c r="A2129" s="506">
        <v>11535</v>
      </c>
      <c r="B2129" s="507" t="s">
        <v>6453</v>
      </c>
      <c r="C2129" s="506" t="s">
        <v>32</v>
      </c>
      <c r="D2129" s="508">
        <v>357000</v>
      </c>
      <c r="E2129" s="507" t="s">
        <v>6108</v>
      </c>
    </row>
    <row r="2130" spans="1:5" ht="15" x14ac:dyDescent="0.3">
      <c r="A2130" s="506">
        <v>11536</v>
      </c>
      <c r="B2130" s="507" t="s">
        <v>5322</v>
      </c>
      <c r="C2130" s="506" t="s">
        <v>32</v>
      </c>
      <c r="D2130" s="508">
        <v>169630</v>
      </c>
      <c r="E2130" s="507" t="s">
        <v>6108</v>
      </c>
    </row>
    <row r="2131" spans="1:5" ht="15" x14ac:dyDescent="0.3">
      <c r="A2131" s="506">
        <v>11537</v>
      </c>
      <c r="B2131" s="507" t="s">
        <v>6454</v>
      </c>
      <c r="C2131" s="506" t="s">
        <v>32</v>
      </c>
      <c r="D2131" s="508">
        <v>142800</v>
      </c>
      <c r="E2131" s="507" t="s">
        <v>6108</v>
      </c>
    </row>
    <row r="2132" spans="1:5" ht="15" x14ac:dyDescent="0.3">
      <c r="A2132" s="506">
        <v>11538</v>
      </c>
      <c r="B2132" s="507" t="s">
        <v>5323</v>
      </c>
      <c r="C2132" s="506" t="s">
        <v>32</v>
      </c>
      <c r="D2132" s="508">
        <v>717570</v>
      </c>
      <c r="E2132" s="507" t="s">
        <v>6108</v>
      </c>
    </row>
    <row r="2133" spans="1:5" ht="15" x14ac:dyDescent="0.3">
      <c r="A2133" s="506">
        <v>11543</v>
      </c>
      <c r="B2133" s="507" t="s">
        <v>6455</v>
      </c>
      <c r="C2133" s="506" t="s">
        <v>32</v>
      </c>
      <c r="D2133" s="508">
        <v>574330</v>
      </c>
      <c r="E2133" s="507" t="s">
        <v>6108</v>
      </c>
    </row>
    <row r="2134" spans="1:5" ht="15" x14ac:dyDescent="0.3">
      <c r="A2134" s="506">
        <v>11544</v>
      </c>
      <c r="B2134" s="507" t="s">
        <v>6456</v>
      </c>
      <c r="C2134" s="506" t="s">
        <v>32</v>
      </c>
      <c r="D2134" s="508">
        <v>476000</v>
      </c>
      <c r="E2134" s="507" t="s">
        <v>6108</v>
      </c>
    </row>
    <row r="2135" spans="1:5" ht="15" x14ac:dyDescent="0.3">
      <c r="A2135" s="506">
        <v>11546</v>
      </c>
      <c r="B2135" s="507" t="s">
        <v>6457</v>
      </c>
      <c r="C2135" s="506" t="s">
        <v>32</v>
      </c>
      <c r="D2135" s="508">
        <v>172074</v>
      </c>
      <c r="E2135" s="507" t="s">
        <v>6108</v>
      </c>
    </row>
    <row r="2136" spans="1:5" ht="15" x14ac:dyDescent="0.3">
      <c r="A2136" s="506">
        <v>11547</v>
      </c>
      <c r="B2136" s="507" t="s">
        <v>6458</v>
      </c>
      <c r="C2136" s="506" t="s">
        <v>32</v>
      </c>
      <c r="D2136" s="508">
        <v>330000</v>
      </c>
      <c r="E2136" s="507" t="s">
        <v>6108</v>
      </c>
    </row>
    <row r="2137" spans="1:5" ht="15" x14ac:dyDescent="0.3">
      <c r="A2137" s="506">
        <v>11549</v>
      </c>
      <c r="B2137" s="507" t="s">
        <v>5324</v>
      </c>
      <c r="C2137" s="506" t="s">
        <v>32</v>
      </c>
      <c r="D2137" s="508">
        <v>492279</v>
      </c>
      <c r="E2137" s="507" t="s">
        <v>6108</v>
      </c>
    </row>
    <row r="2138" spans="1:5" ht="15" x14ac:dyDescent="0.3">
      <c r="A2138" s="506">
        <v>11550</v>
      </c>
      <c r="B2138" s="507" t="s">
        <v>6459</v>
      </c>
      <c r="C2138" s="506" t="s">
        <v>32</v>
      </c>
      <c r="D2138" s="508">
        <v>237141</v>
      </c>
      <c r="E2138" s="507" t="s">
        <v>6108</v>
      </c>
    </row>
    <row r="2139" spans="1:5" ht="15" x14ac:dyDescent="0.3">
      <c r="A2139" s="506">
        <v>11551</v>
      </c>
      <c r="B2139" s="507" t="s">
        <v>6460</v>
      </c>
      <c r="C2139" s="506" t="s">
        <v>32</v>
      </c>
      <c r="D2139" s="508">
        <v>452200</v>
      </c>
      <c r="E2139" s="507" t="s">
        <v>6108</v>
      </c>
    </row>
    <row r="2140" spans="1:5" ht="15" x14ac:dyDescent="0.3">
      <c r="A2140" s="506">
        <v>11554</v>
      </c>
      <c r="B2140" s="507" t="s">
        <v>5325</v>
      </c>
      <c r="C2140" s="506" t="s">
        <v>670</v>
      </c>
      <c r="D2140" s="508">
        <v>8211</v>
      </c>
      <c r="E2140" s="507" t="s">
        <v>331</v>
      </c>
    </row>
    <row r="2141" spans="1:5" ht="15" x14ac:dyDescent="0.3">
      <c r="A2141" s="506">
        <v>11561</v>
      </c>
      <c r="B2141" s="507" t="s">
        <v>5326</v>
      </c>
      <c r="C2141" s="506" t="s">
        <v>32</v>
      </c>
      <c r="D2141" s="508">
        <v>234548</v>
      </c>
      <c r="E2141" s="507" t="s">
        <v>331</v>
      </c>
    </row>
    <row r="2142" spans="1:5" ht="15" x14ac:dyDescent="0.3">
      <c r="A2142" s="506">
        <v>11562</v>
      </c>
      <c r="B2142" s="507" t="s">
        <v>5327</v>
      </c>
      <c r="C2142" s="506" t="s">
        <v>32</v>
      </c>
      <c r="D2142" s="508">
        <v>166038</v>
      </c>
      <c r="E2142" s="507" t="s">
        <v>6108</v>
      </c>
    </row>
    <row r="2143" spans="1:5" ht="15" x14ac:dyDescent="0.3">
      <c r="A2143" s="506">
        <v>11563</v>
      </c>
      <c r="B2143" s="507" t="s">
        <v>5328</v>
      </c>
      <c r="C2143" s="506" t="s">
        <v>32</v>
      </c>
      <c r="D2143" s="508">
        <v>623449</v>
      </c>
      <c r="E2143" s="507" t="s">
        <v>6108</v>
      </c>
    </row>
    <row r="2144" spans="1:5" ht="15" x14ac:dyDescent="0.3">
      <c r="A2144" s="506">
        <v>11569</v>
      </c>
      <c r="B2144" s="507" t="s">
        <v>5329</v>
      </c>
      <c r="C2144" s="506" t="s">
        <v>21</v>
      </c>
      <c r="D2144" s="508">
        <v>75000</v>
      </c>
      <c r="E2144" s="507" t="s">
        <v>331</v>
      </c>
    </row>
    <row r="2145" spans="1:5" ht="15" x14ac:dyDescent="0.3">
      <c r="A2145" s="506">
        <v>11572</v>
      </c>
      <c r="B2145" s="507" t="s">
        <v>5330</v>
      </c>
      <c r="C2145" s="506" t="s">
        <v>328</v>
      </c>
      <c r="D2145" s="508">
        <v>107613</v>
      </c>
      <c r="E2145" s="507" t="s">
        <v>6108</v>
      </c>
    </row>
    <row r="2146" spans="1:5" ht="15" x14ac:dyDescent="0.3">
      <c r="A2146" s="506">
        <v>11574</v>
      </c>
      <c r="B2146" s="507" t="s">
        <v>5331</v>
      </c>
      <c r="C2146" s="506" t="s">
        <v>670</v>
      </c>
      <c r="D2146" s="508">
        <v>138183</v>
      </c>
      <c r="E2146" s="507" t="s">
        <v>6108</v>
      </c>
    </row>
    <row r="2147" spans="1:5" ht="15" x14ac:dyDescent="0.3">
      <c r="A2147" s="506">
        <v>11575</v>
      </c>
      <c r="B2147" s="507" t="s">
        <v>5332</v>
      </c>
      <c r="C2147" s="506" t="s">
        <v>670</v>
      </c>
      <c r="D2147" s="508">
        <v>57352</v>
      </c>
      <c r="E2147" s="507" t="s">
        <v>6108</v>
      </c>
    </row>
    <row r="2148" spans="1:5" ht="15" x14ac:dyDescent="0.3">
      <c r="A2148" s="506">
        <v>11576</v>
      </c>
      <c r="B2148" s="507" t="s">
        <v>6461</v>
      </c>
      <c r="C2148" s="506" t="s">
        <v>3579</v>
      </c>
      <c r="D2148" s="508">
        <v>151184</v>
      </c>
      <c r="E2148" s="507" t="s">
        <v>6108</v>
      </c>
    </row>
    <row r="2149" spans="1:5" ht="15" x14ac:dyDescent="0.3">
      <c r="A2149" s="506">
        <v>11577</v>
      </c>
      <c r="B2149" s="507" t="s">
        <v>5333</v>
      </c>
      <c r="C2149" s="506" t="s">
        <v>32</v>
      </c>
      <c r="D2149" s="508">
        <v>1646</v>
      </c>
      <c r="E2149" s="507" t="s">
        <v>331</v>
      </c>
    </row>
    <row r="2150" spans="1:5" ht="15" x14ac:dyDescent="0.3">
      <c r="A2150" s="506">
        <v>11580</v>
      </c>
      <c r="B2150" s="507" t="s">
        <v>5334</v>
      </c>
      <c r="C2150" s="506" t="s">
        <v>32</v>
      </c>
      <c r="D2150" s="508">
        <v>3000</v>
      </c>
      <c r="E2150" s="507" t="s">
        <v>331</v>
      </c>
    </row>
    <row r="2151" spans="1:5" ht="15" x14ac:dyDescent="0.3">
      <c r="A2151" s="506">
        <v>11581</v>
      </c>
      <c r="B2151" s="507" t="s">
        <v>5335</v>
      </c>
      <c r="C2151" s="506" t="s">
        <v>32</v>
      </c>
      <c r="D2151" s="508">
        <v>3000</v>
      </c>
      <c r="E2151" s="507" t="s">
        <v>331</v>
      </c>
    </row>
    <row r="2152" spans="1:5" ht="15" x14ac:dyDescent="0.3">
      <c r="A2152" s="506">
        <v>11586</v>
      </c>
      <c r="B2152" s="507" t="s">
        <v>5336</v>
      </c>
      <c r="C2152" s="506" t="s">
        <v>328</v>
      </c>
      <c r="D2152" s="508">
        <v>51328</v>
      </c>
      <c r="E2152" s="507" t="s">
        <v>6108</v>
      </c>
    </row>
    <row r="2153" spans="1:5" ht="15" x14ac:dyDescent="0.3">
      <c r="A2153" s="506">
        <v>11587</v>
      </c>
      <c r="B2153" s="507" t="s">
        <v>5337</v>
      </c>
      <c r="C2153" s="506" t="s">
        <v>328</v>
      </c>
      <c r="D2153" s="508">
        <v>519055</v>
      </c>
      <c r="E2153" s="507" t="s">
        <v>6108</v>
      </c>
    </row>
    <row r="2154" spans="1:5" ht="15" x14ac:dyDescent="0.3">
      <c r="A2154" s="506">
        <v>11588</v>
      </c>
      <c r="B2154" s="507" t="s">
        <v>5338</v>
      </c>
      <c r="C2154" s="506" t="s">
        <v>328</v>
      </c>
      <c r="D2154" s="508">
        <v>201092</v>
      </c>
      <c r="E2154" s="507" t="s">
        <v>6108</v>
      </c>
    </row>
    <row r="2155" spans="1:5" ht="15" x14ac:dyDescent="0.3">
      <c r="A2155" s="506">
        <v>11589</v>
      </c>
      <c r="B2155" s="507" t="s">
        <v>5339</v>
      </c>
      <c r="C2155" s="506" t="s">
        <v>328</v>
      </c>
      <c r="D2155" s="508">
        <v>335581</v>
      </c>
      <c r="E2155" s="507" t="s">
        <v>6108</v>
      </c>
    </row>
    <row r="2156" spans="1:5" ht="15" x14ac:dyDescent="0.3">
      <c r="A2156" s="506">
        <v>11590</v>
      </c>
      <c r="B2156" s="507" t="s">
        <v>5340</v>
      </c>
      <c r="C2156" s="506" t="s">
        <v>32</v>
      </c>
      <c r="D2156" s="508">
        <v>1071000</v>
      </c>
      <c r="E2156" s="507" t="s">
        <v>6108</v>
      </c>
    </row>
    <row r="2157" spans="1:5" ht="15" x14ac:dyDescent="0.3">
      <c r="A2157" s="506">
        <v>11591</v>
      </c>
      <c r="B2157" s="507" t="s">
        <v>5341</v>
      </c>
      <c r="C2157" s="506" t="s">
        <v>32</v>
      </c>
      <c r="D2157" s="508">
        <v>1024122</v>
      </c>
      <c r="E2157" s="507" t="s">
        <v>6108</v>
      </c>
    </row>
    <row r="2158" spans="1:5" ht="15" x14ac:dyDescent="0.3">
      <c r="A2158" s="506">
        <v>11592</v>
      </c>
      <c r="B2158" s="507" t="s">
        <v>5342</v>
      </c>
      <c r="C2158" s="506" t="s">
        <v>32</v>
      </c>
      <c r="D2158" s="508">
        <v>1303429</v>
      </c>
      <c r="E2158" s="507" t="s">
        <v>6108</v>
      </c>
    </row>
    <row r="2159" spans="1:5" ht="15" x14ac:dyDescent="0.3">
      <c r="A2159" s="506">
        <v>11593</v>
      </c>
      <c r="B2159" s="507" t="s">
        <v>5343</v>
      </c>
      <c r="C2159" s="506" t="s">
        <v>328</v>
      </c>
      <c r="D2159" s="508">
        <v>4597</v>
      </c>
      <c r="E2159" s="507" t="s">
        <v>6108</v>
      </c>
    </row>
    <row r="2160" spans="1:5" ht="15" x14ac:dyDescent="0.3">
      <c r="A2160" s="506">
        <v>11595</v>
      </c>
      <c r="B2160" s="507" t="s">
        <v>5344</v>
      </c>
      <c r="C2160" s="506" t="s">
        <v>32</v>
      </c>
      <c r="D2160" s="508">
        <v>29195988</v>
      </c>
      <c r="E2160" s="507" t="s">
        <v>6108</v>
      </c>
    </row>
    <row r="2161" spans="1:5" ht="15" x14ac:dyDescent="0.3">
      <c r="A2161" s="506">
        <v>11596</v>
      </c>
      <c r="B2161" s="507" t="s">
        <v>5345</v>
      </c>
      <c r="C2161" s="506" t="s">
        <v>32</v>
      </c>
      <c r="D2161" s="508">
        <v>23683357</v>
      </c>
      <c r="E2161" s="507" t="s">
        <v>6108</v>
      </c>
    </row>
    <row r="2162" spans="1:5" ht="15" x14ac:dyDescent="0.3">
      <c r="A2162" s="506">
        <v>11597</v>
      </c>
      <c r="B2162" s="507" t="s">
        <v>5346</v>
      </c>
      <c r="C2162" s="506" t="s">
        <v>32</v>
      </c>
      <c r="D2162" s="508">
        <v>61199772</v>
      </c>
      <c r="E2162" s="507" t="s">
        <v>6108</v>
      </c>
    </row>
    <row r="2163" spans="1:5" ht="15" x14ac:dyDescent="0.3">
      <c r="A2163" s="506">
        <v>11600</v>
      </c>
      <c r="B2163" s="507" t="s">
        <v>5347</v>
      </c>
      <c r="C2163" s="506" t="s">
        <v>32</v>
      </c>
      <c r="D2163" s="508">
        <v>41703</v>
      </c>
      <c r="E2163" s="507" t="s">
        <v>331</v>
      </c>
    </row>
    <row r="2164" spans="1:5" ht="15" x14ac:dyDescent="0.3">
      <c r="A2164" s="506">
        <v>11601</v>
      </c>
      <c r="B2164" s="507" t="s">
        <v>5348</v>
      </c>
      <c r="C2164" s="506" t="s">
        <v>21</v>
      </c>
      <c r="D2164" s="508">
        <v>68464</v>
      </c>
      <c r="E2164" s="507" t="s">
        <v>6108</v>
      </c>
    </row>
    <row r="2165" spans="1:5" ht="15" x14ac:dyDescent="0.3">
      <c r="A2165" s="506">
        <v>11602</v>
      </c>
      <c r="B2165" s="507" t="s">
        <v>5349</v>
      </c>
      <c r="C2165" s="506" t="s">
        <v>32</v>
      </c>
      <c r="D2165" s="508">
        <v>4789468</v>
      </c>
      <c r="E2165" s="507" t="s">
        <v>6108</v>
      </c>
    </row>
    <row r="2166" spans="1:5" ht="15" x14ac:dyDescent="0.3">
      <c r="A2166" s="506">
        <v>11603</v>
      </c>
      <c r="B2166" s="507" t="s">
        <v>5350</v>
      </c>
      <c r="C2166" s="506" t="s">
        <v>32</v>
      </c>
      <c r="D2166" s="508">
        <v>4690716</v>
      </c>
      <c r="E2166" s="507" t="s">
        <v>6108</v>
      </c>
    </row>
    <row r="2167" spans="1:5" ht="15" x14ac:dyDescent="0.3">
      <c r="A2167" s="506">
        <v>11605</v>
      </c>
      <c r="B2167" s="507" t="s">
        <v>5351</v>
      </c>
      <c r="C2167" s="506" t="s">
        <v>30</v>
      </c>
      <c r="D2167" s="508">
        <v>724076</v>
      </c>
      <c r="E2167" s="507" t="s">
        <v>331</v>
      </c>
    </row>
    <row r="2168" spans="1:5" ht="15" x14ac:dyDescent="0.3">
      <c r="A2168" s="506">
        <v>11617</v>
      </c>
      <c r="B2168" s="507" t="s">
        <v>5352</v>
      </c>
      <c r="C2168" s="506" t="s">
        <v>32</v>
      </c>
      <c r="D2168" s="508">
        <v>1844</v>
      </c>
      <c r="E2168" s="507" t="s">
        <v>331</v>
      </c>
    </row>
    <row r="2169" spans="1:5" ht="15" x14ac:dyDescent="0.3">
      <c r="A2169" s="506">
        <v>11618</v>
      </c>
      <c r="B2169" s="507" t="s">
        <v>5353</v>
      </c>
      <c r="C2169" s="506" t="s">
        <v>32</v>
      </c>
      <c r="D2169" s="508">
        <v>1844</v>
      </c>
      <c r="E2169" s="507" t="s">
        <v>331</v>
      </c>
    </row>
    <row r="2170" spans="1:5" ht="15" x14ac:dyDescent="0.3">
      <c r="A2170" s="506">
        <v>11619</v>
      </c>
      <c r="B2170" s="507" t="s">
        <v>5354</v>
      </c>
      <c r="C2170" s="506" t="s">
        <v>670</v>
      </c>
      <c r="D2170" s="508">
        <v>19100</v>
      </c>
      <c r="E2170" s="507" t="s">
        <v>331</v>
      </c>
    </row>
    <row r="2171" spans="1:5" ht="15" x14ac:dyDescent="0.3">
      <c r="A2171" s="506">
        <v>11620</v>
      </c>
      <c r="B2171" s="507" t="s">
        <v>5355</v>
      </c>
      <c r="C2171" s="506" t="s">
        <v>32</v>
      </c>
      <c r="D2171" s="508">
        <v>1844</v>
      </c>
      <c r="E2171" s="507" t="s">
        <v>331</v>
      </c>
    </row>
    <row r="2172" spans="1:5" ht="15" x14ac:dyDescent="0.3">
      <c r="A2172" s="506">
        <v>11624</v>
      </c>
      <c r="B2172" s="507" t="s">
        <v>5356</v>
      </c>
      <c r="C2172" s="506" t="s">
        <v>32</v>
      </c>
      <c r="D2172" s="508">
        <v>4412237</v>
      </c>
      <c r="E2172" s="507" t="s">
        <v>6108</v>
      </c>
    </row>
    <row r="2173" spans="1:5" ht="15" x14ac:dyDescent="0.3">
      <c r="A2173" s="506">
        <v>11625</v>
      </c>
      <c r="B2173" s="507" t="s">
        <v>5357</v>
      </c>
      <c r="C2173" s="506" t="s">
        <v>32</v>
      </c>
      <c r="D2173" s="508">
        <v>9536125</v>
      </c>
      <c r="E2173" s="507" t="s">
        <v>6108</v>
      </c>
    </row>
    <row r="2174" spans="1:5" ht="15" x14ac:dyDescent="0.3">
      <c r="A2174" s="506">
        <v>11629</v>
      </c>
      <c r="B2174" s="507" t="s">
        <v>6462</v>
      </c>
      <c r="C2174" s="506" t="s">
        <v>328</v>
      </c>
      <c r="D2174" s="508">
        <v>3628682</v>
      </c>
      <c r="E2174" s="507" t="s">
        <v>6108</v>
      </c>
    </row>
    <row r="2175" spans="1:5" ht="15" x14ac:dyDescent="0.3">
      <c r="A2175" s="506">
        <v>11630</v>
      </c>
      <c r="B2175" s="507" t="s">
        <v>6463</v>
      </c>
      <c r="C2175" s="506" t="s">
        <v>32</v>
      </c>
      <c r="D2175" s="508">
        <v>8297659</v>
      </c>
      <c r="E2175" s="507" t="s">
        <v>6108</v>
      </c>
    </row>
    <row r="2176" spans="1:5" ht="15" x14ac:dyDescent="0.3">
      <c r="A2176" s="506">
        <v>11631</v>
      </c>
      <c r="B2176" s="507" t="s">
        <v>6464</v>
      </c>
      <c r="C2176" s="506" t="s">
        <v>32</v>
      </c>
      <c r="D2176" s="508">
        <v>11802008</v>
      </c>
      <c r="E2176" s="507" t="s">
        <v>6108</v>
      </c>
    </row>
    <row r="2177" spans="1:5" ht="15" x14ac:dyDescent="0.3">
      <c r="A2177" s="506">
        <v>11632</v>
      </c>
      <c r="B2177" s="507" t="s">
        <v>6465</v>
      </c>
      <c r="C2177" s="506" t="s">
        <v>32</v>
      </c>
      <c r="D2177" s="508">
        <v>15239620</v>
      </c>
      <c r="E2177" s="507" t="s">
        <v>6108</v>
      </c>
    </row>
    <row r="2178" spans="1:5" ht="15" x14ac:dyDescent="0.3">
      <c r="A2178" s="506">
        <v>11633</v>
      </c>
      <c r="B2178" s="507" t="s">
        <v>6466</v>
      </c>
      <c r="C2178" s="506" t="s">
        <v>32</v>
      </c>
      <c r="D2178" s="508">
        <v>18994173</v>
      </c>
      <c r="E2178" s="507" t="s">
        <v>6108</v>
      </c>
    </row>
    <row r="2179" spans="1:5" ht="15" x14ac:dyDescent="0.3">
      <c r="A2179" s="506">
        <v>11634</v>
      </c>
      <c r="B2179" s="507" t="s">
        <v>6467</v>
      </c>
      <c r="C2179" s="506" t="s">
        <v>32</v>
      </c>
      <c r="D2179" s="508">
        <v>8287726</v>
      </c>
      <c r="E2179" s="507" t="s">
        <v>6108</v>
      </c>
    </row>
    <row r="2180" spans="1:5" ht="15" x14ac:dyDescent="0.3">
      <c r="A2180" s="506">
        <v>11635</v>
      </c>
      <c r="B2180" s="507" t="s">
        <v>6468</v>
      </c>
      <c r="C2180" s="506" t="s">
        <v>32</v>
      </c>
      <c r="D2180" s="508">
        <v>11550975</v>
      </c>
      <c r="E2180" s="507" t="s">
        <v>6108</v>
      </c>
    </row>
    <row r="2181" spans="1:5" ht="15" x14ac:dyDescent="0.3">
      <c r="A2181" s="506">
        <v>11641</v>
      </c>
      <c r="B2181" s="507" t="s">
        <v>6469</v>
      </c>
      <c r="C2181" s="506" t="s">
        <v>32</v>
      </c>
      <c r="D2181" s="508">
        <v>4607938</v>
      </c>
      <c r="E2181" s="507" t="s">
        <v>6108</v>
      </c>
    </row>
    <row r="2182" spans="1:5" ht="15" x14ac:dyDescent="0.3">
      <c r="A2182" s="506">
        <v>11642</v>
      </c>
      <c r="B2182" s="507" t="s">
        <v>6470</v>
      </c>
      <c r="C2182" s="506" t="s">
        <v>32</v>
      </c>
      <c r="D2182" s="508">
        <v>9734760</v>
      </c>
      <c r="E2182" s="507" t="s">
        <v>6108</v>
      </c>
    </row>
    <row r="2183" spans="1:5" ht="15" x14ac:dyDescent="0.3">
      <c r="A2183" s="506">
        <v>11644</v>
      </c>
      <c r="B2183" s="507" t="s">
        <v>6471</v>
      </c>
      <c r="C2183" s="506" t="s">
        <v>32</v>
      </c>
      <c r="D2183" s="508">
        <v>790440</v>
      </c>
      <c r="E2183" s="507" t="s">
        <v>6108</v>
      </c>
    </row>
    <row r="2184" spans="1:5" ht="15" x14ac:dyDescent="0.3">
      <c r="A2184" s="506">
        <v>11646</v>
      </c>
      <c r="B2184" s="507" t="s">
        <v>6472</v>
      </c>
      <c r="C2184" s="506" t="s">
        <v>32</v>
      </c>
      <c r="D2184" s="508">
        <v>11800403</v>
      </c>
      <c r="E2184" s="507" t="s">
        <v>6108</v>
      </c>
    </row>
    <row r="2185" spans="1:5" ht="15" x14ac:dyDescent="0.3">
      <c r="A2185" s="506">
        <v>11647</v>
      </c>
      <c r="B2185" s="507" t="s">
        <v>6473</v>
      </c>
      <c r="C2185" s="506" t="s">
        <v>32</v>
      </c>
      <c r="D2185" s="508">
        <v>5561859</v>
      </c>
      <c r="E2185" s="507" t="s">
        <v>6108</v>
      </c>
    </row>
    <row r="2186" spans="1:5" ht="15" x14ac:dyDescent="0.3">
      <c r="A2186" s="506">
        <v>11648</v>
      </c>
      <c r="B2186" s="507" t="s">
        <v>5358</v>
      </c>
      <c r="C2186" s="506" t="s">
        <v>32</v>
      </c>
      <c r="D2186" s="508">
        <v>2019466</v>
      </c>
      <c r="E2186" s="507" t="s">
        <v>6108</v>
      </c>
    </row>
    <row r="2187" spans="1:5" ht="15" x14ac:dyDescent="0.3">
      <c r="A2187" s="506">
        <v>11649</v>
      </c>
      <c r="B2187" s="507" t="s">
        <v>6474</v>
      </c>
      <c r="C2187" s="506" t="s">
        <v>32</v>
      </c>
      <c r="D2187" s="508">
        <v>5083914</v>
      </c>
      <c r="E2187" s="507" t="s">
        <v>6108</v>
      </c>
    </row>
    <row r="2188" spans="1:5" ht="15" x14ac:dyDescent="0.3">
      <c r="A2188" s="506">
        <v>11652</v>
      </c>
      <c r="B2188" s="507" t="s">
        <v>6475</v>
      </c>
      <c r="C2188" s="506" t="s">
        <v>32</v>
      </c>
      <c r="D2188" s="508">
        <v>14930922</v>
      </c>
      <c r="E2188" s="507" t="s">
        <v>6108</v>
      </c>
    </row>
    <row r="2189" spans="1:5" ht="15" x14ac:dyDescent="0.3">
      <c r="A2189" s="506">
        <v>11653</v>
      </c>
      <c r="B2189" s="507" t="s">
        <v>6476</v>
      </c>
      <c r="C2189" s="506" t="s">
        <v>32</v>
      </c>
      <c r="D2189" s="508">
        <v>16239110</v>
      </c>
      <c r="E2189" s="507" t="s">
        <v>6108</v>
      </c>
    </row>
    <row r="2190" spans="1:5" ht="15" x14ac:dyDescent="0.3">
      <c r="A2190" s="506">
        <v>11655</v>
      </c>
      <c r="B2190" s="507" t="s">
        <v>6477</v>
      </c>
      <c r="C2190" s="506" t="s">
        <v>32</v>
      </c>
      <c r="D2190" s="508">
        <v>560468</v>
      </c>
      <c r="E2190" s="507" t="s">
        <v>6108</v>
      </c>
    </row>
    <row r="2191" spans="1:5" ht="15" x14ac:dyDescent="0.3">
      <c r="A2191" s="506">
        <v>11657</v>
      </c>
      <c r="B2191" s="507" t="s">
        <v>6478</v>
      </c>
      <c r="C2191" s="506" t="s">
        <v>32</v>
      </c>
      <c r="D2191" s="508">
        <v>2137240</v>
      </c>
      <c r="E2191" s="507" t="s">
        <v>6108</v>
      </c>
    </row>
    <row r="2192" spans="1:5" ht="15" x14ac:dyDescent="0.3">
      <c r="A2192" s="506">
        <v>11659</v>
      </c>
      <c r="B2192" s="507" t="s">
        <v>5359</v>
      </c>
      <c r="C2192" s="506" t="s">
        <v>32</v>
      </c>
      <c r="D2192" s="508">
        <v>9028106</v>
      </c>
      <c r="E2192" s="507" t="s">
        <v>6108</v>
      </c>
    </row>
    <row r="2193" spans="1:5" ht="15" x14ac:dyDescent="0.3">
      <c r="A2193" s="506">
        <v>11665</v>
      </c>
      <c r="B2193" s="507" t="s">
        <v>6479</v>
      </c>
      <c r="C2193" s="506" t="s">
        <v>32</v>
      </c>
      <c r="D2193" s="508">
        <v>1858674</v>
      </c>
      <c r="E2193" s="507" t="s">
        <v>6108</v>
      </c>
    </row>
    <row r="2194" spans="1:5" ht="15" x14ac:dyDescent="0.3">
      <c r="A2194" s="506">
        <v>11666</v>
      </c>
      <c r="B2194" s="507" t="s">
        <v>6480</v>
      </c>
      <c r="C2194" s="506" t="s">
        <v>32</v>
      </c>
      <c r="D2194" s="508">
        <v>23178145</v>
      </c>
      <c r="E2194" s="507" t="s">
        <v>6108</v>
      </c>
    </row>
    <row r="2195" spans="1:5" ht="15" x14ac:dyDescent="0.3">
      <c r="A2195" s="506">
        <v>11668</v>
      </c>
      <c r="B2195" s="507" t="s">
        <v>6481</v>
      </c>
      <c r="C2195" s="506" t="s">
        <v>32</v>
      </c>
      <c r="D2195" s="508">
        <v>357768</v>
      </c>
      <c r="E2195" s="507" t="s">
        <v>6108</v>
      </c>
    </row>
    <row r="2196" spans="1:5" ht="15" x14ac:dyDescent="0.3">
      <c r="A2196" s="506">
        <v>11670</v>
      </c>
      <c r="B2196" s="507" t="s">
        <v>5360</v>
      </c>
      <c r="C2196" s="506" t="s">
        <v>32</v>
      </c>
      <c r="D2196" s="508">
        <v>1178147</v>
      </c>
      <c r="E2196" s="507" t="s">
        <v>6108</v>
      </c>
    </row>
    <row r="2197" spans="1:5" ht="15" x14ac:dyDescent="0.3">
      <c r="A2197" s="506">
        <v>11672</v>
      </c>
      <c r="B2197" s="507" t="s">
        <v>6482</v>
      </c>
      <c r="C2197" s="506" t="s">
        <v>32</v>
      </c>
      <c r="D2197" s="508">
        <v>6751231</v>
      </c>
      <c r="E2197" s="507" t="s">
        <v>6108</v>
      </c>
    </row>
    <row r="2198" spans="1:5" ht="15" x14ac:dyDescent="0.3">
      <c r="A2198" s="506">
        <v>11708</v>
      </c>
      <c r="B2198" s="507" t="s">
        <v>5361</v>
      </c>
      <c r="C2198" s="506" t="s">
        <v>32</v>
      </c>
      <c r="D2198" s="508">
        <v>331491</v>
      </c>
      <c r="E2198" s="507" t="s">
        <v>6108</v>
      </c>
    </row>
    <row r="2199" spans="1:5" ht="15" x14ac:dyDescent="0.3">
      <c r="A2199" s="506">
        <v>11711</v>
      </c>
      <c r="B2199" s="507" t="s">
        <v>5362</v>
      </c>
      <c r="C2199" s="506" t="s">
        <v>328</v>
      </c>
      <c r="D2199" s="508">
        <v>3926856</v>
      </c>
      <c r="E2199" s="507" t="s">
        <v>6108</v>
      </c>
    </row>
    <row r="2200" spans="1:5" ht="15" x14ac:dyDescent="0.3">
      <c r="A2200" s="506">
        <v>11712</v>
      </c>
      <c r="B2200" s="507" t="s">
        <v>5363</v>
      </c>
      <c r="C2200" s="506" t="s">
        <v>328</v>
      </c>
      <c r="D2200" s="508">
        <v>4286590</v>
      </c>
      <c r="E2200" s="507" t="s">
        <v>6108</v>
      </c>
    </row>
    <row r="2201" spans="1:5" ht="15" x14ac:dyDescent="0.3">
      <c r="A2201" s="506">
        <v>11713</v>
      </c>
      <c r="B2201" s="507" t="s">
        <v>5364</v>
      </c>
      <c r="C2201" s="506" t="s">
        <v>328</v>
      </c>
      <c r="D2201" s="508">
        <v>4845489</v>
      </c>
      <c r="E2201" s="507" t="s">
        <v>6108</v>
      </c>
    </row>
    <row r="2202" spans="1:5" ht="15" x14ac:dyDescent="0.3">
      <c r="A2202" s="506">
        <v>11714</v>
      </c>
      <c r="B2202" s="507" t="s">
        <v>5365</v>
      </c>
      <c r="C2202" s="506" t="s">
        <v>32</v>
      </c>
      <c r="D2202" s="508">
        <v>820936</v>
      </c>
      <c r="E2202" s="507" t="s">
        <v>6108</v>
      </c>
    </row>
    <row r="2203" spans="1:5" ht="15" x14ac:dyDescent="0.3">
      <c r="A2203" s="506">
        <v>11715</v>
      </c>
      <c r="B2203" s="507" t="s">
        <v>5366</v>
      </c>
      <c r="C2203" s="506" t="s">
        <v>328</v>
      </c>
      <c r="D2203" s="508">
        <v>5442428</v>
      </c>
      <c r="E2203" s="507" t="s">
        <v>6108</v>
      </c>
    </row>
    <row r="2204" spans="1:5" ht="15" x14ac:dyDescent="0.3">
      <c r="A2204" s="506">
        <v>11716</v>
      </c>
      <c r="B2204" s="507" t="s">
        <v>5367</v>
      </c>
      <c r="C2204" s="506" t="s">
        <v>328</v>
      </c>
      <c r="D2204" s="508">
        <v>6939753</v>
      </c>
      <c r="E2204" s="507" t="s">
        <v>6108</v>
      </c>
    </row>
    <row r="2205" spans="1:5" ht="15" x14ac:dyDescent="0.3">
      <c r="A2205" s="506">
        <v>11717</v>
      </c>
      <c r="B2205" s="507" t="s">
        <v>5368</v>
      </c>
      <c r="C2205" s="506" t="s">
        <v>328</v>
      </c>
      <c r="D2205" s="508">
        <v>8452555</v>
      </c>
      <c r="E2205" s="507" t="s">
        <v>6108</v>
      </c>
    </row>
    <row r="2206" spans="1:5" ht="15" x14ac:dyDescent="0.3">
      <c r="A2206" s="506">
        <v>11718</v>
      </c>
      <c r="B2206" s="507" t="s">
        <v>5369</v>
      </c>
      <c r="C2206" s="506" t="s">
        <v>328</v>
      </c>
      <c r="D2206" s="508">
        <v>40684</v>
      </c>
      <c r="E2206" s="507" t="s">
        <v>6108</v>
      </c>
    </row>
    <row r="2207" spans="1:5" ht="15" x14ac:dyDescent="0.3">
      <c r="A2207" s="506">
        <v>11719</v>
      </c>
      <c r="B2207" s="507" t="s">
        <v>5370</v>
      </c>
      <c r="C2207" s="506" t="s">
        <v>328</v>
      </c>
      <c r="D2207" s="508">
        <v>60659</v>
      </c>
      <c r="E2207" s="507" t="s">
        <v>6108</v>
      </c>
    </row>
    <row r="2208" spans="1:5" ht="15" x14ac:dyDescent="0.3">
      <c r="A2208" s="506">
        <v>11720</v>
      </c>
      <c r="B2208" s="507" t="s">
        <v>5371</v>
      </c>
      <c r="C2208" s="506" t="s">
        <v>328</v>
      </c>
      <c r="D2208" s="508">
        <v>81000</v>
      </c>
      <c r="E2208" s="507" t="s">
        <v>6108</v>
      </c>
    </row>
    <row r="2209" spans="1:5" ht="15" x14ac:dyDescent="0.3">
      <c r="A2209" s="506">
        <v>11721</v>
      </c>
      <c r="B2209" s="507" t="s">
        <v>5372</v>
      </c>
      <c r="C2209" s="506" t="s">
        <v>32</v>
      </c>
      <c r="D2209" s="508">
        <v>157571</v>
      </c>
      <c r="E2209" s="507" t="s">
        <v>6108</v>
      </c>
    </row>
    <row r="2210" spans="1:5" ht="15" x14ac:dyDescent="0.3">
      <c r="A2210" s="506">
        <v>11722</v>
      </c>
      <c r="B2210" s="507" t="s">
        <v>5373</v>
      </c>
      <c r="C2210" s="506" t="s">
        <v>32</v>
      </c>
      <c r="D2210" s="508">
        <v>312177</v>
      </c>
      <c r="E2210" s="507" t="s">
        <v>6108</v>
      </c>
    </row>
    <row r="2211" spans="1:5" ht="15" x14ac:dyDescent="0.3">
      <c r="A2211" s="506">
        <v>11723</v>
      </c>
      <c r="B2211" s="507" t="s">
        <v>5374</v>
      </c>
      <c r="C2211" s="506" t="s">
        <v>32</v>
      </c>
      <c r="D2211" s="508">
        <v>373427</v>
      </c>
      <c r="E2211" s="507" t="s">
        <v>6108</v>
      </c>
    </row>
    <row r="2212" spans="1:5" ht="15" x14ac:dyDescent="0.3">
      <c r="A2212" s="506">
        <v>11724</v>
      </c>
      <c r="B2212" s="507" t="s">
        <v>5375</v>
      </c>
      <c r="C2212" s="506" t="s">
        <v>32</v>
      </c>
      <c r="D2212" s="508">
        <v>551738</v>
      </c>
      <c r="E2212" s="507" t="s">
        <v>6108</v>
      </c>
    </row>
    <row r="2213" spans="1:5" ht="15" x14ac:dyDescent="0.3">
      <c r="A2213" s="506">
        <v>11728</v>
      </c>
      <c r="B2213" s="507" t="s">
        <v>5376</v>
      </c>
      <c r="C2213" s="506" t="s">
        <v>32</v>
      </c>
      <c r="D2213" s="508">
        <v>104712</v>
      </c>
      <c r="E2213" s="507" t="s">
        <v>6108</v>
      </c>
    </row>
    <row r="2214" spans="1:5" ht="15" x14ac:dyDescent="0.3">
      <c r="A2214" s="506">
        <v>11729</v>
      </c>
      <c r="B2214" s="507" t="s">
        <v>5377</v>
      </c>
      <c r="C2214" s="506" t="s">
        <v>32</v>
      </c>
      <c r="D2214" s="508">
        <v>145457</v>
      </c>
      <c r="E2214" s="507" t="s">
        <v>6108</v>
      </c>
    </row>
    <row r="2215" spans="1:5" ht="15" x14ac:dyDescent="0.3">
      <c r="A2215" s="506">
        <v>11735</v>
      </c>
      <c r="B2215" s="507" t="s">
        <v>5378</v>
      </c>
      <c r="C2215" s="506" t="s">
        <v>32</v>
      </c>
      <c r="D2215" s="508">
        <v>255627</v>
      </c>
      <c r="E2215" s="507" t="s">
        <v>6108</v>
      </c>
    </row>
    <row r="2216" spans="1:5" ht="15" x14ac:dyDescent="0.3">
      <c r="A2216" s="506">
        <v>11736</v>
      </c>
      <c r="B2216" s="507" t="s">
        <v>5379</v>
      </c>
      <c r="C2216" s="506" t="s">
        <v>32</v>
      </c>
      <c r="D2216" s="508">
        <v>221715</v>
      </c>
      <c r="E2216" s="507" t="s">
        <v>6108</v>
      </c>
    </row>
    <row r="2217" spans="1:5" ht="15" x14ac:dyDescent="0.3">
      <c r="A2217" s="506">
        <v>11737</v>
      </c>
      <c r="B2217" s="507" t="s">
        <v>5380</v>
      </c>
      <c r="C2217" s="506" t="s">
        <v>32</v>
      </c>
      <c r="D2217" s="508">
        <v>262169</v>
      </c>
      <c r="E2217" s="507" t="s">
        <v>6108</v>
      </c>
    </row>
    <row r="2218" spans="1:5" ht="15" x14ac:dyDescent="0.3">
      <c r="A2218" s="506">
        <v>11738</v>
      </c>
      <c r="B2218" s="507" t="s">
        <v>5381</v>
      </c>
      <c r="C2218" s="506" t="s">
        <v>32</v>
      </c>
      <c r="D2218" s="508">
        <v>105486</v>
      </c>
      <c r="E2218" s="507" t="s">
        <v>6108</v>
      </c>
    </row>
    <row r="2219" spans="1:5" ht="15" x14ac:dyDescent="0.3">
      <c r="A2219" s="506">
        <v>11739</v>
      </c>
      <c r="B2219" s="507" t="s">
        <v>5382</v>
      </c>
      <c r="C2219" s="506" t="s">
        <v>32</v>
      </c>
      <c r="D2219" s="508">
        <v>53305</v>
      </c>
      <c r="E2219" s="507" t="s">
        <v>6108</v>
      </c>
    </row>
    <row r="2220" spans="1:5" ht="15" x14ac:dyDescent="0.3">
      <c r="A2220" s="506">
        <v>11743</v>
      </c>
      <c r="B2220" s="507" t="s">
        <v>6483</v>
      </c>
      <c r="C2220" s="506" t="s">
        <v>32</v>
      </c>
      <c r="D2220" s="508">
        <v>28957503</v>
      </c>
      <c r="E2220" s="507" t="s">
        <v>6108</v>
      </c>
    </row>
    <row r="2221" spans="1:5" ht="15" x14ac:dyDescent="0.3">
      <c r="A2221" s="506">
        <v>11744</v>
      </c>
      <c r="B2221" s="507" t="s">
        <v>5383</v>
      </c>
      <c r="C2221" s="506" t="s">
        <v>328</v>
      </c>
      <c r="D2221" s="508">
        <v>104525</v>
      </c>
      <c r="E2221" s="507" t="s">
        <v>6108</v>
      </c>
    </row>
    <row r="2222" spans="1:5" ht="15" x14ac:dyDescent="0.3">
      <c r="A2222" s="506">
        <v>11745</v>
      </c>
      <c r="B2222" s="507" t="s">
        <v>5384</v>
      </c>
      <c r="C2222" s="506" t="s">
        <v>328</v>
      </c>
      <c r="D2222" s="508">
        <v>162027</v>
      </c>
      <c r="E2222" s="507" t="s">
        <v>6108</v>
      </c>
    </row>
    <row r="2223" spans="1:5" ht="15" x14ac:dyDescent="0.3">
      <c r="A2223" s="506">
        <v>11746</v>
      </c>
      <c r="B2223" s="507" t="s">
        <v>5385</v>
      </c>
      <c r="C2223" s="506" t="s">
        <v>328</v>
      </c>
      <c r="D2223" s="508">
        <v>257336</v>
      </c>
      <c r="E2223" s="507" t="s">
        <v>6108</v>
      </c>
    </row>
    <row r="2224" spans="1:5" ht="15" x14ac:dyDescent="0.3">
      <c r="A2224" s="506">
        <v>11747</v>
      </c>
      <c r="B2224" s="507" t="s">
        <v>5386</v>
      </c>
      <c r="C2224" s="506" t="s">
        <v>328</v>
      </c>
      <c r="D2224" s="508">
        <v>402939</v>
      </c>
      <c r="E2224" s="507" t="s">
        <v>6108</v>
      </c>
    </row>
    <row r="2225" spans="1:5" ht="15" x14ac:dyDescent="0.3">
      <c r="A2225" s="506">
        <v>11748</v>
      </c>
      <c r="B2225" s="507" t="s">
        <v>5387</v>
      </c>
      <c r="C2225" s="506" t="s">
        <v>328</v>
      </c>
      <c r="D2225" s="508">
        <v>510010</v>
      </c>
      <c r="E2225" s="507" t="s">
        <v>6108</v>
      </c>
    </row>
    <row r="2226" spans="1:5" ht="15" x14ac:dyDescent="0.3">
      <c r="A2226" s="506">
        <v>11764</v>
      </c>
      <c r="B2226" s="507" t="s">
        <v>5388</v>
      </c>
      <c r="C2226" s="506" t="s">
        <v>32</v>
      </c>
      <c r="D2226" s="508">
        <v>499589</v>
      </c>
      <c r="E2226" s="507" t="s">
        <v>6108</v>
      </c>
    </row>
    <row r="2227" spans="1:5" ht="15" x14ac:dyDescent="0.3">
      <c r="A2227" s="506">
        <v>11765</v>
      </c>
      <c r="B2227" s="507" t="s">
        <v>5389</v>
      </c>
      <c r="C2227" s="506" t="s">
        <v>32</v>
      </c>
      <c r="D2227" s="508">
        <v>20976</v>
      </c>
      <c r="E2227" s="507" t="s">
        <v>331</v>
      </c>
    </row>
    <row r="2228" spans="1:5" ht="15" x14ac:dyDescent="0.3">
      <c r="A2228" s="506">
        <v>11766</v>
      </c>
      <c r="B2228" s="507" t="s">
        <v>5390</v>
      </c>
      <c r="C2228" s="506" t="s">
        <v>32</v>
      </c>
      <c r="D2228" s="508">
        <v>858523</v>
      </c>
      <c r="E2228" s="507" t="s">
        <v>6108</v>
      </c>
    </row>
    <row r="2229" spans="1:5" ht="15" x14ac:dyDescent="0.3">
      <c r="A2229" s="506">
        <v>11770</v>
      </c>
      <c r="B2229" s="507" t="s">
        <v>5391</v>
      </c>
      <c r="C2229" s="506" t="s">
        <v>32</v>
      </c>
      <c r="D2229" s="508">
        <v>81008</v>
      </c>
      <c r="E2229" s="507" t="s">
        <v>6108</v>
      </c>
    </row>
    <row r="2230" spans="1:5" ht="15" x14ac:dyDescent="0.3">
      <c r="A2230" s="506">
        <v>11771</v>
      </c>
      <c r="B2230" s="507" t="s">
        <v>5392</v>
      </c>
      <c r="C2230" s="506" t="s">
        <v>32</v>
      </c>
      <c r="D2230" s="508">
        <v>51247</v>
      </c>
      <c r="E2230" s="507" t="s">
        <v>6108</v>
      </c>
    </row>
    <row r="2231" spans="1:5" ht="15" x14ac:dyDescent="0.3">
      <c r="A2231" s="506">
        <v>11772</v>
      </c>
      <c r="B2231" s="507" t="s">
        <v>5393</v>
      </c>
      <c r="C2231" s="506" t="s">
        <v>32</v>
      </c>
      <c r="D2231" s="508">
        <v>10341</v>
      </c>
      <c r="E2231" s="507" t="s">
        <v>6108</v>
      </c>
    </row>
    <row r="2232" spans="1:5" ht="15" x14ac:dyDescent="0.3">
      <c r="A2232" s="506">
        <v>11774</v>
      </c>
      <c r="B2232" s="507" t="s">
        <v>5394</v>
      </c>
      <c r="C2232" s="506" t="s">
        <v>32</v>
      </c>
      <c r="D2232" s="508">
        <v>185911</v>
      </c>
      <c r="E2232" s="507" t="s">
        <v>6108</v>
      </c>
    </row>
    <row r="2233" spans="1:5" ht="15" x14ac:dyDescent="0.3">
      <c r="A2233" s="506">
        <v>11775</v>
      </c>
      <c r="B2233" s="507" t="s">
        <v>5395</v>
      </c>
      <c r="C2233" s="506" t="s">
        <v>32</v>
      </c>
      <c r="D2233" s="508">
        <v>123068</v>
      </c>
      <c r="E2233" s="507" t="s">
        <v>6108</v>
      </c>
    </row>
    <row r="2234" spans="1:5" ht="15" x14ac:dyDescent="0.3">
      <c r="A2234" s="506">
        <v>11776</v>
      </c>
      <c r="B2234" s="507" t="s">
        <v>6484</v>
      </c>
      <c r="C2234" s="506" t="s">
        <v>32</v>
      </c>
      <c r="D2234" s="508">
        <v>4581500</v>
      </c>
      <c r="E2234" s="507" t="s">
        <v>6108</v>
      </c>
    </row>
    <row r="2235" spans="1:5" ht="15" x14ac:dyDescent="0.3">
      <c r="A2235" s="506">
        <v>11777</v>
      </c>
      <c r="B2235" s="507" t="s">
        <v>6485</v>
      </c>
      <c r="C2235" s="506" t="s">
        <v>32</v>
      </c>
      <c r="D2235" s="508">
        <v>67830</v>
      </c>
      <c r="E2235" s="507" t="s">
        <v>6108</v>
      </c>
    </row>
    <row r="2236" spans="1:5" ht="15" x14ac:dyDescent="0.3">
      <c r="A2236" s="506">
        <v>11781</v>
      </c>
      <c r="B2236" s="507" t="s">
        <v>5396</v>
      </c>
      <c r="C2236" s="506" t="s">
        <v>32</v>
      </c>
      <c r="D2236" s="508">
        <v>289986</v>
      </c>
      <c r="E2236" s="507" t="s">
        <v>6108</v>
      </c>
    </row>
    <row r="2237" spans="1:5" ht="15" x14ac:dyDescent="0.3">
      <c r="A2237" s="506">
        <v>11786</v>
      </c>
      <c r="B2237" s="507" t="s">
        <v>5397</v>
      </c>
      <c r="C2237" s="506" t="s">
        <v>32</v>
      </c>
      <c r="D2237" s="508">
        <v>12552</v>
      </c>
      <c r="E2237" s="507" t="s">
        <v>331</v>
      </c>
    </row>
    <row r="2238" spans="1:5" ht="15" x14ac:dyDescent="0.3">
      <c r="A2238" s="506">
        <v>11790</v>
      </c>
      <c r="B2238" s="507" t="s">
        <v>5398</v>
      </c>
      <c r="C2238" s="506" t="s">
        <v>32</v>
      </c>
      <c r="D2238" s="508">
        <v>3554</v>
      </c>
      <c r="E2238" s="507" t="s">
        <v>6108</v>
      </c>
    </row>
    <row r="2239" spans="1:5" ht="15" x14ac:dyDescent="0.3">
      <c r="A2239" s="506">
        <v>11796</v>
      </c>
      <c r="B2239" s="507" t="s">
        <v>6486</v>
      </c>
      <c r="C2239" s="506" t="s">
        <v>32</v>
      </c>
      <c r="D2239" s="508">
        <v>5653788</v>
      </c>
      <c r="E2239" s="507" t="s">
        <v>6108</v>
      </c>
    </row>
    <row r="2240" spans="1:5" ht="15" x14ac:dyDescent="0.3">
      <c r="A2240" s="506">
        <v>11797</v>
      </c>
      <c r="B2240" s="507" t="s">
        <v>5399</v>
      </c>
      <c r="C2240" s="506" t="s">
        <v>32</v>
      </c>
      <c r="D2240" s="508">
        <v>19731359</v>
      </c>
      <c r="E2240" s="507" t="s">
        <v>6108</v>
      </c>
    </row>
    <row r="2241" spans="1:5" ht="15" x14ac:dyDescent="0.3">
      <c r="A2241" s="506">
        <v>11798</v>
      </c>
      <c r="B2241" s="507" t="s">
        <v>6487</v>
      </c>
      <c r="C2241" s="506" t="s">
        <v>32</v>
      </c>
      <c r="D2241" s="508">
        <v>941909</v>
      </c>
      <c r="E2241" s="507" t="s">
        <v>6108</v>
      </c>
    </row>
    <row r="2242" spans="1:5" ht="15" x14ac:dyDescent="0.3">
      <c r="A2242" s="506">
        <v>11799</v>
      </c>
      <c r="B2242" s="507" t="s">
        <v>6488</v>
      </c>
      <c r="C2242" s="506" t="s">
        <v>32</v>
      </c>
      <c r="D2242" s="508">
        <v>486710</v>
      </c>
      <c r="E2242" s="507" t="s">
        <v>6108</v>
      </c>
    </row>
    <row r="2243" spans="1:5" ht="15" x14ac:dyDescent="0.3">
      <c r="A2243" s="506">
        <v>11800</v>
      </c>
      <c r="B2243" s="507" t="s">
        <v>6489</v>
      </c>
      <c r="C2243" s="506" t="s">
        <v>32</v>
      </c>
      <c r="D2243" s="508">
        <v>1131535</v>
      </c>
      <c r="E2243" s="507" t="s">
        <v>6108</v>
      </c>
    </row>
    <row r="2244" spans="1:5" ht="15" x14ac:dyDescent="0.3">
      <c r="A2244" s="506">
        <v>11801</v>
      </c>
      <c r="B2244" s="507" t="s">
        <v>6490</v>
      </c>
      <c r="C2244" s="506" t="s">
        <v>32</v>
      </c>
      <c r="D2244" s="508">
        <v>1280440</v>
      </c>
      <c r="E2244" s="507" t="s">
        <v>6108</v>
      </c>
    </row>
    <row r="2245" spans="1:5" ht="15" x14ac:dyDescent="0.3">
      <c r="A2245" s="506">
        <v>11803</v>
      </c>
      <c r="B2245" s="507" t="s">
        <v>6491</v>
      </c>
      <c r="C2245" s="506" t="s">
        <v>32</v>
      </c>
      <c r="D2245" s="508">
        <v>21135734</v>
      </c>
      <c r="E2245" s="507" t="s">
        <v>6108</v>
      </c>
    </row>
    <row r="2246" spans="1:5" ht="15" x14ac:dyDescent="0.3">
      <c r="A2246" s="506">
        <v>11804</v>
      </c>
      <c r="B2246" s="507" t="s">
        <v>6492</v>
      </c>
      <c r="C2246" s="506" t="s">
        <v>32</v>
      </c>
      <c r="D2246" s="508">
        <v>177310</v>
      </c>
      <c r="E2246" s="507" t="s">
        <v>6108</v>
      </c>
    </row>
    <row r="2247" spans="1:5" ht="15" x14ac:dyDescent="0.3">
      <c r="A2247" s="506">
        <v>11805</v>
      </c>
      <c r="B2247" s="507" t="s">
        <v>6493</v>
      </c>
      <c r="C2247" s="506" t="s">
        <v>32</v>
      </c>
      <c r="D2247" s="508">
        <v>177310</v>
      </c>
      <c r="E2247" s="507" t="s">
        <v>6108</v>
      </c>
    </row>
    <row r="2248" spans="1:5" ht="15" x14ac:dyDescent="0.3">
      <c r="A2248" s="506">
        <v>11806</v>
      </c>
      <c r="B2248" s="507" t="s">
        <v>6494</v>
      </c>
      <c r="C2248" s="506" t="s">
        <v>32</v>
      </c>
      <c r="D2248" s="508">
        <v>198057</v>
      </c>
      <c r="E2248" s="507" t="s">
        <v>6108</v>
      </c>
    </row>
    <row r="2249" spans="1:5" ht="15" x14ac:dyDescent="0.3">
      <c r="A2249" s="506">
        <v>11807</v>
      </c>
      <c r="B2249" s="507" t="s">
        <v>6495</v>
      </c>
      <c r="C2249" s="506" t="s">
        <v>32</v>
      </c>
      <c r="D2249" s="508">
        <v>765170</v>
      </c>
      <c r="E2249" s="507" t="s">
        <v>6108</v>
      </c>
    </row>
    <row r="2250" spans="1:5" ht="15" x14ac:dyDescent="0.3">
      <c r="A2250" s="506">
        <v>11813</v>
      </c>
      <c r="B2250" s="507" t="s">
        <v>5400</v>
      </c>
      <c r="C2250" s="506" t="s">
        <v>32</v>
      </c>
      <c r="D2250" s="508">
        <v>225446</v>
      </c>
      <c r="E2250" s="507" t="s">
        <v>6108</v>
      </c>
    </row>
    <row r="2251" spans="1:5" ht="15" x14ac:dyDescent="0.3">
      <c r="A2251" s="506">
        <v>11814</v>
      </c>
      <c r="B2251" s="507" t="s">
        <v>5401</v>
      </c>
      <c r="C2251" s="506" t="s">
        <v>32</v>
      </c>
      <c r="D2251" s="508">
        <v>3688</v>
      </c>
      <c r="E2251" s="507" t="s">
        <v>331</v>
      </c>
    </row>
    <row r="2252" spans="1:5" ht="15" x14ac:dyDescent="0.3">
      <c r="A2252" s="506">
        <v>11815</v>
      </c>
      <c r="B2252" s="507" t="s">
        <v>5402</v>
      </c>
      <c r="C2252" s="506" t="s">
        <v>32</v>
      </c>
      <c r="D2252" s="508">
        <v>51710</v>
      </c>
      <c r="E2252" s="507" t="s">
        <v>6108</v>
      </c>
    </row>
    <row r="2253" spans="1:5" ht="15" x14ac:dyDescent="0.3">
      <c r="A2253" s="506">
        <v>11817</v>
      </c>
      <c r="B2253" s="507" t="s">
        <v>5403</v>
      </c>
      <c r="C2253" s="506" t="s">
        <v>32</v>
      </c>
      <c r="D2253" s="508">
        <v>3688</v>
      </c>
      <c r="E2253" s="507" t="s">
        <v>331</v>
      </c>
    </row>
    <row r="2254" spans="1:5" ht="15" x14ac:dyDescent="0.3">
      <c r="A2254" s="506">
        <v>11819</v>
      </c>
      <c r="B2254" s="507" t="s">
        <v>5404</v>
      </c>
      <c r="C2254" s="506" t="s">
        <v>32</v>
      </c>
      <c r="D2254" s="508">
        <v>51710</v>
      </c>
      <c r="E2254" s="507" t="s">
        <v>6108</v>
      </c>
    </row>
    <row r="2255" spans="1:5" ht="15" x14ac:dyDescent="0.3">
      <c r="A2255" s="506">
        <v>11820</v>
      </c>
      <c r="B2255" s="507" t="s">
        <v>5405</v>
      </c>
      <c r="C2255" s="506" t="s">
        <v>32</v>
      </c>
      <c r="D2255" s="508">
        <v>152028</v>
      </c>
      <c r="E2255" s="507" t="s">
        <v>6108</v>
      </c>
    </row>
    <row r="2256" spans="1:5" ht="15" x14ac:dyDescent="0.3">
      <c r="A2256" s="506">
        <v>11830</v>
      </c>
      <c r="B2256" s="507" t="s">
        <v>5406</v>
      </c>
      <c r="C2256" s="506" t="s">
        <v>32</v>
      </c>
      <c r="D2256" s="508">
        <v>3688</v>
      </c>
      <c r="E2256" s="507" t="s">
        <v>331</v>
      </c>
    </row>
    <row r="2257" spans="1:5" ht="15" x14ac:dyDescent="0.3">
      <c r="A2257" s="506">
        <v>11831</v>
      </c>
      <c r="B2257" s="507" t="s">
        <v>5407</v>
      </c>
      <c r="C2257" s="506" t="s">
        <v>32</v>
      </c>
      <c r="D2257" s="508">
        <v>3451</v>
      </c>
      <c r="E2257" s="507" t="s">
        <v>331</v>
      </c>
    </row>
    <row r="2258" spans="1:5" ht="15" x14ac:dyDescent="0.3">
      <c r="A2258" s="506">
        <v>11834</v>
      </c>
      <c r="B2258" s="507" t="s">
        <v>5408</v>
      </c>
      <c r="C2258" s="506" t="s">
        <v>32</v>
      </c>
      <c r="D2258" s="508">
        <v>799680</v>
      </c>
      <c r="E2258" s="507" t="s">
        <v>6108</v>
      </c>
    </row>
    <row r="2259" spans="1:5" ht="15" x14ac:dyDescent="0.3">
      <c r="A2259" s="506">
        <v>11835</v>
      </c>
      <c r="B2259" s="507" t="s">
        <v>5409</v>
      </c>
      <c r="C2259" s="506" t="s">
        <v>32</v>
      </c>
      <c r="D2259" s="508">
        <v>444</v>
      </c>
      <c r="E2259" s="507" t="s">
        <v>6108</v>
      </c>
    </row>
    <row r="2260" spans="1:5" ht="15" x14ac:dyDescent="0.3">
      <c r="A2260" s="506">
        <v>11836</v>
      </c>
      <c r="B2260" s="507" t="s">
        <v>5410</v>
      </c>
      <c r="C2260" s="506" t="s">
        <v>32</v>
      </c>
      <c r="D2260" s="508">
        <v>643</v>
      </c>
      <c r="E2260" s="507" t="s">
        <v>6108</v>
      </c>
    </row>
    <row r="2261" spans="1:5" ht="15" x14ac:dyDescent="0.3">
      <c r="A2261" s="506">
        <v>11837</v>
      </c>
      <c r="B2261" s="507" t="s">
        <v>5411</v>
      </c>
      <c r="C2261" s="506" t="s">
        <v>32</v>
      </c>
      <c r="D2261" s="508">
        <v>667</v>
      </c>
      <c r="E2261" s="507" t="s">
        <v>6108</v>
      </c>
    </row>
    <row r="2262" spans="1:5" ht="15" x14ac:dyDescent="0.3">
      <c r="A2262" s="506">
        <v>11838</v>
      </c>
      <c r="B2262" s="507" t="s">
        <v>5412</v>
      </c>
      <c r="C2262" s="506" t="s">
        <v>32</v>
      </c>
      <c r="D2262" s="508">
        <v>340</v>
      </c>
      <c r="E2262" s="507" t="s">
        <v>6108</v>
      </c>
    </row>
    <row r="2263" spans="1:5" ht="15" x14ac:dyDescent="0.3">
      <c r="A2263" s="506">
        <v>11839</v>
      </c>
      <c r="B2263" s="507" t="s">
        <v>5413</v>
      </c>
      <c r="C2263" s="506" t="s">
        <v>32</v>
      </c>
      <c r="D2263" s="508">
        <v>227</v>
      </c>
      <c r="E2263" s="507" t="s">
        <v>6108</v>
      </c>
    </row>
    <row r="2264" spans="1:5" ht="15" x14ac:dyDescent="0.3">
      <c r="A2264" s="506">
        <v>11840</v>
      </c>
      <c r="B2264" s="507" t="s">
        <v>5414</v>
      </c>
      <c r="C2264" s="506" t="s">
        <v>32</v>
      </c>
      <c r="D2264" s="508">
        <v>6426</v>
      </c>
      <c r="E2264" s="507" t="s">
        <v>6108</v>
      </c>
    </row>
    <row r="2265" spans="1:5" ht="15" x14ac:dyDescent="0.3">
      <c r="A2265" s="506">
        <v>11841</v>
      </c>
      <c r="B2265" s="507" t="s">
        <v>5415</v>
      </c>
      <c r="C2265" s="506" t="s">
        <v>32</v>
      </c>
      <c r="D2265" s="508">
        <v>569</v>
      </c>
      <c r="E2265" s="507" t="s">
        <v>6108</v>
      </c>
    </row>
    <row r="2266" spans="1:5" ht="15" x14ac:dyDescent="0.3">
      <c r="A2266" s="506">
        <v>11842</v>
      </c>
      <c r="B2266" s="507" t="s">
        <v>5416</v>
      </c>
      <c r="C2266" s="506" t="s">
        <v>32</v>
      </c>
      <c r="D2266" s="508">
        <v>499800</v>
      </c>
      <c r="E2266" s="507" t="s">
        <v>6108</v>
      </c>
    </row>
    <row r="2267" spans="1:5" ht="15" x14ac:dyDescent="0.3">
      <c r="A2267" s="506">
        <v>11843</v>
      </c>
      <c r="B2267" s="507" t="s">
        <v>5417</v>
      </c>
      <c r="C2267" s="506" t="s">
        <v>32</v>
      </c>
      <c r="D2267" s="508">
        <v>2601</v>
      </c>
      <c r="E2267" s="507" t="s">
        <v>6108</v>
      </c>
    </row>
    <row r="2268" spans="1:5" ht="15" x14ac:dyDescent="0.3">
      <c r="A2268" s="506">
        <v>11844</v>
      </c>
      <c r="B2268" s="507" t="s">
        <v>5418</v>
      </c>
      <c r="C2268" s="506" t="s">
        <v>32</v>
      </c>
      <c r="D2268" s="508">
        <v>850</v>
      </c>
      <c r="E2268" s="507" t="s">
        <v>6108</v>
      </c>
    </row>
    <row r="2269" spans="1:5" ht="15" x14ac:dyDescent="0.3">
      <c r="A2269" s="506">
        <v>11845</v>
      </c>
      <c r="B2269" s="507" t="s">
        <v>5419</v>
      </c>
      <c r="C2269" s="506" t="s">
        <v>32</v>
      </c>
      <c r="D2269" s="508">
        <v>84133</v>
      </c>
      <c r="E2269" s="507" t="s">
        <v>6108</v>
      </c>
    </row>
    <row r="2270" spans="1:5" ht="15" x14ac:dyDescent="0.3">
      <c r="A2270" s="506">
        <v>11846</v>
      </c>
      <c r="B2270" s="507" t="s">
        <v>5420</v>
      </c>
      <c r="C2270" s="506" t="s">
        <v>32</v>
      </c>
      <c r="D2270" s="508">
        <v>47114</v>
      </c>
      <c r="E2270" s="507" t="s">
        <v>6108</v>
      </c>
    </row>
    <row r="2271" spans="1:5" ht="15" x14ac:dyDescent="0.3">
      <c r="A2271" s="506">
        <v>11847</v>
      </c>
      <c r="B2271" s="507" t="s">
        <v>5421</v>
      </c>
      <c r="C2271" s="506" t="s">
        <v>32</v>
      </c>
      <c r="D2271" s="508">
        <v>55987544</v>
      </c>
      <c r="E2271" s="507" t="s">
        <v>6108</v>
      </c>
    </row>
    <row r="2272" spans="1:5" ht="15" x14ac:dyDescent="0.3">
      <c r="A2272" s="506">
        <v>11848</v>
      </c>
      <c r="B2272" s="507" t="s">
        <v>5422</v>
      </c>
      <c r="C2272" s="506" t="s">
        <v>32</v>
      </c>
      <c r="D2272" s="508">
        <v>58383497</v>
      </c>
      <c r="E2272" s="507" t="s">
        <v>6108</v>
      </c>
    </row>
    <row r="2273" spans="1:5" ht="15" x14ac:dyDescent="0.3">
      <c r="A2273" s="506">
        <v>11849</v>
      </c>
      <c r="B2273" s="507" t="s">
        <v>5423</v>
      </c>
      <c r="C2273" s="506" t="s">
        <v>32</v>
      </c>
      <c r="D2273" s="508">
        <v>6450676</v>
      </c>
      <c r="E2273" s="507" t="s">
        <v>6108</v>
      </c>
    </row>
    <row r="2274" spans="1:5" ht="15" x14ac:dyDescent="0.3">
      <c r="A2274" s="506">
        <v>11850</v>
      </c>
      <c r="B2274" s="507" t="s">
        <v>5424</v>
      </c>
      <c r="C2274" s="506" t="s">
        <v>32</v>
      </c>
      <c r="D2274" s="508">
        <v>8888529</v>
      </c>
      <c r="E2274" s="507" t="s">
        <v>6108</v>
      </c>
    </row>
    <row r="2275" spans="1:5" ht="15" x14ac:dyDescent="0.3">
      <c r="A2275" s="506">
        <v>11851</v>
      </c>
      <c r="B2275" s="507" t="s">
        <v>5425</v>
      </c>
      <c r="C2275" s="506" t="s">
        <v>32</v>
      </c>
      <c r="D2275" s="508">
        <v>13889897</v>
      </c>
      <c r="E2275" s="507" t="s">
        <v>6108</v>
      </c>
    </row>
    <row r="2276" spans="1:5" ht="15" x14ac:dyDescent="0.3">
      <c r="A2276" s="506">
        <v>11854</v>
      </c>
      <c r="B2276" s="507" t="s">
        <v>5426</v>
      </c>
      <c r="C2276" s="506" t="s">
        <v>32</v>
      </c>
      <c r="D2276" s="508">
        <v>1476510</v>
      </c>
      <c r="E2276" s="507" t="s">
        <v>6108</v>
      </c>
    </row>
    <row r="2277" spans="1:5" ht="15" x14ac:dyDescent="0.3">
      <c r="A2277" s="506">
        <v>11856</v>
      </c>
      <c r="B2277" s="507" t="s">
        <v>5427</v>
      </c>
      <c r="C2277" s="506" t="s">
        <v>670</v>
      </c>
      <c r="D2277" s="508">
        <v>6069</v>
      </c>
      <c r="E2277" s="507" t="s">
        <v>331</v>
      </c>
    </row>
    <row r="2278" spans="1:5" ht="15" x14ac:dyDescent="0.3">
      <c r="A2278" s="506">
        <v>11862</v>
      </c>
      <c r="B2278" s="507" t="s">
        <v>5428</v>
      </c>
      <c r="C2278" s="506" t="s">
        <v>32</v>
      </c>
      <c r="D2278" s="508">
        <v>1844500</v>
      </c>
      <c r="E2278" s="507" t="s">
        <v>6108</v>
      </c>
    </row>
    <row r="2279" spans="1:5" ht="15" x14ac:dyDescent="0.3">
      <c r="A2279" s="506">
        <v>11863</v>
      </c>
      <c r="B2279" s="507" t="s">
        <v>5429</v>
      </c>
      <c r="C2279" s="506" t="s">
        <v>32</v>
      </c>
      <c r="D2279" s="508">
        <v>1273300</v>
      </c>
      <c r="E2279" s="507" t="s">
        <v>6108</v>
      </c>
    </row>
    <row r="2280" spans="1:5" ht="15" x14ac:dyDescent="0.3">
      <c r="A2280" s="506">
        <v>11864</v>
      </c>
      <c r="B2280" s="507" t="s">
        <v>5430</v>
      </c>
      <c r="C2280" s="506" t="s">
        <v>32</v>
      </c>
      <c r="D2280" s="508">
        <v>156878</v>
      </c>
      <c r="E2280" s="507" t="s">
        <v>6108</v>
      </c>
    </row>
    <row r="2281" spans="1:5" ht="15" x14ac:dyDescent="0.3">
      <c r="A2281" s="506">
        <v>11865</v>
      </c>
      <c r="B2281" s="507" t="s">
        <v>5431</v>
      </c>
      <c r="C2281" s="506" t="s">
        <v>328</v>
      </c>
      <c r="D2281" s="508">
        <v>19671</v>
      </c>
      <c r="E2281" s="507" t="s">
        <v>331</v>
      </c>
    </row>
    <row r="2282" spans="1:5" ht="15" x14ac:dyDescent="0.3">
      <c r="A2282" s="506">
        <v>11866</v>
      </c>
      <c r="B2282" s="507" t="s">
        <v>5432</v>
      </c>
      <c r="C2282" s="506" t="s">
        <v>328</v>
      </c>
      <c r="D2282" s="508">
        <v>8736</v>
      </c>
      <c r="E2282" s="507" t="s">
        <v>331</v>
      </c>
    </row>
    <row r="2283" spans="1:5" ht="15" x14ac:dyDescent="0.3">
      <c r="A2283" s="506">
        <v>11869</v>
      </c>
      <c r="B2283" s="507" t="s">
        <v>5433</v>
      </c>
      <c r="C2283" s="506" t="s">
        <v>32</v>
      </c>
      <c r="D2283" s="508">
        <v>1476510</v>
      </c>
      <c r="E2283" s="507" t="s">
        <v>6108</v>
      </c>
    </row>
    <row r="2284" spans="1:5" ht="15" x14ac:dyDescent="0.3">
      <c r="A2284" s="506">
        <v>11870</v>
      </c>
      <c r="B2284" s="507" t="s">
        <v>5434</v>
      </c>
      <c r="C2284" s="506" t="s">
        <v>32</v>
      </c>
      <c r="D2284" s="508">
        <v>3293</v>
      </c>
      <c r="E2284" s="507" t="s">
        <v>331</v>
      </c>
    </row>
    <row r="2285" spans="1:5" ht="15" x14ac:dyDescent="0.3">
      <c r="A2285" s="506">
        <v>11871</v>
      </c>
      <c r="B2285" s="507" t="s">
        <v>5435</v>
      </c>
      <c r="C2285" s="506" t="s">
        <v>21</v>
      </c>
      <c r="D2285" s="508">
        <v>64579</v>
      </c>
      <c r="E2285" s="507" t="s">
        <v>6108</v>
      </c>
    </row>
    <row r="2286" spans="1:5" ht="15" x14ac:dyDescent="0.3">
      <c r="A2286" s="506">
        <v>11872</v>
      </c>
      <c r="B2286" s="507" t="s">
        <v>6496</v>
      </c>
      <c r="C2286" s="506" t="s">
        <v>32</v>
      </c>
      <c r="D2286" s="508">
        <v>208847</v>
      </c>
      <c r="E2286" s="507" t="s">
        <v>6108</v>
      </c>
    </row>
    <row r="2287" spans="1:5" ht="15" x14ac:dyDescent="0.3">
      <c r="A2287" s="506">
        <v>11873</v>
      </c>
      <c r="B2287" s="507" t="s">
        <v>5436</v>
      </c>
      <c r="C2287" s="506" t="s">
        <v>32</v>
      </c>
      <c r="D2287" s="508">
        <v>6583000</v>
      </c>
      <c r="E2287" s="507" t="s">
        <v>6108</v>
      </c>
    </row>
    <row r="2288" spans="1:5" ht="15" x14ac:dyDescent="0.3">
      <c r="A2288" s="506">
        <v>11874</v>
      </c>
      <c r="B2288" s="507" t="s">
        <v>5437</v>
      </c>
      <c r="C2288" s="506" t="s">
        <v>32</v>
      </c>
      <c r="D2288" s="508">
        <v>664000</v>
      </c>
      <c r="E2288" s="507" t="s">
        <v>6108</v>
      </c>
    </row>
    <row r="2289" spans="1:5" ht="15" x14ac:dyDescent="0.3">
      <c r="A2289" s="506">
        <v>11875</v>
      </c>
      <c r="B2289" s="507" t="s">
        <v>5438</v>
      </c>
      <c r="C2289" s="506" t="s">
        <v>32</v>
      </c>
      <c r="D2289" s="508">
        <v>6583000</v>
      </c>
      <c r="E2289" s="507" t="s">
        <v>6108</v>
      </c>
    </row>
    <row r="2290" spans="1:5" ht="15" x14ac:dyDescent="0.3">
      <c r="A2290" s="506">
        <v>11876</v>
      </c>
      <c r="B2290" s="507" t="s">
        <v>6497</v>
      </c>
      <c r="C2290" s="506" t="s">
        <v>32</v>
      </c>
      <c r="D2290" s="508">
        <v>452200</v>
      </c>
      <c r="E2290" s="507" t="s">
        <v>6108</v>
      </c>
    </row>
    <row r="2291" spans="1:5" ht="15" x14ac:dyDescent="0.3">
      <c r="A2291" s="506">
        <v>11877</v>
      </c>
      <c r="B2291" s="507" t="s">
        <v>6498</v>
      </c>
      <c r="C2291" s="506" t="s">
        <v>32</v>
      </c>
      <c r="D2291" s="508">
        <v>165334</v>
      </c>
      <c r="E2291" s="507" t="s">
        <v>6108</v>
      </c>
    </row>
    <row r="2292" spans="1:5" ht="15" x14ac:dyDescent="0.3">
      <c r="A2292" s="506">
        <v>11878</v>
      </c>
      <c r="B2292" s="507" t="s">
        <v>5439</v>
      </c>
      <c r="C2292" s="506" t="s">
        <v>32</v>
      </c>
      <c r="D2292" s="508">
        <v>476000</v>
      </c>
      <c r="E2292" s="507" t="s">
        <v>6108</v>
      </c>
    </row>
    <row r="2293" spans="1:5" ht="15" x14ac:dyDescent="0.3">
      <c r="A2293" s="506">
        <v>11880</v>
      </c>
      <c r="B2293" s="507" t="s">
        <v>6499</v>
      </c>
      <c r="C2293" s="506" t="s">
        <v>32</v>
      </c>
      <c r="D2293" s="508">
        <v>67592</v>
      </c>
      <c r="E2293" s="507" t="s">
        <v>6108</v>
      </c>
    </row>
    <row r="2294" spans="1:5" ht="15" x14ac:dyDescent="0.3">
      <c r="A2294" s="506">
        <v>11881</v>
      </c>
      <c r="B2294" s="507" t="s">
        <v>5440</v>
      </c>
      <c r="C2294" s="506" t="s">
        <v>32</v>
      </c>
      <c r="D2294" s="508">
        <v>103669</v>
      </c>
      <c r="E2294" s="507" t="s">
        <v>6108</v>
      </c>
    </row>
    <row r="2295" spans="1:5" ht="15" x14ac:dyDescent="0.3">
      <c r="A2295" s="506">
        <v>11882</v>
      </c>
      <c r="B2295" s="507" t="s">
        <v>5441</v>
      </c>
      <c r="C2295" s="506" t="s">
        <v>32</v>
      </c>
      <c r="D2295" s="508">
        <v>113162</v>
      </c>
      <c r="E2295" s="507" t="s">
        <v>331</v>
      </c>
    </row>
    <row r="2296" spans="1:5" ht="15" x14ac:dyDescent="0.3">
      <c r="A2296" s="506">
        <v>11883</v>
      </c>
      <c r="B2296" s="507" t="s">
        <v>5442</v>
      </c>
      <c r="C2296" s="506" t="s">
        <v>32</v>
      </c>
      <c r="D2296" s="508">
        <v>121836</v>
      </c>
      <c r="E2296" s="507" t="s">
        <v>331</v>
      </c>
    </row>
    <row r="2297" spans="1:5" ht="15" x14ac:dyDescent="0.3">
      <c r="A2297" s="506">
        <v>11885</v>
      </c>
      <c r="B2297" s="507" t="s">
        <v>5443</v>
      </c>
      <c r="C2297" s="506" t="s">
        <v>32</v>
      </c>
      <c r="D2297" s="508">
        <v>108000</v>
      </c>
      <c r="E2297" s="507" t="s">
        <v>331</v>
      </c>
    </row>
    <row r="2298" spans="1:5" ht="15" x14ac:dyDescent="0.3">
      <c r="A2298" s="506">
        <v>11886</v>
      </c>
      <c r="B2298" s="507" t="s">
        <v>6500</v>
      </c>
      <c r="C2298" s="506" t="s">
        <v>32</v>
      </c>
      <c r="D2298" s="508">
        <v>285532</v>
      </c>
      <c r="E2298" s="507" t="s">
        <v>6108</v>
      </c>
    </row>
    <row r="2299" spans="1:5" ht="15" x14ac:dyDescent="0.3">
      <c r="A2299" s="506">
        <v>11887</v>
      </c>
      <c r="B2299" s="507" t="s">
        <v>6501</v>
      </c>
      <c r="C2299" s="506" t="s">
        <v>32</v>
      </c>
      <c r="D2299" s="508">
        <v>913920</v>
      </c>
      <c r="E2299" s="507" t="s">
        <v>6108</v>
      </c>
    </row>
    <row r="2300" spans="1:5" ht="15" x14ac:dyDescent="0.3">
      <c r="A2300" s="506">
        <v>11888</v>
      </c>
      <c r="B2300" s="507" t="s">
        <v>5444</v>
      </c>
      <c r="C2300" s="506" t="s">
        <v>32</v>
      </c>
      <c r="D2300" s="508">
        <v>643554</v>
      </c>
      <c r="E2300" s="507" t="s">
        <v>6108</v>
      </c>
    </row>
    <row r="2301" spans="1:5" ht="15" x14ac:dyDescent="0.3">
      <c r="A2301" s="506">
        <v>11889</v>
      </c>
      <c r="B2301" s="507" t="s">
        <v>5445</v>
      </c>
      <c r="C2301" s="506" t="s">
        <v>32</v>
      </c>
      <c r="D2301" s="508">
        <v>829177</v>
      </c>
      <c r="E2301" s="507" t="s">
        <v>6108</v>
      </c>
    </row>
    <row r="2302" spans="1:5" ht="15" x14ac:dyDescent="0.3">
      <c r="A2302" s="506">
        <v>11890</v>
      </c>
      <c r="B2302" s="507" t="s">
        <v>5446</v>
      </c>
      <c r="C2302" s="506" t="s">
        <v>32</v>
      </c>
      <c r="D2302" s="508">
        <v>843275</v>
      </c>
      <c r="E2302" s="507" t="s">
        <v>6108</v>
      </c>
    </row>
    <row r="2303" spans="1:5" ht="15" x14ac:dyDescent="0.3">
      <c r="A2303" s="506">
        <v>11891</v>
      </c>
      <c r="B2303" s="507" t="s">
        <v>5447</v>
      </c>
      <c r="C2303" s="506" t="s">
        <v>32</v>
      </c>
      <c r="D2303" s="508">
        <v>959273</v>
      </c>
      <c r="E2303" s="507" t="s">
        <v>6108</v>
      </c>
    </row>
    <row r="2304" spans="1:5" ht="15" x14ac:dyDescent="0.3">
      <c r="A2304" s="506">
        <v>11893</v>
      </c>
      <c r="B2304" s="507" t="s">
        <v>5448</v>
      </c>
      <c r="C2304" s="506" t="s">
        <v>328</v>
      </c>
      <c r="D2304" s="508">
        <v>895</v>
      </c>
      <c r="E2304" s="507" t="s">
        <v>6108</v>
      </c>
    </row>
    <row r="2305" spans="1:5" ht="15" x14ac:dyDescent="0.3">
      <c r="A2305" s="506">
        <v>11894</v>
      </c>
      <c r="B2305" s="507" t="s">
        <v>5449</v>
      </c>
      <c r="C2305" s="506" t="s">
        <v>328</v>
      </c>
      <c r="D2305" s="508">
        <v>529880</v>
      </c>
      <c r="E2305" s="507" t="s">
        <v>6108</v>
      </c>
    </row>
    <row r="2306" spans="1:5" ht="15" x14ac:dyDescent="0.3">
      <c r="A2306" s="506">
        <v>11895</v>
      </c>
      <c r="B2306" s="507" t="s">
        <v>5450</v>
      </c>
      <c r="C2306" s="506" t="s">
        <v>32</v>
      </c>
      <c r="D2306" s="508">
        <v>664823</v>
      </c>
      <c r="E2306" s="507" t="s">
        <v>6108</v>
      </c>
    </row>
    <row r="2307" spans="1:5" ht="15" x14ac:dyDescent="0.3">
      <c r="A2307" s="506">
        <v>11896</v>
      </c>
      <c r="B2307" s="507" t="s">
        <v>5451</v>
      </c>
      <c r="C2307" s="506" t="s">
        <v>32</v>
      </c>
      <c r="D2307" s="508">
        <v>68900</v>
      </c>
      <c r="E2307" s="507" t="s">
        <v>6108</v>
      </c>
    </row>
    <row r="2308" spans="1:5" ht="15" x14ac:dyDescent="0.3">
      <c r="A2308" s="506">
        <v>11897</v>
      </c>
      <c r="B2308" s="507" t="s">
        <v>5452</v>
      </c>
      <c r="C2308" s="506" t="s">
        <v>328</v>
      </c>
      <c r="D2308" s="508">
        <v>17100</v>
      </c>
      <c r="E2308" s="507" t="s">
        <v>331</v>
      </c>
    </row>
    <row r="2309" spans="1:5" ht="15" x14ac:dyDescent="0.3">
      <c r="A2309" s="506">
        <v>11898</v>
      </c>
      <c r="B2309" s="507" t="s">
        <v>5453</v>
      </c>
      <c r="C2309" s="506" t="s">
        <v>328</v>
      </c>
      <c r="D2309" s="508">
        <v>10404</v>
      </c>
      <c r="E2309" s="507" t="s">
        <v>331</v>
      </c>
    </row>
    <row r="2310" spans="1:5" ht="15" x14ac:dyDescent="0.3">
      <c r="A2310" s="506">
        <v>11899</v>
      </c>
      <c r="B2310" s="507" t="s">
        <v>5454</v>
      </c>
      <c r="C2310" s="506" t="s">
        <v>32</v>
      </c>
      <c r="D2310" s="508">
        <v>4202</v>
      </c>
      <c r="E2310" s="507" t="s">
        <v>331</v>
      </c>
    </row>
    <row r="2311" spans="1:5" ht="15" x14ac:dyDescent="0.3">
      <c r="A2311" s="506">
        <v>11903</v>
      </c>
      <c r="B2311" s="507" t="s">
        <v>5455</v>
      </c>
      <c r="C2311" s="506" t="s">
        <v>32</v>
      </c>
      <c r="D2311" s="508">
        <v>1689</v>
      </c>
      <c r="E2311" s="507" t="s">
        <v>331</v>
      </c>
    </row>
    <row r="2312" spans="1:5" ht="15" x14ac:dyDescent="0.3">
      <c r="A2312" s="506">
        <v>11904</v>
      </c>
      <c r="B2312" s="507" t="s">
        <v>5456</v>
      </c>
      <c r="C2312" s="506" t="s">
        <v>32</v>
      </c>
      <c r="D2312" s="508">
        <v>2493</v>
      </c>
      <c r="E2312" s="507" t="s">
        <v>331</v>
      </c>
    </row>
    <row r="2313" spans="1:5" ht="15" x14ac:dyDescent="0.3">
      <c r="A2313" s="506">
        <v>11905</v>
      </c>
      <c r="B2313" s="507" t="s">
        <v>5457</v>
      </c>
      <c r="C2313" s="506" t="s">
        <v>32</v>
      </c>
      <c r="D2313" s="508">
        <v>2324</v>
      </c>
      <c r="E2313" s="507" t="s">
        <v>331</v>
      </c>
    </row>
    <row r="2314" spans="1:5" ht="15" x14ac:dyDescent="0.3">
      <c r="A2314" s="506">
        <v>11906</v>
      </c>
      <c r="B2314" s="507" t="s">
        <v>5458</v>
      </c>
      <c r="C2314" s="506" t="s">
        <v>32</v>
      </c>
      <c r="D2314" s="508">
        <v>3084</v>
      </c>
      <c r="E2314" s="507" t="s">
        <v>331</v>
      </c>
    </row>
    <row r="2315" spans="1:5" ht="15" x14ac:dyDescent="0.3">
      <c r="A2315" s="506">
        <v>11907</v>
      </c>
      <c r="B2315" s="507" t="s">
        <v>5459</v>
      </c>
      <c r="C2315" s="506" t="s">
        <v>32</v>
      </c>
      <c r="D2315" s="508">
        <v>4884</v>
      </c>
      <c r="E2315" s="507" t="s">
        <v>331</v>
      </c>
    </row>
    <row r="2316" spans="1:5" ht="15" x14ac:dyDescent="0.3">
      <c r="A2316" s="506">
        <v>11908</v>
      </c>
      <c r="B2316" s="507" t="s">
        <v>5460</v>
      </c>
      <c r="C2316" s="506" t="s">
        <v>32</v>
      </c>
      <c r="D2316" s="508">
        <v>4837</v>
      </c>
      <c r="E2316" s="507" t="s">
        <v>331</v>
      </c>
    </row>
    <row r="2317" spans="1:5" ht="15" x14ac:dyDescent="0.3">
      <c r="A2317" s="506">
        <v>11909</v>
      </c>
      <c r="B2317" s="507" t="s">
        <v>5461</v>
      </c>
      <c r="C2317" s="506" t="s">
        <v>32</v>
      </c>
      <c r="D2317" s="508">
        <v>3111</v>
      </c>
      <c r="E2317" s="507" t="s">
        <v>331</v>
      </c>
    </row>
    <row r="2318" spans="1:5" ht="15" x14ac:dyDescent="0.3">
      <c r="A2318" s="506">
        <v>11910</v>
      </c>
      <c r="B2318" s="507" t="s">
        <v>6502</v>
      </c>
      <c r="C2318" s="506" t="s">
        <v>32</v>
      </c>
      <c r="D2318" s="508">
        <v>3134</v>
      </c>
      <c r="E2318" s="507" t="s">
        <v>6108</v>
      </c>
    </row>
    <row r="2319" spans="1:5" ht="15" x14ac:dyDescent="0.3">
      <c r="A2319" s="506">
        <v>11911</v>
      </c>
      <c r="B2319" s="507" t="s">
        <v>5462</v>
      </c>
      <c r="C2319" s="506" t="s">
        <v>32</v>
      </c>
      <c r="D2319" s="508">
        <v>3968</v>
      </c>
      <c r="E2319" s="507" t="s">
        <v>331</v>
      </c>
    </row>
    <row r="2320" spans="1:5" ht="15" x14ac:dyDescent="0.3">
      <c r="A2320" s="506">
        <v>11912</v>
      </c>
      <c r="B2320" s="507" t="s">
        <v>6503</v>
      </c>
      <c r="C2320" s="506" t="s">
        <v>32</v>
      </c>
      <c r="D2320" s="508">
        <v>3396</v>
      </c>
      <c r="E2320" s="507" t="s">
        <v>6108</v>
      </c>
    </row>
    <row r="2321" spans="1:5" ht="15" x14ac:dyDescent="0.3">
      <c r="A2321" s="506">
        <v>11913</v>
      </c>
      <c r="B2321" s="507" t="s">
        <v>6504</v>
      </c>
      <c r="C2321" s="506" t="s">
        <v>32</v>
      </c>
      <c r="D2321" s="508">
        <v>2507</v>
      </c>
      <c r="E2321" s="507" t="s">
        <v>6108</v>
      </c>
    </row>
    <row r="2322" spans="1:5" ht="15" x14ac:dyDescent="0.3">
      <c r="A2322" s="506">
        <v>11914</v>
      </c>
      <c r="B2322" s="507" t="s">
        <v>5463</v>
      </c>
      <c r="C2322" s="506" t="s">
        <v>32</v>
      </c>
      <c r="D2322" s="508">
        <v>14595</v>
      </c>
      <c r="E2322" s="507" t="s">
        <v>331</v>
      </c>
    </row>
    <row r="2323" spans="1:5" ht="15" x14ac:dyDescent="0.3">
      <c r="A2323" s="506">
        <v>11915</v>
      </c>
      <c r="B2323" s="507" t="s">
        <v>5464</v>
      </c>
      <c r="C2323" s="506" t="s">
        <v>32</v>
      </c>
      <c r="D2323" s="508">
        <v>54870</v>
      </c>
      <c r="E2323" s="507" t="s">
        <v>331</v>
      </c>
    </row>
    <row r="2324" spans="1:5" ht="15" x14ac:dyDescent="0.3">
      <c r="A2324" s="506">
        <v>11916</v>
      </c>
      <c r="B2324" s="507" t="s">
        <v>5465</v>
      </c>
      <c r="C2324" s="506" t="s">
        <v>32</v>
      </c>
      <c r="D2324" s="508">
        <v>180228</v>
      </c>
      <c r="E2324" s="507" t="s">
        <v>331</v>
      </c>
    </row>
    <row r="2325" spans="1:5" ht="15" x14ac:dyDescent="0.3">
      <c r="A2325" s="506">
        <v>11918</v>
      </c>
      <c r="B2325" s="507" t="s">
        <v>5466</v>
      </c>
      <c r="C2325" s="506" t="s">
        <v>32</v>
      </c>
      <c r="D2325" s="508">
        <v>12031</v>
      </c>
      <c r="E2325" s="507" t="s">
        <v>6108</v>
      </c>
    </row>
    <row r="2326" spans="1:5" ht="15" x14ac:dyDescent="0.3">
      <c r="A2326" s="506">
        <v>11919</v>
      </c>
      <c r="B2326" s="507" t="s">
        <v>5467</v>
      </c>
      <c r="C2326" s="506" t="s">
        <v>32</v>
      </c>
      <c r="D2326" s="508">
        <v>187943</v>
      </c>
      <c r="E2326" s="507" t="s">
        <v>6108</v>
      </c>
    </row>
    <row r="2327" spans="1:5" ht="15" x14ac:dyDescent="0.3">
      <c r="A2327" s="506">
        <v>11920</v>
      </c>
      <c r="B2327" s="507" t="s">
        <v>5468</v>
      </c>
      <c r="C2327" s="506" t="s">
        <v>32</v>
      </c>
      <c r="D2327" s="508">
        <v>244325</v>
      </c>
      <c r="E2327" s="507" t="s">
        <v>6108</v>
      </c>
    </row>
    <row r="2328" spans="1:5" ht="15" x14ac:dyDescent="0.3">
      <c r="A2328" s="506">
        <v>11921</v>
      </c>
      <c r="B2328" s="507" t="s">
        <v>5469</v>
      </c>
      <c r="C2328" s="506" t="s">
        <v>32</v>
      </c>
      <c r="D2328" s="508">
        <v>8558</v>
      </c>
      <c r="E2328" s="507" t="s">
        <v>6108</v>
      </c>
    </row>
    <row r="2329" spans="1:5" ht="15" x14ac:dyDescent="0.3">
      <c r="A2329" s="506">
        <v>11922</v>
      </c>
      <c r="B2329" s="507" t="s">
        <v>5470</v>
      </c>
      <c r="C2329" s="506" t="s">
        <v>32</v>
      </c>
      <c r="D2329" s="508">
        <v>275649</v>
      </c>
      <c r="E2329" s="507" t="s">
        <v>6108</v>
      </c>
    </row>
    <row r="2330" spans="1:5" ht="15" x14ac:dyDescent="0.3">
      <c r="A2330" s="506">
        <v>11923</v>
      </c>
      <c r="B2330" s="507" t="s">
        <v>5471</v>
      </c>
      <c r="C2330" s="506" t="s">
        <v>32</v>
      </c>
      <c r="D2330" s="508">
        <v>11903</v>
      </c>
      <c r="E2330" s="507" t="s">
        <v>6108</v>
      </c>
    </row>
    <row r="2331" spans="1:5" ht="15" x14ac:dyDescent="0.3">
      <c r="A2331" s="506">
        <v>11924</v>
      </c>
      <c r="B2331" s="507" t="s">
        <v>5472</v>
      </c>
      <c r="C2331" s="506" t="s">
        <v>32</v>
      </c>
      <c r="D2331" s="508">
        <v>244325</v>
      </c>
      <c r="E2331" s="507" t="s">
        <v>6108</v>
      </c>
    </row>
    <row r="2332" spans="1:5" ht="15" x14ac:dyDescent="0.3">
      <c r="A2332" s="506">
        <v>11925</v>
      </c>
      <c r="B2332" s="507" t="s">
        <v>5473</v>
      </c>
      <c r="C2332" s="506" t="s">
        <v>32</v>
      </c>
      <c r="D2332" s="508">
        <v>146155</v>
      </c>
      <c r="E2332" s="507" t="s">
        <v>331</v>
      </c>
    </row>
    <row r="2333" spans="1:5" ht="15" x14ac:dyDescent="0.3">
      <c r="A2333" s="506">
        <v>11926</v>
      </c>
      <c r="B2333" s="507" t="s">
        <v>5474</v>
      </c>
      <c r="C2333" s="506" t="s">
        <v>32</v>
      </c>
      <c r="D2333" s="508">
        <v>470640</v>
      </c>
      <c r="E2333" s="507" t="s">
        <v>6108</v>
      </c>
    </row>
    <row r="2334" spans="1:5" ht="15" x14ac:dyDescent="0.3">
      <c r="A2334" s="506">
        <v>11927</v>
      </c>
      <c r="B2334" s="507" t="s">
        <v>5475</v>
      </c>
      <c r="C2334" s="506" t="s">
        <v>32</v>
      </c>
      <c r="D2334" s="508">
        <v>327356</v>
      </c>
      <c r="E2334" s="507" t="s">
        <v>6108</v>
      </c>
    </row>
    <row r="2335" spans="1:5" ht="15" x14ac:dyDescent="0.3">
      <c r="A2335" s="506">
        <v>11928</v>
      </c>
      <c r="B2335" s="507" t="s">
        <v>5476</v>
      </c>
      <c r="C2335" s="506" t="s">
        <v>32</v>
      </c>
      <c r="D2335" s="508">
        <v>557014</v>
      </c>
      <c r="E2335" s="507" t="s">
        <v>6108</v>
      </c>
    </row>
    <row r="2336" spans="1:5" ht="15" x14ac:dyDescent="0.3">
      <c r="A2336" s="506">
        <v>11929</v>
      </c>
      <c r="B2336" s="507" t="s">
        <v>5477</v>
      </c>
      <c r="C2336" s="506" t="s">
        <v>32</v>
      </c>
      <c r="D2336" s="508">
        <v>470640</v>
      </c>
      <c r="E2336" s="507" t="s">
        <v>6108</v>
      </c>
    </row>
    <row r="2337" spans="1:5" ht="15" x14ac:dyDescent="0.3">
      <c r="A2337" s="506">
        <v>11930</v>
      </c>
      <c r="B2337" s="507" t="s">
        <v>5478</v>
      </c>
      <c r="C2337" s="506" t="s">
        <v>32</v>
      </c>
      <c r="D2337" s="508">
        <v>419191</v>
      </c>
      <c r="E2337" s="507" t="s">
        <v>6108</v>
      </c>
    </row>
    <row r="2338" spans="1:5" ht="15" x14ac:dyDescent="0.3">
      <c r="A2338" s="506">
        <v>11936</v>
      </c>
      <c r="B2338" s="507" t="s">
        <v>5479</v>
      </c>
      <c r="C2338" s="506" t="s">
        <v>32</v>
      </c>
      <c r="D2338" s="508">
        <v>26665784</v>
      </c>
      <c r="E2338" s="507" t="s">
        <v>6108</v>
      </c>
    </row>
    <row r="2339" spans="1:5" ht="15" x14ac:dyDescent="0.3">
      <c r="A2339" s="506">
        <v>11939</v>
      </c>
      <c r="B2339" s="507" t="s">
        <v>5480</v>
      </c>
      <c r="C2339" s="506" t="s">
        <v>32</v>
      </c>
      <c r="D2339" s="508">
        <v>8288</v>
      </c>
      <c r="E2339" s="507" t="s">
        <v>331</v>
      </c>
    </row>
    <row r="2340" spans="1:5" ht="15" x14ac:dyDescent="0.3">
      <c r="A2340" s="506">
        <v>11940</v>
      </c>
      <c r="B2340" s="507" t="s">
        <v>5481</v>
      </c>
      <c r="C2340" s="506" t="s">
        <v>32</v>
      </c>
      <c r="D2340" s="508">
        <v>135900</v>
      </c>
      <c r="E2340" s="507" t="s">
        <v>331</v>
      </c>
    </row>
    <row r="2341" spans="1:5" ht="15" x14ac:dyDescent="0.3">
      <c r="A2341" s="506">
        <v>11941</v>
      </c>
      <c r="B2341" s="507" t="s">
        <v>5482</v>
      </c>
      <c r="C2341" s="506" t="s">
        <v>32</v>
      </c>
      <c r="D2341" s="508">
        <v>2210</v>
      </c>
      <c r="E2341" s="507" t="s">
        <v>331</v>
      </c>
    </row>
    <row r="2342" spans="1:5" ht="15" x14ac:dyDescent="0.3">
      <c r="A2342" s="506">
        <v>11942</v>
      </c>
      <c r="B2342" s="507" t="s">
        <v>6505</v>
      </c>
      <c r="C2342" s="506" t="s">
        <v>32</v>
      </c>
      <c r="D2342" s="508">
        <v>151130</v>
      </c>
      <c r="E2342" s="507" t="s">
        <v>6108</v>
      </c>
    </row>
    <row r="2343" spans="1:5" ht="15" x14ac:dyDescent="0.3">
      <c r="A2343" s="506">
        <v>11943</v>
      </c>
      <c r="B2343" s="507" t="s">
        <v>5483</v>
      </c>
      <c r="C2343" s="506" t="s">
        <v>32</v>
      </c>
      <c r="D2343" s="508">
        <v>158900</v>
      </c>
      <c r="E2343" s="507" t="s">
        <v>331</v>
      </c>
    </row>
    <row r="2344" spans="1:5" ht="15" x14ac:dyDescent="0.3">
      <c r="A2344" s="506">
        <v>11944</v>
      </c>
      <c r="B2344" s="507" t="s">
        <v>5484</v>
      </c>
      <c r="C2344" s="506" t="s">
        <v>32</v>
      </c>
      <c r="D2344" s="508">
        <v>2497</v>
      </c>
      <c r="E2344" s="507" t="s">
        <v>331</v>
      </c>
    </row>
    <row r="2345" spans="1:5" ht="15" x14ac:dyDescent="0.3">
      <c r="A2345" s="506">
        <v>11945</v>
      </c>
      <c r="B2345" s="507" t="s">
        <v>5485</v>
      </c>
      <c r="C2345" s="506" t="s">
        <v>32</v>
      </c>
      <c r="D2345" s="508">
        <v>3913</v>
      </c>
      <c r="E2345" s="507" t="s">
        <v>331</v>
      </c>
    </row>
    <row r="2346" spans="1:5" ht="15" x14ac:dyDescent="0.3">
      <c r="A2346" s="506">
        <v>11946</v>
      </c>
      <c r="B2346" s="507" t="s">
        <v>5486</v>
      </c>
      <c r="C2346" s="506" t="s">
        <v>32</v>
      </c>
      <c r="D2346" s="508">
        <v>956</v>
      </c>
      <c r="E2346" s="507" t="s">
        <v>331</v>
      </c>
    </row>
    <row r="2347" spans="1:5" ht="15" x14ac:dyDescent="0.3">
      <c r="A2347" s="506">
        <v>11947</v>
      </c>
      <c r="B2347" s="507" t="s">
        <v>5487</v>
      </c>
      <c r="C2347" s="506" t="s">
        <v>32</v>
      </c>
      <c r="D2347" s="508">
        <v>3512</v>
      </c>
      <c r="E2347" s="507" t="s">
        <v>331</v>
      </c>
    </row>
    <row r="2348" spans="1:5" ht="15" x14ac:dyDescent="0.3">
      <c r="A2348" s="506">
        <v>11948</v>
      </c>
      <c r="B2348" s="507" t="s">
        <v>5488</v>
      </c>
      <c r="C2348" s="506" t="s">
        <v>32</v>
      </c>
      <c r="D2348" s="508">
        <v>8288</v>
      </c>
      <c r="E2348" s="507" t="s">
        <v>331</v>
      </c>
    </row>
    <row r="2349" spans="1:5" ht="15" x14ac:dyDescent="0.3">
      <c r="A2349" s="506">
        <v>11949</v>
      </c>
      <c r="B2349" s="507" t="s">
        <v>5489</v>
      </c>
      <c r="C2349" s="506" t="s">
        <v>32</v>
      </c>
      <c r="D2349" s="508">
        <v>8288</v>
      </c>
      <c r="E2349" s="507" t="s">
        <v>331</v>
      </c>
    </row>
    <row r="2350" spans="1:5" ht="15" x14ac:dyDescent="0.3">
      <c r="A2350" s="506">
        <v>11950</v>
      </c>
      <c r="B2350" s="507" t="s">
        <v>5490</v>
      </c>
      <c r="C2350" s="506" t="s">
        <v>32</v>
      </c>
      <c r="D2350" s="508">
        <v>9785</v>
      </c>
      <c r="E2350" s="507" t="s">
        <v>6108</v>
      </c>
    </row>
    <row r="2351" spans="1:5" ht="15" x14ac:dyDescent="0.3">
      <c r="A2351" s="506">
        <v>11951</v>
      </c>
      <c r="B2351" s="507" t="s">
        <v>5491</v>
      </c>
      <c r="C2351" s="506" t="s">
        <v>32</v>
      </c>
      <c r="D2351" s="508">
        <v>190400</v>
      </c>
      <c r="E2351" s="507" t="s">
        <v>6108</v>
      </c>
    </row>
    <row r="2352" spans="1:5" ht="15" x14ac:dyDescent="0.3">
      <c r="A2352" s="506">
        <v>11952</v>
      </c>
      <c r="B2352" s="507" t="s">
        <v>5492</v>
      </c>
      <c r="C2352" s="506" t="s">
        <v>32</v>
      </c>
      <c r="D2352" s="508">
        <v>210630</v>
      </c>
      <c r="E2352" s="507" t="s">
        <v>6108</v>
      </c>
    </row>
    <row r="2353" spans="1:5" ht="15" x14ac:dyDescent="0.3">
      <c r="A2353" s="506">
        <v>11953</v>
      </c>
      <c r="B2353" s="507" t="s">
        <v>5493</v>
      </c>
      <c r="C2353" s="506" t="s">
        <v>32</v>
      </c>
      <c r="D2353" s="508">
        <v>328572</v>
      </c>
      <c r="E2353" s="507" t="s">
        <v>6108</v>
      </c>
    </row>
    <row r="2354" spans="1:5" ht="15" x14ac:dyDescent="0.3">
      <c r="A2354" s="506">
        <v>11954</v>
      </c>
      <c r="B2354" s="507" t="s">
        <v>5494</v>
      </c>
      <c r="C2354" s="506" t="s">
        <v>32</v>
      </c>
      <c r="D2354" s="508">
        <v>177111</v>
      </c>
      <c r="E2354" s="507" t="s">
        <v>6108</v>
      </c>
    </row>
    <row r="2355" spans="1:5" ht="15" x14ac:dyDescent="0.3">
      <c r="A2355" s="506">
        <v>11955</v>
      </c>
      <c r="B2355" s="507" t="s">
        <v>5495</v>
      </c>
      <c r="C2355" s="506" t="s">
        <v>32</v>
      </c>
      <c r="D2355" s="508">
        <v>421628</v>
      </c>
      <c r="E2355" s="507" t="s">
        <v>6108</v>
      </c>
    </row>
    <row r="2356" spans="1:5" ht="15" x14ac:dyDescent="0.3">
      <c r="A2356" s="506">
        <v>11956</v>
      </c>
      <c r="B2356" s="507" t="s">
        <v>5496</v>
      </c>
      <c r="C2356" s="506" t="s">
        <v>32</v>
      </c>
      <c r="D2356" s="508">
        <v>75829</v>
      </c>
      <c r="E2356" s="507" t="s">
        <v>6108</v>
      </c>
    </row>
    <row r="2357" spans="1:5" ht="15" x14ac:dyDescent="0.3">
      <c r="A2357" s="506">
        <v>11958</v>
      </c>
      <c r="B2357" s="507" t="s">
        <v>5497</v>
      </c>
      <c r="C2357" s="506" t="s">
        <v>32</v>
      </c>
      <c r="D2357" s="508">
        <v>296066</v>
      </c>
      <c r="E2357" s="507" t="s">
        <v>6108</v>
      </c>
    </row>
    <row r="2358" spans="1:5" ht="15" x14ac:dyDescent="0.3">
      <c r="A2358" s="506">
        <v>11960</v>
      </c>
      <c r="B2358" s="507" t="s">
        <v>5498</v>
      </c>
      <c r="C2358" s="506" t="s">
        <v>32</v>
      </c>
      <c r="D2358" s="508">
        <v>2530</v>
      </c>
      <c r="E2358" s="507" t="s">
        <v>331</v>
      </c>
    </row>
    <row r="2359" spans="1:5" ht="15" x14ac:dyDescent="0.3">
      <c r="A2359" s="506">
        <v>11961</v>
      </c>
      <c r="B2359" s="507" t="s">
        <v>5499</v>
      </c>
      <c r="C2359" s="506" t="s">
        <v>32</v>
      </c>
      <c r="D2359" s="508">
        <v>1100</v>
      </c>
      <c r="E2359" s="507" t="s">
        <v>331</v>
      </c>
    </row>
    <row r="2360" spans="1:5" ht="15" x14ac:dyDescent="0.3">
      <c r="A2360" s="506">
        <v>11965</v>
      </c>
      <c r="B2360" s="507" t="s">
        <v>5500</v>
      </c>
      <c r="C2360" s="506" t="s">
        <v>32</v>
      </c>
      <c r="D2360" s="508">
        <v>36877567</v>
      </c>
      <c r="E2360" s="507" t="s">
        <v>6108</v>
      </c>
    </row>
    <row r="2361" spans="1:5" ht="15" x14ac:dyDescent="0.3">
      <c r="A2361" s="506">
        <v>11968</v>
      </c>
      <c r="B2361" s="507" t="s">
        <v>5501</v>
      </c>
      <c r="C2361" s="506" t="s">
        <v>30</v>
      </c>
      <c r="D2361" s="508">
        <v>95557</v>
      </c>
      <c r="E2361" s="507" t="s">
        <v>331</v>
      </c>
    </row>
    <row r="2362" spans="1:5" ht="15" x14ac:dyDescent="0.3">
      <c r="A2362" s="506">
        <v>11969</v>
      </c>
      <c r="B2362" s="507" t="s">
        <v>5502</v>
      </c>
      <c r="C2362" s="506" t="s">
        <v>30</v>
      </c>
      <c r="D2362" s="508">
        <v>92716</v>
      </c>
      <c r="E2362" s="507" t="s">
        <v>331</v>
      </c>
    </row>
    <row r="2363" spans="1:5" ht="15" x14ac:dyDescent="0.3">
      <c r="A2363" s="506">
        <v>11972</v>
      </c>
      <c r="B2363" s="507" t="s">
        <v>5503</v>
      </c>
      <c r="C2363" s="506" t="s">
        <v>32</v>
      </c>
      <c r="D2363" s="508">
        <v>1245559</v>
      </c>
      <c r="E2363" s="507" t="s">
        <v>6108</v>
      </c>
    </row>
    <row r="2364" spans="1:5" ht="15" x14ac:dyDescent="0.3">
      <c r="A2364" s="506">
        <v>11973</v>
      </c>
      <c r="B2364" s="507" t="s">
        <v>5504</v>
      </c>
      <c r="C2364" s="506" t="s">
        <v>32</v>
      </c>
      <c r="D2364" s="508">
        <v>542828</v>
      </c>
      <c r="E2364" s="507" t="s">
        <v>6108</v>
      </c>
    </row>
    <row r="2365" spans="1:5" ht="15" x14ac:dyDescent="0.3">
      <c r="A2365" s="506">
        <v>11974</v>
      </c>
      <c r="B2365" s="507" t="s">
        <v>5505</v>
      </c>
      <c r="C2365" s="506" t="s">
        <v>32</v>
      </c>
      <c r="D2365" s="508">
        <v>1234275</v>
      </c>
      <c r="E2365" s="507" t="s">
        <v>6108</v>
      </c>
    </row>
    <row r="2366" spans="1:5" ht="15" x14ac:dyDescent="0.3">
      <c r="A2366" s="506">
        <v>11977</v>
      </c>
      <c r="B2366" s="507" t="s">
        <v>6506</v>
      </c>
      <c r="C2366" s="506" t="s">
        <v>32</v>
      </c>
      <c r="D2366" s="508">
        <v>133280</v>
      </c>
      <c r="E2366" s="507" t="s">
        <v>6108</v>
      </c>
    </row>
    <row r="2367" spans="1:5" ht="15" x14ac:dyDescent="0.3">
      <c r="A2367" s="506">
        <v>11978</v>
      </c>
      <c r="B2367" s="507" t="s">
        <v>6507</v>
      </c>
      <c r="C2367" s="506" t="s">
        <v>32</v>
      </c>
      <c r="D2367" s="508">
        <v>2011100</v>
      </c>
      <c r="E2367" s="507" t="s">
        <v>6108</v>
      </c>
    </row>
    <row r="2368" spans="1:5" ht="15" x14ac:dyDescent="0.3">
      <c r="A2368" s="506">
        <v>11979</v>
      </c>
      <c r="B2368" s="507" t="s">
        <v>6508</v>
      </c>
      <c r="C2368" s="506" t="s">
        <v>32</v>
      </c>
      <c r="D2368" s="508">
        <v>117810</v>
      </c>
      <c r="E2368" s="507" t="s">
        <v>6108</v>
      </c>
    </row>
    <row r="2369" spans="1:5" ht="15" x14ac:dyDescent="0.3">
      <c r="A2369" s="506">
        <v>11981</v>
      </c>
      <c r="B2369" s="507" t="s">
        <v>5506</v>
      </c>
      <c r="C2369" s="506" t="s">
        <v>32</v>
      </c>
      <c r="D2369" s="508">
        <v>194857</v>
      </c>
      <c r="E2369" s="507" t="s">
        <v>6108</v>
      </c>
    </row>
    <row r="2370" spans="1:5" ht="15" x14ac:dyDescent="0.3">
      <c r="A2370" s="506">
        <v>11982</v>
      </c>
      <c r="B2370" s="507" t="s">
        <v>5507</v>
      </c>
      <c r="C2370" s="506" t="s">
        <v>32</v>
      </c>
      <c r="D2370" s="508">
        <v>309401</v>
      </c>
      <c r="E2370" s="507" t="s">
        <v>6108</v>
      </c>
    </row>
    <row r="2371" spans="1:5" ht="15" x14ac:dyDescent="0.3">
      <c r="A2371" s="506">
        <v>11983</v>
      </c>
      <c r="B2371" s="507" t="s">
        <v>5508</v>
      </c>
      <c r="C2371" s="506" t="s">
        <v>32</v>
      </c>
      <c r="D2371" s="508">
        <v>190908</v>
      </c>
      <c r="E2371" s="507" t="s">
        <v>6108</v>
      </c>
    </row>
    <row r="2372" spans="1:5" ht="15" x14ac:dyDescent="0.3">
      <c r="A2372" s="506">
        <v>11984</v>
      </c>
      <c r="B2372" s="507" t="s">
        <v>5509</v>
      </c>
      <c r="C2372" s="506" t="s">
        <v>670</v>
      </c>
      <c r="D2372" s="508">
        <v>4598</v>
      </c>
      <c r="E2372" s="507" t="s">
        <v>6108</v>
      </c>
    </row>
    <row r="2373" spans="1:5" ht="15" x14ac:dyDescent="0.3">
      <c r="A2373" s="506">
        <v>11987</v>
      </c>
      <c r="B2373" s="507" t="s">
        <v>5510</v>
      </c>
      <c r="C2373" s="506" t="s">
        <v>32</v>
      </c>
      <c r="D2373" s="508">
        <v>146044</v>
      </c>
      <c r="E2373" s="507" t="s">
        <v>6108</v>
      </c>
    </row>
    <row r="2374" spans="1:5" ht="15" x14ac:dyDescent="0.3">
      <c r="A2374" s="506">
        <v>11988</v>
      </c>
      <c r="B2374" s="507" t="s">
        <v>5511</v>
      </c>
      <c r="C2374" s="506" t="s">
        <v>328</v>
      </c>
      <c r="D2374" s="508">
        <v>2990</v>
      </c>
      <c r="E2374" s="507" t="s">
        <v>6108</v>
      </c>
    </row>
    <row r="2375" spans="1:5" ht="15" x14ac:dyDescent="0.3">
      <c r="A2375" s="506">
        <v>11989</v>
      </c>
      <c r="B2375" s="507" t="s">
        <v>5512</v>
      </c>
      <c r="C2375" s="506" t="s">
        <v>328</v>
      </c>
      <c r="D2375" s="508">
        <v>4800</v>
      </c>
      <c r="E2375" s="507" t="s">
        <v>6108</v>
      </c>
    </row>
    <row r="2376" spans="1:5" ht="15" x14ac:dyDescent="0.3">
      <c r="A2376" s="506">
        <v>11990</v>
      </c>
      <c r="B2376" s="507" t="s">
        <v>5513</v>
      </c>
      <c r="C2376" s="506" t="s">
        <v>32</v>
      </c>
      <c r="D2376" s="508">
        <v>126393</v>
      </c>
      <c r="E2376" s="507" t="s">
        <v>6108</v>
      </c>
    </row>
    <row r="2377" spans="1:5" ht="15" x14ac:dyDescent="0.3">
      <c r="A2377" s="506">
        <v>11991</v>
      </c>
      <c r="B2377" s="507" t="s">
        <v>5514</v>
      </c>
      <c r="C2377" s="506" t="s">
        <v>328</v>
      </c>
      <c r="D2377" s="508">
        <v>757125</v>
      </c>
      <c r="E2377" s="507" t="s">
        <v>6108</v>
      </c>
    </row>
    <row r="2378" spans="1:5" ht="15" x14ac:dyDescent="0.3">
      <c r="A2378" s="506">
        <v>11992</v>
      </c>
      <c r="B2378" s="507" t="s">
        <v>5515</v>
      </c>
      <c r="C2378" s="506" t="s">
        <v>328</v>
      </c>
      <c r="D2378" s="508">
        <v>1514250</v>
      </c>
      <c r="E2378" s="507" t="s">
        <v>6108</v>
      </c>
    </row>
    <row r="2379" spans="1:5" ht="15" x14ac:dyDescent="0.3">
      <c r="A2379" s="506">
        <v>11993</v>
      </c>
      <c r="B2379" s="507" t="s">
        <v>5516</v>
      </c>
      <c r="C2379" s="506" t="s">
        <v>32</v>
      </c>
      <c r="D2379" s="508">
        <v>6000</v>
      </c>
      <c r="E2379" s="507" t="s">
        <v>331</v>
      </c>
    </row>
    <row r="2380" spans="1:5" ht="15" x14ac:dyDescent="0.3">
      <c r="A2380" s="506">
        <v>11994</v>
      </c>
      <c r="B2380" s="507" t="s">
        <v>5517</v>
      </c>
      <c r="C2380" s="506" t="s">
        <v>32</v>
      </c>
      <c r="D2380" s="508">
        <v>645934</v>
      </c>
      <c r="E2380" s="507" t="s">
        <v>6108</v>
      </c>
    </row>
    <row r="2381" spans="1:5" ht="15" x14ac:dyDescent="0.3">
      <c r="A2381" s="506">
        <v>11995</v>
      </c>
      <c r="B2381" s="507" t="s">
        <v>5518</v>
      </c>
      <c r="C2381" s="506" t="s">
        <v>32</v>
      </c>
      <c r="D2381" s="508">
        <v>226474</v>
      </c>
      <c r="E2381" s="507" t="s">
        <v>6108</v>
      </c>
    </row>
    <row r="2382" spans="1:5" ht="15" x14ac:dyDescent="0.3">
      <c r="A2382" s="506">
        <v>11996</v>
      </c>
      <c r="B2382" s="507" t="s">
        <v>6509</v>
      </c>
      <c r="C2382" s="506" t="s">
        <v>32</v>
      </c>
      <c r="D2382" s="508">
        <v>1555330</v>
      </c>
      <c r="E2382" s="507" t="s">
        <v>6108</v>
      </c>
    </row>
    <row r="2383" spans="1:5" ht="15" x14ac:dyDescent="0.3">
      <c r="A2383" s="506">
        <v>11997</v>
      </c>
      <c r="B2383" s="507" t="s">
        <v>5519</v>
      </c>
      <c r="C2383" s="506" t="s">
        <v>30</v>
      </c>
      <c r="D2383" s="508">
        <v>89964</v>
      </c>
      <c r="E2383" s="507" t="s">
        <v>331</v>
      </c>
    </row>
    <row r="2384" spans="1:5" ht="15" x14ac:dyDescent="0.3">
      <c r="A2384" s="506">
        <v>11998</v>
      </c>
      <c r="B2384" s="507" t="s">
        <v>5520</v>
      </c>
      <c r="C2384" s="506" t="s">
        <v>32</v>
      </c>
      <c r="D2384" s="508">
        <v>92996</v>
      </c>
      <c r="E2384" s="507" t="s">
        <v>6108</v>
      </c>
    </row>
    <row r="2385" spans="1:5" ht="15" x14ac:dyDescent="0.3">
      <c r="A2385" s="506">
        <v>12002</v>
      </c>
      <c r="B2385" s="507" t="s">
        <v>6510</v>
      </c>
      <c r="C2385" s="506" t="s">
        <v>3579</v>
      </c>
      <c r="D2385" s="508">
        <v>27000</v>
      </c>
      <c r="E2385" s="507" t="s">
        <v>6108</v>
      </c>
    </row>
    <row r="2386" spans="1:5" ht="15" x14ac:dyDescent="0.3">
      <c r="A2386" s="506">
        <v>12003</v>
      </c>
      <c r="B2386" s="507" t="s">
        <v>5521</v>
      </c>
      <c r="C2386" s="506" t="s">
        <v>32</v>
      </c>
      <c r="D2386" s="508">
        <v>8287</v>
      </c>
      <c r="E2386" s="507" t="s">
        <v>6108</v>
      </c>
    </row>
    <row r="2387" spans="1:5" ht="15" x14ac:dyDescent="0.3">
      <c r="A2387" s="506">
        <v>12004</v>
      </c>
      <c r="B2387" s="507" t="s">
        <v>6511</v>
      </c>
      <c r="C2387" s="506" t="s">
        <v>32</v>
      </c>
      <c r="D2387" s="508">
        <v>59235</v>
      </c>
      <c r="E2387" s="507" t="s">
        <v>6108</v>
      </c>
    </row>
    <row r="2388" spans="1:5" ht="15" x14ac:dyDescent="0.3">
      <c r="A2388" s="506">
        <v>12005</v>
      </c>
      <c r="B2388" s="507" t="s">
        <v>5522</v>
      </c>
      <c r="C2388" s="506" t="s">
        <v>32</v>
      </c>
      <c r="D2388" s="508">
        <v>107900</v>
      </c>
      <c r="E2388" s="507" t="s">
        <v>6108</v>
      </c>
    </row>
    <row r="2389" spans="1:5" ht="15" x14ac:dyDescent="0.3">
      <c r="A2389" s="506">
        <v>12006</v>
      </c>
      <c r="B2389" s="507" t="s">
        <v>6512</v>
      </c>
      <c r="C2389" s="506" t="s">
        <v>32</v>
      </c>
      <c r="D2389" s="508">
        <v>78100</v>
      </c>
      <c r="E2389" s="507" t="s">
        <v>6108</v>
      </c>
    </row>
    <row r="2390" spans="1:5" ht="15" x14ac:dyDescent="0.3">
      <c r="A2390" s="506">
        <v>12010</v>
      </c>
      <c r="B2390" s="507" t="s">
        <v>6513</v>
      </c>
      <c r="C2390" s="506" t="s">
        <v>3579</v>
      </c>
      <c r="D2390" s="508">
        <v>26000</v>
      </c>
      <c r="E2390" s="507" t="s">
        <v>6108</v>
      </c>
    </row>
    <row r="2391" spans="1:5" ht="15" x14ac:dyDescent="0.3">
      <c r="A2391" s="506">
        <v>12011</v>
      </c>
      <c r="B2391" s="507" t="s">
        <v>5523</v>
      </c>
      <c r="C2391" s="506" t="s">
        <v>32</v>
      </c>
      <c r="D2391" s="508">
        <v>1100000</v>
      </c>
      <c r="E2391" s="507" t="s">
        <v>6108</v>
      </c>
    </row>
    <row r="2392" spans="1:5" ht="15" x14ac:dyDescent="0.3">
      <c r="A2392" s="506">
        <v>12015</v>
      </c>
      <c r="B2392" s="507" t="s">
        <v>6514</v>
      </c>
      <c r="C2392" s="506" t="s">
        <v>3596</v>
      </c>
      <c r="D2392" s="508">
        <v>13500</v>
      </c>
      <c r="E2392" s="507" t="s">
        <v>6108</v>
      </c>
    </row>
    <row r="2393" spans="1:5" ht="15" x14ac:dyDescent="0.3">
      <c r="A2393" s="506">
        <v>12017</v>
      </c>
      <c r="B2393" s="507" t="s">
        <v>6515</v>
      </c>
      <c r="C2393" s="506" t="s">
        <v>32</v>
      </c>
      <c r="D2393" s="508">
        <v>142000</v>
      </c>
      <c r="E2393" s="507" t="s">
        <v>6108</v>
      </c>
    </row>
    <row r="2394" spans="1:5" ht="15" x14ac:dyDescent="0.3">
      <c r="A2394" s="506">
        <v>12019</v>
      </c>
      <c r="B2394" s="507" t="s">
        <v>5524</v>
      </c>
      <c r="C2394" s="506" t="s">
        <v>32</v>
      </c>
      <c r="D2394" s="508">
        <v>59417</v>
      </c>
      <c r="E2394" s="507" t="s">
        <v>6108</v>
      </c>
    </row>
    <row r="2395" spans="1:5" ht="15" x14ac:dyDescent="0.3">
      <c r="A2395" s="506">
        <v>12020</v>
      </c>
      <c r="B2395" s="507" t="s">
        <v>5525</v>
      </c>
      <c r="C2395" s="506" t="s">
        <v>30</v>
      </c>
      <c r="D2395" s="508">
        <v>29691</v>
      </c>
      <c r="E2395" s="507" t="s">
        <v>331</v>
      </c>
    </row>
    <row r="2396" spans="1:5" ht="15" x14ac:dyDescent="0.3">
      <c r="A2396" s="506">
        <v>12021</v>
      </c>
      <c r="B2396" s="507" t="s">
        <v>5526</v>
      </c>
      <c r="C2396" s="506" t="s">
        <v>670</v>
      </c>
      <c r="D2396" s="508">
        <v>1071</v>
      </c>
      <c r="E2396" s="507" t="s">
        <v>331</v>
      </c>
    </row>
    <row r="2397" spans="1:5" ht="15" x14ac:dyDescent="0.3">
      <c r="A2397" s="506">
        <v>12022</v>
      </c>
      <c r="B2397" s="507" t="s">
        <v>5527</v>
      </c>
      <c r="C2397" s="506" t="s">
        <v>32</v>
      </c>
      <c r="D2397" s="508">
        <v>32900</v>
      </c>
      <c r="E2397" s="507" t="s">
        <v>6108</v>
      </c>
    </row>
    <row r="2398" spans="1:5" ht="15" x14ac:dyDescent="0.3">
      <c r="A2398" s="506">
        <v>12023</v>
      </c>
      <c r="B2398" s="507" t="s">
        <v>5528</v>
      </c>
      <c r="C2398" s="506" t="s">
        <v>32</v>
      </c>
      <c r="D2398" s="508">
        <v>62475</v>
      </c>
      <c r="E2398" s="507" t="s">
        <v>6108</v>
      </c>
    </row>
    <row r="2399" spans="1:5" ht="15" x14ac:dyDescent="0.3">
      <c r="A2399" s="506">
        <v>12024</v>
      </c>
      <c r="B2399" s="507" t="s">
        <v>5529</v>
      </c>
      <c r="C2399" s="506" t="s">
        <v>4222</v>
      </c>
      <c r="D2399" s="508">
        <v>39000</v>
      </c>
      <c r="E2399" s="507" t="s">
        <v>6108</v>
      </c>
    </row>
    <row r="2400" spans="1:5" ht="15" x14ac:dyDescent="0.3">
      <c r="A2400" s="506">
        <v>12025</v>
      </c>
      <c r="B2400" s="507" t="s">
        <v>5530</v>
      </c>
      <c r="C2400" s="506" t="s">
        <v>4222</v>
      </c>
      <c r="D2400" s="508">
        <v>11100</v>
      </c>
      <c r="E2400" s="507" t="s">
        <v>6108</v>
      </c>
    </row>
    <row r="2401" spans="1:5" ht="15" x14ac:dyDescent="0.3">
      <c r="A2401" s="506">
        <v>12026</v>
      </c>
      <c r="B2401" s="507" t="s">
        <v>5531</v>
      </c>
      <c r="C2401" s="506" t="s">
        <v>32</v>
      </c>
      <c r="D2401" s="508">
        <v>268</v>
      </c>
      <c r="E2401" s="507" t="s">
        <v>6108</v>
      </c>
    </row>
    <row r="2402" spans="1:5" ht="15" x14ac:dyDescent="0.3">
      <c r="A2402" s="506">
        <v>12027</v>
      </c>
      <c r="B2402" s="507" t="s">
        <v>5532</v>
      </c>
      <c r="C2402" s="506" t="s">
        <v>4235</v>
      </c>
      <c r="D2402" s="508">
        <v>34140</v>
      </c>
      <c r="E2402" s="507" t="s">
        <v>6108</v>
      </c>
    </row>
    <row r="2403" spans="1:5" ht="15" x14ac:dyDescent="0.3">
      <c r="A2403" s="506">
        <v>12028</v>
      </c>
      <c r="B2403" s="507" t="s">
        <v>6516</v>
      </c>
      <c r="C2403" s="506" t="s">
        <v>670</v>
      </c>
      <c r="D2403" s="508">
        <v>2118</v>
      </c>
      <c r="E2403" s="507" t="s">
        <v>6108</v>
      </c>
    </row>
    <row r="2404" spans="1:5" ht="15" x14ac:dyDescent="0.3">
      <c r="A2404" s="506">
        <v>12029</v>
      </c>
      <c r="B2404" s="507" t="s">
        <v>5533</v>
      </c>
      <c r="C2404" s="506" t="s">
        <v>32</v>
      </c>
      <c r="D2404" s="508">
        <v>20468</v>
      </c>
      <c r="E2404" s="507" t="s">
        <v>6108</v>
      </c>
    </row>
    <row r="2405" spans="1:5" ht="15" x14ac:dyDescent="0.3">
      <c r="A2405" s="506">
        <v>12030</v>
      </c>
      <c r="B2405" s="507" t="s">
        <v>5534</v>
      </c>
      <c r="C2405" s="506" t="s">
        <v>32</v>
      </c>
      <c r="D2405" s="508">
        <v>65000</v>
      </c>
      <c r="E2405" s="507" t="s">
        <v>6108</v>
      </c>
    </row>
    <row r="2406" spans="1:5" ht="15" x14ac:dyDescent="0.3">
      <c r="A2406" s="506">
        <v>12031</v>
      </c>
      <c r="B2406" s="507" t="s">
        <v>6517</v>
      </c>
      <c r="C2406" s="506" t="s">
        <v>32</v>
      </c>
      <c r="D2406" s="508">
        <v>2800</v>
      </c>
      <c r="E2406" s="507" t="s">
        <v>6108</v>
      </c>
    </row>
    <row r="2407" spans="1:5" ht="15" x14ac:dyDescent="0.3">
      <c r="A2407" s="506">
        <v>12039</v>
      </c>
      <c r="B2407" s="507" t="s">
        <v>6518</v>
      </c>
      <c r="C2407" s="506" t="s">
        <v>32</v>
      </c>
      <c r="D2407" s="508">
        <v>336</v>
      </c>
      <c r="E2407" s="507" t="s">
        <v>6108</v>
      </c>
    </row>
    <row r="2408" spans="1:5" ht="15" x14ac:dyDescent="0.3">
      <c r="A2408" s="506">
        <v>12040</v>
      </c>
      <c r="B2408" s="507" t="s">
        <v>6519</v>
      </c>
      <c r="C2408" s="506" t="s">
        <v>3596</v>
      </c>
      <c r="D2408" s="508">
        <v>2800</v>
      </c>
      <c r="E2408" s="507" t="s">
        <v>6108</v>
      </c>
    </row>
    <row r="2409" spans="1:5" ht="15" x14ac:dyDescent="0.3">
      <c r="A2409" s="506">
        <v>12043</v>
      </c>
      <c r="B2409" s="507" t="s">
        <v>5535</v>
      </c>
      <c r="C2409" s="506" t="s">
        <v>32</v>
      </c>
      <c r="D2409" s="508">
        <v>3440464</v>
      </c>
      <c r="E2409" s="507" t="s">
        <v>6108</v>
      </c>
    </row>
    <row r="2410" spans="1:5" ht="15" x14ac:dyDescent="0.3">
      <c r="A2410" s="506">
        <v>12045</v>
      </c>
      <c r="B2410" s="507" t="s">
        <v>5536</v>
      </c>
      <c r="C2410" s="506" t="s">
        <v>21</v>
      </c>
      <c r="D2410" s="508">
        <v>1574</v>
      </c>
      <c r="E2410" s="507" t="s">
        <v>6108</v>
      </c>
    </row>
    <row r="2411" spans="1:5" ht="15" x14ac:dyDescent="0.3">
      <c r="A2411" s="506">
        <v>12046</v>
      </c>
      <c r="B2411" s="507" t="s">
        <v>5537</v>
      </c>
      <c r="C2411" s="506" t="s">
        <v>32</v>
      </c>
      <c r="D2411" s="508">
        <v>141953</v>
      </c>
      <c r="E2411" s="507" t="s">
        <v>6108</v>
      </c>
    </row>
    <row r="2412" spans="1:5" ht="15" x14ac:dyDescent="0.3">
      <c r="A2412" s="506">
        <v>12048</v>
      </c>
      <c r="B2412" s="507" t="s">
        <v>5538</v>
      </c>
      <c r="C2412" s="506" t="s">
        <v>670</v>
      </c>
      <c r="D2412" s="508">
        <v>16915</v>
      </c>
      <c r="E2412" s="507" t="s">
        <v>6108</v>
      </c>
    </row>
    <row r="2413" spans="1:5" ht="15" x14ac:dyDescent="0.3">
      <c r="A2413" s="506">
        <v>12050</v>
      </c>
      <c r="B2413" s="507" t="s">
        <v>5539</v>
      </c>
      <c r="C2413" s="506" t="s">
        <v>32</v>
      </c>
      <c r="D2413" s="508">
        <v>437375</v>
      </c>
      <c r="E2413" s="507" t="s">
        <v>6108</v>
      </c>
    </row>
    <row r="2414" spans="1:5" ht="15" x14ac:dyDescent="0.3">
      <c r="A2414" s="506">
        <v>12051</v>
      </c>
      <c r="B2414" s="507" t="s">
        <v>5540</v>
      </c>
      <c r="C2414" s="506" t="s">
        <v>328</v>
      </c>
      <c r="D2414" s="508">
        <v>226632</v>
      </c>
      <c r="E2414" s="507" t="s">
        <v>331</v>
      </c>
    </row>
    <row r="2415" spans="1:5" ht="15" x14ac:dyDescent="0.3">
      <c r="A2415" s="506">
        <v>12052</v>
      </c>
      <c r="B2415" s="507" t="s">
        <v>5541</v>
      </c>
      <c r="C2415" s="506" t="s">
        <v>32</v>
      </c>
      <c r="D2415" s="508">
        <v>236284</v>
      </c>
      <c r="E2415" s="507" t="s">
        <v>331</v>
      </c>
    </row>
    <row r="2416" spans="1:5" ht="15" x14ac:dyDescent="0.3">
      <c r="A2416" s="506">
        <v>12058</v>
      </c>
      <c r="B2416" s="507" t="s">
        <v>5542</v>
      </c>
      <c r="C2416" s="506" t="s">
        <v>670</v>
      </c>
      <c r="D2416" s="508">
        <v>6526</v>
      </c>
      <c r="E2416" s="507" t="s">
        <v>6108</v>
      </c>
    </row>
    <row r="2417" spans="1:5" ht="15" x14ac:dyDescent="0.3">
      <c r="A2417" s="506">
        <v>12059</v>
      </c>
      <c r="B2417" s="507" t="s">
        <v>5543</v>
      </c>
      <c r="C2417" s="506" t="s">
        <v>32</v>
      </c>
      <c r="D2417" s="508">
        <v>425987</v>
      </c>
      <c r="E2417" s="507" t="s">
        <v>6108</v>
      </c>
    </row>
    <row r="2418" spans="1:5" ht="15" x14ac:dyDescent="0.3">
      <c r="A2418" s="506">
        <v>12090</v>
      </c>
      <c r="B2418" s="507" t="s">
        <v>5544</v>
      </c>
      <c r="C2418" s="506" t="s">
        <v>670</v>
      </c>
      <c r="D2418" s="508">
        <v>160155</v>
      </c>
      <c r="E2418" s="507" t="s">
        <v>6108</v>
      </c>
    </row>
    <row r="2419" spans="1:5" ht="15" x14ac:dyDescent="0.3">
      <c r="A2419" s="506">
        <v>12091</v>
      </c>
      <c r="B2419" s="507" t="s">
        <v>5545</v>
      </c>
      <c r="C2419" s="506" t="s">
        <v>32</v>
      </c>
      <c r="D2419" s="508">
        <v>8330</v>
      </c>
      <c r="E2419" s="507" t="s">
        <v>331</v>
      </c>
    </row>
    <row r="2420" spans="1:5" ht="15" x14ac:dyDescent="0.3">
      <c r="A2420" s="506">
        <v>12092</v>
      </c>
      <c r="B2420" s="507" t="s">
        <v>5546</v>
      </c>
      <c r="C2420" s="506" t="s">
        <v>32</v>
      </c>
      <c r="D2420" s="508">
        <v>14280</v>
      </c>
      <c r="E2420" s="507" t="s">
        <v>331</v>
      </c>
    </row>
    <row r="2421" spans="1:5" ht="15" x14ac:dyDescent="0.3">
      <c r="A2421" s="506">
        <v>12093</v>
      </c>
      <c r="B2421" s="507" t="s">
        <v>5547</v>
      </c>
      <c r="C2421" s="506" t="s">
        <v>32</v>
      </c>
      <c r="D2421" s="508">
        <v>21420</v>
      </c>
      <c r="E2421" s="507" t="s">
        <v>331</v>
      </c>
    </row>
    <row r="2422" spans="1:5" ht="15" x14ac:dyDescent="0.3">
      <c r="A2422" s="506">
        <v>12094</v>
      </c>
      <c r="B2422" s="507" t="s">
        <v>5548</v>
      </c>
      <c r="C2422" s="506" t="s">
        <v>32</v>
      </c>
      <c r="D2422" s="508">
        <v>26180</v>
      </c>
      <c r="E2422" s="507" t="s">
        <v>331</v>
      </c>
    </row>
    <row r="2423" spans="1:5" ht="15" x14ac:dyDescent="0.3">
      <c r="A2423" s="506">
        <v>12095</v>
      </c>
      <c r="B2423" s="507" t="s">
        <v>5549</v>
      </c>
      <c r="C2423" s="506" t="s">
        <v>32</v>
      </c>
      <c r="D2423" s="508">
        <v>9520</v>
      </c>
      <c r="E2423" s="507" t="s">
        <v>331</v>
      </c>
    </row>
    <row r="2424" spans="1:5" ht="15" x14ac:dyDescent="0.3">
      <c r="A2424" s="506">
        <v>12096</v>
      </c>
      <c r="B2424" s="507" t="s">
        <v>5550</v>
      </c>
      <c r="C2424" s="506" t="s">
        <v>32</v>
      </c>
      <c r="D2424" s="508">
        <v>16660</v>
      </c>
      <c r="E2424" s="507" t="s">
        <v>331</v>
      </c>
    </row>
    <row r="2425" spans="1:5" ht="15" x14ac:dyDescent="0.3">
      <c r="A2425" s="506">
        <v>12097</v>
      </c>
      <c r="B2425" s="507" t="s">
        <v>5551</v>
      </c>
      <c r="C2425" s="506" t="s">
        <v>32</v>
      </c>
      <c r="D2425" s="508">
        <v>29750</v>
      </c>
      <c r="E2425" s="507" t="s">
        <v>331</v>
      </c>
    </row>
    <row r="2426" spans="1:5" ht="15" x14ac:dyDescent="0.3">
      <c r="A2426" s="506">
        <v>12098</v>
      </c>
      <c r="B2426" s="507" t="s">
        <v>5552</v>
      </c>
      <c r="C2426" s="506" t="s">
        <v>32</v>
      </c>
      <c r="D2426" s="508">
        <v>32130</v>
      </c>
      <c r="E2426" s="507" t="s">
        <v>331</v>
      </c>
    </row>
    <row r="2427" spans="1:5" ht="15" x14ac:dyDescent="0.3">
      <c r="A2427" s="506">
        <v>12229</v>
      </c>
      <c r="B2427" s="507" t="s">
        <v>6520</v>
      </c>
      <c r="C2427" s="506" t="s">
        <v>32</v>
      </c>
      <c r="D2427" s="508">
        <v>479816</v>
      </c>
      <c r="E2427" s="507" t="s">
        <v>6108</v>
      </c>
    </row>
    <row r="2428" spans="1:5" ht="15" x14ac:dyDescent="0.3">
      <c r="A2428" s="506">
        <v>12234</v>
      </c>
      <c r="B2428" s="507" t="s">
        <v>5553</v>
      </c>
      <c r="C2428" s="506" t="s">
        <v>32</v>
      </c>
      <c r="D2428" s="508">
        <v>2176</v>
      </c>
      <c r="E2428" s="507" t="s">
        <v>331</v>
      </c>
    </row>
    <row r="2429" spans="1:5" ht="15" x14ac:dyDescent="0.3">
      <c r="A2429" s="506">
        <v>12235</v>
      </c>
      <c r="B2429" s="507" t="s">
        <v>5554</v>
      </c>
      <c r="C2429" s="506" t="s">
        <v>670</v>
      </c>
      <c r="D2429" s="508">
        <v>55692</v>
      </c>
      <c r="E2429" s="507" t="s">
        <v>6108</v>
      </c>
    </row>
    <row r="2430" spans="1:5" ht="15" x14ac:dyDescent="0.3">
      <c r="A2430" s="506">
        <v>12236</v>
      </c>
      <c r="B2430" s="507" t="s">
        <v>6521</v>
      </c>
      <c r="C2430" s="506" t="s">
        <v>32</v>
      </c>
      <c r="D2430" s="508">
        <v>241770</v>
      </c>
      <c r="E2430" s="507" t="s">
        <v>6108</v>
      </c>
    </row>
    <row r="2431" spans="1:5" ht="15" x14ac:dyDescent="0.3">
      <c r="A2431" s="506">
        <v>12237</v>
      </c>
      <c r="B2431" s="507" t="s">
        <v>6522</v>
      </c>
      <c r="C2431" s="506" t="s">
        <v>32</v>
      </c>
      <c r="D2431" s="508">
        <v>134884</v>
      </c>
      <c r="E2431" s="507" t="s">
        <v>6108</v>
      </c>
    </row>
    <row r="2432" spans="1:5" ht="15" x14ac:dyDescent="0.3">
      <c r="A2432" s="506">
        <v>12238</v>
      </c>
      <c r="B2432" s="507" t="s">
        <v>6523</v>
      </c>
      <c r="C2432" s="506" t="s">
        <v>32</v>
      </c>
      <c r="D2432" s="508">
        <v>159460</v>
      </c>
      <c r="E2432" s="507" t="s">
        <v>6108</v>
      </c>
    </row>
    <row r="2433" spans="1:5" ht="15" x14ac:dyDescent="0.3">
      <c r="A2433" s="506">
        <v>12239</v>
      </c>
      <c r="B2433" s="507" t="s">
        <v>5555</v>
      </c>
      <c r="C2433" s="506" t="s">
        <v>30</v>
      </c>
      <c r="D2433" s="508">
        <v>79730</v>
      </c>
      <c r="E2433" s="507" t="s">
        <v>331</v>
      </c>
    </row>
    <row r="2434" spans="1:5" ht="15" x14ac:dyDescent="0.3">
      <c r="A2434" s="506">
        <v>12240</v>
      </c>
      <c r="B2434" s="507" t="s">
        <v>5556</v>
      </c>
      <c r="C2434" s="506" t="s">
        <v>30</v>
      </c>
      <c r="D2434" s="508">
        <v>79730</v>
      </c>
      <c r="E2434" s="507" t="s">
        <v>331</v>
      </c>
    </row>
    <row r="2435" spans="1:5" ht="15" x14ac:dyDescent="0.3">
      <c r="A2435" s="506">
        <v>12241</v>
      </c>
      <c r="B2435" s="507" t="s">
        <v>5557</v>
      </c>
      <c r="C2435" s="506" t="s">
        <v>30</v>
      </c>
      <c r="D2435" s="508">
        <v>79730</v>
      </c>
      <c r="E2435" s="507" t="s">
        <v>331</v>
      </c>
    </row>
    <row r="2436" spans="1:5" ht="15" x14ac:dyDescent="0.3">
      <c r="A2436" s="506">
        <v>12243</v>
      </c>
      <c r="B2436" s="507" t="s">
        <v>5558</v>
      </c>
      <c r="C2436" s="506" t="s">
        <v>30</v>
      </c>
      <c r="D2436" s="508">
        <v>79730</v>
      </c>
      <c r="E2436" s="507" t="s">
        <v>331</v>
      </c>
    </row>
    <row r="2437" spans="1:5" ht="15" x14ac:dyDescent="0.3">
      <c r="A2437" s="506">
        <v>12244</v>
      </c>
      <c r="B2437" s="507" t="s">
        <v>5559</v>
      </c>
      <c r="C2437" s="506" t="s">
        <v>30</v>
      </c>
      <c r="D2437" s="508">
        <v>19635</v>
      </c>
      <c r="E2437" s="507" t="s">
        <v>331</v>
      </c>
    </row>
    <row r="2438" spans="1:5" ht="15" x14ac:dyDescent="0.3">
      <c r="A2438" s="506">
        <v>12245</v>
      </c>
      <c r="B2438" s="507" t="s">
        <v>5560</v>
      </c>
      <c r="C2438" s="506" t="s">
        <v>30</v>
      </c>
      <c r="D2438" s="508">
        <v>107701</v>
      </c>
      <c r="E2438" s="507" t="s">
        <v>331</v>
      </c>
    </row>
    <row r="2439" spans="1:5" ht="15" x14ac:dyDescent="0.3">
      <c r="A2439" s="506">
        <v>12246</v>
      </c>
      <c r="B2439" s="507" t="s">
        <v>5561</v>
      </c>
      <c r="C2439" s="506" t="s">
        <v>30</v>
      </c>
      <c r="D2439" s="508">
        <v>107701</v>
      </c>
      <c r="E2439" s="507" t="s">
        <v>331</v>
      </c>
    </row>
    <row r="2440" spans="1:5" ht="15" x14ac:dyDescent="0.3">
      <c r="A2440" s="506">
        <v>12247</v>
      </c>
      <c r="B2440" s="507" t="s">
        <v>5562</v>
      </c>
      <c r="C2440" s="506" t="s">
        <v>30</v>
      </c>
      <c r="D2440" s="508">
        <v>76160</v>
      </c>
      <c r="E2440" s="507" t="s">
        <v>331</v>
      </c>
    </row>
    <row r="2441" spans="1:5" ht="15" x14ac:dyDescent="0.3">
      <c r="A2441" s="506">
        <v>12248</v>
      </c>
      <c r="B2441" s="507" t="s">
        <v>5563</v>
      </c>
      <c r="C2441" s="506" t="s">
        <v>30</v>
      </c>
      <c r="D2441" s="508">
        <v>76160</v>
      </c>
      <c r="E2441" s="507" t="s">
        <v>331</v>
      </c>
    </row>
    <row r="2442" spans="1:5" ht="15" x14ac:dyDescent="0.3">
      <c r="A2442" s="506">
        <v>12249</v>
      </c>
      <c r="B2442" s="507" t="s">
        <v>5564</v>
      </c>
      <c r="C2442" s="506" t="s">
        <v>670</v>
      </c>
      <c r="D2442" s="508">
        <v>2800</v>
      </c>
      <c r="E2442" s="507" t="s">
        <v>331</v>
      </c>
    </row>
    <row r="2443" spans="1:5" ht="15" x14ac:dyDescent="0.3">
      <c r="A2443" s="506">
        <v>12250</v>
      </c>
      <c r="B2443" s="507" t="s">
        <v>5565</v>
      </c>
      <c r="C2443" s="506" t="s">
        <v>30</v>
      </c>
      <c r="D2443" s="508">
        <v>659290</v>
      </c>
      <c r="E2443" s="507" t="s">
        <v>331</v>
      </c>
    </row>
    <row r="2444" spans="1:5" ht="15" x14ac:dyDescent="0.3">
      <c r="A2444" s="506">
        <v>12251</v>
      </c>
      <c r="B2444" s="507" t="s">
        <v>5566</v>
      </c>
      <c r="C2444" s="506" t="s">
        <v>30</v>
      </c>
      <c r="D2444" s="508">
        <v>676235</v>
      </c>
      <c r="E2444" s="507" t="s">
        <v>331</v>
      </c>
    </row>
    <row r="2445" spans="1:5" ht="15" x14ac:dyDescent="0.3">
      <c r="A2445" s="506">
        <v>12252</v>
      </c>
      <c r="B2445" s="507" t="s">
        <v>5567</v>
      </c>
      <c r="C2445" s="506" t="s">
        <v>30</v>
      </c>
      <c r="D2445" s="508">
        <v>803788</v>
      </c>
      <c r="E2445" s="507" t="s">
        <v>331</v>
      </c>
    </row>
    <row r="2446" spans="1:5" ht="15" x14ac:dyDescent="0.3">
      <c r="A2446" s="506">
        <v>12255</v>
      </c>
      <c r="B2446" s="507" t="s">
        <v>6524</v>
      </c>
      <c r="C2446" s="506" t="s">
        <v>2721</v>
      </c>
      <c r="D2446" s="508">
        <v>254001</v>
      </c>
      <c r="E2446" s="507" t="s">
        <v>6108</v>
      </c>
    </row>
    <row r="2447" spans="1:5" ht="15" x14ac:dyDescent="0.3">
      <c r="A2447" s="506">
        <v>12257</v>
      </c>
      <c r="B2447" s="507" t="s">
        <v>5568</v>
      </c>
      <c r="C2447" s="506" t="s">
        <v>32</v>
      </c>
      <c r="D2447" s="508">
        <v>107100</v>
      </c>
      <c r="E2447" s="507" t="s">
        <v>6108</v>
      </c>
    </row>
    <row r="2448" spans="1:5" ht="15" x14ac:dyDescent="0.3">
      <c r="A2448" s="506">
        <v>12258</v>
      </c>
      <c r="B2448" s="507" t="s">
        <v>5569</v>
      </c>
      <c r="C2448" s="506" t="s">
        <v>3582</v>
      </c>
      <c r="D2448" s="508">
        <v>1725500</v>
      </c>
      <c r="E2448" s="507" t="s">
        <v>6108</v>
      </c>
    </row>
    <row r="2449" spans="1:5" ht="15" x14ac:dyDescent="0.3">
      <c r="A2449" s="506">
        <v>12259</v>
      </c>
      <c r="B2449" s="507" t="s">
        <v>5570</v>
      </c>
      <c r="C2449" s="506" t="s">
        <v>3582</v>
      </c>
      <c r="D2449" s="508">
        <v>873650</v>
      </c>
      <c r="E2449" s="507" t="s">
        <v>6108</v>
      </c>
    </row>
    <row r="2450" spans="1:5" ht="15" x14ac:dyDescent="0.3">
      <c r="A2450" s="506">
        <v>12260</v>
      </c>
      <c r="B2450" s="507" t="s">
        <v>5571</v>
      </c>
      <c r="C2450" s="506" t="s">
        <v>3582</v>
      </c>
      <c r="D2450" s="508">
        <v>919632</v>
      </c>
      <c r="E2450" s="507" t="s">
        <v>6108</v>
      </c>
    </row>
    <row r="2451" spans="1:5" ht="15" x14ac:dyDescent="0.3">
      <c r="A2451" s="506">
        <v>12261</v>
      </c>
      <c r="B2451" s="507" t="s">
        <v>6525</v>
      </c>
      <c r="C2451" s="506" t="s">
        <v>3582</v>
      </c>
      <c r="D2451" s="508">
        <v>1029988</v>
      </c>
      <c r="E2451" s="507" t="s">
        <v>6108</v>
      </c>
    </row>
    <row r="2452" spans="1:5" ht="15" x14ac:dyDescent="0.3">
      <c r="A2452" s="506">
        <v>12263</v>
      </c>
      <c r="B2452" s="507" t="s">
        <v>5572</v>
      </c>
      <c r="C2452" s="506" t="s">
        <v>3582</v>
      </c>
      <c r="D2452" s="508">
        <v>1029988</v>
      </c>
      <c r="E2452" s="507" t="s">
        <v>6108</v>
      </c>
    </row>
    <row r="2453" spans="1:5" ht="15" x14ac:dyDescent="0.3">
      <c r="A2453" s="506">
        <v>12264</v>
      </c>
      <c r="B2453" s="507" t="s">
        <v>5573</v>
      </c>
      <c r="C2453" s="506" t="s">
        <v>32</v>
      </c>
      <c r="D2453" s="508">
        <v>74375</v>
      </c>
      <c r="E2453" s="507" t="s">
        <v>6108</v>
      </c>
    </row>
    <row r="2454" spans="1:5" ht="15" x14ac:dyDescent="0.3">
      <c r="A2454" s="506">
        <v>12265</v>
      </c>
      <c r="B2454" s="507" t="s">
        <v>6526</v>
      </c>
      <c r="C2454" s="506" t="s">
        <v>328</v>
      </c>
      <c r="D2454" s="508">
        <v>134708</v>
      </c>
      <c r="E2454" s="507" t="s">
        <v>6108</v>
      </c>
    </row>
    <row r="2455" spans="1:5" ht="15" x14ac:dyDescent="0.3">
      <c r="A2455" s="506">
        <v>12266</v>
      </c>
      <c r="B2455" s="507" t="s">
        <v>5574</v>
      </c>
      <c r="C2455" s="506" t="s">
        <v>3582</v>
      </c>
      <c r="D2455" s="508">
        <v>946455</v>
      </c>
      <c r="E2455" s="507" t="s">
        <v>6108</v>
      </c>
    </row>
    <row r="2456" spans="1:5" ht="15" x14ac:dyDescent="0.3">
      <c r="A2456" s="506">
        <v>12267</v>
      </c>
      <c r="B2456" s="507" t="s">
        <v>5575</v>
      </c>
      <c r="C2456" s="506" t="s">
        <v>32</v>
      </c>
      <c r="D2456" s="508">
        <v>1097900</v>
      </c>
      <c r="E2456" s="507" t="s">
        <v>6108</v>
      </c>
    </row>
    <row r="2457" spans="1:5" ht="15" x14ac:dyDescent="0.3">
      <c r="A2457" s="506">
        <v>12268</v>
      </c>
      <c r="B2457" s="507" t="s">
        <v>5576</v>
      </c>
      <c r="C2457" s="506" t="s">
        <v>32</v>
      </c>
      <c r="D2457" s="508">
        <v>207012</v>
      </c>
      <c r="E2457" s="507" t="s">
        <v>6108</v>
      </c>
    </row>
    <row r="2458" spans="1:5" ht="15" x14ac:dyDescent="0.3">
      <c r="A2458" s="506">
        <v>12269</v>
      </c>
      <c r="B2458" s="507" t="s">
        <v>5577</v>
      </c>
      <c r="C2458" s="506" t="s">
        <v>32</v>
      </c>
      <c r="D2458" s="508">
        <v>78100</v>
      </c>
      <c r="E2458" s="507" t="s">
        <v>6108</v>
      </c>
    </row>
    <row r="2459" spans="1:5" ht="15" x14ac:dyDescent="0.3">
      <c r="A2459" s="506">
        <v>12270</v>
      </c>
      <c r="B2459" s="507" t="s">
        <v>5578</v>
      </c>
      <c r="C2459" s="506" t="s">
        <v>32</v>
      </c>
      <c r="D2459" s="508">
        <v>143999</v>
      </c>
      <c r="E2459" s="507" t="s">
        <v>6108</v>
      </c>
    </row>
    <row r="2460" spans="1:5" ht="15" x14ac:dyDescent="0.3">
      <c r="A2460" s="506">
        <v>12271</v>
      </c>
      <c r="B2460" s="507" t="s">
        <v>3280</v>
      </c>
      <c r="C2460" s="506" t="s">
        <v>30</v>
      </c>
      <c r="D2460" s="508">
        <v>371137</v>
      </c>
      <c r="E2460" s="507" t="s">
        <v>6108</v>
      </c>
    </row>
    <row r="2461" spans="1:5" ht="15" x14ac:dyDescent="0.3">
      <c r="A2461" s="506">
        <v>12272</v>
      </c>
      <c r="B2461" s="507" t="s">
        <v>6527</v>
      </c>
      <c r="C2461" s="506" t="s">
        <v>32</v>
      </c>
      <c r="D2461" s="508">
        <v>387900</v>
      </c>
      <c r="E2461" s="507" t="s">
        <v>6108</v>
      </c>
    </row>
    <row r="2462" spans="1:5" ht="15" x14ac:dyDescent="0.3">
      <c r="A2462" s="506">
        <v>12277</v>
      </c>
      <c r="B2462" s="507" t="s">
        <v>5579</v>
      </c>
      <c r="C2462" s="506" t="s">
        <v>979</v>
      </c>
      <c r="D2462" s="508">
        <v>251285</v>
      </c>
      <c r="E2462" s="507" t="s">
        <v>6108</v>
      </c>
    </row>
    <row r="2463" spans="1:5" ht="15" x14ac:dyDescent="0.3">
      <c r="A2463" s="506">
        <v>12319</v>
      </c>
      <c r="B2463" s="507" t="s">
        <v>5580</v>
      </c>
      <c r="C2463" s="506" t="s">
        <v>328</v>
      </c>
      <c r="D2463" s="508">
        <v>110763</v>
      </c>
      <c r="E2463" s="507" t="s">
        <v>6108</v>
      </c>
    </row>
    <row r="2464" spans="1:5" ht="15" x14ac:dyDescent="0.3">
      <c r="A2464" s="506">
        <v>12320</v>
      </c>
      <c r="B2464" s="507" t="s">
        <v>5581</v>
      </c>
      <c r="C2464" s="506" t="s">
        <v>328</v>
      </c>
      <c r="D2464" s="508">
        <v>250590</v>
      </c>
      <c r="E2464" s="507" t="s">
        <v>6108</v>
      </c>
    </row>
    <row r="2465" spans="1:5" ht="15" x14ac:dyDescent="0.3">
      <c r="A2465" s="506">
        <v>12321</v>
      </c>
      <c r="B2465" s="507" t="s">
        <v>5582</v>
      </c>
      <c r="C2465" s="506" t="s">
        <v>328</v>
      </c>
      <c r="D2465" s="508">
        <v>313238</v>
      </c>
      <c r="E2465" s="507" t="s">
        <v>6108</v>
      </c>
    </row>
    <row r="2466" spans="1:5" ht="15" x14ac:dyDescent="0.3">
      <c r="A2466" s="506">
        <v>12322</v>
      </c>
      <c r="B2466" s="507" t="s">
        <v>5583</v>
      </c>
      <c r="C2466" s="506" t="s">
        <v>328</v>
      </c>
      <c r="D2466" s="508">
        <v>221526</v>
      </c>
      <c r="E2466" s="507" t="s">
        <v>6108</v>
      </c>
    </row>
    <row r="2467" spans="1:5" ht="15" x14ac:dyDescent="0.3">
      <c r="A2467" s="506">
        <v>12323</v>
      </c>
      <c r="B2467" s="507" t="s">
        <v>5584</v>
      </c>
      <c r="C2467" s="506" t="s">
        <v>328</v>
      </c>
      <c r="D2467" s="508">
        <v>172298</v>
      </c>
      <c r="E2467" s="507" t="s">
        <v>6108</v>
      </c>
    </row>
    <row r="2468" spans="1:5" ht="15" x14ac:dyDescent="0.3">
      <c r="A2468" s="506">
        <v>12324</v>
      </c>
      <c r="B2468" s="507" t="s">
        <v>5585</v>
      </c>
      <c r="C2468" s="506" t="s">
        <v>328</v>
      </c>
      <c r="D2468" s="508">
        <v>227679</v>
      </c>
      <c r="E2468" s="507" t="s">
        <v>6108</v>
      </c>
    </row>
    <row r="2469" spans="1:5" ht="15" x14ac:dyDescent="0.3">
      <c r="A2469" s="506">
        <v>12325</v>
      </c>
      <c r="B2469" s="507" t="s">
        <v>5586</v>
      </c>
      <c r="C2469" s="506" t="s">
        <v>328</v>
      </c>
      <c r="D2469" s="508">
        <v>246140</v>
      </c>
      <c r="E2469" s="507" t="s">
        <v>6108</v>
      </c>
    </row>
    <row r="2470" spans="1:5" ht="15" x14ac:dyDescent="0.3">
      <c r="A2470" s="506">
        <v>12326</v>
      </c>
      <c r="B2470" s="507" t="s">
        <v>5587</v>
      </c>
      <c r="C2470" s="506" t="s">
        <v>328</v>
      </c>
      <c r="D2470" s="508">
        <v>417648</v>
      </c>
      <c r="E2470" s="507" t="s">
        <v>6108</v>
      </c>
    </row>
    <row r="2471" spans="1:5" ht="15" x14ac:dyDescent="0.3">
      <c r="A2471" s="506">
        <v>12327</v>
      </c>
      <c r="B2471" s="507" t="s">
        <v>6528</v>
      </c>
      <c r="C2471" s="506" t="s">
        <v>328</v>
      </c>
      <c r="D2471" s="508">
        <v>553814</v>
      </c>
      <c r="E2471" s="507" t="s">
        <v>6108</v>
      </c>
    </row>
    <row r="2472" spans="1:5" ht="15" x14ac:dyDescent="0.3">
      <c r="A2472" s="506">
        <v>12328</v>
      </c>
      <c r="B2472" s="507" t="s">
        <v>6529</v>
      </c>
      <c r="C2472" s="506" t="s">
        <v>328</v>
      </c>
      <c r="D2472" s="508">
        <v>516893</v>
      </c>
      <c r="E2472" s="507" t="s">
        <v>6108</v>
      </c>
    </row>
    <row r="2473" spans="1:5" ht="15" x14ac:dyDescent="0.3">
      <c r="A2473" s="506">
        <v>12329</v>
      </c>
      <c r="B2473" s="507" t="s">
        <v>6530</v>
      </c>
      <c r="C2473" s="506" t="s">
        <v>32</v>
      </c>
      <c r="D2473" s="508">
        <v>3451000</v>
      </c>
      <c r="E2473" s="507" t="s">
        <v>6108</v>
      </c>
    </row>
    <row r="2474" spans="1:5" ht="15" x14ac:dyDescent="0.3">
      <c r="A2474" s="506">
        <v>12330</v>
      </c>
      <c r="B2474" s="507" t="s">
        <v>5588</v>
      </c>
      <c r="C2474" s="506" t="s">
        <v>32</v>
      </c>
      <c r="D2474" s="508">
        <v>3451000</v>
      </c>
      <c r="E2474" s="507" t="s">
        <v>6108</v>
      </c>
    </row>
    <row r="2475" spans="1:5" ht="15" x14ac:dyDescent="0.3">
      <c r="A2475" s="506">
        <v>12331</v>
      </c>
      <c r="B2475" s="507" t="s">
        <v>5589</v>
      </c>
      <c r="C2475" s="506" t="s">
        <v>32</v>
      </c>
      <c r="D2475" s="508">
        <v>4760000</v>
      </c>
      <c r="E2475" s="507" t="s">
        <v>6108</v>
      </c>
    </row>
    <row r="2476" spans="1:5" ht="15" x14ac:dyDescent="0.3">
      <c r="A2476" s="506">
        <v>12332</v>
      </c>
      <c r="B2476" s="507" t="s">
        <v>5590</v>
      </c>
      <c r="C2476" s="506" t="s">
        <v>32</v>
      </c>
      <c r="D2476" s="508">
        <v>1963500</v>
      </c>
      <c r="E2476" s="507" t="s">
        <v>6108</v>
      </c>
    </row>
    <row r="2477" spans="1:5" ht="15" x14ac:dyDescent="0.3">
      <c r="A2477" s="506">
        <v>12333</v>
      </c>
      <c r="B2477" s="507" t="s">
        <v>5591</v>
      </c>
      <c r="C2477" s="506" t="s">
        <v>32</v>
      </c>
      <c r="D2477" s="508">
        <v>1784512</v>
      </c>
      <c r="E2477" s="507" t="s">
        <v>6108</v>
      </c>
    </row>
    <row r="2478" spans="1:5" ht="15" x14ac:dyDescent="0.3">
      <c r="A2478" s="506">
        <v>12334</v>
      </c>
      <c r="B2478" s="507" t="s">
        <v>5592</v>
      </c>
      <c r="C2478" s="506" t="s">
        <v>32</v>
      </c>
      <c r="D2478" s="508">
        <v>383000</v>
      </c>
      <c r="E2478" s="507" t="s">
        <v>6108</v>
      </c>
    </row>
    <row r="2479" spans="1:5" ht="15" x14ac:dyDescent="0.3">
      <c r="A2479" s="506">
        <v>12335</v>
      </c>
      <c r="B2479" s="507" t="s">
        <v>5593</v>
      </c>
      <c r="C2479" s="506" t="s">
        <v>32</v>
      </c>
      <c r="D2479" s="508">
        <v>283220</v>
      </c>
      <c r="E2479" s="507" t="s">
        <v>6108</v>
      </c>
    </row>
    <row r="2480" spans="1:5" ht="15" x14ac:dyDescent="0.3">
      <c r="A2480" s="506">
        <v>12336</v>
      </c>
      <c r="B2480" s="507" t="s">
        <v>5594</v>
      </c>
      <c r="C2480" s="506" t="s">
        <v>32</v>
      </c>
      <c r="D2480" s="508">
        <v>49980</v>
      </c>
      <c r="E2480" s="507" t="s">
        <v>6108</v>
      </c>
    </row>
    <row r="2481" spans="1:5" ht="15" x14ac:dyDescent="0.3">
      <c r="A2481" s="506">
        <v>12341</v>
      </c>
      <c r="B2481" s="507" t="s">
        <v>5595</v>
      </c>
      <c r="C2481" s="506" t="s">
        <v>32</v>
      </c>
      <c r="D2481" s="508">
        <v>3798837</v>
      </c>
      <c r="E2481" s="507" t="s">
        <v>331</v>
      </c>
    </row>
    <row r="2482" spans="1:5" ht="15" x14ac:dyDescent="0.3">
      <c r="A2482" s="506">
        <v>12350</v>
      </c>
      <c r="B2482" s="507" t="s">
        <v>5596</v>
      </c>
      <c r="C2482" s="506" t="s">
        <v>3582</v>
      </c>
      <c r="D2482" s="508">
        <v>32790</v>
      </c>
      <c r="E2482" s="507" t="s">
        <v>331</v>
      </c>
    </row>
    <row r="2483" spans="1:5" ht="15" x14ac:dyDescent="0.3">
      <c r="A2483" s="506">
        <v>12352</v>
      </c>
      <c r="B2483" s="507" t="s">
        <v>5597</v>
      </c>
      <c r="C2483" s="506" t="s">
        <v>4508</v>
      </c>
      <c r="D2483" s="508">
        <v>259635</v>
      </c>
      <c r="E2483" s="507" t="s">
        <v>6108</v>
      </c>
    </row>
    <row r="2484" spans="1:5" ht="15" x14ac:dyDescent="0.3">
      <c r="A2484" s="506">
        <v>12355</v>
      </c>
      <c r="B2484" s="507" t="s">
        <v>5598</v>
      </c>
      <c r="C2484" s="506" t="s">
        <v>3582</v>
      </c>
      <c r="D2484" s="508">
        <v>42119</v>
      </c>
      <c r="E2484" s="507" t="s">
        <v>331</v>
      </c>
    </row>
    <row r="2485" spans="1:5" ht="15" x14ac:dyDescent="0.3">
      <c r="A2485" s="506">
        <v>12356</v>
      </c>
      <c r="B2485" s="507" t="s">
        <v>5599</v>
      </c>
      <c r="C2485" s="506" t="s">
        <v>670</v>
      </c>
      <c r="D2485" s="508">
        <v>13804</v>
      </c>
      <c r="E2485" s="507" t="s">
        <v>331</v>
      </c>
    </row>
    <row r="2486" spans="1:5" ht="15" x14ac:dyDescent="0.3">
      <c r="A2486" s="506">
        <v>12357</v>
      </c>
      <c r="B2486" s="507" t="s">
        <v>6531</v>
      </c>
      <c r="C2486" s="506" t="s">
        <v>32</v>
      </c>
      <c r="D2486" s="508">
        <v>56900</v>
      </c>
      <c r="E2486" s="507" t="s">
        <v>6108</v>
      </c>
    </row>
    <row r="2487" spans="1:5" ht="15" x14ac:dyDescent="0.3">
      <c r="A2487" s="506">
        <v>12358</v>
      </c>
      <c r="B2487" s="507" t="s">
        <v>5600</v>
      </c>
      <c r="C2487" s="506" t="s">
        <v>32</v>
      </c>
      <c r="D2487" s="508">
        <v>582990</v>
      </c>
      <c r="E2487" s="507" t="s">
        <v>6108</v>
      </c>
    </row>
    <row r="2488" spans="1:5" ht="15" x14ac:dyDescent="0.3">
      <c r="A2488" s="506">
        <v>12373</v>
      </c>
      <c r="B2488" s="507" t="s">
        <v>5601</v>
      </c>
      <c r="C2488" s="506" t="s">
        <v>30</v>
      </c>
      <c r="D2488" s="508">
        <v>762137</v>
      </c>
      <c r="E2488" s="507" t="s">
        <v>331</v>
      </c>
    </row>
    <row r="2489" spans="1:5" ht="15" x14ac:dyDescent="0.3">
      <c r="A2489" s="506">
        <v>12375</v>
      </c>
      <c r="B2489" s="507" t="s">
        <v>6532</v>
      </c>
      <c r="C2489" s="506" t="s">
        <v>32</v>
      </c>
      <c r="D2489" s="508">
        <v>11055705</v>
      </c>
      <c r="E2489" s="507" t="s">
        <v>6108</v>
      </c>
    </row>
    <row r="2490" spans="1:5" ht="15" x14ac:dyDescent="0.3">
      <c r="A2490" s="506">
        <v>12376</v>
      </c>
      <c r="B2490" s="507" t="s">
        <v>6533</v>
      </c>
      <c r="C2490" s="506" t="s">
        <v>32</v>
      </c>
      <c r="D2490" s="508">
        <v>809557</v>
      </c>
      <c r="E2490" s="507" t="s">
        <v>6108</v>
      </c>
    </row>
    <row r="2491" spans="1:5" ht="15" x14ac:dyDescent="0.3">
      <c r="A2491" s="506">
        <v>12377</v>
      </c>
      <c r="B2491" s="507" t="s">
        <v>6534</v>
      </c>
      <c r="C2491" s="506" t="s">
        <v>32</v>
      </c>
      <c r="D2491" s="508">
        <v>3037470</v>
      </c>
      <c r="E2491" s="507" t="s">
        <v>6108</v>
      </c>
    </row>
    <row r="2492" spans="1:5" ht="15" x14ac:dyDescent="0.3">
      <c r="A2492" s="506">
        <v>12383</v>
      </c>
      <c r="B2492" s="507" t="s">
        <v>5602</v>
      </c>
      <c r="C2492" s="506" t="s">
        <v>328</v>
      </c>
      <c r="D2492" s="508">
        <v>3905675</v>
      </c>
      <c r="E2492" s="507" t="s">
        <v>6108</v>
      </c>
    </row>
    <row r="2493" spans="1:5" ht="15" x14ac:dyDescent="0.3">
      <c r="A2493" s="506">
        <v>12384</v>
      </c>
      <c r="B2493" s="507" t="s">
        <v>5603</v>
      </c>
      <c r="C2493" s="506" t="s">
        <v>328</v>
      </c>
      <c r="D2493" s="508">
        <v>7042024</v>
      </c>
      <c r="E2493" s="507" t="s">
        <v>6108</v>
      </c>
    </row>
    <row r="2494" spans="1:5" ht="15" x14ac:dyDescent="0.3">
      <c r="A2494" s="506">
        <v>12390</v>
      </c>
      <c r="B2494" s="507" t="s">
        <v>5604</v>
      </c>
      <c r="C2494" s="506" t="s">
        <v>32</v>
      </c>
      <c r="D2494" s="508">
        <v>2320500</v>
      </c>
      <c r="E2494" s="507" t="s">
        <v>6108</v>
      </c>
    </row>
    <row r="2495" spans="1:5" ht="15" x14ac:dyDescent="0.3">
      <c r="A2495" s="506">
        <v>12391</v>
      </c>
      <c r="B2495" s="507" t="s">
        <v>5605</v>
      </c>
      <c r="C2495" s="506" t="s">
        <v>32</v>
      </c>
      <c r="D2495" s="508">
        <v>3702428</v>
      </c>
      <c r="E2495" s="507" t="s">
        <v>6108</v>
      </c>
    </row>
    <row r="2496" spans="1:5" ht="15" x14ac:dyDescent="0.3">
      <c r="A2496" s="506">
        <v>12392</v>
      </c>
      <c r="B2496" s="507" t="s">
        <v>5606</v>
      </c>
      <c r="C2496" s="506" t="s">
        <v>32</v>
      </c>
      <c r="D2496" s="508">
        <v>1346190</v>
      </c>
      <c r="E2496" s="507" t="s">
        <v>6108</v>
      </c>
    </row>
    <row r="2497" spans="1:5" ht="15" x14ac:dyDescent="0.3">
      <c r="A2497" s="506">
        <v>12393</v>
      </c>
      <c r="B2497" s="507" t="s">
        <v>5607</v>
      </c>
      <c r="C2497" s="506" t="s">
        <v>5162</v>
      </c>
      <c r="D2497" s="508">
        <v>1433935</v>
      </c>
      <c r="E2497" s="507" t="s">
        <v>6108</v>
      </c>
    </row>
    <row r="2498" spans="1:5" ht="15" x14ac:dyDescent="0.3">
      <c r="A2498" s="506">
        <v>12394</v>
      </c>
      <c r="B2498" s="507" t="s">
        <v>6535</v>
      </c>
      <c r="C2498" s="506" t="s">
        <v>32</v>
      </c>
      <c r="D2498" s="508">
        <v>19499839</v>
      </c>
      <c r="E2498" s="507" t="s">
        <v>6108</v>
      </c>
    </row>
    <row r="2499" spans="1:5" ht="15" x14ac:dyDescent="0.3">
      <c r="A2499" s="506">
        <v>12396</v>
      </c>
      <c r="B2499" s="507" t="s">
        <v>5608</v>
      </c>
      <c r="C2499" s="506" t="s">
        <v>32</v>
      </c>
      <c r="D2499" s="508">
        <v>2750000</v>
      </c>
      <c r="E2499" s="507" t="s">
        <v>6108</v>
      </c>
    </row>
    <row r="2500" spans="1:5" ht="15" x14ac:dyDescent="0.3">
      <c r="A2500" s="506">
        <v>12428</v>
      </c>
      <c r="B2500" s="507" t="s">
        <v>5609</v>
      </c>
      <c r="C2500" s="506" t="s">
        <v>32</v>
      </c>
      <c r="D2500" s="508">
        <v>119328</v>
      </c>
      <c r="E2500" s="507" t="s">
        <v>6108</v>
      </c>
    </row>
    <row r="2501" spans="1:5" ht="15" x14ac:dyDescent="0.3">
      <c r="A2501" s="506">
        <v>12429</v>
      </c>
      <c r="B2501" s="507" t="s">
        <v>5610</v>
      </c>
      <c r="C2501" s="506" t="s">
        <v>32</v>
      </c>
      <c r="D2501" s="508">
        <v>2353</v>
      </c>
      <c r="E2501" s="507" t="s">
        <v>6108</v>
      </c>
    </row>
    <row r="2502" spans="1:5" ht="15" x14ac:dyDescent="0.3">
      <c r="A2502" s="506">
        <v>12430</v>
      </c>
      <c r="B2502" s="507" t="s">
        <v>5611</v>
      </c>
      <c r="C2502" s="506" t="s">
        <v>3596</v>
      </c>
      <c r="D2502" s="508">
        <v>11345</v>
      </c>
      <c r="E2502" s="507" t="s">
        <v>6108</v>
      </c>
    </row>
    <row r="2503" spans="1:5" ht="15" x14ac:dyDescent="0.3">
      <c r="A2503" s="506">
        <v>12431</v>
      </c>
      <c r="B2503" s="507" t="s">
        <v>5612</v>
      </c>
      <c r="C2503" s="506" t="s">
        <v>32</v>
      </c>
      <c r="D2503" s="508">
        <v>10949</v>
      </c>
      <c r="E2503" s="507" t="s">
        <v>6108</v>
      </c>
    </row>
    <row r="2504" spans="1:5" ht="15" x14ac:dyDescent="0.3">
      <c r="A2504" s="506">
        <v>12432</v>
      </c>
      <c r="B2504" s="507" t="s">
        <v>3318</v>
      </c>
      <c r="C2504" s="506" t="s">
        <v>30</v>
      </c>
      <c r="D2504" s="508">
        <v>311880</v>
      </c>
      <c r="E2504" s="507" t="s">
        <v>6108</v>
      </c>
    </row>
    <row r="2505" spans="1:5" ht="15" x14ac:dyDescent="0.3">
      <c r="A2505" s="506">
        <v>12434</v>
      </c>
      <c r="B2505" s="507" t="s">
        <v>5613</v>
      </c>
      <c r="C2505" s="506" t="s">
        <v>3596</v>
      </c>
      <c r="D2505" s="508">
        <v>2353</v>
      </c>
      <c r="E2505" s="507" t="s">
        <v>6108</v>
      </c>
    </row>
    <row r="2506" spans="1:5" ht="15" x14ac:dyDescent="0.3">
      <c r="A2506" s="506">
        <v>12435</v>
      </c>
      <c r="B2506" s="507" t="s">
        <v>5614</v>
      </c>
      <c r="C2506" s="506" t="s">
        <v>32</v>
      </c>
      <c r="D2506" s="508">
        <v>47816</v>
      </c>
      <c r="E2506" s="507" t="s">
        <v>6108</v>
      </c>
    </row>
    <row r="2507" spans="1:5" ht="15" x14ac:dyDescent="0.3">
      <c r="A2507" s="506">
        <v>12436</v>
      </c>
      <c r="B2507" s="507" t="s">
        <v>5615</v>
      </c>
      <c r="C2507" s="506" t="s">
        <v>3579</v>
      </c>
      <c r="D2507" s="508">
        <v>21849</v>
      </c>
      <c r="E2507" s="507" t="s">
        <v>6108</v>
      </c>
    </row>
    <row r="2508" spans="1:5" ht="15" x14ac:dyDescent="0.3">
      <c r="A2508" s="506">
        <v>12437</v>
      </c>
      <c r="B2508" s="507" t="s">
        <v>5616</v>
      </c>
      <c r="C2508" s="506" t="s">
        <v>32</v>
      </c>
      <c r="D2508" s="508">
        <v>52500</v>
      </c>
      <c r="E2508" s="507" t="s">
        <v>6108</v>
      </c>
    </row>
    <row r="2509" spans="1:5" ht="15" x14ac:dyDescent="0.3">
      <c r="A2509" s="506">
        <v>12438</v>
      </c>
      <c r="B2509" s="507" t="s">
        <v>5617</v>
      </c>
      <c r="C2509" s="506" t="s">
        <v>32</v>
      </c>
      <c r="D2509" s="508">
        <v>325966</v>
      </c>
      <c r="E2509" s="507" t="s">
        <v>6108</v>
      </c>
    </row>
    <row r="2510" spans="1:5" ht="15" x14ac:dyDescent="0.3">
      <c r="A2510" s="506">
        <v>12439</v>
      </c>
      <c r="B2510" s="507" t="s">
        <v>6536</v>
      </c>
      <c r="C2510" s="506" t="s">
        <v>32</v>
      </c>
      <c r="D2510" s="508">
        <v>924370</v>
      </c>
      <c r="E2510" s="507" t="s">
        <v>6108</v>
      </c>
    </row>
    <row r="2511" spans="1:5" ht="15" x14ac:dyDescent="0.3">
      <c r="A2511" s="506">
        <v>12440</v>
      </c>
      <c r="B2511" s="507" t="s">
        <v>5618</v>
      </c>
      <c r="C2511" s="506" t="s">
        <v>32</v>
      </c>
      <c r="D2511" s="508">
        <v>173960</v>
      </c>
      <c r="E2511" s="507" t="s">
        <v>6108</v>
      </c>
    </row>
    <row r="2512" spans="1:5" ht="15" x14ac:dyDescent="0.3">
      <c r="A2512" s="506">
        <v>12441</v>
      </c>
      <c r="B2512" s="507" t="s">
        <v>6537</v>
      </c>
      <c r="C2512" s="506" t="s">
        <v>32</v>
      </c>
      <c r="D2512" s="508">
        <v>132774</v>
      </c>
      <c r="E2512" s="507" t="s">
        <v>6108</v>
      </c>
    </row>
    <row r="2513" spans="1:5" ht="15" x14ac:dyDescent="0.3">
      <c r="A2513" s="506">
        <v>12442</v>
      </c>
      <c r="B2513" s="507" t="s">
        <v>5619</v>
      </c>
      <c r="C2513" s="506" t="s">
        <v>32</v>
      </c>
      <c r="D2513" s="508">
        <v>54622</v>
      </c>
      <c r="E2513" s="507" t="s">
        <v>6108</v>
      </c>
    </row>
    <row r="2514" spans="1:5" ht="15" x14ac:dyDescent="0.3">
      <c r="A2514" s="506">
        <v>12443</v>
      </c>
      <c r="B2514" s="507" t="s">
        <v>5620</v>
      </c>
      <c r="C2514" s="506" t="s">
        <v>32</v>
      </c>
      <c r="D2514" s="508">
        <v>1715000</v>
      </c>
      <c r="E2514" s="507" t="s">
        <v>6108</v>
      </c>
    </row>
    <row r="2515" spans="1:5" ht="15" x14ac:dyDescent="0.3">
      <c r="A2515" s="506">
        <v>12444</v>
      </c>
      <c r="B2515" s="507" t="s">
        <v>5621</v>
      </c>
      <c r="C2515" s="506" t="s">
        <v>1455</v>
      </c>
      <c r="D2515" s="508">
        <v>300000</v>
      </c>
      <c r="E2515" s="507" t="s">
        <v>6108</v>
      </c>
    </row>
    <row r="2516" spans="1:5" ht="15" x14ac:dyDescent="0.3">
      <c r="A2516" s="506">
        <v>12445</v>
      </c>
      <c r="B2516" s="507" t="s">
        <v>5622</v>
      </c>
      <c r="C2516" s="506" t="s">
        <v>32</v>
      </c>
      <c r="D2516" s="508">
        <v>23500</v>
      </c>
      <c r="E2516" s="507" t="s">
        <v>6108</v>
      </c>
    </row>
    <row r="2517" spans="1:5" ht="15" x14ac:dyDescent="0.3">
      <c r="A2517" s="506">
        <v>12446</v>
      </c>
      <c r="B2517" s="507" t="s">
        <v>5623</v>
      </c>
      <c r="C2517" s="506" t="s">
        <v>32</v>
      </c>
      <c r="D2517" s="508">
        <v>65630</v>
      </c>
      <c r="E2517" s="507" t="s">
        <v>6108</v>
      </c>
    </row>
    <row r="2518" spans="1:5" ht="15" x14ac:dyDescent="0.3">
      <c r="A2518" s="506">
        <v>12447</v>
      </c>
      <c r="B2518" s="507" t="s">
        <v>5624</v>
      </c>
      <c r="C2518" s="506" t="s">
        <v>32</v>
      </c>
      <c r="D2518" s="508">
        <v>65630</v>
      </c>
      <c r="E2518" s="507" t="s">
        <v>6108</v>
      </c>
    </row>
    <row r="2519" spans="1:5" ht="15" x14ac:dyDescent="0.3">
      <c r="A2519" s="506">
        <v>12448</v>
      </c>
      <c r="B2519" s="507" t="s">
        <v>6538</v>
      </c>
      <c r="C2519" s="506" t="s">
        <v>32</v>
      </c>
      <c r="D2519" s="508">
        <v>6964</v>
      </c>
      <c r="E2519" s="507" t="s">
        <v>6108</v>
      </c>
    </row>
    <row r="2520" spans="1:5" ht="15" x14ac:dyDescent="0.3">
      <c r="A2520" s="506">
        <v>12450</v>
      </c>
      <c r="B2520" s="507" t="s">
        <v>5625</v>
      </c>
      <c r="C2520" s="506" t="s">
        <v>32</v>
      </c>
      <c r="D2520" s="508">
        <v>17200</v>
      </c>
      <c r="E2520" s="507" t="s">
        <v>6108</v>
      </c>
    </row>
    <row r="2521" spans="1:5" ht="15" x14ac:dyDescent="0.3">
      <c r="A2521" s="506">
        <v>12451</v>
      </c>
      <c r="B2521" s="507" t="s">
        <v>5626</v>
      </c>
      <c r="C2521" s="506" t="s">
        <v>4222</v>
      </c>
      <c r="D2521" s="508">
        <v>9328</v>
      </c>
      <c r="E2521" s="507" t="s">
        <v>6108</v>
      </c>
    </row>
    <row r="2522" spans="1:5" ht="15" x14ac:dyDescent="0.3">
      <c r="A2522" s="506">
        <v>12452</v>
      </c>
      <c r="B2522" s="507" t="s">
        <v>5627</v>
      </c>
      <c r="C2522" s="506" t="s">
        <v>3582</v>
      </c>
      <c r="D2522" s="508">
        <v>60473</v>
      </c>
      <c r="E2522" s="507" t="s">
        <v>6108</v>
      </c>
    </row>
    <row r="2523" spans="1:5" ht="15" x14ac:dyDescent="0.3">
      <c r="A2523" s="506">
        <v>12453</v>
      </c>
      <c r="B2523" s="507" t="s">
        <v>5628</v>
      </c>
      <c r="C2523" s="506" t="s">
        <v>4235</v>
      </c>
      <c r="D2523" s="508">
        <v>28690</v>
      </c>
      <c r="E2523" s="507" t="s">
        <v>6108</v>
      </c>
    </row>
    <row r="2524" spans="1:5" ht="15" x14ac:dyDescent="0.3">
      <c r="A2524" s="506">
        <v>12454</v>
      </c>
      <c r="B2524" s="507" t="s">
        <v>5629</v>
      </c>
      <c r="C2524" s="506" t="s">
        <v>979</v>
      </c>
      <c r="D2524" s="508">
        <v>129384</v>
      </c>
      <c r="E2524" s="507" t="s">
        <v>331</v>
      </c>
    </row>
    <row r="2525" spans="1:5" ht="15" x14ac:dyDescent="0.3">
      <c r="A2525" s="506">
        <v>12456</v>
      </c>
      <c r="B2525" s="507" t="s">
        <v>5630</v>
      </c>
      <c r="C2525" s="506" t="s">
        <v>32</v>
      </c>
      <c r="D2525" s="508">
        <v>922606</v>
      </c>
      <c r="E2525" s="507" t="s">
        <v>6108</v>
      </c>
    </row>
    <row r="2526" spans="1:5" ht="15" x14ac:dyDescent="0.3">
      <c r="A2526" s="506">
        <v>12457</v>
      </c>
      <c r="B2526" s="507" t="s">
        <v>5631</v>
      </c>
      <c r="C2526" s="506" t="s">
        <v>32</v>
      </c>
      <c r="D2526" s="508">
        <v>49930</v>
      </c>
      <c r="E2526" s="507" t="s">
        <v>6108</v>
      </c>
    </row>
    <row r="2527" spans="1:5" ht="15" x14ac:dyDescent="0.3">
      <c r="A2527" s="506">
        <v>12458</v>
      </c>
      <c r="B2527" s="507" t="s">
        <v>5632</v>
      </c>
      <c r="C2527" s="506" t="s">
        <v>979</v>
      </c>
      <c r="D2527" s="508">
        <v>11454</v>
      </c>
      <c r="E2527" s="507" t="s">
        <v>6108</v>
      </c>
    </row>
    <row r="2528" spans="1:5" ht="15" x14ac:dyDescent="0.3">
      <c r="A2528" s="506">
        <v>12460</v>
      </c>
      <c r="B2528" s="507" t="s">
        <v>5633</v>
      </c>
      <c r="C2528" s="506" t="s">
        <v>979</v>
      </c>
      <c r="D2528" s="508">
        <v>346764</v>
      </c>
      <c r="E2528" s="507" t="s">
        <v>331</v>
      </c>
    </row>
    <row r="2529" spans="1:5" ht="15" x14ac:dyDescent="0.3">
      <c r="A2529" s="506">
        <v>12461</v>
      </c>
      <c r="B2529" s="507" t="s">
        <v>5634</v>
      </c>
      <c r="C2529" s="506" t="s">
        <v>979</v>
      </c>
      <c r="D2529" s="508">
        <v>269008</v>
      </c>
      <c r="E2529" s="507" t="s">
        <v>331</v>
      </c>
    </row>
    <row r="2530" spans="1:5" ht="15" x14ac:dyDescent="0.3">
      <c r="A2530" s="506">
        <v>12464</v>
      </c>
      <c r="B2530" s="507" t="s">
        <v>5635</v>
      </c>
      <c r="C2530" s="506" t="s">
        <v>30</v>
      </c>
      <c r="D2530" s="508">
        <v>655405</v>
      </c>
      <c r="E2530" s="507" t="s">
        <v>331</v>
      </c>
    </row>
    <row r="2531" spans="1:5" ht="15" x14ac:dyDescent="0.3">
      <c r="A2531" s="506">
        <v>12465</v>
      </c>
      <c r="B2531" s="507" t="s">
        <v>5636</v>
      </c>
      <c r="C2531" s="506" t="s">
        <v>30</v>
      </c>
      <c r="D2531" s="508">
        <v>670825</v>
      </c>
      <c r="E2531" s="507" t="s">
        <v>331</v>
      </c>
    </row>
    <row r="2532" spans="1:5" ht="15" x14ac:dyDescent="0.3">
      <c r="A2532" s="506">
        <v>12466</v>
      </c>
      <c r="B2532" s="507" t="s">
        <v>5637</v>
      </c>
      <c r="C2532" s="506" t="s">
        <v>30</v>
      </c>
      <c r="D2532" s="508">
        <v>76517</v>
      </c>
      <c r="E2532" s="507" t="s">
        <v>331</v>
      </c>
    </row>
    <row r="2533" spans="1:5" ht="15" x14ac:dyDescent="0.3">
      <c r="A2533" s="506">
        <v>12467</v>
      </c>
      <c r="B2533" s="507" t="s">
        <v>5638</v>
      </c>
      <c r="C2533" s="506" t="s">
        <v>30</v>
      </c>
      <c r="D2533" s="508">
        <v>80920</v>
      </c>
      <c r="E2533" s="507" t="s">
        <v>331</v>
      </c>
    </row>
    <row r="2534" spans="1:5" ht="15" x14ac:dyDescent="0.3">
      <c r="A2534" s="506">
        <v>12468</v>
      </c>
      <c r="B2534" s="507" t="s">
        <v>5639</v>
      </c>
      <c r="C2534" s="506" t="s">
        <v>32</v>
      </c>
      <c r="D2534" s="508">
        <v>1071000</v>
      </c>
      <c r="E2534" s="507" t="s">
        <v>6108</v>
      </c>
    </row>
    <row r="2535" spans="1:5" ht="15" x14ac:dyDescent="0.3">
      <c r="A2535" s="506">
        <v>12469</v>
      </c>
      <c r="B2535" s="507" t="s">
        <v>6539</v>
      </c>
      <c r="C2535" s="506" t="s">
        <v>32</v>
      </c>
      <c r="D2535" s="508">
        <v>333200</v>
      </c>
      <c r="E2535" s="507" t="s">
        <v>6108</v>
      </c>
    </row>
    <row r="2536" spans="1:5" ht="15" x14ac:dyDescent="0.3">
      <c r="A2536" s="506">
        <v>12470</v>
      </c>
      <c r="B2536" s="507" t="s">
        <v>5640</v>
      </c>
      <c r="C2536" s="506" t="s">
        <v>32</v>
      </c>
      <c r="D2536" s="508">
        <v>333200</v>
      </c>
      <c r="E2536" s="507" t="s">
        <v>6108</v>
      </c>
    </row>
    <row r="2537" spans="1:5" ht="15" x14ac:dyDescent="0.3">
      <c r="A2537" s="506">
        <v>12471</v>
      </c>
      <c r="B2537" s="507" t="s">
        <v>5641</v>
      </c>
      <c r="C2537" s="506" t="s">
        <v>32</v>
      </c>
      <c r="D2537" s="508">
        <v>981750</v>
      </c>
      <c r="E2537" s="507" t="s">
        <v>6108</v>
      </c>
    </row>
    <row r="2538" spans="1:5" ht="15" x14ac:dyDescent="0.3">
      <c r="A2538" s="506">
        <v>12472</v>
      </c>
      <c r="B2538" s="507" t="s">
        <v>6540</v>
      </c>
      <c r="C2538" s="506" t="s">
        <v>32</v>
      </c>
      <c r="D2538" s="508">
        <v>1119304</v>
      </c>
      <c r="E2538" s="507" t="s">
        <v>6108</v>
      </c>
    </row>
    <row r="2539" spans="1:5" ht="15" x14ac:dyDescent="0.3">
      <c r="A2539" s="506">
        <v>12473</v>
      </c>
      <c r="B2539" s="507" t="s">
        <v>6541</v>
      </c>
      <c r="C2539" s="506" t="s">
        <v>670</v>
      </c>
      <c r="D2539" s="508">
        <v>1780</v>
      </c>
      <c r="E2539" s="507" t="s">
        <v>6108</v>
      </c>
    </row>
    <row r="2540" spans="1:5" ht="15" x14ac:dyDescent="0.3">
      <c r="A2540" s="506">
        <v>12474</v>
      </c>
      <c r="B2540" s="507" t="s">
        <v>5642</v>
      </c>
      <c r="C2540" s="506" t="s">
        <v>32</v>
      </c>
      <c r="D2540" s="508">
        <v>595000</v>
      </c>
      <c r="E2540" s="507" t="s">
        <v>6108</v>
      </c>
    </row>
    <row r="2541" spans="1:5" ht="15" x14ac:dyDescent="0.3">
      <c r="A2541" s="506">
        <v>12475</v>
      </c>
      <c r="B2541" s="507" t="s">
        <v>5643</v>
      </c>
      <c r="C2541" s="506" t="s">
        <v>32</v>
      </c>
      <c r="D2541" s="508">
        <v>189034</v>
      </c>
      <c r="E2541" s="507" t="s">
        <v>6108</v>
      </c>
    </row>
    <row r="2542" spans="1:5" ht="15" x14ac:dyDescent="0.3">
      <c r="A2542" s="506">
        <v>12476</v>
      </c>
      <c r="B2542" s="507" t="s">
        <v>6542</v>
      </c>
      <c r="C2542" s="506" t="s">
        <v>32</v>
      </c>
      <c r="D2542" s="508">
        <v>35700</v>
      </c>
      <c r="E2542" s="507" t="s">
        <v>6108</v>
      </c>
    </row>
    <row r="2543" spans="1:5" ht="15" x14ac:dyDescent="0.3">
      <c r="A2543" s="506">
        <v>12477</v>
      </c>
      <c r="B2543" s="507" t="s">
        <v>6543</v>
      </c>
      <c r="C2543" s="506" t="s">
        <v>32</v>
      </c>
      <c r="D2543" s="508">
        <v>48266</v>
      </c>
      <c r="E2543" s="507" t="s">
        <v>6108</v>
      </c>
    </row>
    <row r="2544" spans="1:5" ht="15" x14ac:dyDescent="0.3">
      <c r="A2544" s="506">
        <v>12478</v>
      </c>
      <c r="B2544" s="507" t="s">
        <v>5644</v>
      </c>
      <c r="C2544" s="506" t="s">
        <v>32</v>
      </c>
      <c r="D2544" s="508">
        <v>23167</v>
      </c>
      <c r="E2544" s="507" t="s">
        <v>6108</v>
      </c>
    </row>
    <row r="2545" spans="1:5" ht="15" x14ac:dyDescent="0.3">
      <c r="A2545" s="506">
        <v>12479</v>
      </c>
      <c r="B2545" s="507" t="s">
        <v>5645</v>
      </c>
      <c r="C2545" s="506" t="s">
        <v>4222</v>
      </c>
      <c r="D2545" s="508">
        <v>32774</v>
      </c>
      <c r="E2545" s="507" t="s">
        <v>6108</v>
      </c>
    </row>
    <row r="2546" spans="1:5" ht="15" x14ac:dyDescent="0.3">
      <c r="A2546" s="506">
        <v>12480</v>
      </c>
      <c r="B2546" s="507" t="s">
        <v>5646</v>
      </c>
      <c r="C2546" s="506" t="s">
        <v>32</v>
      </c>
      <c r="D2546" s="508">
        <v>25447</v>
      </c>
      <c r="E2546" s="507" t="s">
        <v>6108</v>
      </c>
    </row>
    <row r="2547" spans="1:5" ht="15" x14ac:dyDescent="0.3">
      <c r="A2547" s="506">
        <v>12481</v>
      </c>
      <c r="B2547" s="507" t="s">
        <v>5647</v>
      </c>
      <c r="C2547" s="506" t="s">
        <v>32</v>
      </c>
      <c r="D2547" s="508">
        <v>148155</v>
      </c>
      <c r="E2547" s="507" t="s">
        <v>6108</v>
      </c>
    </row>
    <row r="2548" spans="1:5" ht="15" x14ac:dyDescent="0.3">
      <c r="A2548" s="506">
        <v>12482</v>
      </c>
      <c r="B2548" s="507" t="s">
        <v>5648</v>
      </c>
      <c r="C2548" s="506" t="s">
        <v>32</v>
      </c>
      <c r="D2548" s="508">
        <v>225</v>
      </c>
      <c r="E2548" s="507" t="s">
        <v>6108</v>
      </c>
    </row>
    <row r="2549" spans="1:5" ht="15" x14ac:dyDescent="0.3">
      <c r="A2549" s="506">
        <v>12485</v>
      </c>
      <c r="B2549" s="507" t="s">
        <v>5649</v>
      </c>
      <c r="C2549" s="506" t="s">
        <v>979</v>
      </c>
      <c r="D2549" s="508">
        <v>249405</v>
      </c>
      <c r="E2549" s="507" t="s">
        <v>331</v>
      </c>
    </row>
    <row r="2550" spans="1:5" ht="15" x14ac:dyDescent="0.3">
      <c r="A2550" s="506">
        <v>12487</v>
      </c>
      <c r="B2550" s="507" t="s">
        <v>5650</v>
      </c>
      <c r="C2550" s="506" t="s">
        <v>32</v>
      </c>
      <c r="D2550" s="508">
        <v>2127</v>
      </c>
      <c r="E2550" s="507" t="s">
        <v>331</v>
      </c>
    </row>
    <row r="2551" spans="1:5" ht="15" x14ac:dyDescent="0.3">
      <c r="A2551" s="506">
        <v>12488</v>
      </c>
      <c r="B2551" s="507" t="s">
        <v>5651</v>
      </c>
      <c r="C2551" s="506" t="s">
        <v>3582</v>
      </c>
      <c r="D2551" s="508">
        <v>142575</v>
      </c>
      <c r="E2551" s="507" t="s">
        <v>6108</v>
      </c>
    </row>
    <row r="2552" spans="1:5" ht="15" x14ac:dyDescent="0.3">
      <c r="A2552" s="506">
        <v>12489</v>
      </c>
      <c r="B2552" s="507" t="s">
        <v>5652</v>
      </c>
      <c r="C2552" s="506" t="s">
        <v>32</v>
      </c>
      <c r="D2552" s="508">
        <v>1067</v>
      </c>
      <c r="E2552" s="507" t="s">
        <v>331</v>
      </c>
    </row>
    <row r="2553" spans="1:5" ht="15" x14ac:dyDescent="0.3">
      <c r="A2553" s="506">
        <v>12491</v>
      </c>
      <c r="B2553" s="507" t="s">
        <v>5653</v>
      </c>
      <c r="C2553" s="506" t="s">
        <v>3582</v>
      </c>
      <c r="D2553" s="508">
        <v>209388</v>
      </c>
      <c r="E2553" s="507" t="s">
        <v>6108</v>
      </c>
    </row>
    <row r="2554" spans="1:5" ht="15" x14ac:dyDescent="0.3">
      <c r="A2554" s="506">
        <v>12492</v>
      </c>
      <c r="B2554" s="507" t="s">
        <v>5654</v>
      </c>
      <c r="C2554" s="506" t="s">
        <v>979</v>
      </c>
      <c r="D2554" s="508">
        <v>277205</v>
      </c>
      <c r="E2554" s="507" t="s">
        <v>331</v>
      </c>
    </row>
    <row r="2555" spans="1:5" ht="15" x14ac:dyDescent="0.3">
      <c r="A2555" s="506">
        <v>12493</v>
      </c>
      <c r="B2555" s="507" t="s">
        <v>5655</v>
      </c>
      <c r="C2555" s="506" t="s">
        <v>979</v>
      </c>
      <c r="D2555" s="508">
        <v>358444</v>
      </c>
      <c r="E2555" s="507" t="s">
        <v>331</v>
      </c>
    </row>
    <row r="2556" spans="1:5" ht="15" x14ac:dyDescent="0.3">
      <c r="A2556" s="506">
        <v>12494</v>
      </c>
      <c r="B2556" s="507" t="s">
        <v>5656</v>
      </c>
      <c r="C2556" s="506" t="s">
        <v>979</v>
      </c>
      <c r="D2556" s="508">
        <v>220245</v>
      </c>
      <c r="E2556" s="507" t="s">
        <v>331</v>
      </c>
    </row>
    <row r="2557" spans="1:5" ht="15" x14ac:dyDescent="0.3">
      <c r="A2557" s="506">
        <v>12495</v>
      </c>
      <c r="B2557" s="507" t="s">
        <v>5657</v>
      </c>
      <c r="C2557" s="506" t="s">
        <v>979</v>
      </c>
      <c r="D2557" s="508">
        <v>136493</v>
      </c>
      <c r="E2557" s="507" t="s">
        <v>331</v>
      </c>
    </row>
    <row r="2558" spans="1:5" ht="15" x14ac:dyDescent="0.3">
      <c r="A2558" s="506">
        <v>12496</v>
      </c>
      <c r="B2558" s="507" t="s">
        <v>5658</v>
      </c>
      <c r="C2558" s="506" t="s">
        <v>32</v>
      </c>
      <c r="D2558" s="508">
        <v>282</v>
      </c>
      <c r="E2558" s="507" t="s">
        <v>6108</v>
      </c>
    </row>
    <row r="2559" spans="1:5" ht="15" x14ac:dyDescent="0.3">
      <c r="A2559" s="506">
        <v>12497</v>
      </c>
      <c r="B2559" s="507" t="s">
        <v>5659</v>
      </c>
      <c r="C2559" s="506" t="s">
        <v>32</v>
      </c>
      <c r="D2559" s="508">
        <v>121008</v>
      </c>
      <c r="E2559" s="507" t="s">
        <v>6108</v>
      </c>
    </row>
    <row r="2560" spans="1:5" ht="15" x14ac:dyDescent="0.3">
      <c r="A2560" s="506">
        <v>12498</v>
      </c>
      <c r="B2560" s="507" t="s">
        <v>5660</v>
      </c>
      <c r="C2560" s="506" t="s">
        <v>3579</v>
      </c>
      <c r="D2560" s="508">
        <v>22690</v>
      </c>
      <c r="E2560" s="507" t="s">
        <v>6108</v>
      </c>
    </row>
    <row r="2561" spans="1:5" ht="15" x14ac:dyDescent="0.3">
      <c r="A2561" s="506">
        <v>12499</v>
      </c>
      <c r="B2561" s="507" t="s">
        <v>5661</v>
      </c>
      <c r="C2561" s="506" t="s">
        <v>32</v>
      </c>
      <c r="D2561" s="508">
        <v>58739</v>
      </c>
      <c r="E2561" s="507" t="s">
        <v>6108</v>
      </c>
    </row>
    <row r="2562" spans="1:5" ht="15" x14ac:dyDescent="0.3">
      <c r="A2562" s="506">
        <v>12500</v>
      </c>
      <c r="B2562" s="507" t="s">
        <v>5662</v>
      </c>
      <c r="C2562" s="506" t="s">
        <v>3596</v>
      </c>
      <c r="D2562" s="508">
        <v>26</v>
      </c>
      <c r="E2562" s="507" t="s">
        <v>6108</v>
      </c>
    </row>
    <row r="2563" spans="1:5" ht="15" x14ac:dyDescent="0.3">
      <c r="A2563" s="506">
        <v>12501</v>
      </c>
      <c r="B2563" s="507" t="s">
        <v>5663</v>
      </c>
      <c r="C2563" s="506" t="s">
        <v>32</v>
      </c>
      <c r="D2563" s="508">
        <v>36128</v>
      </c>
      <c r="E2563" s="507" t="s">
        <v>6108</v>
      </c>
    </row>
    <row r="2564" spans="1:5" ht="15" x14ac:dyDescent="0.3">
      <c r="A2564" s="506">
        <v>12502</v>
      </c>
      <c r="B2564" s="507" t="s">
        <v>5664</v>
      </c>
      <c r="C2564" s="506" t="s">
        <v>32</v>
      </c>
      <c r="D2564" s="508">
        <v>631</v>
      </c>
      <c r="E2564" s="507" t="s">
        <v>6108</v>
      </c>
    </row>
    <row r="2565" spans="1:5" ht="15" x14ac:dyDescent="0.3">
      <c r="A2565" s="506">
        <v>12503</v>
      </c>
      <c r="B2565" s="507" t="s">
        <v>5665</v>
      </c>
      <c r="C2565" s="506" t="s">
        <v>32</v>
      </c>
      <c r="D2565" s="508">
        <v>90673</v>
      </c>
      <c r="E2565" s="507" t="s">
        <v>6108</v>
      </c>
    </row>
    <row r="2566" spans="1:5" ht="15" x14ac:dyDescent="0.3">
      <c r="A2566" s="506">
        <v>12504</v>
      </c>
      <c r="B2566" s="507" t="s">
        <v>5666</v>
      </c>
      <c r="C2566" s="506" t="s">
        <v>32</v>
      </c>
      <c r="D2566" s="508">
        <v>30763</v>
      </c>
      <c r="E2566" s="507" t="s">
        <v>6108</v>
      </c>
    </row>
    <row r="2567" spans="1:5" ht="15" x14ac:dyDescent="0.3">
      <c r="A2567" s="506">
        <v>12505</v>
      </c>
      <c r="B2567" s="507" t="s">
        <v>6544</v>
      </c>
      <c r="C2567" s="506" t="s">
        <v>32</v>
      </c>
      <c r="D2567" s="508">
        <v>49777</v>
      </c>
      <c r="E2567" s="507" t="s">
        <v>6108</v>
      </c>
    </row>
    <row r="2568" spans="1:5" ht="15" x14ac:dyDescent="0.3">
      <c r="A2568" s="506">
        <v>12506</v>
      </c>
      <c r="B2568" s="507" t="s">
        <v>5667</v>
      </c>
      <c r="C2568" s="506" t="s">
        <v>32</v>
      </c>
      <c r="D2568" s="508">
        <v>59900</v>
      </c>
      <c r="E2568" s="507" t="s">
        <v>6108</v>
      </c>
    </row>
    <row r="2569" spans="1:5" ht="15" x14ac:dyDescent="0.3">
      <c r="A2569" s="506">
        <v>12507</v>
      </c>
      <c r="B2569" s="507" t="s">
        <v>5668</v>
      </c>
      <c r="C2569" s="506" t="s">
        <v>307</v>
      </c>
      <c r="D2569" s="508">
        <v>720000</v>
      </c>
      <c r="E2569" s="507" t="s">
        <v>6108</v>
      </c>
    </row>
    <row r="2570" spans="1:5" ht="15" x14ac:dyDescent="0.3">
      <c r="A2570" s="506">
        <v>12508</v>
      </c>
      <c r="B2570" s="507" t="s">
        <v>5669</v>
      </c>
      <c r="C2570" s="506" t="s">
        <v>32</v>
      </c>
      <c r="D2570" s="508">
        <v>27648</v>
      </c>
      <c r="E2570" s="507" t="s">
        <v>6108</v>
      </c>
    </row>
    <row r="2571" spans="1:5" ht="15" x14ac:dyDescent="0.3">
      <c r="A2571" s="506">
        <v>12509</v>
      </c>
      <c r="B2571" s="507" t="s">
        <v>5670</v>
      </c>
      <c r="C2571" s="506" t="s">
        <v>3528</v>
      </c>
      <c r="D2571" s="508">
        <v>209440</v>
      </c>
      <c r="E2571" s="507" t="s">
        <v>6108</v>
      </c>
    </row>
    <row r="2572" spans="1:5" ht="15" x14ac:dyDescent="0.3">
      <c r="A2572" s="506">
        <v>12510</v>
      </c>
      <c r="B2572" s="507" t="s">
        <v>5671</v>
      </c>
      <c r="C2572" s="506" t="s">
        <v>3528</v>
      </c>
      <c r="D2572" s="508">
        <v>228300</v>
      </c>
      <c r="E2572" s="507" t="s">
        <v>6108</v>
      </c>
    </row>
    <row r="2573" spans="1:5" ht="15" x14ac:dyDescent="0.3">
      <c r="A2573" s="506">
        <v>12511</v>
      </c>
      <c r="B2573" s="507" t="s">
        <v>5672</v>
      </c>
      <c r="C2573" s="506" t="s">
        <v>32</v>
      </c>
      <c r="D2573" s="508">
        <v>1080695</v>
      </c>
      <c r="E2573" s="507" t="s">
        <v>6108</v>
      </c>
    </row>
    <row r="2574" spans="1:5" ht="15" x14ac:dyDescent="0.3">
      <c r="A2574" s="506">
        <v>12512</v>
      </c>
      <c r="B2574" s="507" t="s">
        <v>5673</v>
      </c>
      <c r="C2574" s="506" t="s">
        <v>32</v>
      </c>
      <c r="D2574" s="508">
        <v>119328</v>
      </c>
      <c r="E2574" s="507" t="s">
        <v>6108</v>
      </c>
    </row>
    <row r="2575" spans="1:5" ht="15" x14ac:dyDescent="0.3">
      <c r="A2575" s="506">
        <v>12513</v>
      </c>
      <c r="B2575" s="507" t="s">
        <v>5674</v>
      </c>
      <c r="C2575" s="506" t="s">
        <v>3596</v>
      </c>
      <c r="D2575" s="508">
        <v>2353</v>
      </c>
      <c r="E2575" s="507" t="s">
        <v>6108</v>
      </c>
    </row>
    <row r="2576" spans="1:5" ht="15" x14ac:dyDescent="0.3">
      <c r="A2576" s="506">
        <v>12514</v>
      </c>
      <c r="B2576" s="507" t="s">
        <v>5675</v>
      </c>
      <c r="C2576" s="506" t="s">
        <v>3579</v>
      </c>
      <c r="D2576" s="508">
        <v>21849</v>
      </c>
      <c r="E2576" s="507" t="s">
        <v>6108</v>
      </c>
    </row>
    <row r="2577" spans="1:5" ht="15" x14ac:dyDescent="0.3">
      <c r="A2577" s="506">
        <v>12515</v>
      </c>
      <c r="B2577" s="507" t="s">
        <v>5676</v>
      </c>
      <c r="C2577" s="506" t="s">
        <v>1455</v>
      </c>
      <c r="D2577" s="508">
        <v>300000</v>
      </c>
      <c r="E2577" s="507" t="s">
        <v>6108</v>
      </c>
    </row>
    <row r="2578" spans="1:5" ht="15" x14ac:dyDescent="0.3">
      <c r="A2578" s="506">
        <v>12516</v>
      </c>
      <c r="B2578" s="507" t="s">
        <v>5677</v>
      </c>
      <c r="C2578" s="506" t="s">
        <v>32</v>
      </c>
      <c r="D2578" s="508">
        <v>23500</v>
      </c>
      <c r="E2578" s="507" t="s">
        <v>6108</v>
      </c>
    </row>
    <row r="2579" spans="1:5" ht="15" x14ac:dyDescent="0.3">
      <c r="A2579" s="506">
        <v>12517</v>
      </c>
      <c r="B2579" s="507" t="s">
        <v>6545</v>
      </c>
      <c r="C2579" s="506" t="s">
        <v>32</v>
      </c>
      <c r="D2579" s="508">
        <v>6964</v>
      </c>
      <c r="E2579" s="507" t="s">
        <v>6108</v>
      </c>
    </row>
    <row r="2580" spans="1:5" ht="15" x14ac:dyDescent="0.3">
      <c r="A2580" s="506">
        <v>12518</v>
      </c>
      <c r="B2580" s="507" t="s">
        <v>5678</v>
      </c>
      <c r="C2580" s="506" t="s">
        <v>32</v>
      </c>
      <c r="D2580" s="508">
        <v>922606</v>
      </c>
      <c r="E2580" s="507" t="s">
        <v>6108</v>
      </c>
    </row>
    <row r="2581" spans="1:5" ht="15" x14ac:dyDescent="0.3">
      <c r="A2581" s="506">
        <v>12519</v>
      </c>
      <c r="B2581" s="507" t="s">
        <v>5679</v>
      </c>
      <c r="C2581" s="506" t="s">
        <v>30</v>
      </c>
      <c r="D2581" s="508">
        <v>311880</v>
      </c>
      <c r="E2581" s="507" t="s">
        <v>6108</v>
      </c>
    </row>
    <row r="2582" spans="1:5" ht="15" x14ac:dyDescent="0.3">
      <c r="A2582" s="506">
        <v>12520</v>
      </c>
      <c r="B2582" s="507" t="s">
        <v>5680</v>
      </c>
      <c r="C2582" s="506" t="s">
        <v>32</v>
      </c>
      <c r="D2582" s="508">
        <v>282</v>
      </c>
      <c r="E2582" s="507" t="s">
        <v>6108</v>
      </c>
    </row>
    <row r="2583" spans="1:5" ht="15" x14ac:dyDescent="0.3">
      <c r="A2583" s="506">
        <v>12521</v>
      </c>
      <c r="B2583" s="507" t="s">
        <v>5681</v>
      </c>
      <c r="C2583" s="506" t="s">
        <v>32</v>
      </c>
      <c r="D2583" s="508">
        <v>631</v>
      </c>
      <c r="E2583" s="507" t="s">
        <v>6108</v>
      </c>
    </row>
    <row r="2584" spans="1:5" ht="15" x14ac:dyDescent="0.3">
      <c r="A2584" s="506">
        <v>12522</v>
      </c>
      <c r="B2584" s="507" t="s">
        <v>5682</v>
      </c>
      <c r="C2584" s="506" t="s">
        <v>32</v>
      </c>
      <c r="D2584" s="508">
        <v>49777</v>
      </c>
      <c r="E2584" s="507" t="s">
        <v>6108</v>
      </c>
    </row>
    <row r="2585" spans="1:5" ht="15" x14ac:dyDescent="0.3">
      <c r="A2585" s="506">
        <v>12523</v>
      </c>
      <c r="B2585" s="507" t="s">
        <v>5683</v>
      </c>
      <c r="C2585" s="506" t="s">
        <v>32</v>
      </c>
      <c r="D2585" s="508">
        <v>59900</v>
      </c>
      <c r="E2585" s="507" t="s">
        <v>6108</v>
      </c>
    </row>
    <row r="2586" spans="1:5" ht="15" x14ac:dyDescent="0.3">
      <c r="A2586" s="506">
        <v>12524</v>
      </c>
      <c r="B2586" s="507" t="s">
        <v>5684</v>
      </c>
      <c r="C2586" s="506" t="s">
        <v>3596</v>
      </c>
      <c r="D2586" s="508">
        <v>8824</v>
      </c>
      <c r="E2586" s="507" t="s">
        <v>6108</v>
      </c>
    </row>
    <row r="2587" spans="1:5" ht="15" x14ac:dyDescent="0.3">
      <c r="A2587" s="506">
        <v>12525</v>
      </c>
      <c r="B2587" s="507" t="s">
        <v>5685</v>
      </c>
      <c r="C2587" s="506" t="s">
        <v>32</v>
      </c>
      <c r="D2587" s="508">
        <v>121008</v>
      </c>
      <c r="E2587" s="507" t="s">
        <v>6108</v>
      </c>
    </row>
    <row r="2588" spans="1:5" ht="15" x14ac:dyDescent="0.3">
      <c r="A2588" s="506">
        <v>12526</v>
      </c>
      <c r="B2588" s="507" t="s">
        <v>5686</v>
      </c>
      <c r="C2588" s="506" t="s">
        <v>3596</v>
      </c>
      <c r="D2588" s="508">
        <v>26</v>
      </c>
      <c r="E2588" s="507" t="s">
        <v>6108</v>
      </c>
    </row>
    <row r="2589" spans="1:5" ht="15" x14ac:dyDescent="0.3">
      <c r="A2589" s="506">
        <v>12668</v>
      </c>
      <c r="B2589" s="507" t="s">
        <v>5687</v>
      </c>
      <c r="C2589" s="506" t="s">
        <v>21</v>
      </c>
      <c r="D2589" s="508">
        <v>1696673</v>
      </c>
      <c r="E2589" s="507" t="s">
        <v>6108</v>
      </c>
    </row>
    <row r="2590" spans="1:5" ht="15" x14ac:dyDescent="0.3">
      <c r="A2590" s="506">
        <v>12669</v>
      </c>
      <c r="B2590" s="507" t="s">
        <v>5688</v>
      </c>
      <c r="C2590" s="506" t="s">
        <v>328</v>
      </c>
      <c r="D2590" s="508">
        <v>839105</v>
      </c>
      <c r="E2590" s="507" t="s">
        <v>6108</v>
      </c>
    </row>
    <row r="2591" spans="1:5" ht="15" x14ac:dyDescent="0.3">
      <c r="A2591" s="506">
        <v>12670</v>
      </c>
      <c r="B2591" s="507" t="s">
        <v>5689</v>
      </c>
      <c r="C2591" s="506" t="s">
        <v>328</v>
      </c>
      <c r="D2591" s="508">
        <v>145436</v>
      </c>
      <c r="E2591" s="507" t="s">
        <v>6108</v>
      </c>
    </row>
    <row r="2592" spans="1:5" ht="15" x14ac:dyDescent="0.3">
      <c r="A2592" s="506">
        <v>12744</v>
      </c>
      <c r="B2592" s="507" t="s">
        <v>6546</v>
      </c>
      <c r="C2592" s="506" t="s">
        <v>328</v>
      </c>
      <c r="D2592" s="508">
        <v>743387</v>
      </c>
      <c r="E2592" s="507" t="s">
        <v>6108</v>
      </c>
    </row>
    <row r="2593" spans="1:5" ht="15" x14ac:dyDescent="0.3">
      <c r="A2593" s="506">
        <v>12745</v>
      </c>
      <c r="B2593" s="507" t="s">
        <v>6547</v>
      </c>
      <c r="C2593" s="506" t="s">
        <v>328</v>
      </c>
      <c r="D2593" s="508">
        <v>743387</v>
      </c>
      <c r="E2593" s="507" t="s">
        <v>6108</v>
      </c>
    </row>
    <row r="2594" spans="1:5" ht="15" x14ac:dyDescent="0.3">
      <c r="A2594" s="506">
        <v>12746</v>
      </c>
      <c r="B2594" s="507" t="s">
        <v>6548</v>
      </c>
      <c r="C2594" s="506" t="s">
        <v>328</v>
      </c>
      <c r="D2594" s="508">
        <v>810188</v>
      </c>
      <c r="E2594" s="507" t="s">
        <v>6108</v>
      </c>
    </row>
    <row r="2595" spans="1:5" ht="15" x14ac:dyDescent="0.3">
      <c r="A2595" s="506">
        <v>12747</v>
      </c>
      <c r="B2595" s="507" t="s">
        <v>6549</v>
      </c>
      <c r="C2595" s="506" t="s">
        <v>328</v>
      </c>
      <c r="D2595" s="508">
        <v>1900549</v>
      </c>
      <c r="E2595" s="507" t="s">
        <v>6108</v>
      </c>
    </row>
    <row r="2596" spans="1:5" ht="15" x14ac:dyDescent="0.3">
      <c r="A2596" s="506">
        <v>12748</v>
      </c>
      <c r="B2596" s="507" t="s">
        <v>6550</v>
      </c>
      <c r="C2596" s="506" t="s">
        <v>328</v>
      </c>
      <c r="D2596" s="508">
        <v>2524003</v>
      </c>
      <c r="E2596" s="507" t="s">
        <v>6108</v>
      </c>
    </row>
    <row r="2597" spans="1:5" ht="15" x14ac:dyDescent="0.3">
      <c r="A2597" s="506">
        <v>12778</v>
      </c>
      <c r="B2597" s="507" t="s">
        <v>6551</v>
      </c>
      <c r="C2597" s="506" t="s">
        <v>328</v>
      </c>
      <c r="D2597" s="508">
        <v>2439976</v>
      </c>
      <c r="E2597" s="507" t="s">
        <v>6108</v>
      </c>
    </row>
    <row r="2598" spans="1:5" ht="15" x14ac:dyDescent="0.3">
      <c r="A2598" s="506">
        <v>12781</v>
      </c>
      <c r="B2598" s="507" t="s">
        <v>6552</v>
      </c>
      <c r="C2598" s="506" t="s">
        <v>3582</v>
      </c>
      <c r="D2598" s="508">
        <v>230000</v>
      </c>
      <c r="E2598" s="507" t="s">
        <v>6109</v>
      </c>
    </row>
    <row r="2599" spans="1:5" ht="15" x14ac:dyDescent="0.3">
      <c r="A2599" s="506">
        <v>12782</v>
      </c>
      <c r="B2599" s="507" t="s">
        <v>6553</v>
      </c>
      <c r="C2599" s="506" t="s">
        <v>254</v>
      </c>
      <c r="D2599" s="508">
        <v>6997000</v>
      </c>
      <c r="E2599" s="507" t="s">
        <v>6109</v>
      </c>
    </row>
    <row r="2600" spans="1:5" ht="15" x14ac:dyDescent="0.3">
      <c r="A2600" s="506">
        <v>12783</v>
      </c>
      <c r="B2600" s="507" t="s">
        <v>6554</v>
      </c>
      <c r="C2600" s="506" t="s">
        <v>3582</v>
      </c>
      <c r="D2600" s="508">
        <v>331000</v>
      </c>
      <c r="E2600" s="507" t="s">
        <v>6109</v>
      </c>
    </row>
    <row r="2601" spans="1:5" ht="15" x14ac:dyDescent="0.3">
      <c r="A2601" s="506">
        <v>12784</v>
      </c>
      <c r="B2601" s="507" t="s">
        <v>6555</v>
      </c>
      <c r="C2601" s="506" t="s">
        <v>254</v>
      </c>
      <c r="D2601" s="508">
        <v>10036000</v>
      </c>
      <c r="E2601" s="507" t="s">
        <v>6109</v>
      </c>
    </row>
    <row r="2602" spans="1:5" ht="15" x14ac:dyDescent="0.3">
      <c r="A2602" s="506">
        <v>12785</v>
      </c>
      <c r="B2602" s="507" t="s">
        <v>6556</v>
      </c>
      <c r="C2602" s="506" t="s">
        <v>3582</v>
      </c>
      <c r="D2602" s="508">
        <v>315000</v>
      </c>
      <c r="E2602" s="507" t="s">
        <v>6109</v>
      </c>
    </row>
    <row r="2603" spans="1:5" ht="15" x14ac:dyDescent="0.3">
      <c r="A2603" s="506">
        <v>12786</v>
      </c>
      <c r="B2603" s="507" t="s">
        <v>6557</v>
      </c>
      <c r="C2603" s="506" t="s">
        <v>254</v>
      </c>
      <c r="D2603" s="508">
        <v>9405000</v>
      </c>
      <c r="E2603" s="507" t="s">
        <v>6109</v>
      </c>
    </row>
    <row r="2604" spans="1:5" ht="15" x14ac:dyDescent="0.3">
      <c r="A2604" s="506">
        <v>12787</v>
      </c>
      <c r="B2604" s="507" t="s">
        <v>6558</v>
      </c>
      <c r="C2604" s="506" t="s">
        <v>3582</v>
      </c>
      <c r="D2604" s="508">
        <v>455000</v>
      </c>
      <c r="E2604" s="507" t="s">
        <v>6109</v>
      </c>
    </row>
    <row r="2605" spans="1:5" ht="15" x14ac:dyDescent="0.3">
      <c r="A2605" s="506">
        <v>12788</v>
      </c>
      <c r="B2605" s="507" t="s">
        <v>6559</v>
      </c>
      <c r="C2605" s="506" t="s">
        <v>254</v>
      </c>
      <c r="D2605" s="508">
        <v>13649000</v>
      </c>
      <c r="E2605" s="507" t="s">
        <v>6109</v>
      </c>
    </row>
    <row r="2606" spans="1:5" ht="15" x14ac:dyDescent="0.3">
      <c r="A2606" s="506">
        <v>12830</v>
      </c>
      <c r="B2606" s="507" t="s">
        <v>5690</v>
      </c>
      <c r="C2606" s="506" t="s">
        <v>32</v>
      </c>
      <c r="D2606" s="508">
        <v>282</v>
      </c>
      <c r="E2606" s="507" t="s">
        <v>6108</v>
      </c>
    </row>
    <row r="2607" spans="1:5" ht="15" x14ac:dyDescent="0.3">
      <c r="A2607" s="506">
        <v>12831</v>
      </c>
      <c r="B2607" s="507" t="s">
        <v>5691</v>
      </c>
      <c r="C2607" s="506" t="s">
        <v>32</v>
      </c>
      <c r="D2607" s="508">
        <v>631</v>
      </c>
      <c r="E2607" s="507" t="s">
        <v>6108</v>
      </c>
    </row>
    <row r="2608" spans="1:5" ht="15" x14ac:dyDescent="0.3">
      <c r="A2608" s="506">
        <v>12832</v>
      </c>
      <c r="B2608" s="507" t="s">
        <v>5692</v>
      </c>
      <c r="C2608" s="506" t="s">
        <v>3579</v>
      </c>
      <c r="D2608" s="508">
        <v>21849</v>
      </c>
      <c r="E2608" s="507" t="s">
        <v>6108</v>
      </c>
    </row>
    <row r="2609" spans="1:5" ht="15" x14ac:dyDescent="0.3">
      <c r="A2609" s="506">
        <v>12833</v>
      </c>
      <c r="B2609" s="507" t="s">
        <v>5693</v>
      </c>
      <c r="C2609" s="506" t="s">
        <v>1455</v>
      </c>
      <c r="D2609" s="508">
        <v>300000</v>
      </c>
      <c r="E2609" s="507" t="s">
        <v>6108</v>
      </c>
    </row>
    <row r="2610" spans="1:5" ht="15" x14ac:dyDescent="0.3">
      <c r="A2610" s="506">
        <v>12834</v>
      </c>
      <c r="B2610" s="507" t="s">
        <v>6560</v>
      </c>
      <c r="C2610" s="506" t="s">
        <v>32</v>
      </c>
      <c r="D2610" s="508">
        <v>6964</v>
      </c>
      <c r="E2610" s="507" t="s">
        <v>6108</v>
      </c>
    </row>
    <row r="2611" spans="1:5" ht="15" x14ac:dyDescent="0.3">
      <c r="A2611" s="506">
        <v>12835</v>
      </c>
      <c r="B2611" s="507" t="s">
        <v>5694</v>
      </c>
      <c r="C2611" s="506" t="s">
        <v>32</v>
      </c>
      <c r="D2611" s="508">
        <v>121008</v>
      </c>
      <c r="E2611" s="507" t="s">
        <v>6108</v>
      </c>
    </row>
    <row r="2612" spans="1:5" ht="15" x14ac:dyDescent="0.3">
      <c r="A2612" s="506">
        <v>12836</v>
      </c>
      <c r="B2612" s="507" t="s">
        <v>5695</v>
      </c>
      <c r="C2612" s="506" t="s">
        <v>30</v>
      </c>
      <c r="D2612" s="508">
        <v>311880</v>
      </c>
      <c r="E2612" s="507" t="s">
        <v>6108</v>
      </c>
    </row>
    <row r="2613" spans="1:5" ht="15" x14ac:dyDescent="0.3">
      <c r="A2613" s="506">
        <v>12837</v>
      </c>
      <c r="B2613" s="507" t="s">
        <v>5696</v>
      </c>
      <c r="C2613" s="506" t="s">
        <v>32</v>
      </c>
      <c r="D2613" s="508">
        <v>922606</v>
      </c>
      <c r="E2613" s="507" t="s">
        <v>6108</v>
      </c>
    </row>
    <row r="2614" spans="1:5" ht="15" x14ac:dyDescent="0.3">
      <c r="A2614" s="506">
        <v>12838</v>
      </c>
      <c r="B2614" s="507" t="s">
        <v>5697</v>
      </c>
      <c r="C2614" s="506" t="s">
        <v>3596</v>
      </c>
      <c r="D2614" s="508">
        <v>8824</v>
      </c>
      <c r="E2614" s="507" t="s">
        <v>6108</v>
      </c>
    </row>
    <row r="2615" spans="1:5" ht="15" x14ac:dyDescent="0.3">
      <c r="A2615" s="506">
        <v>12839</v>
      </c>
      <c r="B2615" s="507" t="s">
        <v>5698</v>
      </c>
      <c r="C2615" s="506" t="s">
        <v>32</v>
      </c>
      <c r="D2615" s="508">
        <v>49777</v>
      </c>
      <c r="E2615" s="507" t="s">
        <v>6108</v>
      </c>
    </row>
    <row r="2616" spans="1:5" ht="15" x14ac:dyDescent="0.3">
      <c r="A2616" s="506">
        <v>12896</v>
      </c>
      <c r="B2616" s="507" t="s">
        <v>5699</v>
      </c>
      <c r="C2616" s="506" t="s">
        <v>328</v>
      </c>
      <c r="D2616" s="508">
        <v>5484690</v>
      </c>
      <c r="E2616" s="507" t="s">
        <v>6108</v>
      </c>
    </row>
    <row r="2617" spans="1:5" ht="15" x14ac:dyDescent="0.3">
      <c r="A2617" s="506">
        <v>12918</v>
      </c>
      <c r="B2617" s="507" t="s">
        <v>5700</v>
      </c>
      <c r="C2617" s="506" t="s">
        <v>979</v>
      </c>
      <c r="D2617" s="508">
        <v>19521</v>
      </c>
      <c r="E2617" s="507" t="s">
        <v>6108</v>
      </c>
    </row>
    <row r="2618" spans="1:5" ht="15" x14ac:dyDescent="0.3">
      <c r="A2618" s="506">
        <v>12919</v>
      </c>
      <c r="B2618" s="507" t="s">
        <v>5701</v>
      </c>
      <c r="C2618" s="506" t="s">
        <v>254</v>
      </c>
      <c r="D2618" s="508">
        <v>3704</v>
      </c>
      <c r="E2618" s="507" t="s">
        <v>331</v>
      </c>
    </row>
    <row r="2619" spans="1:5" ht="15" x14ac:dyDescent="0.3">
      <c r="A2619" s="506">
        <v>12920</v>
      </c>
      <c r="B2619" s="507" t="s">
        <v>5702</v>
      </c>
      <c r="C2619" s="506" t="s">
        <v>3582</v>
      </c>
      <c r="D2619" s="508">
        <v>73233</v>
      </c>
      <c r="E2619" s="507" t="s">
        <v>331</v>
      </c>
    </row>
    <row r="2620" spans="1:5" ht="15" x14ac:dyDescent="0.3">
      <c r="A2620" s="506">
        <v>12925</v>
      </c>
      <c r="B2620" s="507" t="s">
        <v>6561</v>
      </c>
      <c r="C2620" s="506" t="s">
        <v>32</v>
      </c>
      <c r="D2620" s="508">
        <v>85680</v>
      </c>
      <c r="E2620" s="507" t="s">
        <v>6108</v>
      </c>
    </row>
    <row r="2621" spans="1:5" ht="15" x14ac:dyDescent="0.3">
      <c r="A2621" s="506">
        <v>12926</v>
      </c>
      <c r="B2621" s="507" t="s">
        <v>5703</v>
      </c>
      <c r="C2621" s="506" t="s">
        <v>32</v>
      </c>
      <c r="D2621" s="508">
        <v>18802</v>
      </c>
      <c r="E2621" s="507" t="s">
        <v>6108</v>
      </c>
    </row>
    <row r="2622" spans="1:5" ht="15" x14ac:dyDescent="0.3">
      <c r="A2622" s="506">
        <v>12927</v>
      </c>
      <c r="B2622" s="507" t="s">
        <v>5704</v>
      </c>
      <c r="C2622" s="506" t="s">
        <v>3582</v>
      </c>
      <c r="D2622" s="508">
        <v>773500</v>
      </c>
      <c r="E2622" s="507" t="s">
        <v>6108</v>
      </c>
    </row>
    <row r="2623" spans="1:5" ht="15" x14ac:dyDescent="0.3">
      <c r="A2623" s="506">
        <v>13188</v>
      </c>
      <c r="B2623" s="507" t="s">
        <v>6562</v>
      </c>
      <c r="C2623" s="506" t="s">
        <v>4440</v>
      </c>
      <c r="D2623" s="508">
        <v>403424</v>
      </c>
      <c r="E2623" s="507" t="s">
        <v>6108</v>
      </c>
    </row>
    <row r="2624" spans="1:5" ht="15" x14ac:dyDescent="0.3">
      <c r="A2624" s="506">
        <v>13189</v>
      </c>
      <c r="B2624" s="507" t="s">
        <v>6563</v>
      </c>
      <c r="C2624" s="506" t="s">
        <v>5705</v>
      </c>
      <c r="D2624" s="508">
        <v>38080000</v>
      </c>
      <c r="E2624" s="507" t="s">
        <v>6108</v>
      </c>
    </row>
    <row r="2625" spans="1:5" ht="15" x14ac:dyDescent="0.3">
      <c r="A2625" s="506">
        <v>13190</v>
      </c>
      <c r="B2625" s="507" t="s">
        <v>5706</v>
      </c>
      <c r="C2625" s="506" t="s">
        <v>32</v>
      </c>
      <c r="D2625" s="508">
        <v>10670152</v>
      </c>
      <c r="E2625" s="507" t="s">
        <v>6108</v>
      </c>
    </row>
    <row r="2626" spans="1:5" ht="15" x14ac:dyDescent="0.3">
      <c r="A2626" s="506">
        <v>13191</v>
      </c>
      <c r="B2626" s="507" t="s">
        <v>5707</v>
      </c>
      <c r="C2626" s="506" t="s">
        <v>32</v>
      </c>
      <c r="D2626" s="508">
        <v>11900000</v>
      </c>
      <c r="E2626" s="507" t="s">
        <v>6108</v>
      </c>
    </row>
    <row r="2627" spans="1:5" ht="15" x14ac:dyDescent="0.3">
      <c r="A2627" s="506">
        <v>13221</v>
      </c>
      <c r="B2627" s="507" t="s">
        <v>5708</v>
      </c>
      <c r="C2627" s="506" t="s">
        <v>21</v>
      </c>
      <c r="D2627" s="508">
        <v>136138</v>
      </c>
      <c r="E2627" s="507" t="s">
        <v>6108</v>
      </c>
    </row>
    <row r="2628" spans="1:5" ht="15" x14ac:dyDescent="0.3">
      <c r="A2628" s="506">
        <v>13222</v>
      </c>
      <c r="B2628" s="507" t="s">
        <v>6564</v>
      </c>
      <c r="C2628" s="506" t="s">
        <v>1294</v>
      </c>
      <c r="D2628" s="508">
        <v>5538141</v>
      </c>
      <c r="E2628" s="507" t="s">
        <v>6108</v>
      </c>
    </row>
    <row r="2629" spans="1:5" ht="15" x14ac:dyDescent="0.3">
      <c r="A2629" s="506">
        <v>13249</v>
      </c>
      <c r="B2629" s="507" t="s">
        <v>5709</v>
      </c>
      <c r="C2629" s="506" t="s">
        <v>30</v>
      </c>
      <c r="D2629" s="508">
        <v>923064</v>
      </c>
      <c r="E2629" s="507" t="s">
        <v>331</v>
      </c>
    </row>
    <row r="2630" spans="1:5" ht="15" x14ac:dyDescent="0.3">
      <c r="A2630" s="506">
        <v>13250</v>
      </c>
      <c r="B2630" s="507" t="s">
        <v>5710</v>
      </c>
      <c r="C2630" s="506" t="s">
        <v>30</v>
      </c>
      <c r="D2630" s="508">
        <v>840629</v>
      </c>
      <c r="E2630" s="507" t="s">
        <v>331</v>
      </c>
    </row>
    <row r="2631" spans="1:5" ht="15" x14ac:dyDescent="0.3">
      <c r="A2631" s="506">
        <v>13251</v>
      </c>
      <c r="B2631" s="507" t="s">
        <v>5711</v>
      </c>
      <c r="C2631" s="506" t="s">
        <v>30</v>
      </c>
      <c r="D2631" s="508">
        <v>1167251</v>
      </c>
      <c r="E2631" s="507" t="s">
        <v>331</v>
      </c>
    </row>
    <row r="2632" spans="1:5" ht="15" x14ac:dyDescent="0.3">
      <c r="A2632" s="506">
        <v>13300</v>
      </c>
      <c r="B2632" s="507" t="s">
        <v>5712</v>
      </c>
      <c r="C2632" s="506" t="s">
        <v>30</v>
      </c>
      <c r="D2632" s="508">
        <v>89726</v>
      </c>
      <c r="E2632" s="507" t="s">
        <v>331</v>
      </c>
    </row>
    <row r="2633" spans="1:5" ht="15" x14ac:dyDescent="0.3">
      <c r="A2633" s="506">
        <v>13302</v>
      </c>
      <c r="B2633" s="507" t="s">
        <v>3375</v>
      </c>
      <c r="C2633" s="506" t="s">
        <v>32</v>
      </c>
      <c r="D2633" s="508">
        <v>6942537</v>
      </c>
      <c r="E2633" s="507" t="s">
        <v>6108</v>
      </c>
    </row>
    <row r="2634" spans="1:5" ht="15" x14ac:dyDescent="0.3">
      <c r="A2634" s="506">
        <v>13303</v>
      </c>
      <c r="B2634" s="507" t="s">
        <v>3376</v>
      </c>
      <c r="C2634" s="506" t="s">
        <v>32</v>
      </c>
      <c r="D2634" s="508">
        <v>9254630</v>
      </c>
      <c r="E2634" s="507" t="s">
        <v>6108</v>
      </c>
    </row>
    <row r="2635" spans="1:5" ht="15" x14ac:dyDescent="0.3">
      <c r="A2635" s="506">
        <v>13318</v>
      </c>
      <c r="B2635" s="507" t="s">
        <v>5713</v>
      </c>
      <c r="C2635" s="506" t="s">
        <v>979</v>
      </c>
      <c r="D2635" s="508">
        <v>236380</v>
      </c>
      <c r="E2635" s="507" t="s">
        <v>331</v>
      </c>
    </row>
    <row r="2636" spans="1:5" ht="15" x14ac:dyDescent="0.3">
      <c r="A2636" s="506">
        <v>13319</v>
      </c>
      <c r="B2636" s="507" t="s">
        <v>5714</v>
      </c>
      <c r="C2636" s="506" t="s">
        <v>32</v>
      </c>
      <c r="D2636" s="508">
        <v>927111</v>
      </c>
      <c r="E2636" s="507" t="s">
        <v>6108</v>
      </c>
    </row>
    <row r="2637" spans="1:5" ht="15" x14ac:dyDescent="0.3">
      <c r="A2637" s="506">
        <v>13320</v>
      </c>
      <c r="B2637" s="507" t="s">
        <v>5715</v>
      </c>
      <c r="C2637" s="506" t="s">
        <v>32</v>
      </c>
      <c r="D2637" s="508">
        <v>367410</v>
      </c>
      <c r="E2637" s="507" t="s">
        <v>6108</v>
      </c>
    </row>
    <row r="2638" spans="1:5" ht="15" x14ac:dyDescent="0.3">
      <c r="A2638" s="506">
        <v>13321</v>
      </c>
      <c r="B2638" s="507" t="s">
        <v>5716</v>
      </c>
      <c r="C2638" s="506" t="s">
        <v>32</v>
      </c>
      <c r="D2638" s="508">
        <v>2410534</v>
      </c>
      <c r="E2638" s="507" t="s">
        <v>6108</v>
      </c>
    </row>
    <row r="2639" spans="1:5" ht="15" x14ac:dyDescent="0.3">
      <c r="A2639" s="506">
        <v>13322</v>
      </c>
      <c r="B2639" s="507" t="s">
        <v>5717</v>
      </c>
      <c r="C2639" s="506" t="s">
        <v>32</v>
      </c>
      <c r="D2639" s="508">
        <v>782479</v>
      </c>
      <c r="E2639" s="507" t="s">
        <v>6108</v>
      </c>
    </row>
    <row r="2640" spans="1:5" ht="15" x14ac:dyDescent="0.3">
      <c r="A2640" s="506">
        <v>13323</v>
      </c>
      <c r="B2640" s="507" t="s">
        <v>5718</v>
      </c>
      <c r="C2640" s="506" t="s">
        <v>32</v>
      </c>
      <c r="D2640" s="508">
        <v>462413</v>
      </c>
      <c r="E2640" s="507" t="s">
        <v>6108</v>
      </c>
    </row>
    <row r="2641" spans="1:5" ht="15" x14ac:dyDescent="0.3">
      <c r="A2641" s="506">
        <v>13324</v>
      </c>
      <c r="B2641" s="507" t="s">
        <v>5719</v>
      </c>
      <c r="C2641" s="506" t="s">
        <v>32</v>
      </c>
      <c r="D2641" s="508">
        <v>937299</v>
      </c>
      <c r="E2641" s="507" t="s">
        <v>6108</v>
      </c>
    </row>
    <row r="2642" spans="1:5" ht="15" x14ac:dyDescent="0.3">
      <c r="A2642" s="506">
        <v>13325</v>
      </c>
      <c r="B2642" s="507" t="s">
        <v>5720</v>
      </c>
      <c r="C2642" s="506" t="s">
        <v>32</v>
      </c>
      <c r="D2642" s="508">
        <v>388496</v>
      </c>
      <c r="E2642" s="507" t="s">
        <v>6108</v>
      </c>
    </row>
    <row r="2643" spans="1:5" ht="15" x14ac:dyDescent="0.3">
      <c r="A2643" s="506">
        <v>13326</v>
      </c>
      <c r="B2643" s="507" t="s">
        <v>5721</v>
      </c>
      <c r="C2643" s="506" t="s">
        <v>32</v>
      </c>
      <c r="D2643" s="508">
        <v>208678</v>
      </c>
      <c r="E2643" s="507" t="s">
        <v>6108</v>
      </c>
    </row>
    <row r="2644" spans="1:5" ht="15" x14ac:dyDescent="0.3">
      <c r="A2644" s="506">
        <v>13327</v>
      </c>
      <c r="B2644" s="507" t="s">
        <v>5722</v>
      </c>
      <c r="C2644" s="506" t="s">
        <v>32</v>
      </c>
      <c r="D2644" s="508">
        <v>37577</v>
      </c>
      <c r="E2644" s="507" t="s">
        <v>6108</v>
      </c>
    </row>
    <row r="2645" spans="1:5" ht="15" x14ac:dyDescent="0.3">
      <c r="A2645" s="506">
        <v>13328</v>
      </c>
      <c r="B2645" s="507" t="s">
        <v>5723</v>
      </c>
      <c r="C2645" s="506" t="s">
        <v>32</v>
      </c>
      <c r="D2645" s="508">
        <v>567657</v>
      </c>
      <c r="E2645" s="507" t="s">
        <v>6108</v>
      </c>
    </row>
    <row r="2646" spans="1:5" ht="15" x14ac:dyDescent="0.3">
      <c r="A2646" s="506">
        <v>13329</v>
      </c>
      <c r="B2646" s="507" t="s">
        <v>5724</v>
      </c>
      <c r="C2646" s="506" t="s">
        <v>32</v>
      </c>
      <c r="D2646" s="508">
        <v>1283518</v>
      </c>
      <c r="E2646" s="507" t="s">
        <v>6108</v>
      </c>
    </row>
    <row r="2647" spans="1:5" ht="15" x14ac:dyDescent="0.3">
      <c r="A2647" s="506">
        <v>13330</v>
      </c>
      <c r="B2647" s="507" t="s">
        <v>5725</v>
      </c>
      <c r="C2647" s="506" t="s">
        <v>32</v>
      </c>
      <c r="D2647" s="508">
        <v>1710026</v>
      </c>
      <c r="E2647" s="507" t="s">
        <v>6108</v>
      </c>
    </row>
    <row r="2648" spans="1:5" ht="15" x14ac:dyDescent="0.3">
      <c r="A2648" s="506">
        <v>13331</v>
      </c>
      <c r="B2648" s="507" t="s">
        <v>5726</v>
      </c>
      <c r="C2648" s="506" t="s">
        <v>32</v>
      </c>
      <c r="D2648" s="508">
        <v>2198573</v>
      </c>
      <c r="E2648" s="507" t="s">
        <v>6108</v>
      </c>
    </row>
    <row r="2649" spans="1:5" ht="15" x14ac:dyDescent="0.3">
      <c r="A2649" s="506">
        <v>13332</v>
      </c>
      <c r="B2649" s="507" t="s">
        <v>5727</v>
      </c>
      <c r="C2649" s="506" t="s">
        <v>32</v>
      </c>
      <c r="D2649" s="508">
        <v>708541</v>
      </c>
      <c r="E2649" s="507" t="s">
        <v>6108</v>
      </c>
    </row>
    <row r="2650" spans="1:5" ht="15" x14ac:dyDescent="0.3">
      <c r="A2650" s="506">
        <v>13333</v>
      </c>
      <c r="B2650" s="507" t="s">
        <v>5728</v>
      </c>
      <c r="C2650" s="506" t="s">
        <v>32</v>
      </c>
      <c r="D2650" s="508">
        <v>132453</v>
      </c>
      <c r="E2650" s="507" t="s">
        <v>6108</v>
      </c>
    </row>
    <row r="2651" spans="1:5" ht="15" x14ac:dyDescent="0.3">
      <c r="A2651" s="506">
        <v>13334</v>
      </c>
      <c r="B2651" s="507" t="s">
        <v>5729</v>
      </c>
      <c r="C2651" s="506" t="s">
        <v>328</v>
      </c>
      <c r="D2651" s="508">
        <v>696693</v>
      </c>
      <c r="E2651" s="507" t="s">
        <v>6108</v>
      </c>
    </row>
    <row r="2652" spans="1:5" ht="15" x14ac:dyDescent="0.3">
      <c r="A2652" s="506">
        <v>13336</v>
      </c>
      <c r="B2652" s="507" t="s">
        <v>5730</v>
      </c>
      <c r="C2652" s="506" t="s">
        <v>32</v>
      </c>
      <c r="D2652" s="508">
        <v>271964</v>
      </c>
      <c r="E2652" s="507" t="s">
        <v>6108</v>
      </c>
    </row>
    <row r="2653" spans="1:5" ht="15" x14ac:dyDescent="0.3">
      <c r="A2653" s="506">
        <v>13372</v>
      </c>
      <c r="B2653" s="507" t="s">
        <v>5731</v>
      </c>
      <c r="C2653" s="506" t="s">
        <v>21</v>
      </c>
      <c r="D2653" s="508">
        <v>9121</v>
      </c>
      <c r="E2653" s="507" t="s">
        <v>6108</v>
      </c>
    </row>
    <row r="2654" spans="1:5" ht="15" x14ac:dyDescent="0.3">
      <c r="A2654" s="506">
        <v>13373</v>
      </c>
      <c r="B2654" s="507" t="s">
        <v>5732</v>
      </c>
      <c r="C2654" s="506" t="s">
        <v>21</v>
      </c>
      <c r="D2654" s="508">
        <v>13090</v>
      </c>
      <c r="E2654" s="507" t="s">
        <v>6108</v>
      </c>
    </row>
    <row r="2655" spans="1:5" ht="15" x14ac:dyDescent="0.3">
      <c r="A2655" s="506">
        <v>13374</v>
      </c>
      <c r="B2655" s="507" t="s">
        <v>5733</v>
      </c>
      <c r="C2655" s="506" t="s">
        <v>21</v>
      </c>
      <c r="D2655" s="508">
        <v>14033</v>
      </c>
      <c r="E2655" s="507" t="s">
        <v>6108</v>
      </c>
    </row>
    <row r="2656" spans="1:5" ht="15" x14ac:dyDescent="0.3">
      <c r="A2656" s="506">
        <v>13375</v>
      </c>
      <c r="B2656" s="507" t="s">
        <v>5734</v>
      </c>
      <c r="C2656" s="506" t="s">
        <v>21</v>
      </c>
      <c r="D2656" s="508">
        <v>11672</v>
      </c>
      <c r="E2656" s="507" t="s">
        <v>6108</v>
      </c>
    </row>
    <row r="2657" spans="1:5" ht="15" x14ac:dyDescent="0.3">
      <c r="A2657" s="506">
        <v>13376</v>
      </c>
      <c r="B2657" s="507" t="s">
        <v>5735</v>
      </c>
      <c r="C2657" s="506" t="s">
        <v>32</v>
      </c>
      <c r="D2657" s="508">
        <v>137137194</v>
      </c>
      <c r="E2657" s="507" t="s">
        <v>6108</v>
      </c>
    </row>
    <row r="2658" spans="1:5" ht="15" x14ac:dyDescent="0.3">
      <c r="A2658" s="506">
        <v>13377</v>
      </c>
      <c r="B2658" s="507" t="s">
        <v>5736</v>
      </c>
      <c r="C2658" s="506" t="s">
        <v>32</v>
      </c>
      <c r="D2658" s="508">
        <v>155768354</v>
      </c>
      <c r="E2658" s="507" t="s">
        <v>6108</v>
      </c>
    </row>
    <row r="2659" spans="1:5" ht="15" x14ac:dyDescent="0.3">
      <c r="A2659" s="506">
        <v>13378</v>
      </c>
      <c r="B2659" s="507" t="s">
        <v>5737</v>
      </c>
      <c r="C2659" s="506" t="s">
        <v>32</v>
      </c>
      <c r="D2659" s="508">
        <v>173294046</v>
      </c>
      <c r="E2659" s="507" t="s">
        <v>6108</v>
      </c>
    </row>
    <row r="2660" spans="1:5" ht="15" x14ac:dyDescent="0.3">
      <c r="A2660" s="506">
        <v>13379</v>
      </c>
      <c r="B2660" s="507" t="s">
        <v>5738</v>
      </c>
      <c r="C2660" s="506" t="s">
        <v>32</v>
      </c>
      <c r="D2660" s="508">
        <v>1758579</v>
      </c>
      <c r="E2660" s="507" t="s">
        <v>6108</v>
      </c>
    </row>
    <row r="2661" spans="1:5" ht="15" x14ac:dyDescent="0.3">
      <c r="A2661" s="506">
        <v>13400</v>
      </c>
      <c r="B2661" s="507" t="s">
        <v>5739</v>
      </c>
      <c r="C2661" s="506" t="s">
        <v>32</v>
      </c>
      <c r="D2661" s="508">
        <v>46053</v>
      </c>
      <c r="E2661" s="507" t="s">
        <v>6108</v>
      </c>
    </row>
    <row r="2662" spans="1:5" ht="15" x14ac:dyDescent="0.3">
      <c r="A2662" s="506">
        <v>13401</v>
      </c>
      <c r="B2662" s="507" t="s">
        <v>5740</v>
      </c>
      <c r="C2662" s="506" t="s">
        <v>32</v>
      </c>
      <c r="D2662" s="508">
        <v>66457</v>
      </c>
      <c r="E2662" s="507" t="s">
        <v>6108</v>
      </c>
    </row>
    <row r="2663" spans="1:5" ht="15" x14ac:dyDescent="0.3">
      <c r="A2663" s="506">
        <v>13402</v>
      </c>
      <c r="B2663" s="507" t="s">
        <v>5741</v>
      </c>
      <c r="C2663" s="506" t="s">
        <v>32</v>
      </c>
      <c r="D2663" s="508">
        <v>50403</v>
      </c>
      <c r="E2663" s="507" t="s">
        <v>6108</v>
      </c>
    </row>
    <row r="2664" spans="1:5" ht="15" x14ac:dyDescent="0.3">
      <c r="A2664" s="506">
        <v>13403</v>
      </c>
      <c r="B2664" s="507" t="s">
        <v>5742</v>
      </c>
      <c r="C2664" s="506" t="s">
        <v>32</v>
      </c>
      <c r="D2664" s="508">
        <v>209976</v>
      </c>
      <c r="E2664" s="507" t="s">
        <v>6108</v>
      </c>
    </row>
    <row r="2665" spans="1:5" ht="15" x14ac:dyDescent="0.3">
      <c r="A2665" s="506">
        <v>13404</v>
      </c>
      <c r="B2665" s="507" t="s">
        <v>5743</v>
      </c>
      <c r="C2665" s="506" t="s">
        <v>328</v>
      </c>
      <c r="D2665" s="508">
        <v>212493</v>
      </c>
      <c r="E2665" s="507" t="s">
        <v>6108</v>
      </c>
    </row>
    <row r="2666" spans="1:5" ht="15" x14ac:dyDescent="0.3">
      <c r="A2666" s="506">
        <v>13405</v>
      </c>
      <c r="B2666" s="507" t="s">
        <v>5744</v>
      </c>
      <c r="C2666" s="506" t="s">
        <v>32</v>
      </c>
      <c r="D2666" s="508">
        <v>1365965</v>
      </c>
      <c r="E2666" s="507" t="s">
        <v>6108</v>
      </c>
    </row>
    <row r="2667" spans="1:5" ht="15" x14ac:dyDescent="0.3">
      <c r="A2667" s="506">
        <v>13406</v>
      </c>
      <c r="B2667" s="507" t="s">
        <v>5745</v>
      </c>
      <c r="C2667" s="506" t="s">
        <v>32</v>
      </c>
      <c r="D2667" s="508">
        <v>1175068</v>
      </c>
      <c r="E2667" s="507" t="s">
        <v>6108</v>
      </c>
    </row>
    <row r="2668" spans="1:5" ht="15" x14ac:dyDescent="0.3">
      <c r="A2668" s="506">
        <v>13407</v>
      </c>
      <c r="B2668" s="507" t="s">
        <v>5746</v>
      </c>
      <c r="C2668" s="506" t="s">
        <v>32</v>
      </c>
      <c r="D2668" s="508">
        <v>1106552</v>
      </c>
      <c r="E2668" s="507" t="s">
        <v>6108</v>
      </c>
    </row>
    <row r="2669" spans="1:5" ht="15" x14ac:dyDescent="0.3">
      <c r="A2669" s="506">
        <v>13408</v>
      </c>
      <c r="B2669" s="507" t="s">
        <v>5747</v>
      </c>
      <c r="C2669" s="506" t="s">
        <v>32</v>
      </c>
      <c r="D2669" s="508">
        <v>1126277</v>
      </c>
      <c r="E2669" s="507" t="s">
        <v>6108</v>
      </c>
    </row>
    <row r="2670" spans="1:5" ht="15" x14ac:dyDescent="0.3">
      <c r="A2670" s="506">
        <v>13409</v>
      </c>
      <c r="B2670" s="507" t="s">
        <v>5748</v>
      </c>
      <c r="C2670" s="506" t="s">
        <v>32</v>
      </c>
      <c r="D2670" s="508">
        <v>1126277</v>
      </c>
      <c r="E2670" s="507" t="s">
        <v>6108</v>
      </c>
    </row>
    <row r="2671" spans="1:5" ht="15" x14ac:dyDescent="0.3">
      <c r="A2671" s="506">
        <v>13410</v>
      </c>
      <c r="B2671" s="507" t="s">
        <v>5749</v>
      </c>
      <c r="C2671" s="506" t="s">
        <v>32</v>
      </c>
      <c r="D2671" s="508">
        <v>2962588</v>
      </c>
      <c r="E2671" s="507" t="s">
        <v>6108</v>
      </c>
    </row>
    <row r="2672" spans="1:5" ht="15" x14ac:dyDescent="0.3">
      <c r="A2672" s="506">
        <v>13411</v>
      </c>
      <c r="B2672" s="507" t="s">
        <v>5750</v>
      </c>
      <c r="C2672" s="506" t="s">
        <v>32</v>
      </c>
      <c r="D2672" s="508">
        <v>3425487</v>
      </c>
      <c r="E2672" s="507" t="s">
        <v>6108</v>
      </c>
    </row>
    <row r="2673" spans="1:5" ht="15" x14ac:dyDescent="0.3">
      <c r="A2673" s="506">
        <v>13412</v>
      </c>
      <c r="B2673" s="507" t="s">
        <v>5751</v>
      </c>
      <c r="C2673" s="506" t="s">
        <v>32</v>
      </c>
      <c r="D2673" s="508">
        <v>3814768</v>
      </c>
      <c r="E2673" s="507" t="s">
        <v>6108</v>
      </c>
    </row>
    <row r="2674" spans="1:5" ht="15" x14ac:dyDescent="0.3">
      <c r="A2674" s="506">
        <v>13413</v>
      </c>
      <c r="B2674" s="507" t="s">
        <v>5752</v>
      </c>
      <c r="C2674" s="506" t="s">
        <v>32</v>
      </c>
      <c r="D2674" s="508">
        <v>4028327</v>
      </c>
      <c r="E2674" s="507" t="s">
        <v>6108</v>
      </c>
    </row>
    <row r="2675" spans="1:5" ht="15" x14ac:dyDescent="0.3">
      <c r="A2675" s="506">
        <v>13414</v>
      </c>
      <c r="B2675" s="507" t="s">
        <v>5753</v>
      </c>
      <c r="C2675" s="506" t="s">
        <v>32</v>
      </c>
      <c r="D2675" s="508">
        <v>11276899</v>
      </c>
      <c r="E2675" s="507" t="s">
        <v>6108</v>
      </c>
    </row>
    <row r="2676" spans="1:5" ht="15" x14ac:dyDescent="0.3">
      <c r="A2676" s="506">
        <v>13415</v>
      </c>
      <c r="B2676" s="507" t="s">
        <v>5754</v>
      </c>
      <c r="C2676" s="506" t="s">
        <v>32</v>
      </c>
      <c r="D2676" s="508">
        <v>14430814</v>
      </c>
      <c r="E2676" s="507" t="s">
        <v>6108</v>
      </c>
    </row>
    <row r="2677" spans="1:5" ht="15" x14ac:dyDescent="0.3">
      <c r="A2677" s="506">
        <v>13416</v>
      </c>
      <c r="B2677" s="507" t="s">
        <v>5755</v>
      </c>
      <c r="C2677" s="506" t="s">
        <v>979</v>
      </c>
      <c r="D2677" s="508">
        <v>62268</v>
      </c>
      <c r="E2677" s="507" t="s">
        <v>331</v>
      </c>
    </row>
    <row r="2678" spans="1:5" ht="15" x14ac:dyDescent="0.3">
      <c r="A2678" s="506">
        <v>13417</v>
      </c>
      <c r="B2678" s="507" t="s">
        <v>5756</v>
      </c>
      <c r="C2678" s="506" t="s">
        <v>30</v>
      </c>
      <c r="D2678" s="508">
        <v>120000</v>
      </c>
      <c r="E2678" s="507" t="s">
        <v>6108</v>
      </c>
    </row>
    <row r="2679" spans="1:5" ht="15" x14ac:dyDescent="0.3">
      <c r="A2679" s="506">
        <v>13418</v>
      </c>
      <c r="B2679" s="507" t="s">
        <v>5757</v>
      </c>
      <c r="C2679" s="506" t="s">
        <v>254</v>
      </c>
      <c r="D2679" s="508">
        <v>2215256</v>
      </c>
      <c r="E2679" s="507" t="s">
        <v>6108</v>
      </c>
    </row>
    <row r="2680" spans="1:5" ht="15" x14ac:dyDescent="0.3">
      <c r="A2680" s="506">
        <v>13419</v>
      </c>
      <c r="B2680" s="507" t="s">
        <v>5758</v>
      </c>
      <c r="C2680" s="506" t="s">
        <v>3582</v>
      </c>
      <c r="D2680" s="508">
        <v>119000</v>
      </c>
      <c r="E2680" s="507" t="s">
        <v>6108</v>
      </c>
    </row>
    <row r="2681" spans="1:5" ht="15" x14ac:dyDescent="0.3">
      <c r="A2681" s="506">
        <v>13420</v>
      </c>
      <c r="B2681" s="507" t="s">
        <v>5759</v>
      </c>
      <c r="C2681" s="506" t="s">
        <v>254</v>
      </c>
      <c r="D2681" s="508">
        <v>2856000</v>
      </c>
      <c r="E2681" s="507" t="s">
        <v>6108</v>
      </c>
    </row>
    <row r="2682" spans="1:5" ht="15" x14ac:dyDescent="0.3">
      <c r="A2682" s="506">
        <v>13421</v>
      </c>
      <c r="B2682" s="507" t="s">
        <v>5760</v>
      </c>
      <c r="C2682" s="506" t="s">
        <v>254</v>
      </c>
      <c r="D2682" s="508">
        <v>952000</v>
      </c>
      <c r="E2682" s="507" t="s">
        <v>6108</v>
      </c>
    </row>
    <row r="2683" spans="1:5" ht="15" x14ac:dyDescent="0.3">
      <c r="A2683" s="506">
        <v>13422</v>
      </c>
      <c r="B2683" s="507" t="s">
        <v>5761</v>
      </c>
      <c r="C2683" s="506" t="s">
        <v>3582</v>
      </c>
      <c r="D2683" s="508">
        <v>47600</v>
      </c>
      <c r="E2683" s="507" t="s">
        <v>6108</v>
      </c>
    </row>
    <row r="2684" spans="1:5" ht="15" x14ac:dyDescent="0.3">
      <c r="A2684" s="506">
        <v>13423</v>
      </c>
      <c r="B2684" s="507" t="s">
        <v>5762</v>
      </c>
      <c r="C2684" s="506" t="s">
        <v>3582</v>
      </c>
      <c r="D2684" s="508">
        <v>321300</v>
      </c>
      <c r="E2684" s="507" t="s">
        <v>6108</v>
      </c>
    </row>
    <row r="2685" spans="1:5" ht="15" x14ac:dyDescent="0.3">
      <c r="A2685" s="506">
        <v>13424</v>
      </c>
      <c r="B2685" s="507" t="s">
        <v>3432</v>
      </c>
      <c r="C2685" s="506" t="s">
        <v>32</v>
      </c>
      <c r="D2685" s="508">
        <v>273700</v>
      </c>
      <c r="E2685" s="507" t="s">
        <v>6108</v>
      </c>
    </row>
    <row r="2686" spans="1:5" ht="15" x14ac:dyDescent="0.3">
      <c r="A2686" s="506">
        <v>13425</v>
      </c>
      <c r="B2686" s="507" t="s">
        <v>3433</v>
      </c>
      <c r="C2686" s="506" t="s">
        <v>32</v>
      </c>
      <c r="D2686" s="508">
        <v>196350</v>
      </c>
      <c r="E2686" s="507" t="s">
        <v>6108</v>
      </c>
    </row>
    <row r="2687" spans="1:5" ht="15" x14ac:dyDescent="0.3">
      <c r="A2687" s="506">
        <v>13426</v>
      </c>
      <c r="B2687" s="507" t="s">
        <v>3435</v>
      </c>
      <c r="C2687" s="506" t="s">
        <v>32</v>
      </c>
      <c r="D2687" s="508">
        <v>1225700</v>
      </c>
      <c r="E2687" s="507" t="s">
        <v>6108</v>
      </c>
    </row>
    <row r="2688" spans="1:5" ht="15" x14ac:dyDescent="0.3">
      <c r="A2688" s="506">
        <v>13427</v>
      </c>
      <c r="B2688" s="507" t="s">
        <v>3434</v>
      </c>
      <c r="C2688" s="506" t="s">
        <v>32</v>
      </c>
      <c r="D2688" s="508">
        <v>856800</v>
      </c>
      <c r="E2688" s="507" t="s">
        <v>6108</v>
      </c>
    </row>
    <row r="2689" spans="1:5" ht="15" x14ac:dyDescent="0.3">
      <c r="A2689" s="506">
        <v>13428</v>
      </c>
      <c r="B2689" s="507" t="s">
        <v>5763</v>
      </c>
      <c r="C2689" s="506" t="s">
        <v>32</v>
      </c>
      <c r="D2689" s="508">
        <v>343700</v>
      </c>
      <c r="E2689" s="507" t="s">
        <v>6108</v>
      </c>
    </row>
    <row r="2690" spans="1:5" ht="15" x14ac:dyDescent="0.3">
      <c r="A2690" s="506">
        <v>13429</v>
      </c>
      <c r="B2690" s="507" t="s">
        <v>5764</v>
      </c>
      <c r="C2690" s="506" t="s">
        <v>21</v>
      </c>
      <c r="D2690" s="508">
        <v>28659</v>
      </c>
      <c r="E2690" s="507" t="s">
        <v>6108</v>
      </c>
    </row>
    <row r="2691" spans="1:5" ht="15" x14ac:dyDescent="0.3">
      <c r="A2691" s="506">
        <v>13430</v>
      </c>
      <c r="B2691" s="507" t="s">
        <v>5765</v>
      </c>
      <c r="C2691" s="506" t="s">
        <v>328</v>
      </c>
      <c r="D2691" s="508">
        <v>11792</v>
      </c>
      <c r="E2691" s="507" t="s">
        <v>331</v>
      </c>
    </row>
    <row r="2692" spans="1:5" ht="15" x14ac:dyDescent="0.3">
      <c r="A2692" s="506">
        <v>13431</v>
      </c>
      <c r="B2692" s="507" t="s">
        <v>6565</v>
      </c>
      <c r="C2692" s="506" t="s">
        <v>1455</v>
      </c>
      <c r="D2692" s="508">
        <v>1400000</v>
      </c>
      <c r="E2692" s="507" t="s">
        <v>331</v>
      </c>
    </row>
    <row r="2693" spans="1:5" ht="15" x14ac:dyDescent="0.3">
      <c r="A2693" s="506">
        <v>13432</v>
      </c>
      <c r="B2693" s="507" t="s">
        <v>6566</v>
      </c>
      <c r="C2693" s="506" t="s">
        <v>1455</v>
      </c>
      <c r="D2693" s="508">
        <v>1500000</v>
      </c>
      <c r="E2693" s="507" t="s">
        <v>331</v>
      </c>
    </row>
    <row r="2694" spans="1:5" ht="15" x14ac:dyDescent="0.3">
      <c r="A2694" s="506">
        <v>13433</v>
      </c>
      <c r="B2694" s="507" t="s">
        <v>6567</v>
      </c>
      <c r="C2694" s="506" t="s">
        <v>1455</v>
      </c>
      <c r="D2694" s="508">
        <v>2000000</v>
      </c>
      <c r="E2694" s="507" t="s">
        <v>331</v>
      </c>
    </row>
    <row r="2695" spans="1:5" ht="15" x14ac:dyDescent="0.3">
      <c r="A2695" s="506">
        <v>13434</v>
      </c>
      <c r="B2695" s="507" t="s">
        <v>6568</v>
      </c>
      <c r="C2695" s="506" t="s">
        <v>1455</v>
      </c>
      <c r="D2695" s="508">
        <v>2500000</v>
      </c>
      <c r="E2695" s="507" t="s">
        <v>331</v>
      </c>
    </row>
    <row r="2696" spans="1:5" ht="15" x14ac:dyDescent="0.3">
      <c r="A2696" s="506">
        <v>13435</v>
      </c>
      <c r="B2696" s="507" t="s">
        <v>6569</v>
      </c>
      <c r="C2696" s="506" t="s">
        <v>1455</v>
      </c>
      <c r="D2696" s="508">
        <v>3000000</v>
      </c>
      <c r="E2696" s="507" t="s">
        <v>331</v>
      </c>
    </row>
    <row r="2697" spans="1:5" ht="15" x14ac:dyDescent="0.3">
      <c r="A2697" s="506">
        <v>13436</v>
      </c>
      <c r="B2697" s="507" t="s">
        <v>6570</v>
      </c>
      <c r="C2697" s="506" t="s">
        <v>1455</v>
      </c>
      <c r="D2697" s="508">
        <v>3000000</v>
      </c>
      <c r="E2697" s="507" t="s">
        <v>331</v>
      </c>
    </row>
    <row r="2698" spans="1:5" ht="15" x14ac:dyDescent="0.3">
      <c r="A2698" s="506">
        <v>13437</v>
      </c>
      <c r="B2698" s="507" t="s">
        <v>5766</v>
      </c>
      <c r="C2698" s="506" t="s">
        <v>30</v>
      </c>
      <c r="D2698" s="508">
        <v>95557</v>
      </c>
      <c r="E2698" s="507" t="s">
        <v>331</v>
      </c>
    </row>
    <row r="2699" spans="1:5" ht="15" x14ac:dyDescent="0.3">
      <c r="A2699" s="506">
        <v>13438</v>
      </c>
      <c r="B2699" s="507" t="s">
        <v>5767</v>
      </c>
      <c r="C2699" s="506" t="s">
        <v>30</v>
      </c>
      <c r="D2699" s="508">
        <v>89964</v>
      </c>
      <c r="E2699" s="507" t="s">
        <v>331</v>
      </c>
    </row>
    <row r="2700" spans="1:5" ht="15" x14ac:dyDescent="0.3">
      <c r="A2700" s="506">
        <v>13439</v>
      </c>
      <c r="B2700" s="507" t="s">
        <v>5768</v>
      </c>
      <c r="C2700" s="506" t="s">
        <v>30</v>
      </c>
      <c r="D2700" s="508">
        <v>741846</v>
      </c>
      <c r="E2700" s="507" t="s">
        <v>331</v>
      </c>
    </row>
    <row r="2701" spans="1:5" ht="15" x14ac:dyDescent="0.3">
      <c r="A2701" s="506">
        <v>13440</v>
      </c>
      <c r="B2701" s="507" t="s">
        <v>5769</v>
      </c>
      <c r="C2701" s="506" t="s">
        <v>30</v>
      </c>
      <c r="D2701" s="508">
        <v>798921</v>
      </c>
      <c r="E2701" s="507" t="s">
        <v>331</v>
      </c>
    </row>
    <row r="2702" spans="1:5" ht="15" x14ac:dyDescent="0.3">
      <c r="A2702" s="506">
        <v>13441</v>
      </c>
      <c r="B2702" s="507" t="s">
        <v>5770</v>
      </c>
      <c r="C2702" s="506" t="s">
        <v>30</v>
      </c>
      <c r="D2702" s="508">
        <v>849586</v>
      </c>
      <c r="E2702" s="507" t="s">
        <v>331</v>
      </c>
    </row>
    <row r="2703" spans="1:5" ht="15" x14ac:dyDescent="0.3">
      <c r="A2703" s="506">
        <v>13442</v>
      </c>
      <c r="B2703" s="507" t="s">
        <v>5771</v>
      </c>
      <c r="C2703" s="506" t="s">
        <v>254</v>
      </c>
      <c r="D2703" s="508">
        <v>7361890</v>
      </c>
      <c r="E2703" s="507" t="s">
        <v>6109</v>
      </c>
    </row>
    <row r="2704" spans="1:5" ht="15" x14ac:dyDescent="0.3">
      <c r="A2704" s="506">
        <v>13443</v>
      </c>
      <c r="B2704" s="507" t="s">
        <v>5772</v>
      </c>
      <c r="C2704" s="506" t="s">
        <v>254</v>
      </c>
      <c r="D2704" s="508">
        <v>4467317</v>
      </c>
      <c r="E2704" s="507" t="s">
        <v>6109</v>
      </c>
    </row>
    <row r="2705" spans="1:5" ht="15" x14ac:dyDescent="0.3">
      <c r="A2705" s="506">
        <v>13444</v>
      </c>
      <c r="B2705" s="507" t="s">
        <v>5773</v>
      </c>
      <c r="C2705" s="506" t="s">
        <v>254</v>
      </c>
      <c r="D2705" s="508">
        <v>5835615</v>
      </c>
      <c r="E2705" s="507" t="s">
        <v>6109</v>
      </c>
    </row>
    <row r="2706" spans="1:5" ht="15" x14ac:dyDescent="0.3">
      <c r="A2706" s="506">
        <v>13445</v>
      </c>
      <c r="B2706" s="507" t="s">
        <v>5774</v>
      </c>
      <c r="C2706" s="506" t="s">
        <v>254</v>
      </c>
      <c r="D2706" s="508">
        <v>3945223</v>
      </c>
      <c r="E2706" s="507" t="s">
        <v>6109</v>
      </c>
    </row>
    <row r="2707" spans="1:5" ht="15" x14ac:dyDescent="0.3">
      <c r="A2707" s="506">
        <v>13513</v>
      </c>
      <c r="B2707" s="507" t="s">
        <v>5775</v>
      </c>
      <c r="C2707" s="506" t="s">
        <v>328</v>
      </c>
      <c r="D2707" s="508">
        <v>1106330</v>
      </c>
      <c r="E2707" s="507" t="s">
        <v>6108</v>
      </c>
    </row>
    <row r="2708" spans="1:5" ht="15" x14ac:dyDescent="0.3">
      <c r="A2708" s="506">
        <v>13514</v>
      </c>
      <c r="B2708" s="507" t="s">
        <v>5776</v>
      </c>
      <c r="C2708" s="506" t="s">
        <v>328</v>
      </c>
      <c r="D2708" s="508">
        <v>1425618</v>
      </c>
      <c r="E2708" s="507" t="s">
        <v>6108</v>
      </c>
    </row>
    <row r="2709" spans="1:5" ht="15" x14ac:dyDescent="0.3">
      <c r="A2709" s="506">
        <v>13515</v>
      </c>
      <c r="B2709" s="507" t="s">
        <v>5777</v>
      </c>
      <c r="C2709" s="506" t="s">
        <v>328</v>
      </c>
      <c r="D2709" s="508">
        <v>1903835</v>
      </c>
      <c r="E2709" s="507" t="s">
        <v>6108</v>
      </c>
    </row>
    <row r="2710" spans="1:5" ht="15" x14ac:dyDescent="0.3">
      <c r="A2710" s="506">
        <v>13516</v>
      </c>
      <c r="B2710" s="507" t="s">
        <v>5778</v>
      </c>
      <c r="C2710" s="506" t="s">
        <v>328</v>
      </c>
      <c r="D2710" s="508">
        <v>2673582</v>
      </c>
      <c r="E2710" s="507" t="s">
        <v>6108</v>
      </c>
    </row>
    <row r="2711" spans="1:5" ht="15" x14ac:dyDescent="0.3">
      <c r="A2711" s="506">
        <v>13517</v>
      </c>
      <c r="B2711" s="507" t="s">
        <v>5779</v>
      </c>
      <c r="C2711" s="506" t="s">
        <v>328</v>
      </c>
      <c r="D2711" s="508">
        <v>4296242</v>
      </c>
      <c r="E2711" s="507" t="s">
        <v>6108</v>
      </c>
    </row>
    <row r="2712" spans="1:5" ht="15" x14ac:dyDescent="0.3">
      <c r="A2712" s="506">
        <v>13518</v>
      </c>
      <c r="B2712" s="507" t="s">
        <v>5780</v>
      </c>
      <c r="C2712" s="506" t="s">
        <v>328</v>
      </c>
      <c r="D2712" s="508">
        <v>7042024</v>
      </c>
      <c r="E2712" s="507" t="s">
        <v>6108</v>
      </c>
    </row>
    <row r="2713" spans="1:5" ht="15" x14ac:dyDescent="0.3">
      <c r="A2713" s="506">
        <v>13519</v>
      </c>
      <c r="B2713" s="507" t="s">
        <v>5781</v>
      </c>
      <c r="C2713" s="506" t="s">
        <v>328</v>
      </c>
      <c r="D2713" s="508">
        <v>7042024</v>
      </c>
      <c r="E2713" s="507" t="s">
        <v>6108</v>
      </c>
    </row>
    <row r="2714" spans="1:5" ht="15" x14ac:dyDescent="0.3">
      <c r="A2714" s="506">
        <v>13520</v>
      </c>
      <c r="B2714" s="507" t="s">
        <v>5782</v>
      </c>
      <c r="C2714" s="506" t="s">
        <v>328</v>
      </c>
      <c r="D2714" s="508">
        <v>8296515</v>
      </c>
      <c r="E2714" s="507" t="s">
        <v>6108</v>
      </c>
    </row>
    <row r="2715" spans="1:5" ht="15" x14ac:dyDescent="0.3">
      <c r="A2715" s="506">
        <v>13531</v>
      </c>
      <c r="B2715" s="507" t="s">
        <v>5783</v>
      </c>
      <c r="C2715" s="506" t="s">
        <v>32</v>
      </c>
      <c r="D2715" s="508">
        <v>848852</v>
      </c>
      <c r="E2715" s="507" t="s">
        <v>331</v>
      </c>
    </row>
    <row r="2716" spans="1:5" ht="15" x14ac:dyDescent="0.3">
      <c r="A2716" s="506">
        <v>13532</v>
      </c>
      <c r="B2716" s="507" t="s">
        <v>5784</v>
      </c>
      <c r="C2716" s="506" t="s">
        <v>32</v>
      </c>
      <c r="D2716" s="508">
        <v>55942</v>
      </c>
      <c r="E2716" s="507" t="s">
        <v>331</v>
      </c>
    </row>
    <row r="2717" spans="1:5" ht="15" x14ac:dyDescent="0.3">
      <c r="A2717" s="506">
        <v>13533</v>
      </c>
      <c r="B2717" s="507" t="s">
        <v>5785</v>
      </c>
      <c r="C2717" s="506" t="s">
        <v>32</v>
      </c>
      <c r="D2717" s="508">
        <v>28715</v>
      </c>
      <c r="E2717" s="507" t="s">
        <v>331</v>
      </c>
    </row>
    <row r="2718" spans="1:5" ht="15" x14ac:dyDescent="0.3">
      <c r="A2718" s="506">
        <v>13535</v>
      </c>
      <c r="B2718" s="507" t="s">
        <v>5786</v>
      </c>
      <c r="C2718" s="506" t="s">
        <v>328</v>
      </c>
      <c r="D2718" s="508">
        <v>172068</v>
      </c>
      <c r="E2718" s="507" t="s">
        <v>331</v>
      </c>
    </row>
    <row r="2719" spans="1:5" ht="15" x14ac:dyDescent="0.3">
      <c r="A2719" s="506">
        <v>13564</v>
      </c>
      <c r="B2719" s="507" t="s">
        <v>6571</v>
      </c>
      <c r="C2719" s="506" t="s">
        <v>32</v>
      </c>
      <c r="D2719" s="508">
        <v>279890</v>
      </c>
      <c r="E2719" s="507" t="s">
        <v>6108</v>
      </c>
    </row>
    <row r="2720" spans="1:5" ht="15" x14ac:dyDescent="0.3">
      <c r="A2720" s="506">
        <v>13565</v>
      </c>
      <c r="B2720" s="507" t="s">
        <v>6572</v>
      </c>
      <c r="C2720" s="506" t="s">
        <v>32</v>
      </c>
      <c r="D2720" s="508">
        <v>194705</v>
      </c>
      <c r="E2720" s="507" t="s">
        <v>6108</v>
      </c>
    </row>
    <row r="2721" spans="1:5" ht="15" x14ac:dyDescent="0.3">
      <c r="A2721" s="506">
        <v>13566</v>
      </c>
      <c r="B2721" s="507" t="s">
        <v>6573</v>
      </c>
      <c r="C2721" s="506" t="s">
        <v>32</v>
      </c>
      <c r="D2721" s="508">
        <v>292058</v>
      </c>
      <c r="E2721" s="507" t="s">
        <v>6108</v>
      </c>
    </row>
    <row r="2722" spans="1:5" ht="15" x14ac:dyDescent="0.3">
      <c r="A2722" s="506">
        <v>13567</v>
      </c>
      <c r="B2722" s="507" t="s">
        <v>6574</v>
      </c>
      <c r="C2722" s="506" t="s">
        <v>32</v>
      </c>
      <c r="D2722" s="508">
        <v>83445</v>
      </c>
      <c r="E2722" s="507" t="s">
        <v>6108</v>
      </c>
    </row>
    <row r="2723" spans="1:5" ht="15" x14ac:dyDescent="0.3">
      <c r="A2723" s="506">
        <v>13568</v>
      </c>
      <c r="B2723" s="507" t="s">
        <v>6575</v>
      </c>
      <c r="C2723" s="506" t="s">
        <v>32</v>
      </c>
      <c r="D2723" s="508">
        <v>69538</v>
      </c>
      <c r="E2723" s="507" t="s">
        <v>6108</v>
      </c>
    </row>
    <row r="2724" spans="1:5" ht="15" x14ac:dyDescent="0.3">
      <c r="A2724" s="506">
        <v>13569</v>
      </c>
      <c r="B2724" s="507" t="s">
        <v>6576</v>
      </c>
      <c r="C2724" s="506" t="s">
        <v>32</v>
      </c>
      <c r="D2724" s="508">
        <v>205680</v>
      </c>
      <c r="E2724" s="507" t="s">
        <v>6108</v>
      </c>
    </row>
    <row r="2725" spans="1:5" ht="15" x14ac:dyDescent="0.3">
      <c r="A2725" s="506">
        <v>13570</v>
      </c>
      <c r="B2725" s="507" t="s">
        <v>6577</v>
      </c>
      <c r="C2725" s="506" t="s">
        <v>32</v>
      </c>
      <c r="D2725" s="508">
        <v>78229</v>
      </c>
      <c r="E2725" s="507" t="s">
        <v>6108</v>
      </c>
    </row>
    <row r="2726" spans="1:5" ht="15" x14ac:dyDescent="0.3">
      <c r="A2726" s="506">
        <v>13571</v>
      </c>
      <c r="B2726" s="507" t="s">
        <v>6578</v>
      </c>
      <c r="C2726" s="506" t="s">
        <v>32</v>
      </c>
      <c r="D2726" s="508">
        <v>706933</v>
      </c>
      <c r="E2726" s="507" t="s">
        <v>6108</v>
      </c>
    </row>
    <row r="2727" spans="1:5" ht="15" x14ac:dyDescent="0.3">
      <c r="A2727" s="506">
        <v>13572</v>
      </c>
      <c r="B2727" s="507" t="s">
        <v>6579</v>
      </c>
      <c r="C2727" s="506" t="s">
        <v>32</v>
      </c>
      <c r="D2727" s="508">
        <v>672945</v>
      </c>
      <c r="E2727" s="507" t="s">
        <v>6108</v>
      </c>
    </row>
    <row r="2728" spans="1:5" ht="15" x14ac:dyDescent="0.3">
      <c r="A2728" s="506">
        <v>13573</v>
      </c>
      <c r="B2728" s="507" t="s">
        <v>6580</v>
      </c>
      <c r="C2728" s="506" t="s">
        <v>32</v>
      </c>
      <c r="D2728" s="508">
        <v>349125</v>
      </c>
      <c r="E2728" s="507" t="s">
        <v>6108</v>
      </c>
    </row>
    <row r="2729" spans="1:5" ht="15" x14ac:dyDescent="0.3">
      <c r="A2729" s="506">
        <v>13574</v>
      </c>
      <c r="B2729" s="507" t="s">
        <v>6581</v>
      </c>
      <c r="C2729" s="506" t="s">
        <v>32</v>
      </c>
      <c r="D2729" s="508">
        <v>146637</v>
      </c>
      <c r="E2729" s="507" t="s">
        <v>6108</v>
      </c>
    </row>
    <row r="2730" spans="1:5" ht="15" x14ac:dyDescent="0.3">
      <c r="A2730" s="506">
        <v>13575</v>
      </c>
      <c r="B2730" s="507" t="s">
        <v>6582</v>
      </c>
      <c r="C2730" s="506" t="s">
        <v>32</v>
      </c>
      <c r="D2730" s="508">
        <v>845387</v>
      </c>
      <c r="E2730" s="507" t="s">
        <v>6108</v>
      </c>
    </row>
    <row r="2731" spans="1:5" ht="15" x14ac:dyDescent="0.3">
      <c r="A2731" s="506">
        <v>13576</v>
      </c>
      <c r="B2731" s="507" t="s">
        <v>6583</v>
      </c>
      <c r="C2731" s="506" t="s">
        <v>2721</v>
      </c>
      <c r="D2731" s="508">
        <v>215304</v>
      </c>
      <c r="E2731" s="507" t="s">
        <v>6108</v>
      </c>
    </row>
    <row r="2732" spans="1:5" ht="15" x14ac:dyDescent="0.3">
      <c r="A2732" s="506">
        <v>13577</v>
      </c>
      <c r="B2732" s="507" t="s">
        <v>6584</v>
      </c>
      <c r="C2732" s="506" t="s">
        <v>692</v>
      </c>
      <c r="D2732" s="508">
        <v>3507205</v>
      </c>
      <c r="E2732" s="507" t="s">
        <v>6108</v>
      </c>
    </row>
    <row r="2733" spans="1:5" ht="15" x14ac:dyDescent="0.3">
      <c r="A2733" s="506">
        <v>13578</v>
      </c>
      <c r="B2733" s="507" t="s">
        <v>6585</v>
      </c>
      <c r="C2733" s="506" t="s">
        <v>32</v>
      </c>
      <c r="D2733" s="508">
        <v>758830</v>
      </c>
      <c r="E2733" s="507" t="s">
        <v>6108</v>
      </c>
    </row>
    <row r="2734" spans="1:5" ht="15" x14ac:dyDescent="0.3">
      <c r="A2734" s="506">
        <v>13579</v>
      </c>
      <c r="B2734" s="507" t="s">
        <v>6586</v>
      </c>
      <c r="C2734" s="506" t="s">
        <v>692</v>
      </c>
      <c r="D2734" s="508">
        <v>3566832</v>
      </c>
      <c r="E2734" s="507" t="s">
        <v>6108</v>
      </c>
    </row>
    <row r="2735" spans="1:5" ht="15" x14ac:dyDescent="0.3">
      <c r="A2735" s="506">
        <v>13580</v>
      </c>
      <c r="B2735" s="507" t="s">
        <v>6587</v>
      </c>
      <c r="C2735" s="506" t="s">
        <v>692</v>
      </c>
      <c r="D2735" s="508">
        <v>1428000</v>
      </c>
      <c r="E2735" s="507" t="s">
        <v>6108</v>
      </c>
    </row>
    <row r="2736" spans="1:5" ht="15" x14ac:dyDescent="0.3">
      <c r="A2736" s="506">
        <v>13581</v>
      </c>
      <c r="B2736" s="507" t="s">
        <v>6588</v>
      </c>
      <c r="C2736" s="506" t="s">
        <v>32</v>
      </c>
      <c r="D2736" s="508">
        <v>845387</v>
      </c>
      <c r="E2736" s="507" t="s">
        <v>6108</v>
      </c>
    </row>
    <row r="2737" spans="1:5" ht="15" x14ac:dyDescent="0.3">
      <c r="A2737" s="506">
        <v>13582</v>
      </c>
      <c r="B2737" s="507" t="s">
        <v>6589</v>
      </c>
      <c r="C2737" s="506" t="s">
        <v>2721</v>
      </c>
      <c r="D2737" s="508">
        <v>131495</v>
      </c>
      <c r="E2737" s="507" t="s">
        <v>6108</v>
      </c>
    </row>
    <row r="2738" spans="1:5" ht="15" x14ac:dyDescent="0.3">
      <c r="A2738" s="506">
        <v>13583</v>
      </c>
      <c r="B2738" s="507" t="s">
        <v>6590</v>
      </c>
      <c r="C2738" s="506" t="s">
        <v>32</v>
      </c>
      <c r="D2738" s="508">
        <v>97568</v>
      </c>
      <c r="E2738" s="507" t="s">
        <v>6108</v>
      </c>
    </row>
    <row r="2739" spans="1:5" ht="15" x14ac:dyDescent="0.3">
      <c r="A2739" s="506">
        <v>13584</v>
      </c>
      <c r="B2739" s="507" t="s">
        <v>6591</v>
      </c>
      <c r="C2739" s="506" t="s">
        <v>2721</v>
      </c>
      <c r="D2739" s="508">
        <v>302486</v>
      </c>
      <c r="E2739" s="507" t="s">
        <v>6108</v>
      </c>
    </row>
    <row r="2740" spans="1:5" ht="15" x14ac:dyDescent="0.3">
      <c r="A2740" s="506">
        <v>13585</v>
      </c>
      <c r="B2740" s="507" t="s">
        <v>6592</v>
      </c>
      <c r="C2740" s="506" t="s">
        <v>2721</v>
      </c>
      <c r="D2740" s="508">
        <v>165026</v>
      </c>
      <c r="E2740" s="507" t="s">
        <v>6108</v>
      </c>
    </row>
    <row r="2741" spans="1:5" ht="15" x14ac:dyDescent="0.3">
      <c r="A2741" s="506">
        <v>13586</v>
      </c>
      <c r="B2741" s="507" t="s">
        <v>6593</v>
      </c>
      <c r="C2741" s="506" t="s">
        <v>2721</v>
      </c>
      <c r="D2741" s="508">
        <v>174335</v>
      </c>
      <c r="E2741" s="507" t="s">
        <v>6108</v>
      </c>
    </row>
    <row r="2742" spans="1:5" ht="15" x14ac:dyDescent="0.3">
      <c r="A2742" s="506">
        <v>13587</v>
      </c>
      <c r="B2742" s="507" t="s">
        <v>6594</v>
      </c>
      <c r="C2742" s="506" t="s">
        <v>2721</v>
      </c>
      <c r="D2742" s="508">
        <v>215304</v>
      </c>
      <c r="E2742" s="507" t="s">
        <v>6108</v>
      </c>
    </row>
    <row r="2743" spans="1:5" ht="15" x14ac:dyDescent="0.3">
      <c r="A2743" s="506">
        <v>13588</v>
      </c>
      <c r="B2743" s="507" t="s">
        <v>6595</v>
      </c>
      <c r="C2743" s="506" t="s">
        <v>2721</v>
      </c>
      <c r="D2743" s="508">
        <v>180258</v>
      </c>
      <c r="E2743" s="507" t="s">
        <v>6108</v>
      </c>
    </row>
    <row r="2744" spans="1:5" ht="15" x14ac:dyDescent="0.3">
      <c r="A2744" s="506">
        <v>13589</v>
      </c>
      <c r="B2744" s="507" t="s">
        <v>6596</v>
      </c>
      <c r="C2744" s="506" t="s">
        <v>2721</v>
      </c>
      <c r="D2744" s="508">
        <v>239885</v>
      </c>
      <c r="E2744" s="507" t="s">
        <v>6108</v>
      </c>
    </row>
    <row r="2745" spans="1:5" ht="15" x14ac:dyDescent="0.3">
      <c r="A2745" s="506">
        <v>13590</v>
      </c>
      <c r="B2745" s="507" t="s">
        <v>6597</v>
      </c>
      <c r="C2745" s="506" t="s">
        <v>21</v>
      </c>
      <c r="D2745" s="508">
        <v>18568</v>
      </c>
      <c r="E2745" s="507" t="s">
        <v>6108</v>
      </c>
    </row>
    <row r="2746" spans="1:5" ht="15" x14ac:dyDescent="0.35">
      <c r="A2746" s="509">
        <v>8629</v>
      </c>
      <c r="B2746" s="510" t="s">
        <v>3126</v>
      </c>
      <c r="C2746" s="509" t="s">
        <v>328</v>
      </c>
      <c r="D2746" s="511">
        <v>1287020</v>
      </c>
    </row>
    <row r="2747" spans="1:5" ht="15" x14ac:dyDescent="0.35">
      <c r="A2747" s="509">
        <v>8631</v>
      </c>
      <c r="B2747" s="510" t="s">
        <v>3127</v>
      </c>
      <c r="C2747" s="509" t="s">
        <v>32</v>
      </c>
      <c r="D2747" s="512">
        <v>1279700</v>
      </c>
    </row>
    <row r="2748" spans="1:5" ht="15" x14ac:dyDescent="0.35">
      <c r="A2748" s="509">
        <v>8632</v>
      </c>
      <c r="B2748" s="510" t="s">
        <v>3128</v>
      </c>
      <c r="C2748" s="509" t="s">
        <v>328</v>
      </c>
      <c r="D2748" s="512">
        <v>580846</v>
      </c>
    </row>
    <row r="2749" spans="1:5" ht="15" x14ac:dyDescent="0.35">
      <c r="A2749" s="509">
        <v>8633</v>
      </c>
      <c r="B2749" s="510" t="s">
        <v>3129</v>
      </c>
      <c r="C2749" s="509" t="s">
        <v>328</v>
      </c>
      <c r="D2749" s="512">
        <v>1278605</v>
      </c>
    </row>
    <row r="2750" spans="1:5" ht="15" x14ac:dyDescent="0.35">
      <c r="A2750" s="509">
        <v>8634</v>
      </c>
      <c r="B2750" s="510" t="s">
        <v>3130</v>
      </c>
      <c r="C2750" s="509" t="s">
        <v>32</v>
      </c>
      <c r="D2750" s="512">
        <v>1304026</v>
      </c>
    </row>
    <row r="2751" spans="1:5" ht="15" x14ac:dyDescent="0.35">
      <c r="A2751" s="509">
        <v>8636</v>
      </c>
      <c r="B2751" s="510" t="s">
        <v>3131</v>
      </c>
      <c r="C2751" s="509" t="s">
        <v>32</v>
      </c>
      <c r="D2751" s="512">
        <v>724910</v>
      </c>
    </row>
    <row r="2752" spans="1:5" ht="15" x14ac:dyDescent="0.35">
      <c r="A2752" s="509">
        <v>8637</v>
      </c>
      <c r="B2752" s="510" t="s">
        <v>3132</v>
      </c>
      <c r="C2752" s="509" t="s">
        <v>32</v>
      </c>
      <c r="D2752" s="512">
        <v>2178690</v>
      </c>
    </row>
    <row r="2753" spans="1:4" ht="15" x14ac:dyDescent="0.35">
      <c r="A2753" s="509">
        <v>8638</v>
      </c>
      <c r="B2753" s="510" t="s">
        <v>3133</v>
      </c>
      <c r="C2753" s="509" t="s">
        <v>32</v>
      </c>
      <c r="D2753" s="512">
        <v>4814413</v>
      </c>
    </row>
    <row r="2754" spans="1:4" ht="15" x14ac:dyDescent="0.35">
      <c r="A2754" s="509">
        <v>8639</v>
      </c>
      <c r="B2754" s="510" t="s">
        <v>3134</v>
      </c>
      <c r="C2754" s="509" t="s">
        <v>32</v>
      </c>
      <c r="D2754" s="512">
        <v>8159104</v>
      </c>
    </row>
    <row r="2755" spans="1:4" ht="15" x14ac:dyDescent="0.35">
      <c r="A2755" s="509">
        <v>8640</v>
      </c>
      <c r="B2755" s="510" t="s">
        <v>3135</v>
      </c>
      <c r="C2755" s="509" t="s">
        <v>32</v>
      </c>
      <c r="D2755" s="511">
        <v>162462</v>
      </c>
    </row>
    <row r="2756" spans="1:4" ht="15" x14ac:dyDescent="0.35">
      <c r="A2756" s="509">
        <v>8641</v>
      </c>
      <c r="B2756" s="510" t="s">
        <v>3136</v>
      </c>
      <c r="C2756" s="509" t="s">
        <v>32</v>
      </c>
      <c r="D2756" s="512">
        <v>2019710</v>
      </c>
    </row>
    <row r="2757" spans="1:4" ht="15" x14ac:dyDescent="0.35">
      <c r="A2757" s="509">
        <v>8642</v>
      </c>
      <c r="B2757" s="510" t="s">
        <v>3137</v>
      </c>
      <c r="C2757" s="509" t="s">
        <v>32</v>
      </c>
      <c r="D2757" s="512">
        <v>134564</v>
      </c>
    </row>
    <row r="2758" spans="1:4" ht="15" x14ac:dyDescent="0.35">
      <c r="A2758" s="509">
        <v>8644</v>
      </c>
      <c r="B2758" s="510" t="s">
        <v>3138</v>
      </c>
      <c r="C2758" s="509" t="s">
        <v>32</v>
      </c>
      <c r="D2758" s="511">
        <v>4892780</v>
      </c>
    </row>
    <row r="2759" spans="1:4" ht="15" x14ac:dyDescent="0.35">
      <c r="A2759" s="509">
        <v>8645</v>
      </c>
      <c r="B2759" s="510" t="s">
        <v>3139</v>
      </c>
      <c r="C2759" s="509" t="s">
        <v>32</v>
      </c>
      <c r="D2759" s="511">
        <v>2662977</v>
      </c>
    </row>
    <row r="2760" spans="1:4" ht="15" x14ac:dyDescent="0.35">
      <c r="A2760" s="509">
        <v>8647</v>
      </c>
      <c r="B2760" s="510" t="s">
        <v>3140</v>
      </c>
      <c r="C2760" s="509" t="s">
        <v>32</v>
      </c>
      <c r="D2760" s="511">
        <v>5474965</v>
      </c>
    </row>
    <row r="2761" spans="1:4" ht="15" x14ac:dyDescent="0.35">
      <c r="A2761" s="509">
        <v>8648</v>
      </c>
      <c r="B2761" s="510" t="s">
        <v>3141</v>
      </c>
      <c r="C2761" s="509" t="s">
        <v>328</v>
      </c>
      <c r="D2761" s="511">
        <v>648632</v>
      </c>
    </row>
    <row r="2762" spans="1:4" ht="15" x14ac:dyDescent="0.35">
      <c r="A2762" s="509">
        <v>8649</v>
      </c>
      <c r="B2762" s="510" t="s">
        <v>3142</v>
      </c>
      <c r="C2762" s="509" t="s">
        <v>328</v>
      </c>
      <c r="D2762" s="511">
        <v>541164</v>
      </c>
    </row>
    <row r="2763" spans="1:4" ht="15" x14ac:dyDescent="0.35">
      <c r="A2763" s="509">
        <v>8650</v>
      </c>
      <c r="B2763" s="510" t="s">
        <v>3143</v>
      </c>
      <c r="C2763" s="509" t="s">
        <v>3144</v>
      </c>
      <c r="D2763" s="511">
        <v>65</v>
      </c>
    </row>
    <row r="2764" spans="1:4" ht="15" x14ac:dyDescent="0.35">
      <c r="A2764" s="509">
        <v>8651</v>
      </c>
      <c r="B2764" s="510" t="s">
        <v>3145</v>
      </c>
      <c r="C2764" s="509" t="s">
        <v>32</v>
      </c>
      <c r="D2764" s="511">
        <v>194857</v>
      </c>
    </row>
    <row r="2765" spans="1:4" ht="15" x14ac:dyDescent="0.35">
      <c r="A2765" s="509">
        <v>8652</v>
      </c>
      <c r="B2765" s="510" t="s">
        <v>3146</v>
      </c>
      <c r="C2765" s="509" t="s">
        <v>32</v>
      </c>
      <c r="D2765" s="511">
        <v>152681</v>
      </c>
    </row>
    <row r="2766" spans="1:4" ht="15" x14ac:dyDescent="0.35">
      <c r="A2766" s="509">
        <v>8653</v>
      </c>
      <c r="B2766" s="510" t="s">
        <v>3147</v>
      </c>
      <c r="C2766" s="509" t="s">
        <v>32</v>
      </c>
      <c r="D2766" s="511">
        <v>190908</v>
      </c>
    </row>
    <row r="2767" spans="1:4" ht="15" x14ac:dyDescent="0.35">
      <c r="A2767" s="509">
        <v>8654</v>
      </c>
      <c r="B2767" s="510" t="s">
        <v>3148</v>
      </c>
      <c r="C2767" s="509" t="s">
        <v>32</v>
      </c>
      <c r="D2767" s="511">
        <v>309401</v>
      </c>
    </row>
    <row r="2768" spans="1:4" ht="15" x14ac:dyDescent="0.35">
      <c r="A2768" s="509">
        <v>8655</v>
      </c>
      <c r="B2768" s="510" t="s">
        <v>3149</v>
      </c>
      <c r="C2768" s="509" t="s">
        <v>30</v>
      </c>
      <c r="D2768" s="512">
        <v>99163</v>
      </c>
    </row>
    <row r="2769" spans="1:4" ht="15" x14ac:dyDescent="0.35">
      <c r="A2769" s="509">
        <v>8656</v>
      </c>
      <c r="B2769" s="510" t="s">
        <v>3150</v>
      </c>
      <c r="C2769" s="509" t="s">
        <v>30</v>
      </c>
      <c r="D2769" s="512">
        <v>23870</v>
      </c>
    </row>
    <row r="2770" spans="1:4" ht="15" x14ac:dyDescent="0.35">
      <c r="A2770" s="509">
        <v>8657</v>
      </c>
      <c r="B2770" s="510" t="s">
        <v>3151</v>
      </c>
      <c r="C2770" s="509" t="s">
        <v>21</v>
      </c>
      <c r="D2770" s="512">
        <v>7985</v>
      </c>
    </row>
    <row r="2771" spans="1:4" ht="15" x14ac:dyDescent="0.35">
      <c r="A2771" s="509">
        <v>8659</v>
      </c>
      <c r="B2771" s="510" t="s">
        <v>3152</v>
      </c>
      <c r="C2771" s="509" t="s">
        <v>21</v>
      </c>
      <c r="D2771" s="512">
        <v>23291</v>
      </c>
    </row>
    <row r="2772" spans="1:4" ht="15" x14ac:dyDescent="0.35">
      <c r="A2772" s="509">
        <v>8660</v>
      </c>
      <c r="B2772" s="510" t="s">
        <v>3153</v>
      </c>
      <c r="C2772" s="509" t="s">
        <v>21</v>
      </c>
      <c r="D2772" s="511">
        <v>183075</v>
      </c>
    </row>
    <row r="2773" spans="1:4" ht="15" x14ac:dyDescent="0.35">
      <c r="A2773" s="509">
        <v>8661</v>
      </c>
      <c r="B2773" s="510" t="s">
        <v>3154</v>
      </c>
      <c r="C2773" s="509" t="s">
        <v>21</v>
      </c>
      <c r="D2773" s="512">
        <v>362197</v>
      </c>
    </row>
    <row r="2774" spans="1:4" ht="15" x14ac:dyDescent="0.35">
      <c r="A2774" s="509">
        <v>8662</v>
      </c>
      <c r="B2774" s="510" t="s">
        <v>3155</v>
      </c>
      <c r="C2774" s="509" t="s">
        <v>21</v>
      </c>
      <c r="D2774" s="512">
        <v>545419</v>
      </c>
    </row>
    <row r="2775" spans="1:4" ht="15" x14ac:dyDescent="0.35">
      <c r="A2775" s="509">
        <v>8663</v>
      </c>
      <c r="B2775" s="510" t="s">
        <v>3156</v>
      </c>
      <c r="C2775" s="509" t="s">
        <v>21</v>
      </c>
      <c r="D2775" s="512">
        <v>545726</v>
      </c>
    </row>
    <row r="2776" spans="1:4" ht="15" x14ac:dyDescent="0.35">
      <c r="A2776" s="509">
        <v>8664</v>
      </c>
      <c r="B2776" s="510" t="s">
        <v>3157</v>
      </c>
      <c r="C2776" s="509" t="s">
        <v>21</v>
      </c>
      <c r="D2776" s="512">
        <v>600882</v>
      </c>
    </row>
    <row r="2777" spans="1:4" ht="15" x14ac:dyDescent="0.35">
      <c r="A2777" s="509">
        <v>8665</v>
      </c>
      <c r="B2777" s="510" t="s">
        <v>3158</v>
      </c>
      <c r="C2777" s="509" t="s">
        <v>21</v>
      </c>
      <c r="D2777" s="511">
        <v>625997</v>
      </c>
    </row>
    <row r="2778" spans="1:4" ht="15" x14ac:dyDescent="0.35">
      <c r="A2778" s="509">
        <v>8667</v>
      </c>
      <c r="B2778" s="510" t="s">
        <v>3159</v>
      </c>
      <c r="C2778" s="509" t="s">
        <v>21</v>
      </c>
      <c r="D2778" s="511">
        <v>19886</v>
      </c>
    </row>
    <row r="2779" spans="1:4" ht="15" x14ac:dyDescent="0.35">
      <c r="A2779" s="509">
        <v>8668</v>
      </c>
      <c r="B2779" s="510" t="s">
        <v>3160</v>
      </c>
      <c r="C2779" s="509" t="s">
        <v>21</v>
      </c>
      <c r="D2779" s="511">
        <v>181054</v>
      </c>
    </row>
    <row r="2780" spans="1:4" ht="15" x14ac:dyDescent="0.35">
      <c r="A2780" s="509">
        <v>8669</v>
      </c>
      <c r="B2780" s="510" t="s">
        <v>3161</v>
      </c>
      <c r="C2780" s="509" t="s">
        <v>21</v>
      </c>
      <c r="D2780" s="511">
        <v>241560</v>
      </c>
    </row>
    <row r="2781" spans="1:4" ht="15" x14ac:dyDescent="0.35">
      <c r="A2781" s="509">
        <v>8670</v>
      </c>
      <c r="B2781" s="510" t="s">
        <v>3162</v>
      </c>
      <c r="C2781" s="509" t="s">
        <v>21</v>
      </c>
      <c r="D2781" s="511">
        <v>540740</v>
      </c>
    </row>
    <row r="2782" spans="1:4" ht="15" x14ac:dyDescent="0.35">
      <c r="A2782" s="509">
        <v>8671</v>
      </c>
      <c r="B2782" s="510" t="s">
        <v>3163</v>
      </c>
      <c r="C2782" s="509" t="s">
        <v>21</v>
      </c>
      <c r="D2782" s="512">
        <v>538805</v>
      </c>
    </row>
    <row r="2783" spans="1:4" ht="15" x14ac:dyDescent="0.35">
      <c r="A2783" s="509">
        <v>8672</v>
      </c>
      <c r="B2783" s="510" t="s">
        <v>3164</v>
      </c>
      <c r="C2783" s="509" t="s">
        <v>21</v>
      </c>
      <c r="D2783" s="511">
        <v>595770</v>
      </c>
    </row>
    <row r="2784" spans="1:4" ht="15" x14ac:dyDescent="0.35">
      <c r="A2784" s="509">
        <v>8673</v>
      </c>
      <c r="B2784" s="510" t="s">
        <v>3165</v>
      </c>
      <c r="C2784" s="509" t="s">
        <v>21</v>
      </c>
      <c r="D2784" s="511">
        <v>621541</v>
      </c>
    </row>
    <row r="2785" spans="1:4" ht="15" x14ac:dyDescent="0.35">
      <c r="A2785" s="509">
        <v>8675</v>
      </c>
      <c r="B2785" s="510" t="s">
        <v>3166</v>
      </c>
      <c r="C2785" s="509" t="s">
        <v>21</v>
      </c>
      <c r="D2785" s="512">
        <v>13270</v>
      </c>
    </row>
    <row r="2786" spans="1:4" ht="15" x14ac:dyDescent="0.35">
      <c r="A2786" s="509">
        <v>8676</v>
      </c>
      <c r="B2786" s="510" t="s">
        <v>3167</v>
      </c>
      <c r="C2786" s="509" t="s">
        <v>21</v>
      </c>
      <c r="D2786" s="512">
        <v>122189</v>
      </c>
    </row>
    <row r="2787" spans="1:4" ht="15" x14ac:dyDescent="0.35">
      <c r="A2787" s="509">
        <v>8677</v>
      </c>
      <c r="B2787" s="510" t="s">
        <v>3168</v>
      </c>
      <c r="C2787" s="509" t="s">
        <v>21</v>
      </c>
      <c r="D2787" s="512">
        <v>239670</v>
      </c>
    </row>
    <row r="2788" spans="1:4" ht="15" x14ac:dyDescent="0.35">
      <c r="A2788" s="509">
        <v>8678</v>
      </c>
      <c r="B2788" s="510" t="s">
        <v>3169</v>
      </c>
      <c r="C2788" s="509" t="s">
        <v>21</v>
      </c>
      <c r="D2788" s="511">
        <v>412123</v>
      </c>
    </row>
    <row r="2789" spans="1:4" ht="15" x14ac:dyDescent="0.35">
      <c r="A2789" s="509">
        <v>8679</v>
      </c>
      <c r="B2789" s="510" t="s">
        <v>3170</v>
      </c>
      <c r="C2789" s="509" t="s">
        <v>21</v>
      </c>
      <c r="D2789" s="512">
        <v>499241</v>
      </c>
    </row>
    <row r="2790" spans="1:4" ht="15" x14ac:dyDescent="0.35">
      <c r="A2790" s="509">
        <v>8680</v>
      </c>
      <c r="B2790" s="510" t="s">
        <v>3171</v>
      </c>
      <c r="C2790" s="509" t="s">
        <v>21</v>
      </c>
      <c r="D2790" s="511">
        <v>518666</v>
      </c>
    </row>
    <row r="2791" spans="1:4" ht="15" x14ac:dyDescent="0.35">
      <c r="A2791" s="509">
        <v>8681</v>
      </c>
      <c r="B2791" s="510" t="s">
        <v>3172</v>
      </c>
      <c r="C2791" s="509" t="s">
        <v>21</v>
      </c>
      <c r="D2791" s="512">
        <v>574872</v>
      </c>
    </row>
    <row r="2792" spans="1:4" ht="15" x14ac:dyDescent="0.35">
      <c r="A2792" s="509">
        <v>8683</v>
      </c>
      <c r="B2792" s="510" t="s">
        <v>3173</v>
      </c>
      <c r="C2792" s="509" t="s">
        <v>21</v>
      </c>
      <c r="D2792" s="512">
        <v>13270</v>
      </c>
    </row>
    <row r="2793" spans="1:4" ht="15" x14ac:dyDescent="0.35">
      <c r="A2793" s="509">
        <v>8684</v>
      </c>
      <c r="B2793" s="510" t="s">
        <v>3174</v>
      </c>
      <c r="C2793" s="509" t="s">
        <v>21</v>
      </c>
      <c r="D2793" s="512">
        <v>105361</v>
      </c>
    </row>
    <row r="2794" spans="1:4" ht="15" x14ac:dyDescent="0.35">
      <c r="A2794" s="509">
        <v>8685</v>
      </c>
      <c r="B2794" s="510" t="s">
        <v>3175</v>
      </c>
      <c r="C2794" s="509" t="s">
        <v>21</v>
      </c>
      <c r="D2794" s="511">
        <v>239670</v>
      </c>
    </row>
    <row r="2795" spans="1:4" ht="15" x14ac:dyDescent="0.35">
      <c r="A2795" s="509">
        <v>8686</v>
      </c>
      <c r="B2795" s="510" t="s">
        <v>3176</v>
      </c>
      <c r="C2795" s="509" t="s">
        <v>21</v>
      </c>
      <c r="D2795" s="511">
        <v>371175</v>
      </c>
    </row>
    <row r="2796" spans="1:4" ht="15" x14ac:dyDescent="0.35">
      <c r="A2796" s="509">
        <v>8687</v>
      </c>
      <c r="B2796" s="510" t="s">
        <v>3177</v>
      </c>
      <c r="C2796" s="509" t="s">
        <v>21</v>
      </c>
      <c r="D2796" s="511">
        <v>355379</v>
      </c>
    </row>
    <row r="2797" spans="1:4" ht="15" x14ac:dyDescent="0.35">
      <c r="A2797" s="509">
        <v>8688</v>
      </c>
      <c r="B2797" s="510" t="s">
        <v>3178</v>
      </c>
      <c r="C2797" s="509" t="s">
        <v>21</v>
      </c>
      <c r="D2797" s="511">
        <v>477614</v>
      </c>
    </row>
    <row r="2798" spans="1:4" ht="15" x14ac:dyDescent="0.35">
      <c r="A2798" s="509">
        <v>8689</v>
      </c>
      <c r="B2798" s="510" t="s">
        <v>3179</v>
      </c>
      <c r="C2798" s="509" t="s">
        <v>21</v>
      </c>
      <c r="D2798" s="511">
        <v>429541</v>
      </c>
    </row>
    <row r="2799" spans="1:4" ht="15" x14ac:dyDescent="0.35">
      <c r="A2799" s="509">
        <v>8690</v>
      </c>
      <c r="B2799" s="510" t="s">
        <v>3180</v>
      </c>
      <c r="C2799" s="509" t="s">
        <v>21</v>
      </c>
      <c r="D2799" s="512">
        <v>23236</v>
      </c>
    </row>
    <row r="2800" spans="1:4" ht="15" x14ac:dyDescent="0.35">
      <c r="A2800" s="509">
        <v>8691</v>
      </c>
      <c r="B2800" s="510" t="s">
        <v>3181</v>
      </c>
      <c r="C2800" s="509" t="s">
        <v>21</v>
      </c>
      <c r="D2800" s="512">
        <v>53088</v>
      </c>
    </row>
    <row r="2801" spans="1:4" ht="15" x14ac:dyDescent="0.35">
      <c r="A2801" s="509">
        <v>8692</v>
      </c>
      <c r="B2801" s="510" t="s">
        <v>3182</v>
      </c>
      <c r="C2801" s="509" t="s">
        <v>21</v>
      </c>
      <c r="D2801" s="512">
        <v>72079</v>
      </c>
    </row>
    <row r="2802" spans="1:4" ht="15" x14ac:dyDescent="0.35">
      <c r="A2802" s="509">
        <v>8693</v>
      </c>
      <c r="B2802" s="510" t="s">
        <v>3183</v>
      </c>
      <c r="C2802" s="509" t="s">
        <v>21</v>
      </c>
      <c r="D2802" s="511">
        <v>23026</v>
      </c>
    </row>
    <row r="2803" spans="1:4" ht="15" x14ac:dyDescent="0.35">
      <c r="A2803" s="509">
        <v>8694</v>
      </c>
      <c r="B2803" s="510" t="s">
        <v>3184</v>
      </c>
      <c r="C2803" s="509" t="s">
        <v>21</v>
      </c>
      <c r="D2803" s="512">
        <v>56230</v>
      </c>
    </row>
    <row r="2804" spans="1:4" ht="15" x14ac:dyDescent="0.35">
      <c r="A2804" s="509">
        <v>8695</v>
      </c>
      <c r="B2804" s="510" t="s">
        <v>3185</v>
      </c>
      <c r="C2804" s="509" t="s">
        <v>21</v>
      </c>
      <c r="D2804" s="511">
        <v>72079</v>
      </c>
    </row>
    <row r="2805" spans="1:4" ht="15" x14ac:dyDescent="0.35">
      <c r="A2805" s="509">
        <v>8697</v>
      </c>
      <c r="B2805" s="510" t="s">
        <v>3186</v>
      </c>
      <c r="C2805" s="509" t="s">
        <v>21</v>
      </c>
      <c r="D2805" s="511">
        <v>20068</v>
      </c>
    </row>
    <row r="2806" spans="1:4" ht="15" x14ac:dyDescent="0.35">
      <c r="A2806" s="509">
        <v>8698</v>
      </c>
      <c r="B2806" s="510" t="s">
        <v>3187</v>
      </c>
      <c r="C2806" s="509" t="s">
        <v>21</v>
      </c>
      <c r="D2806" s="511">
        <v>59111</v>
      </c>
    </row>
    <row r="2807" spans="1:4" ht="15" x14ac:dyDescent="0.35">
      <c r="A2807" s="509">
        <v>8699</v>
      </c>
      <c r="B2807" s="510" t="s">
        <v>3188</v>
      </c>
      <c r="C2807" s="509" t="s">
        <v>21</v>
      </c>
      <c r="D2807" s="511">
        <v>192359</v>
      </c>
    </row>
    <row r="2808" spans="1:4" ht="15" x14ac:dyDescent="0.35">
      <c r="A2808" s="509">
        <v>8700</v>
      </c>
      <c r="B2808" s="510" t="s">
        <v>3189</v>
      </c>
      <c r="C2808" s="509" t="s">
        <v>21</v>
      </c>
      <c r="D2808" s="511">
        <v>378506</v>
      </c>
    </row>
    <row r="2809" spans="1:4" ht="15" x14ac:dyDescent="0.35">
      <c r="A2809" s="509">
        <v>8701</v>
      </c>
      <c r="B2809" s="510" t="s">
        <v>3190</v>
      </c>
      <c r="C2809" s="509" t="s">
        <v>21</v>
      </c>
      <c r="D2809" s="512">
        <v>405163</v>
      </c>
    </row>
    <row r="2810" spans="1:4" ht="15" x14ac:dyDescent="0.35">
      <c r="A2810" s="509">
        <v>8702</v>
      </c>
      <c r="B2810" s="510" t="s">
        <v>3191</v>
      </c>
      <c r="C2810" s="509" t="s">
        <v>21</v>
      </c>
      <c r="D2810" s="511">
        <v>433609</v>
      </c>
    </row>
    <row r="2811" spans="1:4" ht="15" x14ac:dyDescent="0.35">
      <c r="A2811" s="509">
        <v>8703</v>
      </c>
      <c r="B2811" s="510" t="s">
        <v>3192</v>
      </c>
      <c r="C2811" s="509" t="s">
        <v>21</v>
      </c>
      <c r="D2811" s="511">
        <v>460626</v>
      </c>
    </row>
    <row r="2812" spans="1:4" ht="15" x14ac:dyDescent="0.35">
      <c r="A2812" s="509">
        <v>8705</v>
      </c>
      <c r="B2812" s="510" t="s">
        <v>3193</v>
      </c>
      <c r="C2812" s="509" t="s">
        <v>21</v>
      </c>
      <c r="D2812" s="511">
        <v>11912</v>
      </c>
    </row>
    <row r="2813" spans="1:4" ht="15" x14ac:dyDescent="0.35">
      <c r="A2813" s="509">
        <v>8706</v>
      </c>
      <c r="B2813" s="510" t="s">
        <v>3194</v>
      </c>
      <c r="C2813" s="509" t="s">
        <v>21</v>
      </c>
      <c r="D2813" s="511">
        <v>34581</v>
      </c>
    </row>
    <row r="2814" spans="1:4" ht="15" x14ac:dyDescent="0.35">
      <c r="A2814" s="509">
        <v>8707</v>
      </c>
      <c r="B2814" s="510" t="s">
        <v>3195</v>
      </c>
      <c r="C2814" s="509" t="s">
        <v>21</v>
      </c>
      <c r="D2814" s="511">
        <v>202001</v>
      </c>
    </row>
    <row r="2815" spans="1:4" ht="15" x14ac:dyDescent="0.35">
      <c r="A2815" s="509">
        <v>8708</v>
      </c>
      <c r="B2815" s="510" t="s">
        <v>3196</v>
      </c>
      <c r="C2815" s="509" t="s">
        <v>21</v>
      </c>
      <c r="D2815" s="511">
        <v>370016</v>
      </c>
    </row>
    <row r="2816" spans="1:4" ht="15" x14ac:dyDescent="0.35">
      <c r="A2816" s="509">
        <v>8709</v>
      </c>
      <c r="B2816" s="510" t="s">
        <v>3197</v>
      </c>
      <c r="C2816" s="509" t="s">
        <v>21</v>
      </c>
      <c r="D2816" s="511">
        <v>424665</v>
      </c>
    </row>
    <row r="2817" spans="1:4" ht="15" x14ac:dyDescent="0.35">
      <c r="A2817" s="509">
        <v>8710</v>
      </c>
      <c r="B2817" s="510" t="s">
        <v>3198</v>
      </c>
      <c r="C2817" s="509" t="s">
        <v>21</v>
      </c>
      <c r="D2817" s="511">
        <v>425070</v>
      </c>
    </row>
    <row r="2818" spans="1:4" ht="15" x14ac:dyDescent="0.35">
      <c r="A2818" s="509">
        <v>8711</v>
      </c>
      <c r="B2818" s="510" t="s">
        <v>3199</v>
      </c>
      <c r="C2818" s="509" t="s">
        <v>21</v>
      </c>
      <c r="D2818" s="511">
        <v>480129</v>
      </c>
    </row>
    <row r="2819" spans="1:4" ht="15" x14ac:dyDescent="0.35">
      <c r="A2819" s="509">
        <v>8712</v>
      </c>
      <c r="B2819" s="510" t="s">
        <v>3200</v>
      </c>
      <c r="C2819" s="509" t="s">
        <v>328</v>
      </c>
      <c r="D2819" s="511">
        <v>413615</v>
      </c>
    </row>
    <row r="2820" spans="1:4" ht="15" x14ac:dyDescent="0.35">
      <c r="A2820" s="509">
        <v>8713</v>
      </c>
      <c r="B2820" s="510" t="s">
        <v>3201</v>
      </c>
      <c r="C2820" s="509" t="s">
        <v>328</v>
      </c>
      <c r="D2820" s="511">
        <v>171339</v>
      </c>
    </row>
    <row r="2821" spans="1:4" ht="15" x14ac:dyDescent="0.35">
      <c r="A2821" s="509">
        <v>8714</v>
      </c>
      <c r="B2821" s="510" t="s">
        <v>3202</v>
      </c>
      <c r="C2821" s="509" t="s">
        <v>328</v>
      </c>
      <c r="D2821" s="511">
        <v>213558</v>
      </c>
    </row>
    <row r="2822" spans="1:4" ht="15" x14ac:dyDescent="0.35">
      <c r="A2822" s="509">
        <v>8715</v>
      </c>
      <c r="B2822" s="510" t="s">
        <v>3203</v>
      </c>
      <c r="C2822" s="509" t="s">
        <v>32</v>
      </c>
      <c r="D2822" s="512">
        <v>736370</v>
      </c>
    </row>
    <row r="2823" spans="1:4" ht="15" x14ac:dyDescent="0.35">
      <c r="A2823" s="509">
        <v>8716</v>
      </c>
      <c r="B2823" s="510" t="s">
        <v>3204</v>
      </c>
      <c r="C2823" s="509" t="s">
        <v>328</v>
      </c>
      <c r="D2823" s="512">
        <v>67028</v>
      </c>
    </row>
    <row r="2824" spans="1:4" ht="15" x14ac:dyDescent="0.35">
      <c r="A2824" s="509">
        <v>8717</v>
      </c>
      <c r="B2824" s="510" t="s">
        <v>3205</v>
      </c>
      <c r="C2824" s="509" t="s">
        <v>32</v>
      </c>
      <c r="D2824" s="511">
        <v>1212665</v>
      </c>
    </row>
    <row r="2825" spans="1:4" ht="15" x14ac:dyDescent="0.35">
      <c r="A2825" s="509">
        <v>8718</v>
      </c>
      <c r="B2825" s="510" t="s">
        <v>3206</v>
      </c>
      <c r="C2825" s="509" t="s">
        <v>32</v>
      </c>
      <c r="D2825" s="511">
        <v>1875349</v>
      </c>
    </row>
    <row r="2826" spans="1:4" ht="15" x14ac:dyDescent="0.35">
      <c r="A2826" s="509">
        <v>8719</v>
      </c>
      <c r="B2826" s="510" t="s">
        <v>3207</v>
      </c>
      <c r="C2826" s="509" t="s">
        <v>32</v>
      </c>
      <c r="D2826" s="511">
        <v>1801019</v>
      </c>
    </row>
    <row r="2827" spans="1:4" ht="15" x14ac:dyDescent="0.35">
      <c r="A2827" s="509">
        <v>8720</v>
      </c>
      <c r="B2827" s="510" t="s">
        <v>3208</v>
      </c>
      <c r="C2827" s="509" t="s">
        <v>32</v>
      </c>
      <c r="D2827" s="511">
        <v>768943</v>
      </c>
    </row>
    <row r="2828" spans="1:4" ht="15" x14ac:dyDescent="0.35">
      <c r="A2828" s="509">
        <v>8722</v>
      </c>
      <c r="B2828" s="510" t="s">
        <v>3209</v>
      </c>
      <c r="C2828" s="509" t="s">
        <v>32</v>
      </c>
      <c r="D2828" s="512">
        <v>226605</v>
      </c>
    </row>
    <row r="2829" spans="1:4" ht="15" x14ac:dyDescent="0.35">
      <c r="A2829" s="509">
        <v>8724</v>
      </c>
      <c r="B2829" s="510" t="s">
        <v>3210</v>
      </c>
      <c r="C2829" s="509" t="s">
        <v>32</v>
      </c>
      <c r="D2829" s="512">
        <v>146044</v>
      </c>
    </row>
    <row r="2830" spans="1:4" ht="15" x14ac:dyDescent="0.35">
      <c r="A2830" s="509">
        <v>8725</v>
      </c>
      <c r="B2830" s="510" t="s">
        <v>3211</v>
      </c>
      <c r="C2830" s="509" t="s">
        <v>328</v>
      </c>
      <c r="D2830" s="512">
        <v>65386</v>
      </c>
    </row>
    <row r="2831" spans="1:4" ht="15" x14ac:dyDescent="0.35">
      <c r="A2831" s="509">
        <v>8726</v>
      </c>
      <c r="B2831" s="510" t="s">
        <v>3212</v>
      </c>
      <c r="C2831" s="509" t="s">
        <v>32</v>
      </c>
      <c r="D2831" s="512">
        <v>1268482</v>
      </c>
    </row>
    <row r="2832" spans="1:4" ht="15" x14ac:dyDescent="0.35">
      <c r="A2832" s="509">
        <v>8727</v>
      </c>
      <c r="B2832" s="510" t="s">
        <v>3213</v>
      </c>
      <c r="C2832" s="509" t="s">
        <v>21</v>
      </c>
      <c r="D2832" s="511">
        <v>759802</v>
      </c>
    </row>
    <row r="2833" spans="1:4" ht="15" x14ac:dyDescent="0.35">
      <c r="A2833" s="509">
        <v>8728</v>
      </c>
      <c r="B2833" s="510" t="s">
        <v>3214</v>
      </c>
      <c r="C2833" s="509" t="s">
        <v>328</v>
      </c>
      <c r="D2833" s="511">
        <v>758400</v>
      </c>
    </row>
    <row r="2834" spans="1:4" ht="15" x14ac:dyDescent="0.35">
      <c r="A2834" s="509">
        <v>8729</v>
      </c>
      <c r="B2834" s="510" t="s">
        <v>3215</v>
      </c>
      <c r="C2834" s="509" t="s">
        <v>328</v>
      </c>
      <c r="D2834" s="511">
        <v>1519349</v>
      </c>
    </row>
    <row r="2835" spans="1:4" ht="15" x14ac:dyDescent="0.35">
      <c r="A2835" s="509">
        <v>8730</v>
      </c>
      <c r="B2835" s="510" t="s">
        <v>3216</v>
      </c>
      <c r="C2835" s="509" t="s">
        <v>32</v>
      </c>
      <c r="D2835" s="511">
        <v>5096491</v>
      </c>
    </row>
    <row r="2836" spans="1:4" ht="15" x14ac:dyDescent="0.35">
      <c r="A2836" s="509">
        <v>8731</v>
      </c>
      <c r="B2836" s="510" t="s">
        <v>3217</v>
      </c>
      <c r="C2836" s="509" t="s">
        <v>32</v>
      </c>
      <c r="D2836" s="512">
        <v>413772</v>
      </c>
    </row>
    <row r="2837" spans="1:4" ht="15" x14ac:dyDescent="0.35">
      <c r="A2837" s="509">
        <v>8732</v>
      </c>
      <c r="B2837" s="510" t="s">
        <v>3218</v>
      </c>
      <c r="C2837" s="509" t="s">
        <v>32</v>
      </c>
      <c r="D2837" s="511">
        <v>699563</v>
      </c>
    </row>
    <row r="2838" spans="1:4" ht="15" x14ac:dyDescent="0.35">
      <c r="A2838" s="509">
        <v>8733</v>
      </c>
      <c r="B2838" s="510" t="s">
        <v>3219</v>
      </c>
      <c r="C2838" s="509" t="s">
        <v>328</v>
      </c>
      <c r="D2838" s="512">
        <v>253767</v>
      </c>
    </row>
    <row r="2839" spans="1:4" ht="15" x14ac:dyDescent="0.35">
      <c r="A2839" s="509">
        <v>8734</v>
      </c>
      <c r="B2839" s="510" t="s">
        <v>3220</v>
      </c>
      <c r="C2839" s="509" t="s">
        <v>328</v>
      </c>
      <c r="D2839" s="511">
        <v>320988</v>
      </c>
    </row>
    <row r="2840" spans="1:4" ht="15" x14ac:dyDescent="0.35">
      <c r="A2840" s="509">
        <v>8735</v>
      </c>
      <c r="B2840" s="510" t="s">
        <v>3221</v>
      </c>
      <c r="C2840" s="509" t="s">
        <v>328</v>
      </c>
      <c r="D2840" s="511">
        <v>683280</v>
      </c>
    </row>
    <row r="2841" spans="1:4" ht="15" x14ac:dyDescent="0.35">
      <c r="A2841" s="509">
        <v>8736</v>
      </c>
      <c r="B2841" s="510" t="s">
        <v>3222</v>
      </c>
      <c r="C2841" s="509" t="s">
        <v>328</v>
      </c>
      <c r="D2841" s="511">
        <v>346929</v>
      </c>
    </row>
    <row r="2842" spans="1:4" ht="15" x14ac:dyDescent="0.35">
      <c r="A2842" s="509">
        <v>8737</v>
      </c>
      <c r="B2842" s="510" t="s">
        <v>3223</v>
      </c>
      <c r="C2842" s="509" t="s">
        <v>32</v>
      </c>
      <c r="D2842" s="511">
        <v>8708</v>
      </c>
    </row>
    <row r="2843" spans="1:4" ht="15" x14ac:dyDescent="0.35">
      <c r="A2843" s="509">
        <v>8738</v>
      </c>
      <c r="B2843" s="510" t="s">
        <v>3224</v>
      </c>
      <c r="C2843" s="509" t="s">
        <v>32</v>
      </c>
      <c r="D2843" s="511">
        <v>440057</v>
      </c>
    </row>
    <row r="2844" spans="1:4" ht="15" x14ac:dyDescent="0.35">
      <c r="A2844" s="509">
        <v>8739</v>
      </c>
      <c r="B2844" s="510" t="s">
        <v>3225</v>
      </c>
      <c r="C2844" s="509" t="s">
        <v>328</v>
      </c>
      <c r="D2844" s="511">
        <v>186911</v>
      </c>
    </row>
    <row r="2845" spans="1:4" ht="15" x14ac:dyDescent="0.35">
      <c r="A2845" s="509">
        <v>8740</v>
      </c>
      <c r="B2845" s="510" t="s">
        <v>3226</v>
      </c>
      <c r="C2845" s="509" t="s">
        <v>328</v>
      </c>
      <c r="D2845" s="511">
        <v>387260</v>
      </c>
    </row>
    <row r="2846" spans="1:4" ht="15" x14ac:dyDescent="0.35">
      <c r="A2846" s="509">
        <v>8741</v>
      </c>
      <c r="B2846" s="510" t="s">
        <v>3227</v>
      </c>
      <c r="C2846" s="509" t="s">
        <v>328</v>
      </c>
      <c r="D2846" s="511">
        <v>119786</v>
      </c>
    </row>
    <row r="2847" spans="1:4" ht="15" x14ac:dyDescent="0.35">
      <c r="A2847" s="509">
        <v>8742</v>
      </c>
      <c r="B2847" s="510" t="s">
        <v>3228</v>
      </c>
      <c r="C2847" s="509" t="s">
        <v>328</v>
      </c>
      <c r="D2847" s="512">
        <v>280073</v>
      </c>
    </row>
    <row r="2848" spans="1:4" ht="15" x14ac:dyDescent="0.35">
      <c r="A2848" s="509">
        <v>8743</v>
      </c>
      <c r="B2848" s="510" t="s">
        <v>3229</v>
      </c>
      <c r="C2848" s="509" t="s">
        <v>32</v>
      </c>
      <c r="D2848" s="511">
        <v>5366633</v>
      </c>
    </row>
    <row r="2849" spans="1:4" ht="15" x14ac:dyDescent="0.35">
      <c r="A2849" s="509">
        <v>8744</v>
      </c>
      <c r="B2849" s="510" t="s">
        <v>3230</v>
      </c>
      <c r="C2849" s="509" t="s">
        <v>32</v>
      </c>
      <c r="D2849" s="511">
        <v>2482025</v>
      </c>
    </row>
    <row r="2850" spans="1:4" ht="15" x14ac:dyDescent="0.35">
      <c r="A2850" s="509">
        <v>8745</v>
      </c>
      <c r="B2850" s="510" t="s">
        <v>3231</v>
      </c>
      <c r="C2850" s="509" t="s">
        <v>32</v>
      </c>
      <c r="D2850" s="511">
        <v>4164168</v>
      </c>
    </row>
    <row r="2851" spans="1:4" ht="15" x14ac:dyDescent="0.35">
      <c r="A2851" s="509">
        <v>8746</v>
      </c>
      <c r="B2851" s="510" t="s">
        <v>3232</v>
      </c>
      <c r="C2851" s="509" t="s">
        <v>32</v>
      </c>
      <c r="D2851" s="511">
        <v>1334418</v>
      </c>
    </row>
    <row r="2852" spans="1:4" ht="15" x14ac:dyDescent="0.35">
      <c r="A2852" s="509">
        <v>8747</v>
      </c>
      <c r="B2852" s="510" t="s">
        <v>3233</v>
      </c>
      <c r="C2852" s="509" t="s">
        <v>32</v>
      </c>
      <c r="D2852" s="511">
        <v>863227</v>
      </c>
    </row>
    <row r="2853" spans="1:4" ht="15" x14ac:dyDescent="0.35">
      <c r="A2853" s="509">
        <v>8748</v>
      </c>
      <c r="B2853" s="510" t="s">
        <v>3234</v>
      </c>
      <c r="C2853" s="509" t="s">
        <v>32</v>
      </c>
      <c r="D2853" s="511">
        <v>654756</v>
      </c>
    </row>
    <row r="2854" spans="1:4" ht="15" x14ac:dyDescent="0.35">
      <c r="A2854" s="509">
        <v>8749</v>
      </c>
      <c r="B2854" s="510" t="s">
        <v>3235</v>
      </c>
      <c r="C2854" s="509" t="s">
        <v>32</v>
      </c>
      <c r="D2854" s="511">
        <v>235296</v>
      </c>
    </row>
    <row r="2855" spans="1:4" ht="15" x14ac:dyDescent="0.35">
      <c r="A2855" s="509">
        <v>8750</v>
      </c>
      <c r="B2855" s="510" t="s">
        <v>3236</v>
      </c>
      <c r="C2855" s="509" t="s">
        <v>32</v>
      </c>
      <c r="D2855" s="511">
        <v>1581755</v>
      </c>
    </row>
    <row r="2856" spans="1:4" ht="15" x14ac:dyDescent="0.35">
      <c r="A2856" s="509">
        <v>8753</v>
      </c>
      <c r="B2856" s="510" t="s">
        <v>3237</v>
      </c>
      <c r="C2856" s="509" t="s">
        <v>32</v>
      </c>
      <c r="D2856" s="511">
        <v>177216</v>
      </c>
    </row>
    <row r="2857" spans="1:4" ht="15" x14ac:dyDescent="0.35">
      <c r="A2857" s="509">
        <v>8754</v>
      </c>
      <c r="B2857" s="510" t="s">
        <v>3238</v>
      </c>
      <c r="C2857" s="509" t="s">
        <v>32</v>
      </c>
      <c r="D2857" s="511">
        <v>84220</v>
      </c>
    </row>
    <row r="2858" spans="1:4" ht="15" x14ac:dyDescent="0.35">
      <c r="A2858" s="509">
        <v>8755</v>
      </c>
      <c r="B2858" s="510" t="s">
        <v>3239</v>
      </c>
      <c r="C2858" s="509" t="s">
        <v>32</v>
      </c>
      <c r="D2858" s="511">
        <v>39616</v>
      </c>
    </row>
    <row r="2859" spans="1:4" ht="15" x14ac:dyDescent="0.35">
      <c r="A2859" s="509">
        <v>8756</v>
      </c>
      <c r="B2859" s="510" t="s">
        <v>3240</v>
      </c>
      <c r="C2859" s="509" t="s">
        <v>32</v>
      </c>
      <c r="D2859" s="511">
        <v>39616</v>
      </c>
    </row>
    <row r="2860" spans="1:4" ht="15" x14ac:dyDescent="0.35">
      <c r="A2860" s="509">
        <v>8764</v>
      </c>
      <c r="B2860" s="510" t="s">
        <v>3241</v>
      </c>
      <c r="C2860" s="509" t="s">
        <v>307</v>
      </c>
      <c r="D2860" s="511">
        <v>4443</v>
      </c>
    </row>
    <row r="2861" spans="1:4" ht="15" x14ac:dyDescent="0.35">
      <c r="A2861" s="509">
        <v>8765</v>
      </c>
      <c r="B2861" s="510" t="s">
        <v>3242</v>
      </c>
      <c r="C2861" s="509" t="s">
        <v>307</v>
      </c>
      <c r="D2861" s="511">
        <v>8093</v>
      </c>
    </row>
    <row r="2862" spans="1:4" ht="15" x14ac:dyDescent="0.35">
      <c r="A2862" s="509">
        <v>8766</v>
      </c>
      <c r="B2862" s="510" t="s">
        <v>3243</v>
      </c>
      <c r="C2862" s="509" t="s">
        <v>307</v>
      </c>
      <c r="D2862" s="511">
        <v>5858</v>
      </c>
    </row>
    <row r="2863" spans="1:4" ht="15" x14ac:dyDescent="0.35">
      <c r="A2863" s="509">
        <v>8768</v>
      </c>
      <c r="B2863" s="510" t="s">
        <v>3244</v>
      </c>
      <c r="C2863" s="509" t="s">
        <v>307</v>
      </c>
      <c r="D2863" s="511">
        <v>82500</v>
      </c>
    </row>
    <row r="2864" spans="1:4" ht="15" x14ac:dyDescent="0.35">
      <c r="A2864" s="509">
        <v>8771</v>
      </c>
      <c r="B2864" s="510" t="s">
        <v>3245</v>
      </c>
      <c r="C2864" s="509" t="s">
        <v>307</v>
      </c>
      <c r="D2864" s="512">
        <v>11850</v>
      </c>
    </row>
    <row r="2865" spans="1:4" ht="15" x14ac:dyDescent="0.35">
      <c r="A2865" s="509">
        <v>8772</v>
      </c>
      <c r="B2865" s="510" t="s">
        <v>3246</v>
      </c>
      <c r="C2865" s="509" t="s">
        <v>307</v>
      </c>
      <c r="D2865" s="511">
        <v>7827</v>
      </c>
    </row>
    <row r="2866" spans="1:4" ht="15" x14ac:dyDescent="0.35">
      <c r="A2866" s="509">
        <v>8773</v>
      </c>
      <c r="B2866" s="510" t="s">
        <v>3247</v>
      </c>
      <c r="C2866" s="509" t="s">
        <v>307</v>
      </c>
      <c r="D2866" s="511">
        <v>785384</v>
      </c>
    </row>
    <row r="2867" spans="1:4" ht="15" x14ac:dyDescent="0.35">
      <c r="A2867" s="509">
        <v>8774</v>
      </c>
      <c r="B2867" s="510" t="s">
        <v>3248</v>
      </c>
      <c r="C2867" s="509" t="s">
        <v>307</v>
      </c>
      <c r="D2867" s="511">
        <v>582884</v>
      </c>
    </row>
    <row r="2868" spans="1:4" ht="15" x14ac:dyDescent="0.35">
      <c r="A2868" s="509">
        <v>8775</v>
      </c>
      <c r="B2868" s="510" t="s">
        <v>3249</v>
      </c>
      <c r="C2868" s="509" t="s">
        <v>307</v>
      </c>
      <c r="D2868" s="511">
        <v>53400</v>
      </c>
    </row>
    <row r="2869" spans="1:4" ht="15" x14ac:dyDescent="0.35">
      <c r="A2869" s="509">
        <v>8776</v>
      </c>
      <c r="B2869" s="510" t="s">
        <v>3250</v>
      </c>
      <c r="C2869" s="509" t="s">
        <v>328</v>
      </c>
      <c r="D2869" s="512">
        <v>34361</v>
      </c>
    </row>
    <row r="2870" spans="1:4" ht="15" x14ac:dyDescent="0.35">
      <c r="A2870" s="509">
        <v>8779</v>
      </c>
      <c r="B2870" s="510" t="s">
        <v>3251</v>
      </c>
      <c r="C2870" s="509" t="s">
        <v>21</v>
      </c>
      <c r="D2870" s="512">
        <v>3823</v>
      </c>
    </row>
    <row r="2871" spans="1:4" ht="15" x14ac:dyDescent="0.35">
      <c r="A2871" s="509">
        <v>8780</v>
      </c>
      <c r="B2871" s="510" t="s">
        <v>3252</v>
      </c>
      <c r="C2871" s="509" t="s">
        <v>30</v>
      </c>
      <c r="D2871" s="512">
        <v>103996</v>
      </c>
    </row>
    <row r="2872" spans="1:4" ht="15" x14ac:dyDescent="0.35">
      <c r="A2872" s="509">
        <v>8781</v>
      </c>
      <c r="B2872" s="510" t="s">
        <v>3253</v>
      </c>
      <c r="C2872" s="509" t="s">
        <v>32</v>
      </c>
      <c r="D2872" s="511">
        <v>3449286</v>
      </c>
    </row>
    <row r="2873" spans="1:4" ht="15" x14ac:dyDescent="0.35">
      <c r="A2873" s="509">
        <v>8782</v>
      </c>
      <c r="B2873" s="510" t="s">
        <v>3254</v>
      </c>
      <c r="C2873" s="509" t="s">
        <v>32</v>
      </c>
      <c r="D2873" s="512">
        <v>148724</v>
      </c>
    </row>
    <row r="2874" spans="1:4" ht="15" x14ac:dyDescent="0.35">
      <c r="A2874" s="509">
        <v>8785</v>
      </c>
      <c r="B2874" s="510" t="s">
        <v>3255</v>
      </c>
      <c r="C2874" s="509" t="s">
        <v>32</v>
      </c>
      <c r="D2874" s="511">
        <v>644752</v>
      </c>
    </row>
    <row r="2875" spans="1:4" ht="15" x14ac:dyDescent="0.35">
      <c r="A2875" s="509">
        <v>8786</v>
      </c>
      <c r="B2875" s="510" t="s">
        <v>3256</v>
      </c>
      <c r="C2875" s="509" t="s">
        <v>32</v>
      </c>
      <c r="D2875" s="512">
        <v>1120482</v>
      </c>
    </row>
    <row r="2876" spans="1:4" ht="15" x14ac:dyDescent="0.35">
      <c r="A2876" s="509">
        <v>8787</v>
      </c>
      <c r="B2876" s="510" t="s">
        <v>3257</v>
      </c>
      <c r="C2876" s="509" t="s">
        <v>32</v>
      </c>
      <c r="D2876" s="512">
        <v>3466876</v>
      </c>
    </row>
    <row r="2877" spans="1:4" ht="15" x14ac:dyDescent="0.35">
      <c r="A2877" s="509">
        <v>8788</v>
      </c>
      <c r="B2877" s="510" t="s">
        <v>3258</v>
      </c>
      <c r="C2877" s="509" t="s">
        <v>32</v>
      </c>
      <c r="D2877" s="511">
        <v>3466876</v>
      </c>
    </row>
    <row r="2878" spans="1:4" ht="15" x14ac:dyDescent="0.35">
      <c r="A2878" s="509">
        <v>8789</v>
      </c>
      <c r="B2878" s="510" t="s">
        <v>3259</v>
      </c>
      <c r="C2878" s="509" t="s">
        <v>30</v>
      </c>
      <c r="D2878" s="511">
        <v>11901745</v>
      </c>
    </row>
    <row r="2879" spans="1:4" ht="15" x14ac:dyDescent="0.35">
      <c r="A2879" s="509">
        <v>8791</v>
      </c>
      <c r="B2879" s="510" t="s">
        <v>3260</v>
      </c>
      <c r="C2879" s="509" t="s">
        <v>328</v>
      </c>
      <c r="D2879" s="511">
        <v>885595</v>
      </c>
    </row>
    <row r="2880" spans="1:4" ht="15" x14ac:dyDescent="0.35">
      <c r="A2880" s="509">
        <v>8792</v>
      </c>
      <c r="B2880" s="510" t="s">
        <v>3261</v>
      </c>
      <c r="C2880" s="509" t="s">
        <v>328</v>
      </c>
      <c r="D2880" s="512">
        <v>242305</v>
      </c>
    </row>
    <row r="2881" spans="1:4" ht="15" x14ac:dyDescent="0.35">
      <c r="A2881" s="509">
        <v>8793</v>
      </c>
      <c r="B2881" s="510" t="s">
        <v>3262</v>
      </c>
      <c r="C2881" s="509" t="s">
        <v>32</v>
      </c>
      <c r="D2881" s="512">
        <v>260514</v>
      </c>
    </row>
    <row r="2882" spans="1:4" ht="15" x14ac:dyDescent="0.35">
      <c r="A2882" s="509">
        <v>8799</v>
      </c>
      <c r="B2882" s="510" t="s">
        <v>3263</v>
      </c>
      <c r="C2882" s="509" t="s">
        <v>32</v>
      </c>
      <c r="D2882" s="512">
        <v>441234</v>
      </c>
    </row>
    <row r="2883" spans="1:4" ht="15" x14ac:dyDescent="0.35">
      <c r="A2883" s="509">
        <v>8827</v>
      </c>
      <c r="B2883" s="510" t="s">
        <v>3264</v>
      </c>
      <c r="C2883" s="509" t="s">
        <v>21</v>
      </c>
      <c r="D2883" s="512">
        <v>115782</v>
      </c>
    </row>
    <row r="2884" spans="1:4" ht="15" x14ac:dyDescent="0.35">
      <c r="A2884" s="509">
        <v>8830</v>
      </c>
      <c r="B2884" s="510" t="s">
        <v>3265</v>
      </c>
      <c r="C2884" s="509" t="s">
        <v>21</v>
      </c>
      <c r="D2884" s="512">
        <v>42650</v>
      </c>
    </row>
    <row r="2885" spans="1:4" ht="15" x14ac:dyDescent="0.35">
      <c r="A2885" s="509">
        <v>8831</v>
      </c>
      <c r="B2885" s="510" t="s">
        <v>3266</v>
      </c>
      <c r="C2885" s="509" t="s">
        <v>21</v>
      </c>
      <c r="D2885" s="512">
        <v>40043</v>
      </c>
    </row>
    <row r="2886" spans="1:4" ht="15" x14ac:dyDescent="0.35">
      <c r="A2886" s="509">
        <v>8832</v>
      </c>
      <c r="B2886" s="510" t="s">
        <v>3267</v>
      </c>
      <c r="C2886" s="509" t="s">
        <v>21</v>
      </c>
      <c r="D2886" s="512">
        <v>13617</v>
      </c>
    </row>
    <row r="2887" spans="1:4" ht="15" x14ac:dyDescent="0.35">
      <c r="A2887" s="509">
        <v>8833</v>
      </c>
      <c r="B2887" s="510" t="s">
        <v>3268</v>
      </c>
      <c r="C2887" s="509" t="s">
        <v>21</v>
      </c>
      <c r="D2887" s="512">
        <v>17069</v>
      </c>
    </row>
    <row r="2888" spans="1:4" ht="15" x14ac:dyDescent="0.35">
      <c r="A2888" s="509">
        <v>8834</v>
      </c>
      <c r="B2888" s="510" t="s">
        <v>3269</v>
      </c>
      <c r="C2888" s="509" t="s">
        <v>21</v>
      </c>
      <c r="D2888" s="512">
        <v>11494</v>
      </c>
    </row>
    <row r="2889" spans="1:4" ht="15" x14ac:dyDescent="0.35">
      <c r="A2889" s="509">
        <v>8835</v>
      </c>
      <c r="B2889" s="510" t="s">
        <v>3270</v>
      </c>
      <c r="C2889" s="509" t="s">
        <v>21</v>
      </c>
      <c r="D2889" s="512">
        <v>13642</v>
      </c>
    </row>
    <row r="2890" spans="1:4" ht="15" x14ac:dyDescent="0.35">
      <c r="A2890" s="509">
        <v>8951</v>
      </c>
      <c r="B2890" s="510" t="s">
        <v>3271</v>
      </c>
      <c r="C2890" s="509" t="s">
        <v>32</v>
      </c>
      <c r="D2890" s="511">
        <v>510365</v>
      </c>
    </row>
    <row r="2891" spans="1:4" ht="15" x14ac:dyDescent="0.35">
      <c r="A2891" s="509">
        <v>8953</v>
      </c>
      <c r="B2891" s="510" t="s">
        <v>3272</v>
      </c>
      <c r="C2891" s="509" t="s">
        <v>328</v>
      </c>
      <c r="D2891" s="512">
        <v>615989</v>
      </c>
    </row>
    <row r="2892" spans="1:4" ht="15" x14ac:dyDescent="0.35">
      <c r="A2892" s="509">
        <v>8955</v>
      </c>
      <c r="B2892" s="510" t="s">
        <v>3273</v>
      </c>
      <c r="C2892" s="509" t="s">
        <v>328</v>
      </c>
      <c r="D2892" s="511">
        <v>587559</v>
      </c>
    </row>
    <row r="2893" spans="1:4" ht="15" x14ac:dyDescent="0.35">
      <c r="A2893" s="509">
        <v>8958</v>
      </c>
      <c r="B2893" s="510" t="s">
        <v>3274</v>
      </c>
      <c r="C2893" s="509" t="s">
        <v>21</v>
      </c>
      <c r="D2893" s="512">
        <v>123642</v>
      </c>
    </row>
    <row r="2894" spans="1:4" ht="15" x14ac:dyDescent="0.35">
      <c r="A2894" s="509">
        <v>8960</v>
      </c>
      <c r="B2894" s="510" t="s">
        <v>3275</v>
      </c>
      <c r="C2894" s="509" t="s">
        <v>307</v>
      </c>
      <c r="D2894" s="512">
        <v>82343</v>
      </c>
    </row>
    <row r="2895" spans="1:4" ht="15" x14ac:dyDescent="0.35">
      <c r="A2895" s="509">
        <v>8961</v>
      </c>
      <c r="B2895" s="510" t="s">
        <v>3276</v>
      </c>
      <c r="C2895" s="509" t="s">
        <v>307</v>
      </c>
      <c r="D2895" s="512">
        <v>74862</v>
      </c>
    </row>
    <row r="2896" spans="1:4" ht="15" x14ac:dyDescent="0.35">
      <c r="A2896" s="509">
        <v>8962</v>
      </c>
      <c r="B2896" s="510" t="s">
        <v>3277</v>
      </c>
      <c r="C2896" s="509" t="s">
        <v>307</v>
      </c>
      <c r="D2896" s="511">
        <v>7200</v>
      </c>
    </row>
    <row r="2897" spans="1:4" ht="15" x14ac:dyDescent="0.35">
      <c r="A2897" s="509">
        <v>8963</v>
      </c>
      <c r="B2897" s="510" t="s">
        <v>3278</v>
      </c>
      <c r="C2897" s="509" t="s">
        <v>307</v>
      </c>
      <c r="D2897" s="512">
        <v>4443</v>
      </c>
    </row>
    <row r="2898" spans="1:4" ht="15" x14ac:dyDescent="0.35">
      <c r="A2898" s="509">
        <v>8964</v>
      </c>
      <c r="B2898" s="510" t="s">
        <v>3279</v>
      </c>
      <c r="C2898" s="509" t="s">
        <v>307</v>
      </c>
      <c r="D2898" s="512">
        <v>657188</v>
      </c>
    </row>
    <row r="2899" spans="1:4" ht="15" x14ac:dyDescent="0.35">
      <c r="A2899" s="509">
        <v>8965</v>
      </c>
      <c r="B2899" s="510" t="s">
        <v>3280</v>
      </c>
      <c r="C2899" s="509" t="s">
        <v>30</v>
      </c>
      <c r="D2899" s="511">
        <v>371137</v>
      </c>
    </row>
    <row r="2900" spans="1:4" ht="15" x14ac:dyDescent="0.35">
      <c r="A2900" s="509">
        <v>8966</v>
      </c>
      <c r="B2900" s="510" t="s">
        <v>3281</v>
      </c>
      <c r="C2900" s="509" t="s">
        <v>307</v>
      </c>
      <c r="D2900" s="511">
        <v>29093</v>
      </c>
    </row>
    <row r="2901" spans="1:4" ht="15" x14ac:dyDescent="0.35">
      <c r="A2901" s="509">
        <v>8970</v>
      </c>
      <c r="B2901" s="510" t="s">
        <v>3282</v>
      </c>
      <c r="C2901" s="509" t="s">
        <v>32</v>
      </c>
      <c r="D2901" s="511">
        <v>421286</v>
      </c>
    </row>
    <row r="2902" spans="1:4" ht="15" x14ac:dyDescent="0.35">
      <c r="A2902" s="509">
        <v>8972</v>
      </c>
      <c r="B2902" s="510" t="s">
        <v>3283</v>
      </c>
      <c r="C2902" s="509" t="s">
        <v>979</v>
      </c>
      <c r="D2902" s="511">
        <v>251285</v>
      </c>
    </row>
    <row r="2903" spans="1:4" ht="15" x14ac:dyDescent="0.35">
      <c r="A2903" s="509">
        <v>9030</v>
      </c>
      <c r="B2903" s="510" t="s">
        <v>3284</v>
      </c>
      <c r="C2903" s="509" t="s">
        <v>32</v>
      </c>
      <c r="D2903" s="511">
        <v>1205404</v>
      </c>
    </row>
    <row r="2904" spans="1:4" ht="15" x14ac:dyDescent="0.35">
      <c r="A2904" s="509">
        <v>9031</v>
      </c>
      <c r="B2904" s="510" t="s">
        <v>3285</v>
      </c>
      <c r="C2904" s="509" t="s">
        <v>32</v>
      </c>
      <c r="D2904" s="511">
        <v>2308832</v>
      </c>
    </row>
    <row r="2905" spans="1:4" ht="15" x14ac:dyDescent="0.35">
      <c r="A2905" s="509">
        <v>9032</v>
      </c>
      <c r="B2905" s="510" t="s">
        <v>3286</v>
      </c>
      <c r="C2905" s="509" t="s">
        <v>32</v>
      </c>
      <c r="D2905" s="511">
        <v>3791721</v>
      </c>
    </row>
    <row r="2906" spans="1:4" ht="15" x14ac:dyDescent="0.35">
      <c r="A2906" s="509">
        <v>9033</v>
      </c>
      <c r="B2906" s="510" t="s">
        <v>3287</v>
      </c>
      <c r="C2906" s="509" t="s">
        <v>32</v>
      </c>
      <c r="D2906" s="511">
        <v>5057254</v>
      </c>
    </row>
    <row r="2907" spans="1:4" ht="15" x14ac:dyDescent="0.35">
      <c r="A2907" s="509">
        <v>9034</v>
      </c>
      <c r="B2907" s="510" t="s">
        <v>3288</v>
      </c>
      <c r="C2907" s="509" t="s">
        <v>32</v>
      </c>
      <c r="D2907" s="511">
        <v>4986122</v>
      </c>
    </row>
    <row r="2908" spans="1:4" ht="15" x14ac:dyDescent="0.35">
      <c r="A2908" s="509">
        <v>9035</v>
      </c>
      <c r="B2908" s="510" t="s">
        <v>3289</v>
      </c>
      <c r="C2908" s="509" t="s">
        <v>32</v>
      </c>
      <c r="D2908" s="511">
        <v>8158962</v>
      </c>
    </row>
    <row r="2909" spans="1:4" ht="15" x14ac:dyDescent="0.35">
      <c r="A2909" s="509">
        <v>9042</v>
      </c>
      <c r="B2909" s="510" t="s">
        <v>3290</v>
      </c>
      <c r="C2909" s="509" t="s">
        <v>328</v>
      </c>
      <c r="D2909" s="512">
        <v>87871</v>
      </c>
    </row>
    <row r="2910" spans="1:4" ht="15" x14ac:dyDescent="0.35">
      <c r="A2910" s="509">
        <v>9045</v>
      </c>
      <c r="B2910" s="510" t="s">
        <v>3291</v>
      </c>
      <c r="C2910" s="509" t="s">
        <v>328</v>
      </c>
      <c r="D2910" s="511">
        <v>10395</v>
      </c>
    </row>
    <row r="2911" spans="1:4" ht="15" x14ac:dyDescent="0.35">
      <c r="A2911" s="509">
        <v>9046</v>
      </c>
      <c r="B2911" s="510" t="s">
        <v>3292</v>
      </c>
      <c r="C2911" s="509" t="s">
        <v>32</v>
      </c>
      <c r="D2911" s="512">
        <v>38372</v>
      </c>
    </row>
    <row r="2912" spans="1:4" ht="15" x14ac:dyDescent="0.35">
      <c r="A2912" s="509">
        <v>9047</v>
      </c>
      <c r="B2912" s="510" t="s">
        <v>3293</v>
      </c>
      <c r="C2912" s="509" t="s">
        <v>32</v>
      </c>
      <c r="D2912" s="512">
        <v>109203</v>
      </c>
    </row>
    <row r="2913" spans="1:4" ht="15" x14ac:dyDescent="0.35">
      <c r="A2913" s="509">
        <v>9048</v>
      </c>
      <c r="B2913" s="510" t="s">
        <v>3294</v>
      </c>
      <c r="C2913" s="509" t="s">
        <v>328</v>
      </c>
      <c r="D2913" s="512">
        <v>5198</v>
      </c>
    </row>
    <row r="2914" spans="1:4" ht="15" x14ac:dyDescent="0.35">
      <c r="A2914" s="509">
        <v>9052</v>
      </c>
      <c r="B2914" s="510" t="s">
        <v>3295</v>
      </c>
      <c r="C2914" s="509" t="s">
        <v>2125</v>
      </c>
      <c r="D2914" s="511">
        <v>3556</v>
      </c>
    </row>
    <row r="2915" spans="1:4" ht="15" x14ac:dyDescent="0.35">
      <c r="A2915" s="509">
        <v>9055</v>
      </c>
      <c r="B2915" s="510" t="s">
        <v>3296</v>
      </c>
      <c r="C2915" s="509" t="s">
        <v>328</v>
      </c>
      <c r="D2915" s="511">
        <v>19113</v>
      </c>
    </row>
    <row r="2916" spans="1:4" ht="15" x14ac:dyDescent="0.35">
      <c r="A2916" s="509">
        <v>9056</v>
      </c>
      <c r="B2916" s="510" t="s">
        <v>3297</v>
      </c>
      <c r="C2916" s="509" t="s">
        <v>328</v>
      </c>
      <c r="D2916" s="511">
        <v>769886</v>
      </c>
    </row>
    <row r="2917" spans="1:4" ht="15" x14ac:dyDescent="0.35">
      <c r="A2917" s="509">
        <v>9058</v>
      </c>
      <c r="B2917" s="510" t="s">
        <v>3298</v>
      </c>
      <c r="C2917" s="509" t="s">
        <v>21</v>
      </c>
      <c r="D2917" s="511">
        <v>137080</v>
      </c>
    </row>
    <row r="2918" spans="1:4" ht="15" x14ac:dyDescent="0.35">
      <c r="A2918" s="509">
        <v>9072</v>
      </c>
      <c r="B2918" s="510" t="s">
        <v>3299</v>
      </c>
      <c r="C2918" s="509" t="s">
        <v>30</v>
      </c>
      <c r="D2918" s="512">
        <v>957315</v>
      </c>
    </row>
    <row r="2919" spans="1:4" ht="15" x14ac:dyDescent="0.35">
      <c r="A2919" s="509">
        <v>9075</v>
      </c>
      <c r="B2919" s="510" t="s">
        <v>3300</v>
      </c>
      <c r="C2919" s="509" t="s">
        <v>32</v>
      </c>
      <c r="D2919" s="512">
        <v>3133739</v>
      </c>
    </row>
    <row r="2920" spans="1:4" ht="15" x14ac:dyDescent="0.35">
      <c r="A2920" s="509">
        <v>9076</v>
      </c>
      <c r="B2920" s="510" t="s">
        <v>3301</v>
      </c>
      <c r="C2920" s="509" t="s">
        <v>32</v>
      </c>
      <c r="D2920" s="512">
        <v>11133827</v>
      </c>
    </row>
    <row r="2921" spans="1:4" ht="15" x14ac:dyDescent="0.35">
      <c r="A2921" s="509">
        <v>9077</v>
      </c>
      <c r="B2921" s="510" t="s">
        <v>3302</v>
      </c>
      <c r="C2921" s="509" t="s">
        <v>32</v>
      </c>
      <c r="D2921" s="511">
        <v>839957</v>
      </c>
    </row>
    <row r="2922" spans="1:4" ht="15" x14ac:dyDescent="0.35">
      <c r="A2922" s="509">
        <v>9087</v>
      </c>
      <c r="B2922" s="510" t="s">
        <v>3303</v>
      </c>
      <c r="C2922" s="509" t="s">
        <v>328</v>
      </c>
      <c r="D2922" s="511">
        <v>4003131</v>
      </c>
    </row>
    <row r="2923" spans="1:4" ht="15" x14ac:dyDescent="0.35">
      <c r="A2923" s="509">
        <v>9088</v>
      </c>
      <c r="B2923" s="510" t="s">
        <v>3304</v>
      </c>
      <c r="C2923" s="509" t="s">
        <v>328</v>
      </c>
      <c r="D2923" s="511">
        <v>7182819</v>
      </c>
    </row>
    <row r="2924" spans="1:4" ht="15" x14ac:dyDescent="0.35">
      <c r="A2924" s="509">
        <v>9094</v>
      </c>
      <c r="B2924" s="510" t="s">
        <v>3305</v>
      </c>
      <c r="C2924" s="509" t="s">
        <v>30</v>
      </c>
      <c r="D2924" s="511">
        <v>1102333</v>
      </c>
    </row>
    <row r="2925" spans="1:4" ht="15" x14ac:dyDescent="0.35">
      <c r="A2925" s="509">
        <v>9095</v>
      </c>
      <c r="B2925" s="510" t="s">
        <v>3306</v>
      </c>
      <c r="C2925" s="509" t="s">
        <v>30</v>
      </c>
      <c r="D2925" s="511">
        <v>841279</v>
      </c>
    </row>
    <row r="2926" spans="1:4" ht="15" x14ac:dyDescent="0.35">
      <c r="A2926" s="509">
        <v>9096</v>
      </c>
      <c r="B2926" s="510" t="s">
        <v>3307</v>
      </c>
      <c r="C2926" s="509" t="s">
        <v>30</v>
      </c>
      <c r="D2926" s="511">
        <v>1258469</v>
      </c>
    </row>
    <row r="2927" spans="1:4" ht="15" x14ac:dyDescent="0.35">
      <c r="A2927" s="509">
        <v>9097</v>
      </c>
      <c r="B2927" s="510" t="s">
        <v>3308</v>
      </c>
      <c r="C2927" s="509" t="s">
        <v>32</v>
      </c>
      <c r="D2927" s="511">
        <v>2320500</v>
      </c>
    </row>
    <row r="2928" spans="1:4" ht="15" x14ac:dyDescent="0.35">
      <c r="A2928" s="509">
        <v>9098</v>
      </c>
      <c r="B2928" s="510" t="s">
        <v>3309</v>
      </c>
      <c r="C2928" s="509" t="s">
        <v>32</v>
      </c>
      <c r="D2928" s="511">
        <v>5048618</v>
      </c>
    </row>
    <row r="2929" spans="1:4" ht="15" x14ac:dyDescent="0.35">
      <c r="A2929" s="509">
        <v>9099</v>
      </c>
      <c r="B2929" s="510" t="s">
        <v>3310</v>
      </c>
      <c r="C2929" s="509" t="s">
        <v>32</v>
      </c>
      <c r="D2929" s="511">
        <v>1433935</v>
      </c>
    </row>
    <row r="2930" spans="1:4" ht="15" x14ac:dyDescent="0.35">
      <c r="A2930" s="509">
        <v>9100</v>
      </c>
      <c r="B2930" s="510" t="s">
        <v>3311</v>
      </c>
      <c r="C2930" s="509" t="s">
        <v>32</v>
      </c>
      <c r="D2930" s="511">
        <v>19499839</v>
      </c>
    </row>
    <row r="2931" spans="1:4" ht="15" x14ac:dyDescent="0.35">
      <c r="A2931" s="509">
        <v>9101</v>
      </c>
      <c r="B2931" s="510" t="s">
        <v>3312</v>
      </c>
      <c r="C2931" s="509" t="s">
        <v>32</v>
      </c>
      <c r="D2931" s="511">
        <v>2750000</v>
      </c>
    </row>
    <row r="2932" spans="1:4" ht="15" x14ac:dyDescent="0.35">
      <c r="A2932" s="509">
        <v>9109</v>
      </c>
      <c r="B2932" s="510" t="s">
        <v>3313</v>
      </c>
      <c r="C2932" s="509" t="s">
        <v>30</v>
      </c>
      <c r="D2932" s="511">
        <v>634226</v>
      </c>
    </row>
    <row r="2933" spans="1:4" ht="15" x14ac:dyDescent="0.35">
      <c r="A2933" s="509">
        <v>9122</v>
      </c>
      <c r="B2933" s="510" t="s">
        <v>3314</v>
      </c>
      <c r="C2933" s="509" t="s">
        <v>670</v>
      </c>
      <c r="D2933" s="511">
        <v>5767</v>
      </c>
    </row>
    <row r="2934" spans="1:4" ht="15" x14ac:dyDescent="0.35">
      <c r="A2934" s="509">
        <v>9129</v>
      </c>
      <c r="B2934" s="510" t="s">
        <v>3315</v>
      </c>
      <c r="C2934" s="509" t="s">
        <v>307</v>
      </c>
      <c r="D2934" s="511">
        <v>483319</v>
      </c>
    </row>
    <row r="2935" spans="1:4" ht="15" x14ac:dyDescent="0.35">
      <c r="A2935" s="509">
        <v>9130</v>
      </c>
      <c r="B2935" s="510" t="s">
        <v>3316</v>
      </c>
      <c r="C2935" s="509" t="s">
        <v>307</v>
      </c>
      <c r="D2935" s="512">
        <v>672647</v>
      </c>
    </row>
    <row r="2936" spans="1:4" ht="15" x14ac:dyDescent="0.35">
      <c r="A2936" s="509">
        <v>9131</v>
      </c>
      <c r="B2936" s="510" t="s">
        <v>3317</v>
      </c>
      <c r="C2936" s="509" t="s">
        <v>307</v>
      </c>
      <c r="D2936" s="511">
        <v>571431</v>
      </c>
    </row>
    <row r="2937" spans="1:4" ht="15" x14ac:dyDescent="0.35">
      <c r="A2937" s="509">
        <v>9132</v>
      </c>
      <c r="B2937" s="510" t="s">
        <v>3318</v>
      </c>
      <c r="C2937" s="509" t="s">
        <v>30</v>
      </c>
      <c r="D2937" s="511">
        <v>311880</v>
      </c>
    </row>
    <row r="2938" spans="1:4" ht="15" x14ac:dyDescent="0.35">
      <c r="A2938" s="509">
        <v>9133</v>
      </c>
      <c r="B2938" s="510" t="s">
        <v>6600</v>
      </c>
      <c r="C2938" s="509" t="s">
        <v>307</v>
      </c>
      <c r="D2938" s="511">
        <v>9959</v>
      </c>
    </row>
    <row r="2939" spans="1:4" ht="15" x14ac:dyDescent="0.35">
      <c r="A2939" s="509">
        <v>9134</v>
      </c>
      <c r="B2939" s="510" t="s">
        <v>3320</v>
      </c>
      <c r="C2939" s="509" t="s">
        <v>307</v>
      </c>
      <c r="D2939" s="511">
        <v>143032</v>
      </c>
    </row>
    <row r="2940" spans="1:4" ht="15" x14ac:dyDescent="0.35">
      <c r="A2940" s="509">
        <v>9135</v>
      </c>
      <c r="B2940" s="510" t="s">
        <v>3321</v>
      </c>
      <c r="C2940" s="509" t="s">
        <v>307</v>
      </c>
      <c r="D2940" s="511">
        <v>6051</v>
      </c>
    </row>
    <row r="2941" spans="1:4" ht="15" x14ac:dyDescent="0.35">
      <c r="A2941" s="509">
        <v>9136</v>
      </c>
      <c r="B2941" s="510" t="s">
        <v>3322</v>
      </c>
      <c r="C2941" s="509" t="s">
        <v>307</v>
      </c>
      <c r="D2941" s="511">
        <v>4406</v>
      </c>
    </row>
    <row r="2942" spans="1:4" ht="15" x14ac:dyDescent="0.35">
      <c r="A2942" s="509">
        <v>9137</v>
      </c>
      <c r="B2942" s="510" t="s">
        <v>3323</v>
      </c>
      <c r="C2942" s="509" t="s">
        <v>307</v>
      </c>
      <c r="D2942" s="512">
        <v>3734</v>
      </c>
    </row>
    <row r="2943" spans="1:4" ht="15" x14ac:dyDescent="0.35">
      <c r="A2943" s="509">
        <v>9138</v>
      </c>
      <c r="B2943" s="510" t="s">
        <v>3324</v>
      </c>
      <c r="C2943" s="509" t="s">
        <v>307</v>
      </c>
      <c r="D2943" s="511">
        <v>3734</v>
      </c>
    </row>
    <row r="2944" spans="1:4" ht="15" x14ac:dyDescent="0.35">
      <c r="A2944" s="509">
        <v>9139</v>
      </c>
      <c r="B2944" s="510" t="s">
        <v>3325</v>
      </c>
      <c r="C2944" s="509" t="s">
        <v>307</v>
      </c>
      <c r="D2944" s="511">
        <v>47122</v>
      </c>
    </row>
    <row r="2945" spans="1:4" ht="15" x14ac:dyDescent="0.35">
      <c r="A2945" s="509">
        <v>9140</v>
      </c>
      <c r="B2945" s="510" t="s">
        <v>3326</v>
      </c>
      <c r="C2945" s="509" t="s">
        <v>307</v>
      </c>
      <c r="D2945" s="511">
        <v>69196</v>
      </c>
    </row>
    <row r="2946" spans="1:4" ht="15" x14ac:dyDescent="0.35">
      <c r="A2946" s="509">
        <v>9141</v>
      </c>
      <c r="B2946" s="510" t="s">
        <v>3327</v>
      </c>
      <c r="C2946" s="509" t="s">
        <v>307</v>
      </c>
      <c r="D2946" s="511">
        <v>6801</v>
      </c>
    </row>
    <row r="2947" spans="1:4" ht="15" x14ac:dyDescent="0.35">
      <c r="A2947" s="509">
        <v>9142</v>
      </c>
      <c r="B2947" s="510" t="s">
        <v>3328</v>
      </c>
      <c r="C2947" s="509" t="s">
        <v>307</v>
      </c>
      <c r="D2947" s="511">
        <v>2554</v>
      </c>
    </row>
    <row r="2948" spans="1:4" ht="15" x14ac:dyDescent="0.35">
      <c r="A2948" s="509">
        <v>9143</v>
      </c>
      <c r="B2948" s="510" t="s">
        <v>3329</v>
      </c>
      <c r="C2948" s="509" t="s">
        <v>307</v>
      </c>
      <c r="D2948" s="511">
        <v>62910</v>
      </c>
    </row>
    <row r="2949" spans="1:4" ht="15" x14ac:dyDescent="0.35">
      <c r="A2949" s="509">
        <v>9144</v>
      </c>
      <c r="B2949" s="510" t="s">
        <v>3330</v>
      </c>
      <c r="C2949" s="509" t="s">
        <v>307</v>
      </c>
      <c r="D2949" s="512">
        <v>4923</v>
      </c>
    </row>
    <row r="2950" spans="1:4" ht="15" x14ac:dyDescent="0.35">
      <c r="A2950" s="509">
        <v>9145</v>
      </c>
      <c r="B2950" s="510" t="s">
        <v>3331</v>
      </c>
      <c r="C2950" s="509" t="s">
        <v>307</v>
      </c>
      <c r="D2950" s="512">
        <v>69328</v>
      </c>
    </row>
    <row r="2951" spans="1:4" ht="15" x14ac:dyDescent="0.35">
      <c r="A2951" s="509">
        <v>9146</v>
      </c>
      <c r="B2951" s="510" t="s">
        <v>3332</v>
      </c>
      <c r="C2951" s="509" t="s">
        <v>21</v>
      </c>
      <c r="D2951" s="511">
        <v>30710</v>
      </c>
    </row>
    <row r="2952" spans="1:4" ht="15" x14ac:dyDescent="0.35">
      <c r="A2952" s="509">
        <v>9147</v>
      </c>
      <c r="B2952" s="510" t="s">
        <v>3333</v>
      </c>
      <c r="C2952" s="509" t="s">
        <v>21</v>
      </c>
      <c r="D2952" s="512">
        <v>33559</v>
      </c>
    </row>
    <row r="2953" spans="1:4" ht="15" x14ac:dyDescent="0.35">
      <c r="A2953" s="509">
        <v>9148</v>
      </c>
      <c r="B2953" s="510" t="s">
        <v>3334</v>
      </c>
      <c r="C2953" s="509" t="s">
        <v>32</v>
      </c>
      <c r="D2953" s="512">
        <v>1246744</v>
      </c>
    </row>
    <row r="2954" spans="1:4" ht="15" x14ac:dyDescent="0.35">
      <c r="A2954" s="509">
        <v>9149</v>
      </c>
      <c r="B2954" s="510" t="s">
        <v>3335</v>
      </c>
      <c r="C2954" s="509" t="s">
        <v>30</v>
      </c>
      <c r="D2954" s="511">
        <v>311880</v>
      </c>
    </row>
    <row r="2955" spans="1:4" ht="15" x14ac:dyDescent="0.35">
      <c r="A2955" s="509">
        <v>9150</v>
      </c>
      <c r="B2955" s="510" t="s">
        <v>3336</v>
      </c>
      <c r="C2955" s="509" t="s">
        <v>307</v>
      </c>
      <c r="D2955" s="512">
        <v>3734</v>
      </c>
    </row>
    <row r="2956" spans="1:4" ht="15" x14ac:dyDescent="0.35">
      <c r="A2956" s="509">
        <v>9151</v>
      </c>
      <c r="B2956" s="510" t="s">
        <v>3337</v>
      </c>
      <c r="C2956" s="509" t="s">
        <v>307</v>
      </c>
      <c r="D2956" s="511">
        <v>47122</v>
      </c>
    </row>
    <row r="2957" spans="1:4" ht="15" x14ac:dyDescent="0.35">
      <c r="A2957" s="509">
        <v>9152</v>
      </c>
      <c r="B2957" s="510" t="s">
        <v>3338</v>
      </c>
      <c r="C2957" s="509" t="s">
        <v>307</v>
      </c>
      <c r="D2957" s="511">
        <v>69196</v>
      </c>
    </row>
    <row r="2958" spans="1:4" ht="15" x14ac:dyDescent="0.35">
      <c r="A2958" s="509">
        <v>9153</v>
      </c>
      <c r="B2958" s="510" t="s">
        <v>3339</v>
      </c>
      <c r="C2958" s="509" t="s">
        <v>307</v>
      </c>
      <c r="D2958" s="511">
        <v>434484</v>
      </c>
    </row>
    <row r="2959" spans="1:4" ht="15" x14ac:dyDescent="0.35">
      <c r="A2959" s="509">
        <v>9154</v>
      </c>
      <c r="B2959" s="510" t="s">
        <v>3340</v>
      </c>
      <c r="C2959" s="509" t="s">
        <v>307</v>
      </c>
      <c r="D2959" s="511">
        <v>6051</v>
      </c>
    </row>
    <row r="2960" spans="1:4" ht="15" x14ac:dyDescent="0.35">
      <c r="A2960" s="509">
        <v>9322</v>
      </c>
      <c r="B2960" s="510" t="s">
        <v>3341</v>
      </c>
      <c r="C2960" s="509" t="s">
        <v>21</v>
      </c>
      <c r="D2960" s="511">
        <v>1815285</v>
      </c>
    </row>
    <row r="2961" spans="1:4" ht="15" x14ac:dyDescent="0.35">
      <c r="A2961" s="509">
        <v>9323</v>
      </c>
      <c r="B2961" s="510" t="s">
        <v>3342</v>
      </c>
      <c r="C2961" s="509" t="s">
        <v>21</v>
      </c>
      <c r="D2961" s="511">
        <v>2573293</v>
      </c>
    </row>
    <row r="2962" spans="1:4" ht="15" x14ac:dyDescent="0.35">
      <c r="A2962" s="509">
        <v>9324</v>
      </c>
      <c r="B2962" s="510" t="s">
        <v>3343</v>
      </c>
      <c r="C2962" s="509" t="s">
        <v>21</v>
      </c>
      <c r="D2962" s="512">
        <v>2568472</v>
      </c>
    </row>
    <row r="2963" spans="1:4" ht="15" x14ac:dyDescent="0.35">
      <c r="A2963" s="509">
        <v>9325</v>
      </c>
      <c r="B2963" s="510" t="s">
        <v>3344</v>
      </c>
      <c r="C2963" s="509" t="s">
        <v>328</v>
      </c>
      <c r="D2963" s="511">
        <v>937270</v>
      </c>
    </row>
    <row r="2964" spans="1:4" ht="15" x14ac:dyDescent="0.35">
      <c r="A2964" s="509">
        <v>9326</v>
      </c>
      <c r="B2964" s="510" t="s">
        <v>3345</v>
      </c>
      <c r="C2964" s="509" t="s">
        <v>328</v>
      </c>
      <c r="D2964" s="511">
        <v>1443970</v>
      </c>
    </row>
    <row r="2965" spans="1:4" ht="15" x14ac:dyDescent="0.35">
      <c r="A2965" s="509">
        <v>9327</v>
      </c>
      <c r="B2965" s="510" t="s">
        <v>3346</v>
      </c>
      <c r="C2965" s="509" t="s">
        <v>328</v>
      </c>
      <c r="D2965" s="511">
        <v>1442138</v>
      </c>
    </row>
    <row r="2966" spans="1:4" ht="15" x14ac:dyDescent="0.35">
      <c r="A2966" s="509">
        <v>9394</v>
      </c>
      <c r="B2966" s="510" t="s">
        <v>3347</v>
      </c>
      <c r="C2966" s="509" t="s">
        <v>328</v>
      </c>
      <c r="D2966" s="511">
        <v>2100563</v>
      </c>
    </row>
    <row r="2967" spans="1:4" ht="15" x14ac:dyDescent="0.35">
      <c r="A2967" s="509">
        <v>9395</v>
      </c>
      <c r="B2967" s="510" t="s">
        <v>3348</v>
      </c>
      <c r="C2967" s="509" t="s">
        <v>328</v>
      </c>
      <c r="D2967" s="511">
        <v>2742721</v>
      </c>
    </row>
    <row r="2968" spans="1:4" ht="15" x14ac:dyDescent="0.35">
      <c r="A2968" s="509">
        <v>9396</v>
      </c>
      <c r="B2968" s="510" t="s">
        <v>3349</v>
      </c>
      <c r="C2968" s="509" t="s">
        <v>328</v>
      </c>
      <c r="D2968" s="511">
        <v>863451</v>
      </c>
    </row>
    <row r="2969" spans="1:4" ht="15" x14ac:dyDescent="0.35">
      <c r="A2969" s="509">
        <v>9397</v>
      </c>
      <c r="B2969" s="510" t="s">
        <v>3350</v>
      </c>
      <c r="C2969" s="509" t="s">
        <v>328</v>
      </c>
      <c r="D2969" s="511">
        <v>863451</v>
      </c>
    </row>
    <row r="2970" spans="1:4" ht="15" x14ac:dyDescent="0.35">
      <c r="A2970" s="509">
        <v>9398</v>
      </c>
      <c r="B2970" s="510" t="s">
        <v>3351</v>
      </c>
      <c r="C2970" s="509" t="s">
        <v>328</v>
      </c>
      <c r="D2970" s="511">
        <v>932256</v>
      </c>
    </row>
    <row r="2971" spans="1:4" ht="15" x14ac:dyDescent="0.35">
      <c r="A2971" s="509">
        <v>9425</v>
      </c>
      <c r="B2971" s="510" t="s">
        <v>3352</v>
      </c>
      <c r="C2971" s="509" t="s">
        <v>328</v>
      </c>
      <c r="D2971" s="511">
        <v>2696606</v>
      </c>
    </row>
    <row r="2972" spans="1:4" ht="15" x14ac:dyDescent="0.35">
      <c r="A2972" s="509">
        <v>9466</v>
      </c>
      <c r="B2972" s="510" t="s">
        <v>3354</v>
      </c>
      <c r="C2972" s="509" t="s">
        <v>307</v>
      </c>
      <c r="D2972" s="512">
        <v>434484</v>
      </c>
    </row>
    <row r="2973" spans="1:4" ht="15" x14ac:dyDescent="0.35">
      <c r="A2973" s="509">
        <v>9467</v>
      </c>
      <c r="B2973" s="510" t="s">
        <v>3355</v>
      </c>
      <c r="C2973" s="509" t="s">
        <v>30</v>
      </c>
      <c r="D2973" s="511">
        <v>311880</v>
      </c>
    </row>
    <row r="2974" spans="1:4" ht="15" x14ac:dyDescent="0.35">
      <c r="A2974" s="509">
        <v>9468</v>
      </c>
      <c r="B2974" s="510" t="s">
        <v>3356</v>
      </c>
      <c r="C2974" s="509" t="s">
        <v>307</v>
      </c>
      <c r="D2974" s="512">
        <v>69196</v>
      </c>
    </row>
    <row r="2975" spans="1:4" ht="15" x14ac:dyDescent="0.35">
      <c r="A2975" s="509">
        <v>9469</v>
      </c>
      <c r="B2975" s="510" t="s">
        <v>3357</v>
      </c>
      <c r="C2975" s="509" t="s">
        <v>307</v>
      </c>
      <c r="D2975" s="511">
        <v>6051</v>
      </c>
    </row>
    <row r="2976" spans="1:4" ht="15" x14ac:dyDescent="0.35">
      <c r="A2976" s="509">
        <v>9470</v>
      </c>
      <c r="B2976" s="510" t="s">
        <v>3358</v>
      </c>
      <c r="C2976" s="509" t="s">
        <v>307</v>
      </c>
      <c r="D2976" s="511">
        <v>3734</v>
      </c>
    </row>
    <row r="2977" spans="1:4" ht="15" x14ac:dyDescent="0.35">
      <c r="A2977" s="509">
        <v>9563</v>
      </c>
      <c r="B2977" s="510" t="s">
        <v>3359</v>
      </c>
      <c r="C2977" s="509" t="s">
        <v>328</v>
      </c>
      <c r="D2977" s="511">
        <v>164571</v>
      </c>
    </row>
    <row r="2978" spans="1:4" ht="15" x14ac:dyDescent="0.35">
      <c r="A2978" s="509">
        <v>9997</v>
      </c>
      <c r="B2978" s="510" t="s">
        <v>3360</v>
      </c>
      <c r="C2978" s="509" t="s">
        <v>21</v>
      </c>
      <c r="D2978" s="511">
        <v>2781</v>
      </c>
    </row>
    <row r="2979" spans="1:4" ht="15" x14ac:dyDescent="0.35">
      <c r="A2979" s="509">
        <v>9998</v>
      </c>
      <c r="B2979" s="510" t="s">
        <v>3361</v>
      </c>
      <c r="C2979" s="509" t="s">
        <v>30</v>
      </c>
      <c r="D2979" s="512">
        <v>1556717</v>
      </c>
    </row>
    <row r="2980" spans="1:4" ht="15" x14ac:dyDescent="0.35">
      <c r="A2980" s="509">
        <v>9999</v>
      </c>
      <c r="B2980" s="510" t="s">
        <v>3362</v>
      </c>
      <c r="C2980" s="509" t="s">
        <v>21</v>
      </c>
      <c r="D2980" s="511">
        <v>170676</v>
      </c>
    </row>
    <row r="2981" spans="1:4" ht="15" x14ac:dyDescent="0.35">
      <c r="A2981" s="509">
        <v>10000</v>
      </c>
      <c r="B2981" s="510" t="s">
        <v>3363</v>
      </c>
      <c r="C2981" s="509" t="s">
        <v>21</v>
      </c>
      <c r="D2981" s="511">
        <v>135101</v>
      </c>
    </row>
    <row r="2982" spans="1:4" ht="15" x14ac:dyDescent="0.35">
      <c r="A2982" s="509">
        <v>10014</v>
      </c>
      <c r="B2982" s="510" t="s">
        <v>3364</v>
      </c>
      <c r="C2982" s="509" t="s">
        <v>30</v>
      </c>
      <c r="D2982" s="512">
        <v>176119</v>
      </c>
    </row>
    <row r="2983" spans="1:4" ht="15" x14ac:dyDescent="0.35">
      <c r="A2983" s="509">
        <v>10015</v>
      </c>
      <c r="B2983" s="510" t="s">
        <v>3365</v>
      </c>
      <c r="C2983" s="509" t="s">
        <v>30</v>
      </c>
      <c r="D2983" s="511">
        <v>175642</v>
      </c>
    </row>
    <row r="2984" spans="1:4" ht="15" x14ac:dyDescent="0.35">
      <c r="A2984" s="509">
        <v>10016</v>
      </c>
      <c r="B2984" s="510" t="s">
        <v>3366</v>
      </c>
      <c r="C2984" s="509" t="s">
        <v>30</v>
      </c>
      <c r="D2984" s="512">
        <v>184603</v>
      </c>
    </row>
    <row r="2985" spans="1:4" ht="15" x14ac:dyDescent="0.35">
      <c r="A2985" s="509">
        <v>10017</v>
      </c>
      <c r="B2985" s="510" t="s">
        <v>3367</v>
      </c>
      <c r="C2985" s="509" t="s">
        <v>30</v>
      </c>
      <c r="D2985" s="512">
        <v>176715</v>
      </c>
    </row>
    <row r="2986" spans="1:4" ht="15" x14ac:dyDescent="0.35">
      <c r="A2986" s="509">
        <v>10018</v>
      </c>
      <c r="B2986" s="510" t="s">
        <v>3368</v>
      </c>
      <c r="C2986" s="509" t="s">
        <v>30</v>
      </c>
      <c r="D2986" s="512">
        <v>176237</v>
      </c>
    </row>
    <row r="2987" spans="1:4" ht="15" x14ac:dyDescent="0.35">
      <c r="A2987" s="509">
        <v>10019</v>
      </c>
      <c r="B2987" s="510" t="s">
        <v>3369</v>
      </c>
      <c r="C2987" s="509" t="s">
        <v>30</v>
      </c>
      <c r="D2987" s="512">
        <v>185198</v>
      </c>
    </row>
    <row r="2988" spans="1:4" ht="15" x14ac:dyDescent="0.35">
      <c r="A2988" s="509">
        <v>10020</v>
      </c>
      <c r="B2988" s="510" t="s">
        <v>3370</v>
      </c>
      <c r="C2988" s="509" t="s">
        <v>30</v>
      </c>
      <c r="D2988" s="512">
        <v>180764</v>
      </c>
    </row>
    <row r="2989" spans="1:4" ht="15" x14ac:dyDescent="0.35">
      <c r="A2989" s="509">
        <v>10021</v>
      </c>
      <c r="B2989" s="510" t="s">
        <v>3371</v>
      </c>
      <c r="C2989" s="509" t="s">
        <v>30</v>
      </c>
      <c r="D2989" s="511">
        <v>180286</v>
      </c>
    </row>
    <row r="2990" spans="1:4" ht="15" x14ac:dyDescent="0.35">
      <c r="A2990" s="509">
        <v>10022</v>
      </c>
      <c r="B2990" s="510" t="s">
        <v>3372</v>
      </c>
      <c r="C2990" s="509" t="s">
        <v>30</v>
      </c>
      <c r="D2990" s="511">
        <v>189247</v>
      </c>
    </row>
    <row r="2991" spans="1:4" ht="15" x14ac:dyDescent="0.35">
      <c r="A2991" s="509">
        <v>10030</v>
      </c>
      <c r="B2991" s="510" t="s">
        <v>3373</v>
      </c>
      <c r="C2991" s="509" t="s">
        <v>30</v>
      </c>
      <c r="D2991" s="511">
        <v>209648</v>
      </c>
    </row>
    <row r="2992" spans="1:4" ht="15" x14ac:dyDescent="0.35">
      <c r="A2992" s="509">
        <v>10072</v>
      </c>
      <c r="B2992" s="510" t="s">
        <v>3374</v>
      </c>
      <c r="C2992" s="509" t="s">
        <v>30</v>
      </c>
      <c r="D2992" s="511">
        <v>189991</v>
      </c>
    </row>
    <row r="2993" spans="1:4" ht="15" x14ac:dyDescent="0.35">
      <c r="A2993" s="509">
        <v>10074</v>
      </c>
      <c r="B2993" s="510" t="s">
        <v>3375</v>
      </c>
      <c r="C2993" s="509" t="s">
        <v>32</v>
      </c>
      <c r="D2993" s="511">
        <v>6942537</v>
      </c>
    </row>
    <row r="2994" spans="1:4" ht="15" x14ac:dyDescent="0.35">
      <c r="A2994" s="509">
        <v>10075</v>
      </c>
      <c r="B2994" s="510" t="s">
        <v>3376</v>
      </c>
      <c r="C2994" s="509" t="s">
        <v>32</v>
      </c>
      <c r="D2994" s="512">
        <v>9254630</v>
      </c>
    </row>
    <row r="2995" spans="1:4" ht="15" x14ac:dyDescent="0.35">
      <c r="A2995" s="509">
        <v>10214</v>
      </c>
      <c r="B2995" s="510" t="s">
        <v>3377</v>
      </c>
      <c r="C2995" s="509" t="s">
        <v>328</v>
      </c>
      <c r="D2995" s="511">
        <v>375992</v>
      </c>
    </row>
    <row r="2996" spans="1:4" ht="15" x14ac:dyDescent="0.35">
      <c r="A2996" s="509">
        <v>10246</v>
      </c>
      <c r="B2996" s="510" t="s">
        <v>3378</v>
      </c>
      <c r="C2996" s="509" t="s">
        <v>21</v>
      </c>
      <c r="D2996" s="511">
        <v>117803</v>
      </c>
    </row>
    <row r="2997" spans="1:4" ht="15" x14ac:dyDescent="0.35">
      <c r="A2997" s="509">
        <v>10247</v>
      </c>
      <c r="B2997" s="510" t="s">
        <v>3379</v>
      </c>
      <c r="C2997" s="509" t="s">
        <v>21</v>
      </c>
      <c r="D2997" s="511">
        <v>121851</v>
      </c>
    </row>
    <row r="2998" spans="1:4" ht="15" x14ac:dyDescent="0.35">
      <c r="A2998" s="509">
        <v>10248</v>
      </c>
      <c r="B2998" s="510" t="s">
        <v>3380</v>
      </c>
      <c r="C2998" s="509" t="s">
        <v>21</v>
      </c>
      <c r="D2998" s="511">
        <v>122813</v>
      </c>
    </row>
    <row r="2999" spans="1:4" ht="15" x14ac:dyDescent="0.35">
      <c r="A2999" s="509">
        <v>10249</v>
      </c>
      <c r="B2999" s="510" t="s">
        <v>3381</v>
      </c>
      <c r="C2999" s="509" t="s">
        <v>21</v>
      </c>
      <c r="D2999" s="511">
        <v>120405</v>
      </c>
    </row>
    <row r="3000" spans="1:4" ht="15" x14ac:dyDescent="0.35">
      <c r="A3000" s="509">
        <v>10250</v>
      </c>
      <c r="B3000" s="510" t="s">
        <v>3382</v>
      </c>
      <c r="C3000" s="509" t="s">
        <v>21</v>
      </c>
      <c r="D3000" s="511">
        <v>107617</v>
      </c>
    </row>
    <row r="3001" spans="1:4" ht="15" x14ac:dyDescent="0.35">
      <c r="A3001" s="509">
        <v>10251</v>
      </c>
      <c r="B3001" s="510" t="s">
        <v>3383</v>
      </c>
      <c r="C3001" s="509" t="s">
        <v>21</v>
      </c>
      <c r="D3001" s="511">
        <v>116407</v>
      </c>
    </row>
    <row r="3002" spans="1:4" ht="15" x14ac:dyDescent="0.35">
      <c r="A3002" s="509">
        <v>10252</v>
      </c>
      <c r="B3002" s="510" t="s">
        <v>3384</v>
      </c>
      <c r="C3002" s="509" t="s">
        <v>2145</v>
      </c>
      <c r="D3002" s="512">
        <v>8432</v>
      </c>
    </row>
    <row r="3003" spans="1:4" ht="15" x14ac:dyDescent="0.35">
      <c r="A3003" s="509">
        <v>10253</v>
      </c>
      <c r="B3003" s="510" t="s">
        <v>3385</v>
      </c>
      <c r="C3003" s="509" t="s">
        <v>32</v>
      </c>
      <c r="D3003" s="511">
        <v>138895773</v>
      </c>
    </row>
    <row r="3004" spans="1:4" ht="15" x14ac:dyDescent="0.35">
      <c r="A3004" s="509">
        <v>10254</v>
      </c>
      <c r="B3004" s="510" t="s">
        <v>3386</v>
      </c>
      <c r="C3004" s="509" t="s">
        <v>32</v>
      </c>
      <c r="D3004" s="511">
        <v>157526933</v>
      </c>
    </row>
    <row r="3005" spans="1:4" ht="15" x14ac:dyDescent="0.35">
      <c r="A3005" s="509">
        <v>10255</v>
      </c>
      <c r="B3005" s="510" t="s">
        <v>3387</v>
      </c>
      <c r="C3005" s="509" t="s">
        <v>32</v>
      </c>
      <c r="D3005" s="512">
        <v>175052625</v>
      </c>
    </row>
    <row r="3006" spans="1:4" ht="15" x14ac:dyDescent="0.35">
      <c r="A3006" s="509">
        <v>10256</v>
      </c>
      <c r="B3006" s="510" t="s">
        <v>3388</v>
      </c>
      <c r="C3006" s="509" t="s">
        <v>32</v>
      </c>
      <c r="D3006" s="511">
        <v>1758579</v>
      </c>
    </row>
    <row r="3007" spans="1:4" ht="15" x14ac:dyDescent="0.35">
      <c r="A3007" s="509">
        <v>10257</v>
      </c>
      <c r="B3007" s="510" t="s">
        <v>3389</v>
      </c>
      <c r="C3007" s="509" t="s">
        <v>21</v>
      </c>
      <c r="D3007" s="511">
        <v>142562</v>
      </c>
    </row>
    <row r="3008" spans="1:4" ht="15" x14ac:dyDescent="0.35">
      <c r="A3008" s="509">
        <v>10258</v>
      </c>
      <c r="B3008" s="510" t="s">
        <v>3390</v>
      </c>
      <c r="C3008" s="509" t="s">
        <v>670</v>
      </c>
      <c r="D3008" s="512">
        <v>18199</v>
      </c>
    </row>
    <row r="3009" spans="1:4" ht="15" x14ac:dyDescent="0.35">
      <c r="A3009" s="509">
        <v>10259</v>
      </c>
      <c r="B3009" s="510" t="s">
        <v>3391</v>
      </c>
      <c r="C3009" s="509" t="s">
        <v>21</v>
      </c>
      <c r="D3009" s="511">
        <v>2066</v>
      </c>
    </row>
    <row r="3010" spans="1:4" ht="15" x14ac:dyDescent="0.35">
      <c r="A3010" s="509">
        <v>10260</v>
      </c>
      <c r="B3010" s="510" t="s">
        <v>3392</v>
      </c>
      <c r="C3010" s="509" t="s">
        <v>21</v>
      </c>
      <c r="D3010" s="511">
        <v>49351</v>
      </c>
    </row>
    <row r="3011" spans="1:4" ht="15" x14ac:dyDescent="0.35">
      <c r="A3011" s="509">
        <v>10261</v>
      </c>
      <c r="B3011" s="510" t="s">
        <v>3393</v>
      </c>
      <c r="C3011" s="509" t="s">
        <v>21</v>
      </c>
      <c r="D3011" s="512">
        <v>96723</v>
      </c>
    </row>
    <row r="3012" spans="1:4" ht="15" x14ac:dyDescent="0.35">
      <c r="A3012" s="509">
        <v>10262</v>
      </c>
      <c r="B3012" s="510" t="s">
        <v>3394</v>
      </c>
      <c r="C3012" s="509" t="s">
        <v>328</v>
      </c>
      <c r="D3012" s="512">
        <v>57658</v>
      </c>
    </row>
    <row r="3013" spans="1:4" ht="15" x14ac:dyDescent="0.35">
      <c r="A3013" s="509">
        <v>10263</v>
      </c>
      <c r="B3013" s="510" t="s">
        <v>3395</v>
      </c>
      <c r="C3013" s="509" t="s">
        <v>21</v>
      </c>
      <c r="D3013" s="512">
        <v>231838</v>
      </c>
    </row>
    <row r="3014" spans="1:4" ht="15" x14ac:dyDescent="0.35">
      <c r="A3014" s="509">
        <v>10264</v>
      </c>
      <c r="B3014" s="510" t="s">
        <v>3396</v>
      </c>
      <c r="C3014" s="509" t="s">
        <v>21</v>
      </c>
      <c r="D3014" s="512">
        <v>232836</v>
      </c>
    </row>
    <row r="3015" spans="1:4" ht="15" x14ac:dyDescent="0.35">
      <c r="A3015" s="509">
        <v>10265</v>
      </c>
      <c r="B3015" s="510" t="s">
        <v>3397</v>
      </c>
      <c r="C3015" s="509" t="s">
        <v>30</v>
      </c>
      <c r="D3015" s="511">
        <v>1267495</v>
      </c>
    </row>
    <row r="3016" spans="1:4" ht="15" x14ac:dyDescent="0.35">
      <c r="A3016" s="509">
        <v>10266</v>
      </c>
      <c r="B3016" s="510" t="s">
        <v>3398</v>
      </c>
      <c r="C3016" s="509" t="s">
        <v>30</v>
      </c>
      <c r="D3016" s="511">
        <v>1050422</v>
      </c>
    </row>
    <row r="3017" spans="1:4" ht="15" x14ac:dyDescent="0.35">
      <c r="A3017" s="509">
        <v>10267</v>
      </c>
      <c r="B3017" s="510" t="s">
        <v>3399</v>
      </c>
      <c r="C3017" s="509" t="s">
        <v>21</v>
      </c>
      <c r="D3017" s="511">
        <v>152082</v>
      </c>
    </row>
    <row r="3018" spans="1:4" ht="15" x14ac:dyDescent="0.35">
      <c r="A3018" s="509">
        <v>10268</v>
      </c>
      <c r="B3018" s="510" t="s">
        <v>3400</v>
      </c>
      <c r="C3018" s="509" t="s">
        <v>21</v>
      </c>
      <c r="D3018" s="511">
        <v>220753</v>
      </c>
    </row>
    <row r="3019" spans="1:4" ht="15" x14ac:dyDescent="0.35">
      <c r="A3019" s="509">
        <v>10269</v>
      </c>
      <c r="B3019" s="510" t="s">
        <v>3401</v>
      </c>
      <c r="C3019" s="509" t="s">
        <v>21</v>
      </c>
      <c r="D3019" s="512">
        <v>309914</v>
      </c>
    </row>
    <row r="3020" spans="1:4" ht="15" x14ac:dyDescent="0.35">
      <c r="A3020" s="509">
        <v>10270</v>
      </c>
      <c r="B3020" s="510" t="s">
        <v>3402</v>
      </c>
      <c r="C3020" s="509" t="s">
        <v>21</v>
      </c>
      <c r="D3020" s="512">
        <v>282043</v>
      </c>
    </row>
    <row r="3021" spans="1:4" ht="15" x14ac:dyDescent="0.35">
      <c r="A3021" s="509">
        <v>10271</v>
      </c>
      <c r="B3021" s="510" t="s">
        <v>3403</v>
      </c>
      <c r="C3021" s="509" t="s">
        <v>21</v>
      </c>
      <c r="D3021" s="511">
        <v>50954</v>
      </c>
    </row>
    <row r="3022" spans="1:4" ht="15" x14ac:dyDescent="0.35">
      <c r="A3022" s="509">
        <v>10272</v>
      </c>
      <c r="B3022" s="510" t="s">
        <v>3404</v>
      </c>
      <c r="C3022" s="509" t="s">
        <v>21</v>
      </c>
      <c r="D3022" s="512">
        <v>193891</v>
      </c>
    </row>
    <row r="3023" spans="1:4" ht="15" x14ac:dyDescent="0.35">
      <c r="A3023" s="509">
        <v>10273</v>
      </c>
      <c r="B3023" s="510" t="s">
        <v>3405</v>
      </c>
      <c r="C3023" s="509" t="s">
        <v>30</v>
      </c>
      <c r="D3023" s="511">
        <v>1489876</v>
      </c>
    </row>
    <row r="3024" spans="1:4" ht="15" x14ac:dyDescent="0.35">
      <c r="A3024" s="509">
        <v>10274</v>
      </c>
      <c r="B3024" s="510" t="s">
        <v>3406</v>
      </c>
      <c r="C3024" s="509" t="s">
        <v>30</v>
      </c>
      <c r="D3024" s="511">
        <v>1559740</v>
      </c>
    </row>
    <row r="3025" spans="1:4" ht="15" x14ac:dyDescent="0.35">
      <c r="A3025" s="509">
        <v>10275</v>
      </c>
      <c r="B3025" s="510" t="s">
        <v>3407</v>
      </c>
      <c r="C3025" s="509" t="s">
        <v>21</v>
      </c>
      <c r="D3025" s="511">
        <v>312496</v>
      </c>
    </row>
    <row r="3026" spans="1:4" ht="15" x14ac:dyDescent="0.35">
      <c r="A3026" s="509">
        <v>10276</v>
      </c>
      <c r="B3026" s="510" t="s">
        <v>3408</v>
      </c>
      <c r="C3026" s="509" t="s">
        <v>30</v>
      </c>
      <c r="D3026" s="511">
        <v>1097144</v>
      </c>
    </row>
    <row r="3027" spans="1:4" ht="15" x14ac:dyDescent="0.35">
      <c r="A3027" s="509">
        <v>10277</v>
      </c>
      <c r="B3027" s="510" t="s">
        <v>3409</v>
      </c>
      <c r="C3027" s="509" t="s">
        <v>30</v>
      </c>
      <c r="D3027" s="511">
        <v>1185168</v>
      </c>
    </row>
    <row r="3028" spans="1:4" ht="15" x14ac:dyDescent="0.35">
      <c r="A3028" s="509">
        <v>10321</v>
      </c>
      <c r="B3028" s="510" t="s">
        <v>3410</v>
      </c>
      <c r="C3028" s="509" t="s">
        <v>32</v>
      </c>
      <c r="D3028" s="511">
        <v>46053</v>
      </c>
    </row>
    <row r="3029" spans="1:4" ht="15" x14ac:dyDescent="0.35">
      <c r="A3029" s="509">
        <v>10322</v>
      </c>
      <c r="B3029" s="510" t="s">
        <v>3411</v>
      </c>
      <c r="C3029" s="509" t="s">
        <v>32</v>
      </c>
      <c r="D3029" s="512">
        <v>66457</v>
      </c>
    </row>
    <row r="3030" spans="1:4" ht="15" x14ac:dyDescent="0.35">
      <c r="A3030" s="509">
        <v>10323</v>
      </c>
      <c r="B3030" s="510" t="s">
        <v>3412</v>
      </c>
      <c r="C3030" s="509" t="s">
        <v>32</v>
      </c>
      <c r="D3030" s="512">
        <v>50403</v>
      </c>
    </row>
    <row r="3031" spans="1:4" ht="15" x14ac:dyDescent="0.35">
      <c r="A3031" s="509">
        <v>10324</v>
      </c>
      <c r="B3031" s="510" t="s">
        <v>3413</v>
      </c>
      <c r="C3031" s="509" t="s">
        <v>32</v>
      </c>
      <c r="D3031" s="511">
        <v>209976</v>
      </c>
    </row>
    <row r="3032" spans="1:4" ht="15" x14ac:dyDescent="0.35">
      <c r="A3032" s="509">
        <v>10325</v>
      </c>
      <c r="B3032" s="510" t="s">
        <v>3414</v>
      </c>
      <c r="C3032" s="509" t="s">
        <v>328</v>
      </c>
      <c r="D3032" s="511">
        <v>212493</v>
      </c>
    </row>
    <row r="3033" spans="1:4" ht="15" x14ac:dyDescent="0.35">
      <c r="A3033" s="509">
        <v>10326</v>
      </c>
      <c r="B3033" s="510" t="s">
        <v>3415</v>
      </c>
      <c r="C3033" s="509" t="s">
        <v>32</v>
      </c>
      <c r="D3033" s="511">
        <v>1365965</v>
      </c>
    </row>
    <row r="3034" spans="1:4" ht="15" x14ac:dyDescent="0.35">
      <c r="A3034" s="509">
        <v>10327</v>
      </c>
      <c r="B3034" s="510" t="s">
        <v>3416</v>
      </c>
      <c r="C3034" s="509" t="s">
        <v>32</v>
      </c>
      <c r="D3034" s="512">
        <v>1175068</v>
      </c>
    </row>
    <row r="3035" spans="1:4" ht="15" x14ac:dyDescent="0.35">
      <c r="A3035" s="509">
        <v>10328</v>
      </c>
      <c r="B3035" s="510" t="s">
        <v>3417</v>
      </c>
      <c r="C3035" s="509" t="s">
        <v>32</v>
      </c>
      <c r="D3035" s="512">
        <v>1106552</v>
      </c>
    </row>
    <row r="3036" spans="1:4" ht="15" x14ac:dyDescent="0.35">
      <c r="A3036" s="509">
        <v>10329</v>
      </c>
      <c r="B3036" s="510" t="s">
        <v>3418</v>
      </c>
      <c r="C3036" s="509" t="s">
        <v>32</v>
      </c>
      <c r="D3036" s="511">
        <v>1126277</v>
      </c>
    </row>
    <row r="3037" spans="1:4" ht="15" x14ac:dyDescent="0.35">
      <c r="A3037" s="509">
        <v>10330</v>
      </c>
      <c r="B3037" s="510" t="s">
        <v>3419</v>
      </c>
      <c r="C3037" s="509" t="s">
        <v>32</v>
      </c>
      <c r="D3037" s="511">
        <v>1126277</v>
      </c>
    </row>
    <row r="3038" spans="1:4" ht="15" x14ac:dyDescent="0.35">
      <c r="A3038" s="509">
        <v>10331</v>
      </c>
      <c r="B3038" s="510" t="s">
        <v>3420</v>
      </c>
      <c r="C3038" s="509" t="s">
        <v>32</v>
      </c>
      <c r="D3038" s="511">
        <v>2962588</v>
      </c>
    </row>
    <row r="3039" spans="1:4" ht="15" x14ac:dyDescent="0.35">
      <c r="A3039" s="509">
        <v>10332</v>
      </c>
      <c r="B3039" s="510" t="s">
        <v>3421</v>
      </c>
      <c r="C3039" s="509" t="s">
        <v>32</v>
      </c>
      <c r="D3039" s="511">
        <v>3425487</v>
      </c>
    </row>
    <row r="3040" spans="1:4" ht="15" x14ac:dyDescent="0.35">
      <c r="A3040" s="509">
        <v>10333</v>
      </c>
      <c r="B3040" s="510" t="s">
        <v>3422</v>
      </c>
      <c r="C3040" s="509" t="s">
        <v>32</v>
      </c>
      <c r="D3040" s="511">
        <v>3814768</v>
      </c>
    </row>
    <row r="3041" spans="1:4" ht="15" x14ac:dyDescent="0.35">
      <c r="A3041" s="509">
        <v>10334</v>
      </c>
      <c r="B3041" s="510" t="s">
        <v>3423</v>
      </c>
      <c r="C3041" s="509" t="s">
        <v>32</v>
      </c>
      <c r="D3041" s="511">
        <v>4028327</v>
      </c>
    </row>
    <row r="3042" spans="1:4" ht="15" x14ac:dyDescent="0.35">
      <c r="A3042" s="509">
        <v>10335</v>
      </c>
      <c r="B3042" s="510" t="s">
        <v>3424</v>
      </c>
      <c r="C3042" s="509" t="s">
        <v>32</v>
      </c>
      <c r="D3042" s="512">
        <v>11276899</v>
      </c>
    </row>
    <row r="3043" spans="1:4" ht="15" x14ac:dyDescent="0.35">
      <c r="A3043" s="509">
        <v>10336</v>
      </c>
      <c r="B3043" s="510" t="s">
        <v>3425</v>
      </c>
      <c r="C3043" s="509" t="s">
        <v>32</v>
      </c>
      <c r="D3043" s="511">
        <v>14430814</v>
      </c>
    </row>
    <row r="3044" spans="1:4" ht="15" x14ac:dyDescent="0.35">
      <c r="A3044" s="509">
        <v>10338</v>
      </c>
      <c r="B3044" s="510" t="s">
        <v>3426</v>
      </c>
      <c r="C3044" s="509" t="s">
        <v>30</v>
      </c>
      <c r="D3044" s="511">
        <v>147410</v>
      </c>
    </row>
    <row r="3045" spans="1:4" ht="15" x14ac:dyDescent="0.35">
      <c r="A3045" s="509">
        <v>10339</v>
      </c>
      <c r="B3045" s="510" t="s">
        <v>3427</v>
      </c>
      <c r="C3045" s="509" t="s">
        <v>30</v>
      </c>
      <c r="D3045" s="511">
        <v>164396</v>
      </c>
    </row>
    <row r="3046" spans="1:4" ht="15" x14ac:dyDescent="0.35">
      <c r="A3046" s="509">
        <v>10340</v>
      </c>
      <c r="B3046" s="510" t="s">
        <v>3428</v>
      </c>
      <c r="C3046" s="509" t="s">
        <v>30</v>
      </c>
      <c r="D3046" s="512">
        <v>139313</v>
      </c>
    </row>
    <row r="3047" spans="1:4" ht="15" x14ac:dyDescent="0.35">
      <c r="A3047" s="509">
        <v>10341</v>
      </c>
      <c r="B3047" s="510" t="s">
        <v>3429</v>
      </c>
      <c r="C3047" s="509" t="s">
        <v>30</v>
      </c>
      <c r="D3047" s="512">
        <v>156299</v>
      </c>
    </row>
    <row r="3048" spans="1:4" ht="15" x14ac:dyDescent="0.35">
      <c r="A3048" s="509">
        <v>10342</v>
      </c>
      <c r="B3048" s="510" t="s">
        <v>3430</v>
      </c>
      <c r="C3048" s="509" t="s">
        <v>32</v>
      </c>
      <c r="D3048" s="512">
        <v>1924738</v>
      </c>
    </row>
    <row r="3049" spans="1:4" ht="15" x14ac:dyDescent="0.35">
      <c r="A3049" s="509">
        <v>10343</v>
      </c>
      <c r="B3049" s="510" t="s">
        <v>3431</v>
      </c>
      <c r="C3049" s="509" t="s">
        <v>32</v>
      </c>
      <c r="D3049" s="512">
        <v>2322649</v>
      </c>
    </row>
    <row r="3050" spans="1:4" ht="15" x14ac:dyDescent="0.35">
      <c r="A3050" s="509">
        <v>10344</v>
      </c>
      <c r="B3050" s="510" t="s">
        <v>3432</v>
      </c>
      <c r="C3050" s="509" t="s">
        <v>32</v>
      </c>
      <c r="D3050" s="512">
        <v>273700</v>
      </c>
    </row>
    <row r="3051" spans="1:4" ht="15" x14ac:dyDescent="0.35">
      <c r="A3051" s="509">
        <v>10345</v>
      </c>
      <c r="B3051" s="510" t="s">
        <v>3433</v>
      </c>
      <c r="C3051" s="509" t="s">
        <v>32</v>
      </c>
      <c r="D3051" s="512">
        <v>196350</v>
      </c>
    </row>
    <row r="3052" spans="1:4" ht="15" x14ac:dyDescent="0.35">
      <c r="A3052" s="509">
        <v>10346</v>
      </c>
      <c r="B3052" s="510" t="s">
        <v>3434</v>
      </c>
      <c r="C3052" s="509" t="s">
        <v>32</v>
      </c>
      <c r="D3052" s="512">
        <v>856800</v>
      </c>
    </row>
    <row r="3053" spans="1:4" ht="15" x14ac:dyDescent="0.35">
      <c r="A3053" s="509">
        <v>10347</v>
      </c>
      <c r="B3053" s="510" t="s">
        <v>3435</v>
      </c>
      <c r="C3053" s="509" t="s">
        <v>32</v>
      </c>
      <c r="D3053" s="511">
        <v>214200</v>
      </c>
    </row>
    <row r="3054" spans="1:4" ht="15" x14ac:dyDescent="0.35">
      <c r="A3054" s="509">
        <v>10348</v>
      </c>
      <c r="B3054" s="510" t="s">
        <v>3436</v>
      </c>
      <c r="C3054" s="509" t="s">
        <v>32</v>
      </c>
      <c r="D3054" s="512">
        <v>388075</v>
      </c>
    </row>
    <row r="3055" spans="1:4" ht="15" x14ac:dyDescent="0.35">
      <c r="A3055" s="509">
        <v>10349</v>
      </c>
      <c r="B3055" s="510" t="s">
        <v>3437</v>
      </c>
      <c r="C3055" s="509" t="s">
        <v>328</v>
      </c>
      <c r="D3055" s="511">
        <v>511856</v>
      </c>
    </row>
    <row r="3056" spans="1:4" ht="15" x14ac:dyDescent="0.35">
      <c r="A3056" s="509">
        <v>10350</v>
      </c>
      <c r="B3056" s="510" t="s">
        <v>3438</v>
      </c>
      <c r="C3056" s="509" t="s">
        <v>30</v>
      </c>
      <c r="D3056" s="511">
        <v>187906</v>
      </c>
    </row>
    <row r="3057" spans="1:4" ht="15" x14ac:dyDescent="0.35">
      <c r="A3057" s="509">
        <v>10351</v>
      </c>
      <c r="B3057" s="510" t="s">
        <v>3439</v>
      </c>
      <c r="C3057" s="509" t="s">
        <v>30</v>
      </c>
      <c r="D3057" s="511">
        <v>166558</v>
      </c>
    </row>
    <row r="3058" spans="1:4" ht="15" x14ac:dyDescent="0.35">
      <c r="A3058" s="509">
        <v>10352</v>
      </c>
      <c r="B3058" s="510" t="s">
        <v>3440</v>
      </c>
      <c r="C3058" s="509" t="s">
        <v>328</v>
      </c>
      <c r="D3058" s="511">
        <v>903770</v>
      </c>
    </row>
    <row r="3059" spans="1:4" ht="15" x14ac:dyDescent="0.35">
      <c r="A3059" s="509">
        <v>10353</v>
      </c>
      <c r="B3059" s="510" t="s">
        <v>3441</v>
      </c>
      <c r="C3059" s="509" t="s">
        <v>328</v>
      </c>
      <c r="D3059" s="511">
        <v>928318</v>
      </c>
    </row>
    <row r="3060" spans="1:4" ht="15" x14ac:dyDescent="0.35">
      <c r="A3060" s="509">
        <v>10354</v>
      </c>
      <c r="B3060" s="510" t="s">
        <v>3442</v>
      </c>
      <c r="C3060" s="509" t="s">
        <v>328</v>
      </c>
      <c r="D3060" s="511">
        <v>1014020</v>
      </c>
    </row>
    <row r="3061" spans="1:4" ht="15" x14ac:dyDescent="0.35">
      <c r="A3061" s="509">
        <v>10355</v>
      </c>
      <c r="B3061" s="510" t="s">
        <v>3443</v>
      </c>
      <c r="C3061" s="509" t="s">
        <v>328</v>
      </c>
      <c r="D3061" s="511">
        <v>1246672</v>
      </c>
    </row>
    <row r="3062" spans="1:4" ht="15" x14ac:dyDescent="0.35">
      <c r="A3062" s="509">
        <v>10356</v>
      </c>
      <c r="B3062" s="510" t="s">
        <v>3444</v>
      </c>
      <c r="C3062" s="509" t="s">
        <v>328</v>
      </c>
      <c r="D3062" s="511">
        <v>1310808</v>
      </c>
    </row>
    <row r="3063" spans="1:4" ht="15" x14ac:dyDescent="0.35">
      <c r="A3063" s="509">
        <v>10357</v>
      </c>
      <c r="B3063" s="510" t="s">
        <v>3445</v>
      </c>
      <c r="C3063" s="509" t="s">
        <v>328</v>
      </c>
      <c r="D3063" s="511">
        <v>1423373</v>
      </c>
    </row>
    <row r="3064" spans="1:4" ht="15" x14ac:dyDescent="0.35">
      <c r="A3064" s="509">
        <v>10358</v>
      </c>
      <c r="B3064" s="510" t="s">
        <v>3446</v>
      </c>
      <c r="C3064" s="509" t="s">
        <v>328</v>
      </c>
      <c r="D3064" s="511">
        <v>1677828</v>
      </c>
    </row>
    <row r="3065" spans="1:4" ht="15" x14ac:dyDescent="0.35">
      <c r="A3065" s="509">
        <v>10359</v>
      </c>
      <c r="B3065" s="510" t="s">
        <v>3447</v>
      </c>
      <c r="C3065" s="509" t="s">
        <v>328</v>
      </c>
      <c r="D3065" s="511">
        <v>2048314</v>
      </c>
    </row>
    <row r="3066" spans="1:4" ht="15" x14ac:dyDescent="0.35">
      <c r="A3066" s="509">
        <v>10360</v>
      </c>
      <c r="B3066" s="510" t="s">
        <v>3448</v>
      </c>
      <c r="C3066" s="509" t="s">
        <v>328</v>
      </c>
      <c r="D3066" s="511">
        <v>2222315</v>
      </c>
    </row>
    <row r="3067" spans="1:4" ht="15" x14ac:dyDescent="0.35">
      <c r="A3067" s="509">
        <v>10361</v>
      </c>
      <c r="B3067" s="510" t="s">
        <v>3449</v>
      </c>
      <c r="C3067" s="509" t="s">
        <v>328</v>
      </c>
      <c r="D3067" s="511">
        <v>2348076</v>
      </c>
    </row>
    <row r="3068" spans="1:4" ht="15" x14ac:dyDescent="0.35">
      <c r="A3068" s="509">
        <v>10362</v>
      </c>
      <c r="B3068" s="510" t="s">
        <v>3450</v>
      </c>
      <c r="C3068" s="509" t="s">
        <v>328</v>
      </c>
      <c r="D3068" s="511">
        <v>2464043</v>
      </c>
    </row>
    <row r="3069" spans="1:4" ht="15" x14ac:dyDescent="0.35">
      <c r="A3069" s="509">
        <v>10363</v>
      </c>
      <c r="B3069" s="510" t="s">
        <v>3451</v>
      </c>
      <c r="C3069" s="509" t="s">
        <v>328</v>
      </c>
      <c r="D3069" s="511">
        <v>936072</v>
      </c>
    </row>
    <row r="3070" spans="1:4" ht="15" x14ac:dyDescent="0.35">
      <c r="A3070" s="509">
        <v>10364</v>
      </c>
      <c r="B3070" s="510" t="s">
        <v>3452</v>
      </c>
      <c r="C3070" s="509" t="s">
        <v>328</v>
      </c>
      <c r="D3070" s="511">
        <v>982310</v>
      </c>
    </row>
    <row r="3071" spans="1:4" ht="15" x14ac:dyDescent="0.35">
      <c r="A3071" s="509">
        <v>10365</v>
      </c>
      <c r="B3071" s="510" t="s">
        <v>3453</v>
      </c>
      <c r="C3071" s="509" t="s">
        <v>328</v>
      </c>
      <c r="D3071" s="511">
        <v>1080018</v>
      </c>
    </row>
    <row r="3072" spans="1:4" ht="15" x14ac:dyDescent="0.35">
      <c r="A3072" s="509">
        <v>10366</v>
      </c>
      <c r="B3072" s="510" t="s">
        <v>3454</v>
      </c>
      <c r="C3072" s="509" t="s">
        <v>328</v>
      </c>
      <c r="D3072" s="511">
        <v>1303481</v>
      </c>
    </row>
    <row r="3073" spans="1:4" ht="15" x14ac:dyDescent="0.35">
      <c r="A3073" s="509">
        <v>10367</v>
      </c>
      <c r="B3073" s="510" t="s">
        <v>3455</v>
      </c>
      <c r="C3073" s="509" t="s">
        <v>328</v>
      </c>
      <c r="D3073" s="511">
        <v>1393404</v>
      </c>
    </row>
    <row r="3074" spans="1:4" ht="15" x14ac:dyDescent="0.35">
      <c r="A3074" s="509">
        <v>10368</v>
      </c>
      <c r="B3074" s="510" t="s">
        <v>3456</v>
      </c>
      <c r="C3074" s="509" t="s">
        <v>328</v>
      </c>
      <c r="D3074" s="511">
        <v>1535030</v>
      </c>
    </row>
    <row r="3075" spans="1:4" ht="15" x14ac:dyDescent="0.35">
      <c r="A3075" s="509">
        <v>10369</v>
      </c>
      <c r="B3075" s="510" t="s">
        <v>3457</v>
      </c>
      <c r="C3075" s="509" t="s">
        <v>328</v>
      </c>
      <c r="D3075" s="512">
        <v>1698069</v>
      </c>
    </row>
    <row r="3076" spans="1:4" ht="15" x14ac:dyDescent="0.35">
      <c r="A3076" s="509">
        <v>10370</v>
      </c>
      <c r="B3076" s="510" t="s">
        <v>3458</v>
      </c>
      <c r="C3076" s="509" t="s">
        <v>328</v>
      </c>
      <c r="D3076" s="512">
        <v>2045826</v>
      </c>
    </row>
    <row r="3077" spans="1:4" ht="15" x14ac:dyDescent="0.35">
      <c r="A3077" s="509">
        <v>10371</v>
      </c>
      <c r="B3077" s="510" t="s">
        <v>3459</v>
      </c>
      <c r="C3077" s="509" t="s">
        <v>328</v>
      </c>
      <c r="D3077" s="511">
        <v>2218958</v>
      </c>
    </row>
    <row r="3078" spans="1:4" ht="15" x14ac:dyDescent="0.35">
      <c r="A3078" s="509">
        <v>10372</v>
      </c>
      <c r="B3078" s="510" t="s">
        <v>3460</v>
      </c>
      <c r="C3078" s="509" t="s">
        <v>328</v>
      </c>
      <c r="D3078" s="511">
        <v>2333384</v>
      </c>
    </row>
    <row r="3079" spans="1:4" ht="15" x14ac:dyDescent="0.35">
      <c r="A3079" s="509">
        <v>10373</v>
      </c>
      <c r="B3079" s="510" t="s">
        <v>3461</v>
      </c>
      <c r="C3079" s="509" t="s">
        <v>328</v>
      </c>
      <c r="D3079" s="511">
        <v>2470722</v>
      </c>
    </row>
    <row r="3080" spans="1:4" ht="15" x14ac:dyDescent="0.35">
      <c r="A3080" s="509">
        <v>10374</v>
      </c>
      <c r="B3080" s="510" t="s">
        <v>3462</v>
      </c>
      <c r="C3080" s="509" t="s">
        <v>32</v>
      </c>
      <c r="D3080" s="512">
        <v>269686</v>
      </c>
    </row>
    <row r="3081" spans="1:4" ht="15" x14ac:dyDescent="0.35">
      <c r="A3081" s="509">
        <v>10375</v>
      </c>
      <c r="B3081" s="510" t="s">
        <v>3463</v>
      </c>
      <c r="C3081" s="509" t="s">
        <v>32</v>
      </c>
      <c r="D3081" s="511">
        <v>624853</v>
      </c>
    </row>
    <row r="3082" spans="1:4" ht="15" x14ac:dyDescent="0.35">
      <c r="A3082" s="509">
        <v>10376</v>
      </c>
      <c r="B3082" s="510" t="s">
        <v>3464</v>
      </c>
      <c r="C3082" s="509" t="s">
        <v>32</v>
      </c>
      <c r="D3082" s="512">
        <v>1371726</v>
      </c>
    </row>
    <row r="3083" spans="1:4" ht="15" x14ac:dyDescent="0.35">
      <c r="A3083" s="509">
        <v>10377</v>
      </c>
      <c r="B3083" s="510" t="s">
        <v>3465</v>
      </c>
      <c r="C3083" s="509" t="s">
        <v>32</v>
      </c>
      <c r="D3083" s="512">
        <v>1934713</v>
      </c>
    </row>
    <row r="3084" spans="1:4" ht="15" x14ac:dyDescent="0.35">
      <c r="A3084" s="509">
        <v>10378</v>
      </c>
      <c r="B3084" s="510" t="s">
        <v>3466</v>
      </c>
      <c r="C3084" s="509" t="s">
        <v>32</v>
      </c>
      <c r="D3084" s="512">
        <v>2217607</v>
      </c>
    </row>
    <row r="3085" spans="1:4" ht="15" x14ac:dyDescent="0.35">
      <c r="A3085" s="509">
        <v>10454</v>
      </c>
      <c r="B3085" s="510" t="s">
        <v>3467</v>
      </c>
      <c r="C3085" s="509" t="s">
        <v>328</v>
      </c>
      <c r="D3085" s="512">
        <v>235505</v>
      </c>
    </row>
    <row r="3086" spans="1:4" ht="15" x14ac:dyDescent="0.35">
      <c r="A3086" s="509">
        <v>10455</v>
      </c>
      <c r="B3086" s="510" t="s">
        <v>3468</v>
      </c>
      <c r="C3086" s="509" t="s">
        <v>328</v>
      </c>
      <c r="D3086" s="511">
        <v>293069</v>
      </c>
    </row>
    <row r="3087" spans="1:4" ht="15" x14ac:dyDescent="0.35">
      <c r="A3087" s="509">
        <v>10456</v>
      </c>
      <c r="B3087" s="510" t="s">
        <v>3469</v>
      </c>
      <c r="C3087" s="509" t="s">
        <v>328</v>
      </c>
      <c r="D3087" s="512">
        <v>348215</v>
      </c>
    </row>
    <row r="3088" spans="1:4" ht="15" x14ac:dyDescent="0.35">
      <c r="A3088" s="509">
        <v>10457</v>
      </c>
      <c r="B3088" s="510" t="s">
        <v>3470</v>
      </c>
      <c r="C3088" s="509" t="s">
        <v>328</v>
      </c>
      <c r="D3088" s="512">
        <v>378730</v>
      </c>
    </row>
    <row r="3089" spans="1:4" ht="15" x14ac:dyDescent="0.35">
      <c r="A3089" s="509">
        <v>10458</v>
      </c>
      <c r="B3089" s="510" t="s">
        <v>3471</v>
      </c>
      <c r="C3089" s="509" t="s">
        <v>328</v>
      </c>
      <c r="D3089" s="512">
        <v>246776</v>
      </c>
    </row>
    <row r="3090" spans="1:4" ht="15" x14ac:dyDescent="0.35">
      <c r="A3090" s="509">
        <v>10459</v>
      </c>
      <c r="B3090" s="510" t="s">
        <v>3472</v>
      </c>
      <c r="C3090" s="509" t="s">
        <v>328</v>
      </c>
      <c r="D3090" s="512">
        <v>309898</v>
      </c>
    </row>
    <row r="3091" spans="1:4" ht="15" x14ac:dyDescent="0.35">
      <c r="A3091" s="509">
        <v>10460</v>
      </c>
      <c r="B3091" s="510" t="s">
        <v>3473</v>
      </c>
      <c r="C3091" s="509" t="s">
        <v>328</v>
      </c>
      <c r="D3091" s="512">
        <v>366691</v>
      </c>
    </row>
    <row r="3092" spans="1:4" ht="15" x14ac:dyDescent="0.35">
      <c r="A3092" s="509">
        <v>10461</v>
      </c>
      <c r="B3092" s="510" t="s">
        <v>3474</v>
      </c>
      <c r="C3092" s="509" t="s">
        <v>328</v>
      </c>
      <c r="D3092" s="512">
        <v>397591</v>
      </c>
    </row>
    <row r="3093" spans="1:4" ht="15" x14ac:dyDescent="0.35">
      <c r="A3093" s="509">
        <v>10462</v>
      </c>
      <c r="B3093" s="510" t="s">
        <v>3475</v>
      </c>
      <c r="C3093" s="509" t="s">
        <v>21</v>
      </c>
      <c r="D3093" s="512">
        <v>326205</v>
      </c>
    </row>
    <row r="3094" spans="1:4" ht="15" x14ac:dyDescent="0.35">
      <c r="A3094" s="509">
        <v>10465</v>
      </c>
      <c r="B3094" s="510" t="s">
        <v>3476</v>
      </c>
      <c r="C3094" s="509" t="s">
        <v>21</v>
      </c>
      <c r="D3094" s="512">
        <v>97889</v>
      </c>
    </row>
    <row r="3095" spans="1:4" ht="15" x14ac:dyDescent="0.35">
      <c r="A3095" s="509">
        <v>10484</v>
      </c>
      <c r="B3095" s="510" t="s">
        <v>3477</v>
      </c>
      <c r="C3095" s="509" t="s">
        <v>328</v>
      </c>
      <c r="D3095" s="512">
        <v>333498</v>
      </c>
    </row>
    <row r="3096" spans="1:4" ht="15" x14ac:dyDescent="0.35">
      <c r="A3096" s="509">
        <v>10485</v>
      </c>
      <c r="B3096" s="510" t="s">
        <v>3478</v>
      </c>
      <c r="C3096" s="509" t="s">
        <v>328</v>
      </c>
      <c r="D3096" s="512">
        <v>430100</v>
      </c>
    </row>
    <row r="3097" spans="1:4" ht="15" x14ac:dyDescent="0.35">
      <c r="A3097" s="509">
        <v>10486</v>
      </c>
      <c r="B3097" s="510" t="s">
        <v>3479</v>
      </c>
      <c r="C3097" s="509" t="s">
        <v>328</v>
      </c>
      <c r="D3097" s="512">
        <v>516707</v>
      </c>
    </row>
    <row r="3098" spans="1:4" ht="15" x14ac:dyDescent="0.35">
      <c r="A3098" s="509">
        <v>10487</v>
      </c>
      <c r="B3098" s="510" t="s">
        <v>3480</v>
      </c>
      <c r="C3098" s="509" t="s">
        <v>328</v>
      </c>
      <c r="D3098" s="512">
        <v>562323</v>
      </c>
    </row>
    <row r="3099" spans="1:4" ht="15" x14ac:dyDescent="0.35">
      <c r="A3099" s="509">
        <v>10488</v>
      </c>
      <c r="B3099" s="510" t="s">
        <v>3481</v>
      </c>
      <c r="C3099" s="509" t="s">
        <v>328</v>
      </c>
      <c r="D3099" s="512">
        <v>357064</v>
      </c>
    </row>
    <row r="3100" spans="1:4" ht="15" x14ac:dyDescent="0.35">
      <c r="A3100" s="509">
        <v>10489</v>
      </c>
      <c r="B3100" s="510" t="s">
        <v>3482</v>
      </c>
      <c r="C3100" s="509" t="s">
        <v>328</v>
      </c>
      <c r="D3100" s="512">
        <v>464009</v>
      </c>
    </row>
    <row r="3101" spans="1:4" ht="15" x14ac:dyDescent="0.35">
      <c r="A3101" s="509">
        <v>10490</v>
      </c>
      <c r="B3101" s="510" t="s">
        <v>3483</v>
      </c>
      <c r="C3101" s="509" t="s">
        <v>328</v>
      </c>
      <c r="D3101" s="512">
        <v>559730</v>
      </c>
    </row>
    <row r="3102" spans="1:4" ht="15" x14ac:dyDescent="0.35">
      <c r="A3102" s="509">
        <v>10491</v>
      </c>
      <c r="B3102" s="510" t="s">
        <v>3484</v>
      </c>
      <c r="C3102" s="509" t="s">
        <v>328</v>
      </c>
      <c r="D3102" s="512">
        <v>606402</v>
      </c>
    </row>
    <row r="3103" spans="1:4" ht="15" x14ac:dyDescent="0.35">
      <c r="A3103" s="509">
        <v>10492</v>
      </c>
      <c r="B3103" s="510" t="s">
        <v>3485</v>
      </c>
      <c r="C3103" s="509" t="s">
        <v>328</v>
      </c>
      <c r="D3103" s="512">
        <v>402672</v>
      </c>
    </row>
    <row r="3104" spans="1:4" ht="15" x14ac:dyDescent="0.35">
      <c r="A3104" s="509">
        <v>10493</v>
      </c>
      <c r="B3104" s="510" t="s">
        <v>3486</v>
      </c>
      <c r="C3104" s="509" t="s">
        <v>328</v>
      </c>
      <c r="D3104" s="512">
        <v>521702</v>
      </c>
    </row>
    <row r="3105" spans="1:4" ht="15" x14ac:dyDescent="0.35">
      <c r="A3105" s="509">
        <v>10494</v>
      </c>
      <c r="B3105" s="510" t="s">
        <v>3487</v>
      </c>
      <c r="C3105" s="509" t="s">
        <v>328</v>
      </c>
      <c r="D3105" s="512">
        <v>625388</v>
      </c>
    </row>
    <row r="3106" spans="1:4" ht="15" x14ac:dyDescent="0.35">
      <c r="A3106" s="509">
        <v>10495</v>
      </c>
      <c r="B3106" s="510" t="s">
        <v>3488</v>
      </c>
      <c r="C3106" s="509" t="s">
        <v>328</v>
      </c>
      <c r="D3106" s="512">
        <v>761846</v>
      </c>
    </row>
    <row r="3107" spans="1:4" ht="15" x14ac:dyDescent="0.35">
      <c r="A3107" s="509">
        <v>10496</v>
      </c>
      <c r="B3107" s="510" t="s">
        <v>3489</v>
      </c>
      <c r="C3107" s="509" t="s">
        <v>328</v>
      </c>
      <c r="D3107" s="512">
        <v>431957</v>
      </c>
    </row>
    <row r="3108" spans="1:4" ht="15" x14ac:dyDescent="0.35">
      <c r="A3108" s="509">
        <v>10497</v>
      </c>
      <c r="B3108" s="510" t="s">
        <v>3490</v>
      </c>
      <c r="C3108" s="509" t="s">
        <v>328</v>
      </c>
      <c r="D3108" s="512">
        <v>563200</v>
      </c>
    </row>
    <row r="3109" spans="1:4" ht="15" x14ac:dyDescent="0.35">
      <c r="A3109" s="509">
        <v>10498</v>
      </c>
      <c r="B3109" s="510" t="s">
        <v>3491</v>
      </c>
      <c r="C3109" s="509" t="s">
        <v>328</v>
      </c>
      <c r="D3109" s="512">
        <v>679448</v>
      </c>
    </row>
    <row r="3110" spans="1:4" ht="15" x14ac:dyDescent="0.35">
      <c r="A3110" s="509">
        <v>10499</v>
      </c>
      <c r="B3110" s="510" t="s">
        <v>3492</v>
      </c>
      <c r="C3110" s="509" t="s">
        <v>328</v>
      </c>
      <c r="D3110" s="512">
        <v>822624</v>
      </c>
    </row>
    <row r="3111" spans="1:4" ht="15" x14ac:dyDescent="0.35">
      <c r="A3111" s="509">
        <v>10500</v>
      </c>
      <c r="B3111" s="510" t="s">
        <v>3493</v>
      </c>
      <c r="C3111" s="509" t="s">
        <v>328</v>
      </c>
      <c r="D3111" s="512">
        <v>470171</v>
      </c>
    </row>
    <row r="3112" spans="1:4" ht="15" x14ac:dyDescent="0.35">
      <c r="A3112" s="509">
        <v>10501</v>
      </c>
      <c r="B3112" s="510" t="s">
        <v>3494</v>
      </c>
      <c r="C3112" s="509" t="s">
        <v>328</v>
      </c>
      <c r="D3112" s="512">
        <v>628273</v>
      </c>
    </row>
    <row r="3113" spans="1:4" ht="15" x14ac:dyDescent="0.35">
      <c r="A3113" s="509">
        <v>10502</v>
      </c>
      <c r="B3113" s="510" t="s">
        <v>3495</v>
      </c>
      <c r="C3113" s="509" t="s">
        <v>328</v>
      </c>
      <c r="D3113" s="511">
        <v>731560</v>
      </c>
    </row>
    <row r="3114" spans="1:4" ht="15" x14ac:dyDescent="0.35">
      <c r="A3114" s="509">
        <v>10503</v>
      </c>
      <c r="B3114" s="510" t="s">
        <v>3496</v>
      </c>
      <c r="C3114" s="509" t="s">
        <v>328</v>
      </c>
      <c r="D3114" s="511">
        <v>892620</v>
      </c>
    </row>
    <row r="3115" spans="1:4" ht="15" x14ac:dyDescent="0.35">
      <c r="A3115" s="509">
        <v>10504</v>
      </c>
      <c r="B3115" s="510" t="s">
        <v>3497</v>
      </c>
      <c r="C3115" s="509" t="s">
        <v>328</v>
      </c>
      <c r="D3115" s="511">
        <v>502938</v>
      </c>
    </row>
    <row r="3116" spans="1:4" ht="15" x14ac:dyDescent="0.35">
      <c r="A3116" s="509">
        <v>10505</v>
      </c>
      <c r="B3116" s="510" t="s">
        <v>3498</v>
      </c>
      <c r="C3116" s="509" t="s">
        <v>328</v>
      </c>
      <c r="D3116" s="512">
        <v>664035</v>
      </c>
    </row>
    <row r="3117" spans="1:4" ht="15" x14ac:dyDescent="0.35">
      <c r="A3117" s="509">
        <v>10506</v>
      </c>
      <c r="B3117" s="510" t="s">
        <v>3499</v>
      </c>
      <c r="C3117" s="509" t="s">
        <v>328</v>
      </c>
      <c r="D3117" s="511">
        <v>791397</v>
      </c>
    </row>
    <row r="3118" spans="1:4" ht="15" x14ac:dyDescent="0.35">
      <c r="A3118" s="509">
        <v>10507</v>
      </c>
      <c r="B3118" s="510" t="s">
        <v>3500</v>
      </c>
      <c r="C3118" s="509" t="s">
        <v>328</v>
      </c>
      <c r="D3118" s="511">
        <v>962462</v>
      </c>
    </row>
    <row r="3119" spans="1:4" ht="15" x14ac:dyDescent="0.35">
      <c r="A3119" s="509">
        <v>10508</v>
      </c>
      <c r="B3119" s="510" t="s">
        <v>3501</v>
      </c>
      <c r="C3119" s="509" t="s">
        <v>328</v>
      </c>
      <c r="D3119" s="512">
        <v>775086</v>
      </c>
    </row>
    <row r="3120" spans="1:4" ht="15" x14ac:dyDescent="0.35">
      <c r="A3120" s="509">
        <v>10509</v>
      </c>
      <c r="B3120" s="510" t="s">
        <v>3502</v>
      </c>
      <c r="C3120" s="509" t="s">
        <v>328</v>
      </c>
      <c r="D3120" s="511">
        <v>1155887</v>
      </c>
    </row>
    <row r="3121" spans="1:4" ht="15" x14ac:dyDescent="0.35">
      <c r="A3121" s="509">
        <v>10510</v>
      </c>
      <c r="B3121" s="510" t="s">
        <v>3503</v>
      </c>
      <c r="C3121" s="509" t="s">
        <v>328</v>
      </c>
      <c r="D3121" s="512">
        <v>1482411</v>
      </c>
    </row>
    <row r="3122" spans="1:4" ht="15" x14ac:dyDescent="0.35">
      <c r="A3122" s="509">
        <v>10511</v>
      </c>
      <c r="B3122" s="510" t="s">
        <v>3504</v>
      </c>
      <c r="C3122" s="509" t="s">
        <v>328</v>
      </c>
      <c r="D3122" s="512">
        <v>1969460</v>
      </c>
    </row>
    <row r="3123" spans="1:4" ht="15" x14ac:dyDescent="0.35">
      <c r="A3123" s="509">
        <v>10512</v>
      </c>
      <c r="B3123" s="510" t="s">
        <v>3505</v>
      </c>
      <c r="C3123" s="509" t="s">
        <v>328</v>
      </c>
      <c r="D3123" s="512">
        <v>2754669</v>
      </c>
    </row>
    <row r="3124" spans="1:4" ht="15" x14ac:dyDescent="0.35">
      <c r="A3124" s="509">
        <v>10513</v>
      </c>
      <c r="B3124" s="510" t="s">
        <v>3506</v>
      </c>
      <c r="C3124" s="509" t="s">
        <v>328</v>
      </c>
      <c r="D3124" s="512">
        <v>4401649</v>
      </c>
    </row>
    <row r="3125" spans="1:4" ht="15" x14ac:dyDescent="0.35">
      <c r="A3125" s="509">
        <v>10514</v>
      </c>
      <c r="B3125" s="510" t="s">
        <v>3507</v>
      </c>
      <c r="C3125" s="509" t="s">
        <v>328</v>
      </c>
      <c r="D3125" s="511">
        <v>7186863</v>
      </c>
    </row>
    <row r="3126" spans="1:4" ht="15" x14ac:dyDescent="0.35">
      <c r="A3126" s="509">
        <v>10515</v>
      </c>
      <c r="B3126" s="510" t="s">
        <v>3508</v>
      </c>
      <c r="C3126" s="509" t="s">
        <v>328</v>
      </c>
      <c r="D3126" s="512">
        <v>7190907</v>
      </c>
    </row>
    <row r="3127" spans="1:4" ht="15" x14ac:dyDescent="0.35">
      <c r="A3127" s="509">
        <v>10516</v>
      </c>
      <c r="B3127" s="510" t="s">
        <v>3509</v>
      </c>
      <c r="C3127" s="509" t="s">
        <v>328</v>
      </c>
      <c r="D3127" s="512">
        <v>8473166</v>
      </c>
    </row>
    <row r="3128" spans="1:4" ht="15" x14ac:dyDescent="0.35">
      <c r="A3128" s="509">
        <v>10529</v>
      </c>
      <c r="B3128" s="510" t="s">
        <v>3510</v>
      </c>
      <c r="C3128" s="509" t="s">
        <v>32</v>
      </c>
      <c r="D3128" s="512">
        <v>874099</v>
      </c>
    </row>
    <row r="3129" spans="1:4" ht="15" x14ac:dyDescent="0.35">
      <c r="A3129" s="509">
        <v>10530</v>
      </c>
      <c r="B3129" s="510" t="s">
        <v>3511</v>
      </c>
      <c r="C3129" s="509" t="s">
        <v>32</v>
      </c>
      <c r="D3129" s="512">
        <v>61575</v>
      </c>
    </row>
    <row r="3130" spans="1:4" ht="15" x14ac:dyDescent="0.35">
      <c r="A3130" s="509">
        <v>10531</v>
      </c>
      <c r="B3130" s="510" t="s">
        <v>3512</v>
      </c>
      <c r="C3130" s="509" t="s">
        <v>32</v>
      </c>
      <c r="D3130" s="512">
        <v>40357</v>
      </c>
    </row>
    <row r="3131" spans="1:4" ht="15" x14ac:dyDescent="0.35">
      <c r="A3131" s="509">
        <v>10540</v>
      </c>
      <c r="B3131" s="510" t="s">
        <v>3513</v>
      </c>
      <c r="C3131" s="509" t="s">
        <v>32</v>
      </c>
      <c r="D3131" s="511">
        <v>88075</v>
      </c>
    </row>
    <row r="3132" spans="1:4" ht="15" x14ac:dyDescent="0.35">
      <c r="A3132" s="509">
        <v>10541</v>
      </c>
      <c r="B3132" s="510" t="s">
        <v>3514</v>
      </c>
      <c r="C3132" s="509" t="s">
        <v>32</v>
      </c>
      <c r="D3132" s="512">
        <v>231203</v>
      </c>
    </row>
    <row r="3133" spans="1:4" ht="15" x14ac:dyDescent="0.35">
      <c r="A3133" s="509">
        <v>10542</v>
      </c>
      <c r="B3133" s="510" t="s">
        <v>3515</v>
      </c>
      <c r="C3133" s="509" t="s">
        <v>32</v>
      </c>
      <c r="D3133" s="512">
        <v>361468</v>
      </c>
    </row>
    <row r="3134" spans="1:4" ht="15" x14ac:dyDescent="0.35">
      <c r="A3134" s="509">
        <v>10543</v>
      </c>
      <c r="B3134" s="510" t="s">
        <v>3516</v>
      </c>
      <c r="C3134" s="509" t="s">
        <v>30</v>
      </c>
      <c r="D3134" s="512">
        <v>914039</v>
      </c>
    </row>
    <row r="3135" spans="1:4" ht="15" x14ac:dyDescent="0.35">
      <c r="A3135" s="509">
        <v>10544</v>
      </c>
      <c r="B3135" s="510" t="s">
        <v>3517</v>
      </c>
      <c r="C3135" s="509" t="s">
        <v>328</v>
      </c>
      <c r="D3135" s="512">
        <v>189541</v>
      </c>
    </row>
    <row r="3136" spans="1:4" ht="15" x14ac:dyDescent="0.35">
      <c r="A3136" s="509">
        <v>10545</v>
      </c>
      <c r="B3136" s="510" t="s">
        <v>3518</v>
      </c>
      <c r="C3136" s="509" t="s">
        <v>21</v>
      </c>
      <c r="D3136" s="512">
        <v>14361</v>
      </c>
    </row>
    <row r="3137" spans="1:4" ht="15" x14ac:dyDescent="0.35">
      <c r="A3137" s="509">
        <v>10546</v>
      </c>
      <c r="B3137" s="510" t="s">
        <v>3519</v>
      </c>
      <c r="C3137" s="509" t="s">
        <v>21</v>
      </c>
      <c r="D3137" s="512">
        <v>3241</v>
      </c>
    </row>
    <row r="3138" spans="1:4" ht="15" x14ac:dyDescent="0.35">
      <c r="A3138" s="509">
        <v>10547</v>
      </c>
      <c r="B3138" s="510" t="s">
        <v>3520</v>
      </c>
      <c r="C3138" s="509" t="s">
        <v>21</v>
      </c>
      <c r="D3138" s="512">
        <v>2887</v>
      </c>
    </row>
    <row r="3139" spans="1:4" ht="15" x14ac:dyDescent="0.35">
      <c r="A3139" s="509">
        <v>10548</v>
      </c>
      <c r="B3139" s="510" t="s">
        <v>3521</v>
      </c>
      <c r="C3139" s="509" t="s">
        <v>328</v>
      </c>
      <c r="D3139" s="512">
        <v>1965</v>
      </c>
    </row>
    <row r="3140" spans="1:4" ht="15" x14ac:dyDescent="0.35">
      <c r="A3140" s="509">
        <v>10549</v>
      </c>
      <c r="B3140" s="510" t="s">
        <v>3522</v>
      </c>
      <c r="C3140" s="509" t="s">
        <v>32</v>
      </c>
      <c r="D3140" s="512">
        <v>6038</v>
      </c>
    </row>
    <row r="3141" spans="1:4" ht="15" x14ac:dyDescent="0.35">
      <c r="A3141" s="509">
        <v>10550</v>
      </c>
      <c r="B3141" s="510" t="s">
        <v>3523</v>
      </c>
      <c r="C3141" s="509" t="s">
        <v>32</v>
      </c>
      <c r="D3141" s="512">
        <v>6955</v>
      </c>
    </row>
    <row r="3142" spans="1:4" ht="15" x14ac:dyDescent="0.35">
      <c r="A3142" s="509">
        <v>10551</v>
      </c>
      <c r="B3142" s="510" t="s">
        <v>3524</v>
      </c>
      <c r="C3142" s="509" t="s">
        <v>21</v>
      </c>
      <c r="D3142" s="512">
        <v>5130</v>
      </c>
    </row>
    <row r="3143" spans="1:4" ht="15" x14ac:dyDescent="0.35">
      <c r="A3143" s="509">
        <v>10552</v>
      </c>
      <c r="B3143" s="510" t="s">
        <v>3525</v>
      </c>
      <c r="C3143" s="509" t="s">
        <v>21</v>
      </c>
      <c r="D3143" s="512">
        <v>9761</v>
      </c>
    </row>
    <row r="3144" spans="1:4" ht="15" x14ac:dyDescent="0.35">
      <c r="A3144" s="509">
        <v>10553</v>
      </c>
      <c r="B3144" s="510" t="s">
        <v>3526</v>
      </c>
      <c r="C3144" s="509" t="s">
        <v>21</v>
      </c>
      <c r="D3144" s="512">
        <v>54638</v>
      </c>
    </row>
    <row r="3145" spans="1:4" ht="15" x14ac:dyDescent="0.35">
      <c r="A3145" s="509">
        <v>10554</v>
      </c>
      <c r="B3145" s="510" t="s">
        <v>3527</v>
      </c>
      <c r="C3145" s="509" t="s">
        <v>3528</v>
      </c>
      <c r="D3145" s="512">
        <v>82435</v>
      </c>
    </row>
    <row r="3146" spans="1:4" ht="15" x14ac:dyDescent="0.35">
      <c r="A3146" s="509">
        <v>10555</v>
      </c>
      <c r="B3146" s="510" t="s">
        <v>3529</v>
      </c>
      <c r="C3146" s="509" t="s">
        <v>3528</v>
      </c>
      <c r="D3146" s="512">
        <v>152167</v>
      </c>
    </row>
    <row r="3147" spans="1:4" ht="15" x14ac:dyDescent="0.35">
      <c r="A3147" s="509">
        <v>10556</v>
      </c>
      <c r="B3147" s="510" t="s">
        <v>3530</v>
      </c>
      <c r="C3147" s="509" t="s">
        <v>3528</v>
      </c>
      <c r="D3147" s="511">
        <v>138267</v>
      </c>
    </row>
    <row r="3148" spans="1:4" ht="15" x14ac:dyDescent="0.35">
      <c r="A3148" s="509">
        <v>10557</v>
      </c>
      <c r="B3148" s="510" t="s">
        <v>3531</v>
      </c>
      <c r="C3148" s="509" t="s">
        <v>3532</v>
      </c>
      <c r="D3148" s="511">
        <v>1342</v>
      </c>
    </row>
    <row r="3149" spans="1:4" ht="15" x14ac:dyDescent="0.35">
      <c r="A3149" s="509">
        <v>10558</v>
      </c>
      <c r="B3149" s="510" t="s">
        <v>3533</v>
      </c>
      <c r="C3149" s="509" t="s">
        <v>21</v>
      </c>
      <c r="D3149" s="512">
        <v>46944</v>
      </c>
    </row>
    <row r="3150" spans="1:4" ht="15" x14ac:dyDescent="0.35">
      <c r="A3150" s="509">
        <v>10559</v>
      </c>
      <c r="B3150" s="510" t="s">
        <v>3534</v>
      </c>
      <c r="C3150" s="509" t="s">
        <v>21</v>
      </c>
      <c r="D3150" s="511">
        <v>1867</v>
      </c>
    </row>
    <row r="3151" spans="1:4" ht="15" x14ac:dyDescent="0.35">
      <c r="A3151" s="509">
        <v>10596</v>
      </c>
      <c r="B3151" s="510" t="s">
        <v>6601</v>
      </c>
      <c r="C3151" s="509" t="s">
        <v>32</v>
      </c>
      <c r="D3151" s="511">
        <v>321945</v>
      </c>
    </row>
    <row r="3152" spans="1:4" ht="15" x14ac:dyDescent="0.35">
      <c r="A3152" s="509">
        <v>10597</v>
      </c>
      <c r="B3152" s="510" t="s">
        <v>6602</v>
      </c>
      <c r="C3152" s="509" t="s">
        <v>32</v>
      </c>
      <c r="D3152" s="511">
        <v>242650</v>
      </c>
    </row>
    <row r="3153" spans="1:4" ht="15" x14ac:dyDescent="0.35">
      <c r="A3153" s="509">
        <v>10598</v>
      </c>
      <c r="B3153" s="510" t="s">
        <v>6603</v>
      </c>
      <c r="C3153" s="509" t="s">
        <v>32</v>
      </c>
      <c r="D3153" s="511">
        <v>340003</v>
      </c>
    </row>
    <row r="3154" spans="1:4" ht="15" x14ac:dyDescent="0.35">
      <c r="A3154" s="509">
        <v>10599</v>
      </c>
      <c r="B3154" s="510" t="s">
        <v>6604</v>
      </c>
      <c r="C3154" s="509" t="s">
        <v>32</v>
      </c>
      <c r="D3154" s="511">
        <v>122609</v>
      </c>
    </row>
    <row r="3155" spans="1:4" ht="15" x14ac:dyDescent="0.35">
      <c r="A3155" s="509">
        <v>10600</v>
      </c>
      <c r="B3155" s="510" t="s">
        <v>6605</v>
      </c>
      <c r="C3155" s="509" t="s">
        <v>32</v>
      </c>
      <c r="D3155" s="511">
        <v>108702</v>
      </c>
    </row>
    <row r="3156" spans="1:4" ht="15" x14ac:dyDescent="0.35">
      <c r="A3156" s="509">
        <v>10601</v>
      </c>
      <c r="B3156" s="510" t="s">
        <v>6606</v>
      </c>
      <c r="C3156" s="509" t="s">
        <v>32</v>
      </c>
      <c r="D3156" s="512">
        <v>244844</v>
      </c>
    </row>
    <row r="3157" spans="1:4" ht="15" x14ac:dyDescent="0.35">
      <c r="A3157" s="509">
        <v>10602</v>
      </c>
      <c r="B3157" s="510" t="s">
        <v>6607</v>
      </c>
      <c r="C3157" s="509" t="s">
        <v>32</v>
      </c>
      <c r="D3157" s="512">
        <v>117393</v>
      </c>
    </row>
    <row r="3158" spans="1:4" ht="15" x14ac:dyDescent="0.35">
      <c r="A3158" s="509">
        <v>10603</v>
      </c>
      <c r="B3158" s="510" t="s">
        <v>6608</v>
      </c>
      <c r="C3158" s="509" t="s">
        <v>32</v>
      </c>
      <c r="D3158" s="512">
        <v>754878</v>
      </c>
    </row>
    <row r="3159" spans="1:4" ht="15" x14ac:dyDescent="0.35">
      <c r="A3159" s="509">
        <v>10604</v>
      </c>
      <c r="B3159" s="510" t="s">
        <v>6609</v>
      </c>
      <c r="C3159" s="509" t="s">
        <v>32</v>
      </c>
      <c r="D3159" s="512">
        <v>720890</v>
      </c>
    </row>
    <row r="3160" spans="1:4" ht="15" x14ac:dyDescent="0.35">
      <c r="A3160" s="509">
        <v>10605</v>
      </c>
      <c r="B3160" s="510" t="s">
        <v>6610</v>
      </c>
      <c r="C3160" s="509" t="s">
        <v>32</v>
      </c>
      <c r="D3160" s="512">
        <v>397070</v>
      </c>
    </row>
    <row r="3161" spans="1:4" ht="15" x14ac:dyDescent="0.35">
      <c r="A3161" s="509">
        <v>10606</v>
      </c>
      <c r="B3161" s="510" t="s">
        <v>6611</v>
      </c>
      <c r="C3161" s="509" t="s">
        <v>32</v>
      </c>
      <c r="D3161" s="511">
        <v>185801</v>
      </c>
    </row>
    <row r="3162" spans="1:4" ht="15" x14ac:dyDescent="0.35">
      <c r="A3162" s="509">
        <v>10607</v>
      </c>
      <c r="B3162" s="510" t="s">
        <v>6612</v>
      </c>
      <c r="C3162" s="509" t="s">
        <v>32</v>
      </c>
      <c r="D3162" s="511">
        <v>884551</v>
      </c>
    </row>
    <row r="3163" spans="1:4" ht="15" x14ac:dyDescent="0.35">
      <c r="A3163" s="509">
        <v>10608</v>
      </c>
      <c r="B3163" s="510" t="s">
        <v>6613</v>
      </c>
      <c r="C3163" s="509" t="s">
        <v>32</v>
      </c>
      <c r="D3163" s="511">
        <v>806775</v>
      </c>
    </row>
    <row r="3164" spans="1:4" ht="15" x14ac:dyDescent="0.35">
      <c r="A3164" s="509">
        <v>10609</v>
      </c>
      <c r="B3164" s="510" t="s">
        <v>6614</v>
      </c>
      <c r="C3164" s="509" t="s">
        <v>32</v>
      </c>
      <c r="D3164" s="511">
        <v>893332</v>
      </c>
    </row>
    <row r="3165" spans="1:4" ht="15" x14ac:dyDescent="0.35">
      <c r="A3165" s="509">
        <v>10610</v>
      </c>
      <c r="B3165" s="510" t="s">
        <v>6615</v>
      </c>
      <c r="C3165" s="509" t="s">
        <v>32</v>
      </c>
      <c r="D3165" s="511">
        <v>145513</v>
      </c>
    </row>
    <row r="3166" spans="1:4" ht="15" x14ac:dyDescent="0.35">
      <c r="A3166" s="509">
        <v>10611</v>
      </c>
      <c r="B3166" s="510" t="s">
        <v>6595</v>
      </c>
      <c r="C3166" s="509" t="s">
        <v>2721</v>
      </c>
      <c r="D3166" s="511">
        <v>180258</v>
      </c>
    </row>
    <row r="3167" spans="1:4" ht="15" x14ac:dyDescent="0.35">
      <c r="A3167" s="509">
        <v>10612</v>
      </c>
      <c r="B3167" s="510" t="s">
        <v>1318</v>
      </c>
      <c r="C3167" s="509" t="s">
        <v>328</v>
      </c>
      <c r="D3167" s="511">
        <v>196392</v>
      </c>
    </row>
    <row r="3168" spans="1:4" ht="15" x14ac:dyDescent="0.35">
      <c r="A3168" s="509">
        <v>10613</v>
      </c>
      <c r="B3168" s="510" t="s">
        <v>6616</v>
      </c>
      <c r="C3168" s="509" t="s">
        <v>30</v>
      </c>
      <c r="D3168" s="511">
        <v>945928</v>
      </c>
    </row>
    <row r="3169" spans="1:4" ht="15" x14ac:dyDescent="0.35">
      <c r="A3169" s="509">
        <v>10614</v>
      </c>
      <c r="B3169" s="510" t="s">
        <v>6617</v>
      </c>
      <c r="C3169" s="509" t="s">
        <v>30</v>
      </c>
      <c r="D3169" s="511">
        <v>949141</v>
      </c>
    </row>
    <row r="3170" spans="1:4" ht="15" x14ac:dyDescent="0.35">
      <c r="A3170" s="509">
        <v>10636</v>
      </c>
      <c r="B3170" s="510" t="s">
        <v>6618</v>
      </c>
      <c r="C3170" s="509" t="s">
        <v>6619</v>
      </c>
      <c r="D3170" s="511">
        <v>26840595</v>
      </c>
    </row>
    <row r="3171" spans="1:4" ht="15" x14ac:dyDescent="0.35">
      <c r="A3171" s="509">
        <v>10637</v>
      </c>
      <c r="B3171" s="510" t="s">
        <v>6620</v>
      </c>
      <c r="C3171" s="509" t="s">
        <v>6619</v>
      </c>
      <c r="D3171" s="511">
        <v>26631155</v>
      </c>
    </row>
    <row r="3172" spans="1:4" ht="15" x14ac:dyDescent="0.35">
      <c r="A3172" s="509">
        <v>10638</v>
      </c>
      <c r="B3172" s="510" t="s">
        <v>6621</v>
      </c>
      <c r="C3172" s="509" t="s">
        <v>6619</v>
      </c>
      <c r="D3172" s="511">
        <v>29947355</v>
      </c>
    </row>
    <row r="3173" spans="1:4" ht="15" x14ac:dyDescent="0.35">
      <c r="A3173" s="509">
        <v>10639</v>
      </c>
      <c r="B3173" s="510" t="s">
        <v>6622</v>
      </c>
      <c r="C3173" s="509" t="s">
        <v>6619</v>
      </c>
      <c r="D3173" s="511">
        <v>12093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C88C0-8D76-4338-BB3A-56039986D042}">
  <sheetPr>
    <tabColor rgb="FF00B0F0"/>
  </sheetPr>
  <dimension ref="A1:K223"/>
  <sheetViews>
    <sheetView showGridLines="0" topLeftCell="E209" zoomScale="49" zoomScaleNormal="100" zoomScaleSheetLayoutView="70" zoomScalePageLayoutView="55" workbookViewId="0">
      <selection activeCell="I217" sqref="I217"/>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30.44140625" style="4" customWidth="1"/>
    <col min="6" max="6" width="8.6640625" style="4" customWidth="1"/>
    <col min="7" max="7" width="18.88671875" style="4" customWidth="1"/>
    <col min="8" max="8" width="23.88671875" style="4" customWidth="1"/>
    <col min="9" max="9" width="30" style="4" customWidth="1"/>
    <col min="10" max="10" width="3.33203125" style="4" customWidth="1"/>
    <col min="11" max="11" width="19.5546875" style="4" bestFit="1" customWidth="1"/>
    <col min="12" max="16384" width="11.44140625" style="4"/>
  </cols>
  <sheetData>
    <row r="1" spans="1:10" ht="16.2" thickBot="1" x14ac:dyDescent="0.35">
      <c r="A1" s="3"/>
      <c r="B1" s="3"/>
      <c r="C1" s="3"/>
      <c r="D1" s="3"/>
      <c r="E1" s="3"/>
      <c r="F1" s="3"/>
      <c r="G1" s="3"/>
      <c r="H1" s="3"/>
      <c r="I1" s="3"/>
      <c r="J1" s="3"/>
    </row>
    <row r="2" spans="1:10" ht="16.2" thickTop="1" x14ac:dyDescent="0.3">
      <c r="A2" s="3"/>
      <c r="B2" s="5"/>
      <c r="C2" s="6"/>
      <c r="D2" s="6"/>
      <c r="E2" s="6"/>
      <c r="F2" s="6"/>
      <c r="G2" s="6"/>
      <c r="H2" s="6"/>
      <c r="I2" s="6"/>
      <c r="J2" s="7"/>
    </row>
    <row r="3" spans="1:10" ht="27" customHeight="1" x14ac:dyDescent="0.3">
      <c r="A3" s="3"/>
      <c r="B3" s="8"/>
      <c r="C3" s="584" t="s">
        <v>60</v>
      </c>
      <c r="D3" s="585"/>
      <c r="E3" s="3"/>
      <c r="F3" s="3"/>
      <c r="G3" s="3"/>
      <c r="H3" s="3"/>
      <c r="I3" s="3"/>
      <c r="J3" s="9"/>
    </row>
    <row r="4" spans="1:10" ht="15.6" x14ac:dyDescent="0.3">
      <c r="A4" s="3"/>
      <c r="B4" s="8"/>
      <c r="C4" s="10" t="s">
        <v>1</v>
      </c>
      <c r="D4" s="11" t="s">
        <v>2</v>
      </c>
      <c r="E4" s="3"/>
      <c r="F4" s="3"/>
      <c r="G4" s="3"/>
      <c r="H4" s="3"/>
      <c r="I4" s="3"/>
      <c r="J4" s="9"/>
    </row>
    <row r="5" spans="1:10" ht="15.6" x14ac:dyDescent="0.3">
      <c r="A5" s="3"/>
      <c r="B5" s="8"/>
      <c r="C5" s="586" t="s">
        <v>3</v>
      </c>
      <c r="D5" s="586"/>
      <c r="E5" s="586"/>
      <c r="F5" s="586"/>
      <c r="G5" s="586"/>
      <c r="H5" s="586"/>
      <c r="I5" s="586"/>
      <c r="J5" s="9"/>
    </row>
    <row r="6" spans="1:10" ht="16.2" thickBot="1" x14ac:dyDescent="0.35">
      <c r="A6" s="3"/>
      <c r="B6" s="8"/>
      <c r="C6" s="587" t="s">
        <v>61</v>
      </c>
      <c r="D6" s="587"/>
      <c r="E6" s="587"/>
      <c r="F6" s="587"/>
      <c r="G6" s="587"/>
      <c r="H6" s="587"/>
      <c r="I6" s="587"/>
      <c r="J6" s="9"/>
    </row>
    <row r="7" spans="1:10" s="15" customFormat="1" ht="16.5" customHeight="1" x14ac:dyDescent="0.3">
      <c r="A7" s="12"/>
      <c r="B7" s="13"/>
      <c r="C7" s="588" t="s">
        <v>5</v>
      </c>
      <c r="D7" s="589"/>
      <c r="E7" s="589"/>
      <c r="F7" s="590"/>
      <c r="G7" s="590"/>
      <c r="H7" s="591"/>
      <c r="I7" s="592"/>
      <c r="J7" s="14"/>
    </row>
    <row r="8" spans="1:10" ht="15.6" x14ac:dyDescent="0.3">
      <c r="A8" s="3"/>
      <c r="B8" s="16"/>
      <c r="C8" s="596" t="s">
        <v>6</v>
      </c>
      <c r="D8" s="597"/>
      <c r="E8" s="597"/>
      <c r="F8" s="593"/>
      <c r="G8" s="593"/>
      <c r="H8" s="594"/>
      <c r="I8" s="595"/>
      <c r="J8" s="9"/>
    </row>
    <row r="9" spans="1:10" ht="15.6" x14ac:dyDescent="0.3">
      <c r="A9" s="3"/>
      <c r="B9" s="16"/>
      <c r="C9" s="596" t="s">
        <v>7</v>
      </c>
      <c r="D9" s="597"/>
      <c r="E9" s="597"/>
      <c r="F9" s="593"/>
      <c r="G9" s="593"/>
      <c r="H9" s="594"/>
      <c r="I9" s="595"/>
      <c r="J9" s="9"/>
    </row>
    <row r="10" spans="1:10" ht="15.6" x14ac:dyDescent="0.3">
      <c r="A10" s="3"/>
      <c r="B10" s="16"/>
      <c r="C10" s="599" t="s">
        <v>8</v>
      </c>
      <c r="D10" s="593"/>
      <c r="E10" s="593" t="s">
        <v>9</v>
      </c>
      <c r="F10" s="593"/>
      <c r="G10" s="593"/>
      <c r="H10" s="594"/>
      <c r="I10" s="595"/>
      <c r="J10" s="9"/>
    </row>
    <row r="11" spans="1:10" ht="15.6" x14ac:dyDescent="0.3">
      <c r="A11" s="3"/>
      <c r="B11" s="16"/>
      <c r="C11" s="599"/>
      <c r="D11" s="593"/>
      <c r="E11" s="593"/>
      <c r="F11" s="593"/>
      <c r="G11" s="593"/>
      <c r="H11" s="594"/>
      <c r="I11" s="595"/>
      <c r="J11" s="9"/>
    </row>
    <row r="12" spans="1:10" ht="16.2" thickBot="1" x14ac:dyDescent="0.35">
      <c r="A12" s="3"/>
      <c r="B12" s="16"/>
      <c r="C12" s="600"/>
      <c r="D12" s="601"/>
      <c r="E12" s="601"/>
      <c r="F12" s="601"/>
      <c r="G12" s="601"/>
      <c r="H12" s="602"/>
      <c r="I12" s="603"/>
      <c r="J12" s="9"/>
    </row>
    <row r="13" spans="1:10" ht="30" customHeight="1" thickBot="1" x14ac:dyDescent="0.35">
      <c r="A13" s="3"/>
      <c r="B13" s="8"/>
      <c r="C13" s="604"/>
      <c r="D13" s="605"/>
      <c r="E13" s="605"/>
      <c r="F13" s="605"/>
      <c r="G13" s="605"/>
      <c r="H13" s="630"/>
      <c r="I13" s="606"/>
      <c r="J13" s="9"/>
    </row>
    <row r="14" spans="1:10" ht="16.5" customHeight="1" x14ac:dyDescent="0.3">
      <c r="A14" s="3"/>
      <c r="B14" s="8"/>
      <c r="C14" s="607" t="s">
        <v>10</v>
      </c>
      <c r="D14" s="609" t="s">
        <v>11</v>
      </c>
      <c r="E14" s="607" t="s">
        <v>12</v>
      </c>
      <c r="F14" s="611" t="s">
        <v>13</v>
      </c>
      <c r="G14" s="631" t="s">
        <v>14</v>
      </c>
      <c r="H14" s="633"/>
      <c r="I14" s="634" t="s">
        <v>16</v>
      </c>
      <c r="J14" s="9"/>
    </row>
    <row r="15" spans="1:10" ht="30" customHeight="1" x14ac:dyDescent="0.3">
      <c r="A15" s="3"/>
      <c r="B15" s="8"/>
      <c r="C15" s="608"/>
      <c r="D15" s="610"/>
      <c r="E15" s="608"/>
      <c r="F15" s="544"/>
      <c r="G15" s="632"/>
      <c r="H15" s="633"/>
      <c r="I15" s="635"/>
      <c r="J15" s="9"/>
    </row>
    <row r="16" spans="1:10" ht="30" customHeight="1" x14ac:dyDescent="0.3">
      <c r="A16" s="3"/>
      <c r="B16" s="8"/>
      <c r="C16" s="61" t="s">
        <v>17</v>
      </c>
      <c r="D16" s="64"/>
      <c r="E16" s="64"/>
      <c r="F16" s="64"/>
      <c r="G16" s="64"/>
      <c r="H16" s="501"/>
      <c r="I16" s="65"/>
      <c r="J16" s="9"/>
    </row>
    <row r="17" spans="1:10" ht="30" customHeight="1" x14ac:dyDescent="0.3">
      <c r="A17" s="3"/>
      <c r="B17" s="8"/>
      <c r="C17" s="61" t="s">
        <v>18</v>
      </c>
      <c r="D17" s="64"/>
      <c r="E17" s="64"/>
      <c r="F17" s="64"/>
      <c r="G17" s="65"/>
      <c r="H17" s="501"/>
      <c r="I17" s="502"/>
      <c r="J17" s="9"/>
    </row>
    <row r="18" spans="1:10" ht="30" customHeight="1" x14ac:dyDescent="0.3">
      <c r="A18" s="3"/>
      <c r="B18" s="8"/>
      <c r="C18" s="60">
        <v>10996</v>
      </c>
      <c r="D18" s="60">
        <v>1001</v>
      </c>
      <c r="E18" s="60" t="str">
        <f>+VLOOKUP(C18,'PRECIOS INSUMOS IDU 2025'!$A$1:$E$3189,2,FALSE)</f>
        <v>APIQUE MANUAL HASTA 2 M DE 1.5 M X 1.5 M - RELLENO Y ADECUACIÓN DEL SITIO - INCLUYE TRANSPORTE</v>
      </c>
      <c r="F18" s="60" t="str">
        <f>+VLOOKUP(C18,'PRECIOS INSUMOS IDU 2025'!$A$1:$E$3189,3,FALSE)</f>
        <v>UN</v>
      </c>
      <c r="G18" s="108">
        <v>18</v>
      </c>
      <c r="H18" s="89"/>
      <c r="I18" s="69"/>
      <c r="J18" s="9"/>
    </row>
    <row r="19" spans="1:10" ht="30" customHeight="1" x14ac:dyDescent="0.3">
      <c r="A19" s="3"/>
      <c r="B19" s="8"/>
      <c r="C19" s="60">
        <v>7488</v>
      </c>
      <c r="D19" s="60">
        <v>1002</v>
      </c>
      <c r="E19" s="60" t="str">
        <f>+VLOOKUP(C19,'PRECIOS INSUMOS IDU 2025'!$A$1:$E$3189,2,FALSE)</f>
        <v>DETERMINACION EN EL LABORATORIO DEL CONTENIDO DE AGUA (HUMEDAD) DE MUESTRAS DE SUELO, ROCA Y MEZCLAS DE SUELO-AGREGADO. Norma técnica: INVE-122-13 NTC-1495-13 ASTM D2216-19.</v>
      </c>
      <c r="F19" s="60" t="str">
        <f>+VLOOKUP(C19,'PRECIOS INSUMOS IDU 2025'!$A$1:$E$3189,3,FALSE)</f>
        <v>UN</v>
      </c>
      <c r="G19" s="108">
        <v>18</v>
      </c>
      <c r="H19" s="89"/>
      <c r="I19" s="69"/>
      <c r="J19" s="9"/>
    </row>
    <row r="20" spans="1:10" ht="30" customHeight="1" x14ac:dyDescent="0.3">
      <c r="A20" s="3"/>
      <c r="B20" s="8"/>
      <c r="C20" s="60">
        <v>7490</v>
      </c>
      <c r="D20" s="60">
        <v>1003</v>
      </c>
      <c r="E20" s="60" t="str">
        <f>+VLOOKUP(C20,'PRECIOS INSUMOS IDU 2025'!$A$1:$E$3189,2,FALSE)</f>
        <v>DETERMINACION DE LOS TAMAÑOS DE LAS PARTICULAS DE LOS SUELOS (GRANULOMETRIA POR TAMIZADO E HIDROMETRIA). Norma técnica: INVE-123-13 ASTM D422-63 (07)e2</v>
      </c>
      <c r="F20" s="60" t="str">
        <f>+VLOOKUP(C20,'PRECIOS INSUMOS IDU 2025'!$A$1:$E$3189,3,FALSE)</f>
        <v>UN</v>
      </c>
      <c r="G20" s="108">
        <v>18</v>
      </c>
      <c r="H20" s="89"/>
      <c r="I20" s="69"/>
      <c r="J20" s="9"/>
    </row>
    <row r="21" spans="1:10" ht="30" customHeight="1" x14ac:dyDescent="0.3">
      <c r="A21" s="3"/>
      <c r="B21" s="8"/>
      <c r="C21" s="60">
        <v>7489</v>
      </c>
      <c r="D21" s="60">
        <v>1004</v>
      </c>
      <c r="E21" s="60" t="str">
        <f>+VLOOKUP(C21,'PRECIOS INSUMOS IDU 2025'!$A$1:$E$3189,2,FALSE)</f>
        <v>METODO DE PRUEBA ESTANDAR PARA LA DETERMINACION DE LA DENSIDAD (PESO UNITARIO) EN LABORATORIO DE ESPECIMENES DE SUELO. Norma técnica: ASTM D7263-21.</v>
      </c>
      <c r="F21" s="60" t="str">
        <f>+VLOOKUP(C21,'PRECIOS INSUMOS IDU 2025'!$A$1:$E$3189,3,FALSE)</f>
        <v>UN</v>
      </c>
      <c r="G21" s="108">
        <v>18</v>
      </c>
      <c r="H21" s="89"/>
      <c r="I21" s="69"/>
      <c r="J21" s="9"/>
    </row>
    <row r="22" spans="1:10" ht="30" customHeight="1" x14ac:dyDescent="0.3">
      <c r="A22" s="3"/>
      <c r="B22" s="8"/>
      <c r="C22" s="60">
        <v>7494</v>
      </c>
      <c r="D22" s="60">
        <v>1005</v>
      </c>
      <c r="E22" s="60" t="str">
        <f>+VLOOKUP(C22,'PRECIOS INSUMOS IDU 2025'!$A$1:$E$3189,2,FALSE)</f>
        <v>DETERMINACION DE LA GRAVEDAD ESPECÍFICA DE LAS PARTICULAS SOLIDAS DE LOS SUELOS Y DEL LLENANTE MINERAL, EMPLEANDO UN PICNOMETRO CON AGUA. Norma técnica: INVE-128-13 ASTM D854-23</v>
      </c>
      <c r="F22" s="60" t="str">
        <f>+VLOOKUP(C22,'PRECIOS INSUMOS IDU 2025'!$A$1:$E$3189,3,FALSE)</f>
        <v>UN</v>
      </c>
      <c r="G22" s="108">
        <v>18</v>
      </c>
      <c r="H22" s="89"/>
      <c r="I22" s="69"/>
      <c r="J22" s="9"/>
    </row>
    <row r="23" spans="1:10" ht="30" customHeight="1" x14ac:dyDescent="0.3">
      <c r="A23" s="3"/>
      <c r="B23" s="8"/>
      <c r="C23" s="60">
        <v>7496</v>
      </c>
      <c r="D23" s="60">
        <v>1006</v>
      </c>
      <c r="E23" s="60" t="str">
        <f>+VLOOKUP(C23,'PRECIOS INSUMOS IDU 2025'!$A$1:$E$3189,2,FALSE)</f>
        <v>DETERMINACION DE LOS FACTORES DE CONTRACCION DE LOS SUELOS. Norma técnica: INVE-127-13 NTC-1503-01 ASTM D427-04</v>
      </c>
      <c r="F23" s="60" t="str">
        <f>+VLOOKUP(C23,'PRECIOS INSUMOS IDU 2025'!$A$1:$E$3189,3,FALSE)</f>
        <v>UN</v>
      </c>
      <c r="G23" s="108">
        <v>18</v>
      </c>
      <c r="H23" s="89"/>
      <c r="I23" s="69"/>
      <c r="J23" s="9"/>
    </row>
    <row r="24" spans="1:10" ht="30" customHeight="1" x14ac:dyDescent="0.3">
      <c r="A24" s="3"/>
      <c r="B24" s="8"/>
      <c r="C24" s="60">
        <v>7497</v>
      </c>
      <c r="D24" s="60">
        <v>1007</v>
      </c>
      <c r="E24" s="60" t="str">
        <f>+VLOOKUP(C24,'PRECIOS INSUMOS IDU 2025'!$A$1:$E$3189,2,FALSE)</f>
        <v>DETERMINACION DEL CONTENIDO ORGANICO DE UN SUELO MEDIANTE EL ENSAYO DE PERDIDA POR IGNICION. Norma técnica: INVE-121-13 AASHTO T-267-22</v>
      </c>
      <c r="F24" s="60" t="str">
        <f>+VLOOKUP(C24,'PRECIOS INSUMOS IDU 2025'!$A$1:$E$3189,3,FALSE)</f>
        <v>UN</v>
      </c>
      <c r="G24" s="108">
        <v>18</v>
      </c>
      <c r="H24" s="89"/>
      <c r="I24" s="69"/>
      <c r="J24" s="9"/>
    </row>
    <row r="25" spans="1:10" ht="30" customHeight="1" x14ac:dyDescent="0.3">
      <c r="A25" s="3"/>
      <c r="B25" s="8"/>
      <c r="C25" s="60">
        <v>10019</v>
      </c>
      <c r="D25" s="60">
        <v>1008</v>
      </c>
      <c r="E25" s="60" t="str">
        <f>+VLOOKUP(C25,'PRECIOS INSUMOS IDU 2025'!$A$1:$E$3189,2,FALSE)</f>
        <v>DETERMINACION DEL LIMITE LIQUIDO DE LOS SUELOS - LIMITE PLASTICO E INDICE DE PLASTICIDAD DE LOS SUELOS. Norma técnica: INVE-125-13 INVE-126-13 NTC-4630-99 ASTM D4318-17e1 (18).</v>
      </c>
      <c r="F25" s="60" t="str">
        <f>+VLOOKUP(C25,'PRECIOS INSUMOS IDU 2025'!$A$1:$E$3189,3,FALSE)</f>
        <v>UN</v>
      </c>
      <c r="G25" s="108">
        <v>18</v>
      </c>
      <c r="H25" s="89"/>
      <c r="I25" s="69"/>
      <c r="J25" s="9"/>
    </row>
    <row r="26" spans="1:10" ht="30" customHeight="1" x14ac:dyDescent="0.3">
      <c r="A26" s="3"/>
      <c r="B26" s="8"/>
      <c r="C26" s="60">
        <v>10024</v>
      </c>
      <c r="D26" s="60">
        <v>1009</v>
      </c>
      <c r="E26" s="60" t="str">
        <f>+VLOOKUP(C26,'PRECIOS INSUMOS IDU 2025'!$A$1:$E$3189,2,FALSE)</f>
        <v>DETERMINACION DEL POTENCIAL DE CAMBIO VOLUMETRICO DE UN SUELO EMPLEANDO EL APARATO DE LAMBE. Norma técnica: INVE-120-13 UNE-EN-103600-96</v>
      </c>
      <c r="F26" s="60" t="str">
        <f>+VLOOKUP(C26,'PRECIOS INSUMOS IDU 2025'!$A$1:$E$3189,3,FALSE)</f>
        <v>UN</v>
      </c>
      <c r="G26" s="108">
        <v>18</v>
      </c>
      <c r="H26" s="89"/>
      <c r="I26" s="69"/>
      <c r="J26" s="9"/>
    </row>
    <row r="27" spans="1:10" ht="30" customHeight="1" x14ac:dyDescent="0.3">
      <c r="A27" s="3"/>
      <c r="B27" s="8"/>
      <c r="C27" s="60">
        <v>8012</v>
      </c>
      <c r="D27" s="60">
        <v>1010</v>
      </c>
      <c r="E27" s="60" t="str">
        <f>+VLOOKUP(C27,'PRECIOS INSUMOS IDU 2025'!$A$1:$E$3189,2,FALSE)</f>
        <v>CBR SOBRE MUESTRA INALTERADA (METODO II). Norma técnica: INVE-148-13 NTC-2122-13 ASTM D1883-21.</v>
      </c>
      <c r="F27" s="60" t="str">
        <f>+VLOOKUP(C27,'PRECIOS INSUMOS IDU 2025'!$A$1:$E$3189,3,FALSE)</f>
        <v>UN</v>
      </c>
      <c r="G27" s="108">
        <v>34</v>
      </c>
      <c r="H27" s="89"/>
      <c r="I27" s="69"/>
      <c r="J27" s="9"/>
    </row>
    <row r="28" spans="1:10" ht="30" customHeight="1" x14ac:dyDescent="0.3">
      <c r="A28" s="3"/>
      <c r="B28" s="8"/>
      <c r="C28" s="60">
        <v>7892</v>
      </c>
      <c r="D28" s="60">
        <v>1011</v>
      </c>
      <c r="E28" s="60" t="str">
        <f>+VLOOKUP(C28,'PRECIOS INSUMOS IDU 2025'!$A$1:$E$3189,2,FALSE)</f>
        <v>EQUIPO DE PRESION - SUCCION - SONDEO - LIMPIEZA - RECOLECCIÓN DE LODOS NO PELIGROSOS (No incluye agua).</v>
      </c>
      <c r="F28" s="60" t="str">
        <f>+VLOOKUP(C28,'PRECIOS INSUMOS IDU 2025'!$A$1:$E$3189,3,FALSE)</f>
        <v>HR</v>
      </c>
      <c r="G28" s="108">
        <v>50</v>
      </c>
      <c r="H28" s="89"/>
      <c r="I28" s="69"/>
      <c r="J28" s="9"/>
    </row>
    <row r="29" spans="1:10" ht="30" customHeight="1" x14ac:dyDescent="0.3">
      <c r="A29" s="3"/>
      <c r="B29" s="8"/>
      <c r="C29" s="60">
        <v>9434</v>
      </c>
      <c r="D29" s="60">
        <v>1012</v>
      </c>
      <c r="E29" s="60" t="str">
        <f>+VLOOKUP(C29,'PRECIOS INSUMOS IDU 2025'!$A$1:$E$3189,2,FALSE)</f>
        <v>TRATAMIENTO Y DISPOSICIÓN FINAL DE LODOS NO PELIGROSOS PROVENIENTES DE ALCANTARILLADO</v>
      </c>
      <c r="F29" s="60" t="str">
        <f>+VLOOKUP(C29,'PRECIOS INSUMOS IDU 2025'!$A$1:$E$3189,3,FALSE)</f>
        <v>KG</v>
      </c>
      <c r="G29" s="108">
        <v>2000</v>
      </c>
      <c r="H29" s="89"/>
      <c r="I29" s="69"/>
      <c r="J29" s="9"/>
    </row>
    <row r="30" spans="1:10" ht="30" customHeight="1" x14ac:dyDescent="0.3">
      <c r="A30" s="3"/>
      <c r="B30" s="8"/>
      <c r="C30" s="61" t="s">
        <v>19</v>
      </c>
      <c r="D30" s="64"/>
      <c r="E30" s="64"/>
      <c r="F30" s="64"/>
      <c r="G30" s="64"/>
      <c r="H30" s="501"/>
      <c r="I30" s="502"/>
      <c r="J30" s="9"/>
    </row>
    <row r="31" spans="1:10" ht="27.6" x14ac:dyDescent="0.3">
      <c r="A31" s="3"/>
      <c r="B31" s="8"/>
      <c r="C31" s="60"/>
      <c r="D31" s="60">
        <v>1013</v>
      </c>
      <c r="E31" s="60" t="s">
        <v>20</v>
      </c>
      <c r="F31" s="60" t="s">
        <v>21</v>
      </c>
      <c r="G31" s="108">
        <v>5112.3100000000004</v>
      </c>
      <c r="H31" s="89"/>
      <c r="I31" s="69"/>
      <c r="J31" s="9"/>
    </row>
    <row r="32" spans="1:10" ht="27.6" x14ac:dyDescent="0.3">
      <c r="A32" s="3"/>
      <c r="B32" s="8"/>
      <c r="C32" s="60">
        <v>8000</v>
      </c>
      <c r="D32" s="60">
        <v>1014</v>
      </c>
      <c r="E32" s="60" t="str">
        <f>+VLOOKUP(C32,'PRECIOS INSUMOS IDU 2025'!$A$1:$E$3189,2,FALSE)</f>
        <v>INSPECCIÓN DE REDES DE ALCANTARILLADO CON SISTEMA CCTV PARA DIÁMETROS ENTRE 6" Y 36". INCL MANO DE OBRA IDÓNEA, INFORME ESCRITO DE DIAGNÓSTICO Y DVD CON VIDEO. INCL IVA</v>
      </c>
      <c r="F32" s="60" t="str">
        <f>+VLOOKUP(C32,'PRECIOS INSUMOS IDU 2025'!$A$1:$E$3189,3,FALSE)</f>
        <v>ML</v>
      </c>
      <c r="G32" s="108">
        <v>1350.11</v>
      </c>
      <c r="H32" s="89"/>
      <c r="I32" s="69"/>
      <c r="J32" s="9"/>
    </row>
    <row r="33" spans="1:10" ht="27.6" x14ac:dyDescent="0.3">
      <c r="A33" s="3"/>
      <c r="B33" s="8"/>
      <c r="C33" s="60">
        <v>8001</v>
      </c>
      <c r="D33" s="60">
        <v>1015</v>
      </c>
      <c r="E33" s="60" t="str">
        <f>+VLOOKUP(C33,'PRECIOS INSUMOS IDU 2025'!$A$1:$E$3189,2,FALSE)</f>
        <v>INSPECCIÓN DE REDES DE ALCANTARILLADO CON SISTEMA CCTV  PARA DIÁMETROS MAYORES A 36". INCL MANO DE OBRA IDÓNEA, INFORME ESCRITO DE DIAGNÓSTICO Y DVD CON VIDEO. INCL IVA</v>
      </c>
      <c r="F33" s="60" t="str">
        <f>+VLOOKUP(C33,'PRECIOS INSUMOS IDU 2025'!$A$1:$E$3189,3,FALSE)</f>
        <v>ML</v>
      </c>
      <c r="G33" s="108">
        <v>150.01</v>
      </c>
      <c r="H33" s="89"/>
      <c r="I33" s="69"/>
      <c r="J33" s="9"/>
    </row>
    <row r="34" spans="1:10" ht="27.6" x14ac:dyDescent="0.3">
      <c r="A34" s="3"/>
      <c r="B34" s="8"/>
      <c r="C34" s="60">
        <v>8002</v>
      </c>
      <c r="D34" s="60">
        <v>1016</v>
      </c>
      <c r="E34" s="60" t="str">
        <f>+VLOOKUP(C34,'PRECIOS INSUMOS IDU 2025'!$A$1:$E$3189,2,FALSE)</f>
        <v>LAVADO Y SONDEO DE REDES DE ALCANTARILLADO ENTRE 6" Y 16" DE DIÁMETRO Y CON GRADO DE COLMATACIÓN MENOR DEL 30%. INCL MANO DE OBRA IDÓNEA, SEÑALIZACIÓN BÁSICA, SUMIN DE COMBUSTIBLE Y AGUA. INCL. IVA</v>
      </c>
      <c r="F34" s="60" t="str">
        <f>+VLOOKUP(C34,'PRECIOS INSUMOS IDU 2025'!$A$1:$E$3189,3,FALSE)</f>
        <v>ML</v>
      </c>
      <c r="G34" s="108">
        <v>1050.08</v>
      </c>
      <c r="H34" s="89"/>
      <c r="I34" s="69"/>
      <c r="J34" s="9"/>
    </row>
    <row r="35" spans="1:10" ht="27.6" x14ac:dyDescent="0.3">
      <c r="A35" s="3"/>
      <c r="B35" s="8"/>
      <c r="C35" s="60">
        <v>8003</v>
      </c>
      <c r="D35" s="60">
        <v>1017</v>
      </c>
      <c r="E35" s="60" t="str">
        <f>+VLOOKUP(C35,'PRECIOS INSUMOS IDU 2025'!$A$1:$E$3189,2,FALSE)</f>
        <v>LAVADO Y SONDEO DE REDES DE ALCANTARILLADO ENTRE 18" Y 36" DE DIÁMETRO Y CON GRADO DE COLMATACIÓN MENOR DEL 30%. INCLUYE MANO DE OBRA IDÓNEA, SEÑALIZACIÓN BÁSICA, SUMIN DE COMBUSTIBLE Y AGUA. INCL IVA</v>
      </c>
      <c r="F35" s="60" t="str">
        <f>+VLOOKUP(C35,'PRECIOS INSUMOS IDU 2025'!$A$1:$E$3189,3,FALSE)</f>
        <v>ML</v>
      </c>
      <c r="G35" s="108">
        <v>450.04</v>
      </c>
      <c r="H35" s="89"/>
      <c r="I35" s="69"/>
      <c r="J35" s="9"/>
    </row>
    <row r="36" spans="1:10" ht="15.6" x14ac:dyDescent="0.3">
      <c r="A36" s="3"/>
      <c r="B36" s="8"/>
      <c r="C36" s="114"/>
      <c r="D36" s="115"/>
      <c r="E36" s="115"/>
      <c r="F36" s="115"/>
      <c r="G36" s="116"/>
      <c r="H36" s="89"/>
      <c r="I36" s="117"/>
      <c r="J36" s="9"/>
    </row>
    <row r="37" spans="1:10" ht="15.6" x14ac:dyDescent="0.3">
      <c r="A37" s="3"/>
      <c r="B37" s="8"/>
      <c r="C37" s="628" t="s">
        <v>22</v>
      </c>
      <c r="D37" s="629"/>
      <c r="E37" s="629"/>
      <c r="F37" s="629"/>
      <c r="G37" s="629"/>
      <c r="H37" s="118"/>
      <c r="I37" s="119"/>
      <c r="J37" s="9"/>
    </row>
    <row r="38" spans="1:10" ht="15.6" x14ac:dyDescent="0.3">
      <c r="A38" s="3"/>
      <c r="B38" s="8"/>
      <c r="C38" s="628" t="s">
        <v>23</v>
      </c>
      <c r="D38" s="629"/>
      <c r="E38" s="629"/>
      <c r="F38" s="629"/>
      <c r="G38" s="629"/>
      <c r="H38" s="118"/>
      <c r="I38" s="119"/>
      <c r="J38" s="9"/>
    </row>
    <row r="39" spans="1:10" ht="15.6" x14ac:dyDescent="0.3">
      <c r="A39" s="3"/>
      <c r="B39" s="8"/>
      <c r="C39" s="628" t="s">
        <v>24</v>
      </c>
      <c r="D39" s="629"/>
      <c r="E39" s="629"/>
      <c r="F39" s="629"/>
      <c r="G39" s="629"/>
      <c r="H39" s="120"/>
      <c r="I39" s="121"/>
      <c r="J39" s="9"/>
    </row>
    <row r="40" spans="1:10" ht="16.2" thickBot="1" x14ac:dyDescent="0.35">
      <c r="A40" s="3"/>
      <c r="B40" s="8"/>
      <c r="C40" s="122"/>
      <c r="D40" s="123"/>
      <c r="E40" s="123"/>
      <c r="F40" s="123"/>
      <c r="G40" s="123"/>
      <c r="H40" s="123"/>
      <c r="I40" s="124"/>
      <c r="J40" s="9"/>
    </row>
    <row r="41" spans="1:10" ht="24.75" customHeight="1" thickBot="1" x14ac:dyDescent="0.35">
      <c r="A41" s="3"/>
      <c r="B41" s="8"/>
      <c r="C41" s="573" t="s">
        <v>25</v>
      </c>
      <c r="D41" s="574"/>
      <c r="E41" s="574"/>
      <c r="F41" s="574"/>
      <c r="G41" s="574"/>
      <c r="H41" s="575"/>
      <c r="I41" s="125"/>
      <c r="J41" s="9"/>
    </row>
    <row r="42" spans="1:10" ht="24.75" customHeight="1" x14ac:dyDescent="0.3">
      <c r="A42" s="3"/>
      <c r="B42" s="8"/>
      <c r="C42" s="488"/>
      <c r="D42" s="489"/>
      <c r="E42" s="489"/>
      <c r="F42" s="489"/>
      <c r="G42" s="489"/>
      <c r="H42" s="489"/>
      <c r="I42" s="490"/>
      <c r="J42" s="9"/>
    </row>
    <row r="43" spans="1:10" ht="24.75" customHeight="1" x14ac:dyDescent="0.3">
      <c r="A43" s="3"/>
      <c r="B43" s="8"/>
      <c r="C43" s="554" t="s">
        <v>26</v>
      </c>
      <c r="D43" s="555"/>
      <c r="E43" s="555"/>
      <c r="F43" s="555"/>
      <c r="G43" s="555"/>
      <c r="H43" s="555"/>
      <c r="I43" s="556"/>
      <c r="J43" s="9"/>
    </row>
    <row r="44" spans="1:10" ht="16.5" customHeight="1" x14ac:dyDescent="0.3">
      <c r="A44" s="3"/>
      <c r="B44" s="8"/>
      <c r="C44" s="547" t="s">
        <v>10</v>
      </c>
      <c r="D44" s="547" t="s">
        <v>11</v>
      </c>
      <c r="E44" s="547" t="s">
        <v>12</v>
      </c>
      <c r="F44" s="547" t="s">
        <v>13</v>
      </c>
      <c r="G44" s="547" t="s">
        <v>14</v>
      </c>
      <c r="H44" s="548" t="s">
        <v>27</v>
      </c>
      <c r="I44" s="548" t="s">
        <v>16</v>
      </c>
      <c r="J44" s="9"/>
    </row>
    <row r="45" spans="1:10" ht="30" customHeight="1" x14ac:dyDescent="0.3">
      <c r="A45" s="3"/>
      <c r="B45" s="8"/>
      <c r="C45" s="547"/>
      <c r="D45" s="547"/>
      <c r="E45" s="547"/>
      <c r="F45" s="547"/>
      <c r="G45" s="547"/>
      <c r="H45" s="548"/>
      <c r="I45" s="548"/>
      <c r="J45" s="9"/>
    </row>
    <row r="46" spans="1:10" ht="15.6" x14ac:dyDescent="0.3">
      <c r="A46" s="3"/>
      <c r="B46" s="8"/>
      <c r="C46" s="109"/>
      <c r="D46" s="110"/>
      <c r="E46" s="110"/>
      <c r="F46" s="110"/>
      <c r="G46" s="111"/>
      <c r="H46" s="112"/>
      <c r="I46" s="113"/>
      <c r="J46" s="9"/>
    </row>
    <row r="47" spans="1:10" ht="30" customHeight="1" x14ac:dyDescent="0.3">
      <c r="A47" s="3"/>
      <c r="B47" s="8"/>
      <c r="C47" s="61" t="s">
        <v>28</v>
      </c>
      <c r="D47" s="64"/>
      <c r="E47" s="64"/>
      <c r="F47" s="64"/>
      <c r="G47" s="64"/>
      <c r="H47" s="64"/>
      <c r="I47" s="65"/>
      <c r="J47" s="9"/>
    </row>
    <row r="48" spans="1:10" ht="30" customHeight="1" x14ac:dyDescent="0.3">
      <c r="A48" s="3"/>
      <c r="B48" s="8"/>
      <c r="C48" s="60">
        <v>3007</v>
      </c>
      <c r="D48" s="60">
        <v>2001</v>
      </c>
      <c r="E48" s="60" t="str">
        <f>+VLOOKUP(C48,'PRECIOS IDU 2025'!$A$1:$E$3190,2,FALSE)</f>
        <v>REPLANTEO GENERAL</v>
      </c>
      <c r="F48" s="60" t="str">
        <f>+VLOOKUP(C48,'PRECIOS IDU 2025'!$A$1:$E$3189,3,FALSE)</f>
        <v>M2</v>
      </c>
      <c r="G48" s="108">
        <v>5112.3100000000004</v>
      </c>
      <c r="H48" s="69"/>
      <c r="I48" s="69"/>
      <c r="J48" s="9"/>
    </row>
    <row r="49" spans="1:10" ht="30" customHeight="1" x14ac:dyDescent="0.3">
      <c r="A49" s="3"/>
      <c r="B49" s="8"/>
      <c r="C49" s="60">
        <v>3811</v>
      </c>
      <c r="D49" s="60">
        <v>2002</v>
      </c>
      <c r="E49" s="60" t="str">
        <f>+VLOOKUP(C49,'PRECIOS IDU 2025'!$A$1:$E$3189,2,FALSE)</f>
        <v>CORTE DE PAVIMENTO - INCLUYE EQUIPO: CORTADORA DE CONCRETO INCLUYE OPERARIO Y COMBUSTIBLE. INCLUYE DISCO DIAMANTADO ASFALTO-CONCRETO 350 MM, AGUA Y MANO DE OBRA</v>
      </c>
      <c r="F49" s="60" t="str">
        <f>+VLOOKUP(C49,'PRECIOS IDU 2025'!$A$1:$E$3189,3,FALSE)</f>
        <v>ML</v>
      </c>
      <c r="G49" s="108">
        <v>1500</v>
      </c>
      <c r="H49" s="69"/>
      <c r="I49" s="69"/>
      <c r="J49" s="9"/>
    </row>
    <row r="50" spans="1:10" ht="30" customHeight="1" x14ac:dyDescent="0.3">
      <c r="A50" s="3"/>
      <c r="B50" s="8"/>
      <c r="C50" s="60">
        <v>3010</v>
      </c>
      <c r="D50" s="60">
        <v>2003</v>
      </c>
      <c r="E50" s="60" t="str">
        <f>+VLOOKUP(C50,'PRECIOS IDU 2025'!$A$1:$E$3189,2,FALSE)</f>
        <v>DEMOLICION PAVIMENTO ASFALTICO (INCLUYE CARGUE). NO INCLUYE TRANSPORTE Y DISPOSICIÓN FINAL DE SOBRANTES.</v>
      </c>
      <c r="F50" s="60" t="str">
        <f>+VLOOKUP(C50,'PRECIOS IDU 2025'!$A$1:$E$3189,3,FALSE)</f>
        <v>M3</v>
      </c>
      <c r="G50" s="108">
        <v>613.48</v>
      </c>
      <c r="H50" s="69"/>
      <c r="I50" s="69"/>
      <c r="J50" s="9"/>
    </row>
    <row r="51" spans="1:10" ht="30" customHeight="1" x14ac:dyDescent="0.3">
      <c r="A51" s="3"/>
      <c r="B51" s="8"/>
      <c r="C51" s="60">
        <v>3710</v>
      </c>
      <c r="D51" s="60">
        <v>2004</v>
      </c>
      <c r="E51" s="60" t="str">
        <f>+VLOOKUP(C51,'PRECIOS IDU 2025'!$A$1:$E$3189,2,FALSE)</f>
        <v>EXCAVACIÓN MECÁNICA EN MATERIAL COMÚN (INCLUYE CARGUE)</v>
      </c>
      <c r="F51" s="60" t="str">
        <f>+VLOOKUP(C51,'PRECIOS IDU 2025'!$A$1:$E$3189,3,FALSE)</f>
        <v>M3</v>
      </c>
      <c r="G51" s="108">
        <v>3578.62</v>
      </c>
      <c r="H51" s="69"/>
      <c r="I51" s="69"/>
      <c r="J51" s="9"/>
    </row>
    <row r="52" spans="1:10" ht="30" customHeight="1" x14ac:dyDescent="0.3">
      <c r="A52" s="3"/>
      <c r="B52" s="8"/>
      <c r="C52" s="60">
        <v>3464</v>
      </c>
      <c r="D52" s="60">
        <v>2005</v>
      </c>
      <c r="E52" s="60" t="str">
        <f>+VLOOKUP(C52,'PRECIOS IDU 2025'!$A$1:$E$3189,2,FALSE)</f>
        <v>EXCAVACION MANUAL EN MATERIAL COMUN. INCLUYE CARGUE.</v>
      </c>
      <c r="F52" s="60" t="str">
        <f>+VLOOKUP(C52,'PRECIOS IDU 2025'!$A$1:$E$3189,3,FALSE)</f>
        <v>M3</v>
      </c>
      <c r="G52" s="108">
        <v>1022.46</v>
      </c>
      <c r="H52" s="69"/>
      <c r="I52" s="69"/>
      <c r="J52" s="9"/>
    </row>
    <row r="53" spans="1:10" ht="27.6" x14ac:dyDescent="0.3">
      <c r="A53" s="3"/>
      <c r="B53" s="8"/>
      <c r="C53" s="60">
        <v>3017</v>
      </c>
      <c r="D53" s="60">
        <v>2006</v>
      </c>
      <c r="E53" s="60" t="str">
        <f>+VLOOKUP(C53,'PRECIOS IDU 2025'!$A$1:$E$3189,2,FALSE)</f>
        <v>TRANSPORTE Y DISPOSICIÓN FINAL DE ESCOMBROS EN SITIO AUTORIZADO (DISTANCIA DE TRANSPORTE 21 KM). A DISTANCIA MAYOR DEL ACARREO LIBRE (90 M) EN SITIO AUTORIZADO POR LA ENTIDAD AMBIENTAL COMPETENTE.</v>
      </c>
      <c r="F53" s="60" t="str">
        <f>+VLOOKUP(C53,'PRECIOS IDU 2025'!$A$1:$E$3189,3,FALSE)</f>
        <v>M3</v>
      </c>
      <c r="G53" s="108">
        <v>5981.4</v>
      </c>
      <c r="H53" s="69"/>
      <c r="I53" s="69"/>
      <c r="J53" s="9"/>
    </row>
    <row r="54" spans="1:10" ht="15.6" x14ac:dyDescent="0.3">
      <c r="A54" s="3"/>
      <c r="B54" s="8"/>
      <c r="C54" s="60">
        <v>3800</v>
      </c>
      <c r="D54" s="60">
        <v>2007</v>
      </c>
      <c r="E54" s="60" t="str">
        <f>+VLOOKUP(C54,'PRECIOS IDU 2025'!$A$1:$E$3189,2,FALSE)</f>
        <v>NIVELACION Y COMPACTACIÓN DE SUBRASANTE</v>
      </c>
      <c r="F54" s="60" t="str">
        <f>+VLOOKUP(C54,'PRECIOS IDU 2025'!$A$1:$E$3189,3,FALSE)</f>
        <v>M2</v>
      </c>
      <c r="G54" s="108">
        <v>5112.3100000000004</v>
      </c>
      <c r="H54" s="69"/>
      <c r="I54" s="69"/>
      <c r="J54" s="9"/>
    </row>
    <row r="55" spans="1:10" ht="55.2" x14ac:dyDescent="0.3">
      <c r="A55" s="3"/>
      <c r="B55" s="8"/>
      <c r="C55" s="60">
        <v>10016</v>
      </c>
      <c r="D55" s="60">
        <v>2008</v>
      </c>
      <c r="E55" s="60" t="str">
        <f>+VLOOKUP(C55,'PRECIOS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55" s="60" t="str">
        <f>+VLOOKUP(C55,'PRECIOS IDU 2025'!$A$1:$E$3189,3,FALSE)</f>
        <v>M3</v>
      </c>
      <c r="G55" s="108">
        <v>460.11</v>
      </c>
      <c r="H55" s="69"/>
      <c r="I55" s="69"/>
      <c r="J55" s="9"/>
    </row>
    <row r="56" spans="1:10" ht="27.6" x14ac:dyDescent="0.3">
      <c r="A56" s="3"/>
      <c r="B56" s="8"/>
      <c r="C56" s="60">
        <v>7900</v>
      </c>
      <c r="D56" s="60">
        <v>2009</v>
      </c>
      <c r="E56" s="60" t="str">
        <f>+VLOOKUP(C56,'PRECIOS IDU 2025'!$A$1:$E$3189,2,FALSE)</f>
        <v>GEOCELDA DE POLIETILENO DE ALTA DENSIDAD (PEAD-HDPE) CON ALTURA DE 150 MM. (INCLUYE SUMINISTRO E INSTALACION).</v>
      </c>
      <c r="F56" s="60" t="str">
        <f>+VLOOKUP(C56,'PRECIOS IDU 2025'!$A$1:$E$3189,3,FALSE)</f>
        <v>M2</v>
      </c>
      <c r="G56" s="108">
        <v>5112.3100000000004</v>
      </c>
      <c r="H56" s="69"/>
      <c r="I56" s="69"/>
      <c r="J56" s="9"/>
    </row>
    <row r="57" spans="1:10" ht="30" customHeight="1" x14ac:dyDescent="0.3">
      <c r="A57" s="3"/>
      <c r="B57" s="8"/>
      <c r="C57" s="60">
        <v>4015</v>
      </c>
      <c r="D57" s="60">
        <v>2010</v>
      </c>
      <c r="E57" s="60" t="str">
        <f>+VLOOKUP(C57,'PRECIOS IDU 2025'!$A$1:$E$3189,2,FALSE)</f>
        <v>GEOTEXTIL NO TEJIDO CON RESISTENCIA A LA TENSION GRAB: ENTRE 850 N Y 980 N. PARA SEPARACION SUBRASANTE/CAPAS GRANULARES. (INCLUYE SUMINISTRO E INSTALACION).</v>
      </c>
      <c r="F57" s="60" t="str">
        <f>+VLOOKUP(C57,'PRECIOS IDU 2025'!$A$1:$E$3189,3,FALSE)</f>
        <v>M2</v>
      </c>
      <c r="G57" s="108">
        <v>5112.3100000000004</v>
      </c>
      <c r="H57" s="69"/>
      <c r="I57" s="69"/>
      <c r="J57" s="9"/>
    </row>
    <row r="58" spans="1:10" ht="27.6" x14ac:dyDescent="0.3">
      <c r="A58" s="3"/>
      <c r="B58" s="8"/>
      <c r="C58" s="60">
        <v>4034</v>
      </c>
      <c r="D58" s="60">
        <v>2011</v>
      </c>
      <c r="E58" s="60" t="str">
        <f>+VLOOKUP(C58,'PRECIOS IDU 2025'!$A$1:$E$3189,2,FALSE)</f>
        <v>GEOTEXTIL TEJIDO CON RESISTENCIA A LA TENSION METODO TIRA ANCHA SENTIDO LONGITUDINAL: ENTRE 90 KN/M Y 110 KN/M. PARA SEPARACION SUBRASANTE/CAPAS GRANULARES. (INCLUYE SUMINISTRO E INSTALACION).</v>
      </c>
      <c r="F58" s="60" t="str">
        <f>+VLOOKUP(C58,'PRECIOS IDU 2025'!$A$1:$E$3189,3,FALSE)</f>
        <v>M2</v>
      </c>
      <c r="G58" s="108">
        <v>511.23</v>
      </c>
      <c r="H58" s="69"/>
      <c r="I58" s="69"/>
      <c r="J58" s="9"/>
    </row>
    <row r="59" spans="1:10" ht="30" customHeight="1" x14ac:dyDescent="0.3">
      <c r="A59" s="3"/>
      <c r="B59" s="8"/>
      <c r="C59" s="60">
        <v>4161</v>
      </c>
      <c r="D59" s="60">
        <v>2012</v>
      </c>
      <c r="E59" s="60" t="str">
        <f>+VLOOKUP(C59,'PRECIOS IDU 2025'!$A$1:$E$3189,2,FALSE)</f>
        <v>SUBBASE GRANULAR CLASE A (SBG_A) (SUMINISTRO, EXTENDIDO, NIVELACIÓN, HUMEDECIMIENTO Y COMPACTACIÓN CON VIBROCOMPACTADOR)</v>
      </c>
      <c r="F59" s="60" t="str">
        <f>+VLOOKUP(C59,'PRECIOS IDU 2025'!$A$1:$E$3189,3,FALSE)</f>
        <v>M3</v>
      </c>
      <c r="G59" s="108">
        <v>21</v>
      </c>
      <c r="H59" s="69"/>
      <c r="I59" s="69"/>
      <c r="J59" s="9"/>
    </row>
    <row r="60" spans="1:10" ht="30" customHeight="1" x14ac:dyDescent="0.3">
      <c r="A60" s="3"/>
      <c r="B60" s="8"/>
      <c r="C60" s="60">
        <v>4746</v>
      </c>
      <c r="D60" s="60">
        <v>2013</v>
      </c>
      <c r="E60" s="60" t="str">
        <f>+VLOOKUP(C60,'PRECIOS IDU 2025'!$A$1:$E$3189,2,FALSE)</f>
        <v>SUBBASE GRANULAR CLASE A (SBG_A) CON RECICLADO DE CONCRETO HIDRAULICO (SUMINISTRO, EXTENDIDO, NIVELACIÓN, HUMEDECIMIENTO Y COMPACTACIÓN CON VIBROCOMPACTADOR)</v>
      </c>
      <c r="F60" s="60" t="str">
        <f>+VLOOKUP(C60,'PRECIOS IDU 2025'!$A$1:$E$3189,3,FALSE)</f>
        <v>M3</v>
      </c>
      <c r="G60" s="108">
        <v>178.93</v>
      </c>
      <c r="H60" s="69"/>
      <c r="I60" s="69"/>
      <c r="J60" s="9"/>
    </row>
    <row r="61" spans="1:10" ht="30" customHeight="1" x14ac:dyDescent="0.3">
      <c r="A61" s="3"/>
      <c r="B61" s="8"/>
      <c r="C61" s="60">
        <v>4158</v>
      </c>
      <c r="D61" s="60">
        <v>2014</v>
      </c>
      <c r="E61" s="60" t="str">
        <f>+VLOOKUP(C61,'PRECIOS IDU 2025'!$A$1:$E$3189,2,FALSE)</f>
        <v>BASE GRANULAR CLASE A (BG_A) (SUMINISTRO, EXTENDIDO, NIVELACIÓN, HUMEDECIMIENTO Y COMPACTACIÓN CON VIBROCOMPACTADOR)</v>
      </c>
      <c r="F61" s="60" t="str">
        <f>+VLOOKUP(C61,'PRECIOS IDU 2025'!$A$1:$E$3189,3,FALSE)</f>
        <v>M3</v>
      </c>
      <c r="G61" s="108">
        <v>517.65</v>
      </c>
      <c r="H61" s="69"/>
      <c r="I61" s="69"/>
      <c r="J61" s="9"/>
    </row>
    <row r="62" spans="1:10" ht="30" customHeight="1" x14ac:dyDescent="0.3">
      <c r="A62" s="3"/>
      <c r="B62" s="8"/>
      <c r="C62" s="60">
        <v>4744</v>
      </c>
      <c r="D62" s="60">
        <v>2015</v>
      </c>
      <c r="E62" s="60" t="str">
        <f>+VLOOKUP(C62,'PRECIOS IDU 2025'!$A$1:$E$3189,2,FALSE)</f>
        <v>BASE GRANULAR CLASE A (BG_A) CON RECICLADO DE CONCRETO HIDRAULICO (SUMINISTRO, EXTENDIDO, NIVELACIÓN, HUMEDECIMIENTO Y COMPACTACIÓN CON VIBROCOMPACTADOR)</v>
      </c>
      <c r="F62" s="60" t="str">
        <f>+VLOOKUP(C62,'PRECIOS IDU 2025'!$A$1:$E$3189,3,FALSE)</f>
        <v>M3</v>
      </c>
      <c r="G62" s="108">
        <v>221.85</v>
      </c>
      <c r="H62" s="69"/>
      <c r="I62" s="69"/>
      <c r="J62" s="9"/>
    </row>
    <row r="63" spans="1:10" ht="30" customHeight="1" x14ac:dyDescent="0.3">
      <c r="A63" s="3"/>
      <c r="B63" s="8"/>
      <c r="C63" s="60">
        <v>4836</v>
      </c>
      <c r="D63" s="60">
        <v>2016</v>
      </c>
      <c r="E63" s="60" t="str">
        <f>+VLOOKUP(C63,'PRECIOS IDU 2025'!$A$1:$E$3189,2,FALSE)</f>
        <v>BASE GRANULAR CLASE A (BG_A) ESTABILIZADA AL 4% CON EMULSIÓN ASFÁLTICA CRL-1 (INCLUYE SUMINISTRO TRANSPORTE, COLOCACION Y COMPACTACION).</v>
      </c>
      <c r="F63" s="60" t="str">
        <f>+VLOOKUP(C63,'PRECIOS IDU 2025'!$A$1:$E$3189,3,FALSE)</f>
        <v>M3</v>
      </c>
      <c r="G63" s="108">
        <v>10</v>
      </c>
      <c r="H63" s="69"/>
      <c r="I63" s="69"/>
      <c r="J63" s="9"/>
    </row>
    <row r="64" spans="1:10" ht="30" customHeight="1" x14ac:dyDescent="0.3">
      <c r="A64" s="3"/>
      <c r="B64" s="8"/>
      <c r="C64" s="60">
        <v>4836</v>
      </c>
      <c r="D64" s="60">
        <v>2017</v>
      </c>
      <c r="E64" s="60" t="s">
        <v>29</v>
      </c>
      <c r="F64" s="60" t="s">
        <v>30</v>
      </c>
      <c r="G64" s="108">
        <v>1533.69</v>
      </c>
      <c r="H64" s="69"/>
      <c r="I64" s="69"/>
      <c r="J64" s="9"/>
    </row>
    <row r="65" spans="1:10" ht="30" customHeight="1" x14ac:dyDescent="0.3">
      <c r="A65" s="3"/>
      <c r="B65" s="8"/>
      <c r="C65" s="60">
        <v>3864</v>
      </c>
      <c r="D65" s="60">
        <v>2018</v>
      </c>
      <c r="E65" s="60" t="str">
        <f>+VLOOKUP(C65,'PRECIOS IDU 2025'!$A$1:$E$3189,2,FALSE)</f>
        <v>IMPRIMACION CON EMULSION ASFALTICA CRL-0 (SUMINISTRO, BARRIDO SUPERFICIE Y RIEGO MECANICO)</v>
      </c>
      <c r="F65" s="60" t="str">
        <f>+VLOOKUP(C65,'PRECIOS IDU 2025'!$A$1:$E$3189,3,FALSE)</f>
        <v>M2</v>
      </c>
      <c r="G65" s="108">
        <v>511.23</v>
      </c>
      <c r="H65" s="69"/>
      <c r="I65" s="69"/>
      <c r="J65" s="9"/>
    </row>
    <row r="66" spans="1:10" ht="30" customHeight="1" x14ac:dyDescent="0.3">
      <c r="A66" s="3"/>
      <c r="B66" s="8"/>
      <c r="C66" s="60">
        <v>3867</v>
      </c>
      <c r="D66" s="60">
        <v>2019</v>
      </c>
      <c r="E66" s="60" t="str">
        <f>+VLOOKUP(C66,'PRECIOS IDU 2025'!$A$1:$E$3189,2,FALSE)</f>
        <v>RIEGO DE LIGA CON EMULSION ASFALTICA CRR-2 (SUMINISTRO, BARRIDO SUPERFICIE Y RIEGO MECANICO)</v>
      </c>
      <c r="F66" s="60" t="str">
        <f>+VLOOKUP(C66,'PRECIOS IDU 2025'!$A$1:$E$3189,3,FALSE)</f>
        <v>M2</v>
      </c>
      <c r="G66" s="108">
        <v>511.23</v>
      </c>
      <c r="H66" s="69"/>
      <c r="I66" s="69"/>
      <c r="J66" s="9"/>
    </row>
    <row r="67" spans="1:10" ht="15.6" x14ac:dyDescent="0.3">
      <c r="A67" s="3"/>
      <c r="B67" s="8"/>
      <c r="C67" s="60">
        <v>3841</v>
      </c>
      <c r="D67" s="60">
        <v>2020</v>
      </c>
      <c r="E67" s="60" t="str">
        <f>+VLOOKUP(C67,'PRECIOS IDU 2025'!$A$1:$E$3189,2,FALSE)</f>
        <v>MEZCLA DENSA EN CALIENTE MD20 ASFALTO 80-100 (SUMINISTRO, EXTENDIDO, NIVELACIÓN Y COMPACTACIÓN MECANICA)</v>
      </c>
      <c r="F67" s="60" t="str">
        <f>+VLOOKUP(C67,'PRECIOS IDU 2025'!$A$1:$E$3189,3,FALSE)</f>
        <v>M3</v>
      </c>
      <c r="G67" s="108">
        <v>10</v>
      </c>
      <c r="H67" s="69"/>
      <c r="I67" s="69"/>
      <c r="J67" s="9"/>
    </row>
    <row r="68" spans="1:10" ht="30" customHeight="1" x14ac:dyDescent="0.3">
      <c r="A68" s="3"/>
      <c r="B68" s="8"/>
      <c r="C68" s="60">
        <v>6313</v>
      </c>
      <c r="D68" s="60">
        <v>2021</v>
      </c>
      <c r="E68" s="60" t="str">
        <f>+VLOOKUP(C68,'PRECIOS IDU 2025'!$A$1:$E$3189,2,FALSE)</f>
        <v>MEZCLA ASFÁLTICA DENSA EN CALIENTE MD12 CON CEMENTO ASFÁLTICO 60-70 (SUMINISTRO, EXTENDIDO, NIVELACIÓN Y COMPACTACIÓN MECANICA CON VIBROCOMPACTADOR Y COMPACTADOR DE LLANTAS)</v>
      </c>
      <c r="F68" s="60" t="str">
        <f>+VLOOKUP(C68,'PRECIOS IDU 2025'!$A$1:$E$3189,3,FALSE)</f>
        <v>M3</v>
      </c>
      <c r="G68" s="108">
        <v>575.13</v>
      </c>
      <c r="H68" s="69"/>
      <c r="I68" s="69"/>
      <c r="J68" s="9"/>
    </row>
    <row r="69" spans="1:10" ht="30" customHeight="1" x14ac:dyDescent="0.3">
      <c r="A69" s="3"/>
      <c r="B69" s="8"/>
      <c r="C69" s="60">
        <v>4712</v>
      </c>
      <c r="D69" s="60">
        <v>2022</v>
      </c>
      <c r="E69" s="60" t="str">
        <f>+VLOOKUP(C69,'PRECIOS IDU 2025'!$A$1:$E$3189,2,FALSE)</f>
        <v>MEZCLA ASFALTICA CON ASFALTO CAUCHO (SUMINISTRO, EXTENDIDO, NIVELACIÓN Y COMPACTACIÓN MECANICA)</v>
      </c>
      <c r="F69" s="60" t="str">
        <f>+VLOOKUP(C69,'PRECIOS IDU 2025'!$A$1:$E$3189,3,FALSE)</f>
        <v>M3</v>
      </c>
      <c r="G69" s="108">
        <v>191.71</v>
      </c>
      <c r="H69" s="69"/>
      <c r="I69" s="69"/>
      <c r="J69" s="9"/>
    </row>
    <row r="70" spans="1:10" ht="30" customHeight="1" x14ac:dyDescent="0.3">
      <c r="A70" s="3"/>
      <c r="B70" s="8"/>
      <c r="C70" s="60">
        <v>4522</v>
      </c>
      <c r="D70" s="60">
        <v>2023</v>
      </c>
      <c r="E70" s="60" t="s">
        <v>31</v>
      </c>
      <c r="F70" s="60" t="s">
        <v>32</v>
      </c>
      <c r="G70" s="108">
        <v>100</v>
      </c>
      <c r="H70" s="69"/>
      <c r="I70" s="69"/>
      <c r="J70" s="9"/>
    </row>
    <row r="71" spans="1:10" ht="30" customHeight="1" x14ac:dyDescent="0.3">
      <c r="A71" s="3"/>
      <c r="B71" s="8"/>
      <c r="C71" s="60">
        <v>4523</v>
      </c>
      <c r="D71" s="60">
        <v>2024</v>
      </c>
      <c r="E71" s="60" t="s">
        <v>33</v>
      </c>
      <c r="F71" s="60" t="s">
        <v>32</v>
      </c>
      <c r="G71" s="108">
        <v>100</v>
      </c>
      <c r="H71" s="69"/>
      <c r="I71" s="69"/>
      <c r="J71" s="9"/>
    </row>
    <row r="72" spans="1:10" ht="41.4" x14ac:dyDescent="0.3">
      <c r="A72" s="3"/>
      <c r="B72" s="8"/>
      <c r="C72" s="60">
        <v>6425</v>
      </c>
      <c r="D72" s="60">
        <v>2025</v>
      </c>
      <c r="E72" s="60" t="str">
        <f>+VLOOKUP(C72,'PRECIOS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72" s="60" t="str">
        <f>+VLOOKUP(C72,'PRECIOS IDU 2025'!$A$1:$E$3189,3,FALSE)</f>
        <v>ML</v>
      </c>
      <c r="G72" s="108">
        <v>100</v>
      </c>
      <c r="H72" s="69"/>
      <c r="I72" s="69"/>
      <c r="J72" s="9"/>
    </row>
    <row r="73" spans="1:10" ht="30" customHeight="1" x14ac:dyDescent="0.3">
      <c r="A73" s="3"/>
      <c r="B73" s="8"/>
      <c r="C73" s="60">
        <v>6219</v>
      </c>
      <c r="D73" s="60">
        <v>2026</v>
      </c>
      <c r="E73" s="60" t="str">
        <f>+VLOOKUP(C73,'PRECIOS IDU 2025'!$A$1:$E$3189,2,FALSE)</f>
        <v>TRATAMIENTO SILVICULTURAL PODA DE RAÍCES (INCLUYE EXCAVACIÓN MANUAL, CORTE, CICATRIZACIÓN Y DISPOSICIÓN FINAL DE ESCOMBROS A 28 KILÓMETROS)</v>
      </c>
      <c r="F73" s="60" t="str">
        <f>+VLOOKUP(C73,'PRECIOS IDU 2025'!$A$1:$E$3189,3,FALSE)</f>
        <v>UN</v>
      </c>
      <c r="G73" s="108">
        <v>50</v>
      </c>
      <c r="H73" s="69"/>
      <c r="I73" s="69"/>
      <c r="J73" s="9"/>
    </row>
    <row r="74" spans="1:10" ht="30" customHeight="1" x14ac:dyDescent="0.3">
      <c r="A74" s="3"/>
      <c r="B74" s="8"/>
      <c r="C74" s="61" t="s">
        <v>34</v>
      </c>
      <c r="D74" s="62"/>
      <c r="E74" s="62"/>
      <c r="F74" s="62"/>
      <c r="G74" s="62"/>
      <c r="H74" s="62"/>
      <c r="I74" s="63"/>
      <c r="J74" s="9"/>
    </row>
    <row r="75" spans="1:10" ht="30" customHeight="1" x14ac:dyDescent="0.3">
      <c r="A75" s="3"/>
      <c r="B75" s="8"/>
      <c r="C75" s="60">
        <v>3007</v>
      </c>
      <c r="D75" s="60">
        <v>3001</v>
      </c>
      <c r="E75" s="60" t="str">
        <f>+VLOOKUP(C75,'PRECIOS IDU 2025'!$A$1:$E$3189,2,FALSE)</f>
        <v>REPLANTEO GENERAL</v>
      </c>
      <c r="F75" s="60" t="str">
        <f>+VLOOKUP(C75,'PRECIOS IDU 2025'!$A$1:$E$3189,3,FALSE)</f>
        <v>M2</v>
      </c>
      <c r="G75" s="108">
        <v>10</v>
      </c>
      <c r="H75" s="69"/>
      <c r="I75" s="69"/>
      <c r="J75" s="9"/>
    </row>
    <row r="76" spans="1:10" ht="30" customHeight="1" x14ac:dyDescent="0.3">
      <c r="A76" s="3"/>
      <c r="B76" s="8"/>
      <c r="C76" s="60">
        <v>3811</v>
      </c>
      <c r="D76" s="60">
        <v>3002</v>
      </c>
      <c r="E76" s="60" t="str">
        <f>+VLOOKUP(C76,'PRECIOS IDU 2025'!$A$1:$E$3189,2,FALSE)</f>
        <v>CORTE DE PAVIMENTO - INCLUYE EQUIPO: CORTADORA DE CONCRETO INCLUYE OPERARIO Y COMBUSTIBLE. INCLUYE DISCO DIAMANTADO ASFALTO-CONCRETO 350 MM, AGUA Y MANO DE OBRA</v>
      </c>
      <c r="F76" s="60" t="str">
        <f>+VLOOKUP(C76,'PRECIOS IDU 2025'!$A$1:$E$3189,3,FALSE)</f>
        <v>ML</v>
      </c>
      <c r="G76" s="108">
        <v>10</v>
      </c>
      <c r="H76" s="69"/>
      <c r="I76" s="69"/>
      <c r="J76" s="9"/>
    </row>
    <row r="77" spans="1:10" ht="30" customHeight="1" x14ac:dyDescent="0.3">
      <c r="A77" s="3"/>
      <c r="B77" s="8"/>
      <c r="C77" s="60">
        <v>3010</v>
      </c>
      <c r="D77" s="60">
        <v>3003</v>
      </c>
      <c r="E77" s="60" t="str">
        <f>+VLOOKUP(C77,'PRECIOS IDU 2025'!$A$1:$E$3189,2,FALSE)</f>
        <v>DEMOLICION PAVIMENTO ASFALTICO (INCLUYE CARGUE). NO INCLUYE TRANSPORTE Y DISPOSICIÓN FINAL DE SOBRANTES.</v>
      </c>
      <c r="F77" s="60" t="str">
        <f>+VLOOKUP(C77,'PRECIOS IDU 2025'!$A$1:$E$3189,3,FALSE)</f>
        <v>M3</v>
      </c>
      <c r="G77" s="108">
        <v>10</v>
      </c>
      <c r="H77" s="69"/>
      <c r="I77" s="69"/>
      <c r="J77" s="9"/>
    </row>
    <row r="78" spans="1:10" ht="30" customHeight="1" x14ac:dyDescent="0.3">
      <c r="A78" s="3"/>
      <c r="B78" s="8"/>
      <c r="C78" s="60">
        <v>3486</v>
      </c>
      <c r="D78" s="60">
        <v>3004</v>
      </c>
      <c r="E78" s="60" t="str">
        <f>+VLOOKUP(C78,'PRECIOS IDU 2025'!$A$1:$E$3189,2,FALSE)</f>
        <v>DEMOLICIÓN CONCRETO ESTRUCTURAL (INCLUYE CARGUE MANUAL). NO INCLUYE TRANSPORTE Y DISPOSICIÓN FINAL DE SOBRANTES.</v>
      </c>
      <c r="F78" s="60" t="str">
        <f>+VLOOKUP(C78,'PRECIOS IDU 2025'!$A$1:$E$3189,3,FALSE)</f>
        <v>M3</v>
      </c>
      <c r="G78" s="108">
        <v>10</v>
      </c>
      <c r="H78" s="69"/>
      <c r="I78" s="69"/>
      <c r="J78" s="9"/>
    </row>
    <row r="79" spans="1:10" ht="15.6" x14ac:dyDescent="0.3">
      <c r="A79" s="3"/>
      <c r="B79" s="8"/>
      <c r="C79" s="60">
        <v>3710</v>
      </c>
      <c r="D79" s="60">
        <v>3005</v>
      </c>
      <c r="E79" s="60" t="str">
        <f>+VLOOKUP(C79,'PRECIOS IDU 2025'!$A$1:$E$3189,2,FALSE)</f>
        <v>EXCAVACIÓN MECÁNICA EN MATERIAL COMÚN (INCLUYE CARGUE)</v>
      </c>
      <c r="F79" s="60" t="str">
        <f>+VLOOKUP(C79,'PRECIOS IDU 2025'!$A$1:$E$3189,3,FALSE)</f>
        <v>M3</v>
      </c>
      <c r="G79" s="108">
        <v>10</v>
      </c>
      <c r="H79" s="69"/>
      <c r="I79" s="69"/>
      <c r="J79" s="9"/>
    </row>
    <row r="80" spans="1:10" ht="30" customHeight="1" x14ac:dyDescent="0.3">
      <c r="A80" s="3"/>
      <c r="B80" s="8"/>
      <c r="C80" s="60">
        <v>3464</v>
      </c>
      <c r="D80" s="60">
        <v>3006</v>
      </c>
      <c r="E80" s="60" t="str">
        <f>+VLOOKUP(C80,'PRECIOS IDU 2025'!$A$1:$E$3189,2,FALSE)</f>
        <v>EXCAVACION MANUAL EN MATERIAL COMUN. INCLUYE CARGUE.</v>
      </c>
      <c r="F80" s="60" t="str">
        <f>+VLOOKUP(C80,'PRECIOS IDU 2025'!$A$1:$E$3189,3,FALSE)</f>
        <v>M3</v>
      </c>
      <c r="G80" s="108">
        <v>10</v>
      </c>
      <c r="H80" s="69"/>
      <c r="I80" s="69"/>
      <c r="J80" s="9"/>
    </row>
    <row r="81" spans="1:10" ht="30" customHeight="1" x14ac:dyDescent="0.3">
      <c r="A81" s="3"/>
      <c r="B81" s="8"/>
      <c r="C81" s="60">
        <v>3017</v>
      </c>
      <c r="D81" s="60">
        <v>3007</v>
      </c>
      <c r="E81" s="60" t="str">
        <f>+VLOOKUP(C81,'PRECIOS IDU 2025'!$A$1:$E$3189,2,FALSE)</f>
        <v>TRANSPORTE Y DISPOSICIÓN FINAL DE ESCOMBROS EN SITIO AUTORIZADO (DISTANCIA DE TRANSPORTE 21 KM). A DISTANCIA MAYOR DEL ACARREO LIBRE (90 M) EN SITIO AUTORIZADO POR LA ENTIDAD AMBIENTAL COMPETENTE.</v>
      </c>
      <c r="F81" s="60" t="str">
        <f>+VLOOKUP(C81,'PRECIOS IDU 2025'!$A$1:$E$3189,3,FALSE)</f>
        <v>M3</v>
      </c>
      <c r="G81" s="108">
        <v>10</v>
      </c>
      <c r="H81" s="69"/>
      <c r="I81" s="69"/>
      <c r="J81" s="9"/>
    </row>
    <row r="82" spans="1:10" ht="30" customHeight="1" x14ac:dyDescent="0.3">
      <c r="A82" s="3"/>
      <c r="B82" s="8"/>
      <c r="C82" s="60">
        <v>3800</v>
      </c>
      <c r="D82" s="60">
        <v>3008</v>
      </c>
      <c r="E82" s="60" t="str">
        <f>+VLOOKUP(C82,'PRECIOS IDU 2025'!$A$1:$E$3189,2,FALSE)</f>
        <v>NIVELACION Y COMPACTACIÓN DE SUBRASANTE</v>
      </c>
      <c r="F82" s="60" t="str">
        <f>+VLOOKUP(C82,'PRECIOS IDU 2025'!$A$1:$E$3189,3,FALSE)</f>
        <v>M2</v>
      </c>
      <c r="G82" s="108">
        <v>10</v>
      </c>
      <c r="H82" s="69"/>
      <c r="I82" s="69"/>
      <c r="J82" s="9"/>
    </row>
    <row r="83" spans="1:10" ht="55.2" x14ac:dyDescent="0.3">
      <c r="A83" s="3"/>
      <c r="B83" s="8"/>
      <c r="C83" s="60">
        <v>10016</v>
      </c>
      <c r="D83" s="60">
        <v>3009</v>
      </c>
      <c r="E83" s="60" t="str">
        <f>+VLOOKUP(C83,'PRECIOS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83" s="60" t="str">
        <f>+VLOOKUP(C83,'PRECIOS IDU 2025'!$A$1:$E$3189,3,FALSE)</f>
        <v>M3</v>
      </c>
      <c r="G83" s="108">
        <v>10</v>
      </c>
      <c r="H83" s="69"/>
      <c r="I83" s="69"/>
      <c r="J83" s="9"/>
    </row>
    <row r="84" spans="1:10" ht="30" customHeight="1" x14ac:dyDescent="0.3">
      <c r="A84" s="3"/>
      <c r="B84" s="8"/>
      <c r="C84" s="60">
        <v>4015</v>
      </c>
      <c r="D84" s="60">
        <v>3011</v>
      </c>
      <c r="E84" s="60" t="str">
        <f>+VLOOKUP(C84,'PRECIOS IDU 2025'!$A$1:$E$3189,2,FALSE)</f>
        <v>GEOTEXTIL NO TEJIDO CON RESISTENCIA A LA TENSION GRAB: ENTRE 850 N Y 980 N. PARA SEPARACION SUBRASANTE/CAPAS GRANULARES. (INCLUYE SUMINISTRO E INSTALACION).</v>
      </c>
      <c r="F84" s="60" t="str">
        <f>+VLOOKUP(C84,'PRECIOS IDU 2025'!$A$1:$E$3189,3,FALSE)</f>
        <v>M2</v>
      </c>
      <c r="G84" s="108">
        <v>10</v>
      </c>
      <c r="H84" s="69"/>
      <c r="I84" s="69"/>
      <c r="J84" s="9"/>
    </row>
    <row r="85" spans="1:10" ht="58.5" customHeight="1" x14ac:dyDescent="0.3">
      <c r="A85" s="3"/>
      <c r="B85" s="8"/>
      <c r="C85" s="60">
        <v>4034</v>
      </c>
      <c r="D85" s="60">
        <v>3012</v>
      </c>
      <c r="E85" s="60" t="str">
        <f>+VLOOKUP(C85,'PRECIOS IDU 2025'!$A$1:$E$3189,2,FALSE)</f>
        <v>GEOTEXTIL TEJIDO CON RESISTENCIA A LA TENSION METODO TIRA ANCHA SENTIDO LONGITUDINAL: ENTRE 90 KN/M Y 110 KN/M. PARA SEPARACION SUBRASANTE/CAPAS GRANULARES. (INCLUYE SUMINISTRO E INSTALACION).</v>
      </c>
      <c r="F85" s="60" t="str">
        <f>+VLOOKUP(C85,'PRECIOS IDU 2025'!$A$1:$E$3189,3,FALSE)</f>
        <v>M2</v>
      </c>
      <c r="G85" s="108">
        <v>10</v>
      </c>
      <c r="H85" s="69"/>
      <c r="I85" s="69"/>
      <c r="J85" s="9"/>
    </row>
    <row r="86" spans="1:10" ht="30" customHeight="1" x14ac:dyDescent="0.3">
      <c r="A86" s="3"/>
      <c r="B86" s="8"/>
      <c r="C86" s="60">
        <v>4160</v>
      </c>
      <c r="D86" s="60">
        <v>3013</v>
      </c>
      <c r="E86" s="60" t="str">
        <f>+VLOOKUP(C86,'PRECIOS IDU 2025'!$A$1:$E$3189,2,FALSE)</f>
        <v>SUBBASE GRANULAR CLASE B (SBG_B) (SUMINISTRO, EXTENDIDO, NIVELACIÓN, HUMEDECIMIENTO Y COMPACTACIÓN CON VIBROCOMPACTADOR)</v>
      </c>
      <c r="F86" s="60" t="str">
        <f>+VLOOKUP(C86,'PRECIOS IDU 2025'!$A$1:$E$3189,3,FALSE)</f>
        <v>M3</v>
      </c>
      <c r="G86" s="108">
        <v>1</v>
      </c>
      <c r="H86" s="69"/>
      <c r="I86" s="69"/>
      <c r="J86" s="9"/>
    </row>
    <row r="87" spans="1:10" ht="30" customHeight="1" x14ac:dyDescent="0.3">
      <c r="A87" s="3"/>
      <c r="B87" s="8"/>
      <c r="C87" s="60">
        <v>4747</v>
      </c>
      <c r="D87" s="60">
        <v>3014</v>
      </c>
      <c r="E87" s="60" t="str">
        <f>+VLOOKUP(C87,'PRECIOS IDU 2025'!$A$1:$E$3189,2,FALSE)</f>
        <v>SUBBASE GRANULAR CLASE B (SBG_B) CON RECICLADO DE CONCRETO (SUMINISTRO, EXTENDIDO, NIVELACIÓN, HUMEDECIMIENTO Y COMPACTACIÓN CON VIBROCOMPACTADOR)</v>
      </c>
      <c r="F87" s="60" t="str">
        <f>+VLOOKUP(C87,'PRECIOS IDU 2025'!$A$1:$E$3189,3,FALSE)</f>
        <v>M3</v>
      </c>
      <c r="G87" s="108">
        <v>1</v>
      </c>
      <c r="H87" s="69"/>
      <c r="I87" s="69"/>
      <c r="J87" s="9"/>
    </row>
    <row r="88" spans="1:10" ht="30" customHeight="1" x14ac:dyDescent="0.3">
      <c r="A88" s="3"/>
      <c r="B88" s="8"/>
      <c r="C88" s="60">
        <v>3864</v>
      </c>
      <c r="D88" s="60">
        <v>3015</v>
      </c>
      <c r="E88" s="60" t="str">
        <f>+VLOOKUP(C88,'PRECIOS IDU 2025'!$A$1:$E$3189,2,FALSE)</f>
        <v>IMPRIMACION CON EMULSION ASFALTICA CRL-0 (SUMINISTRO, BARRIDO SUPERFICIE Y RIEGO MECANICO)</v>
      </c>
      <c r="F88" s="60" t="str">
        <f>+VLOOKUP(C88,'PRECIOS IDU 2025'!$A$1:$E$3189,3,FALSE)</f>
        <v>M2</v>
      </c>
      <c r="G88" s="108">
        <v>10</v>
      </c>
      <c r="H88" s="69"/>
      <c r="I88" s="69"/>
      <c r="J88" s="9"/>
    </row>
    <row r="89" spans="1:10" ht="30" customHeight="1" x14ac:dyDescent="0.3">
      <c r="A89" s="3"/>
      <c r="B89" s="8"/>
      <c r="C89" s="60">
        <v>3867</v>
      </c>
      <c r="D89" s="60">
        <v>3016</v>
      </c>
      <c r="E89" s="60" t="str">
        <f>+VLOOKUP(C89,'PRECIOS IDU 2025'!$A$1:$E$3189,2,FALSE)</f>
        <v>RIEGO DE LIGA CON EMULSION ASFALTICA CRR-2 (SUMINISTRO, BARRIDO SUPERFICIE Y RIEGO MECANICO)</v>
      </c>
      <c r="F89" s="60" t="str">
        <f>+VLOOKUP(C89,'PRECIOS IDU 2025'!$A$1:$E$3189,3,FALSE)</f>
        <v>M2</v>
      </c>
      <c r="G89" s="108">
        <v>1</v>
      </c>
      <c r="H89" s="69"/>
      <c r="I89" s="69"/>
      <c r="J89" s="9"/>
    </row>
    <row r="90" spans="1:10" ht="30" customHeight="1" x14ac:dyDescent="0.3">
      <c r="A90" s="3"/>
      <c r="B90" s="8"/>
      <c r="C90" s="60">
        <v>3841</v>
      </c>
      <c r="D90" s="60">
        <v>3017</v>
      </c>
      <c r="E90" s="60" t="str">
        <f>+VLOOKUP(C90,'PRECIOS IDU 2025'!$A$1:$E$3189,2,FALSE)</f>
        <v>MEZCLA DENSA EN CALIENTE MD20 ASFALTO 80-100 (SUMINISTRO, EXTENDIDO, NIVELACIÓN Y COMPACTACIÓN MECANICA)</v>
      </c>
      <c r="F90" s="60" t="str">
        <f>+VLOOKUP(C90,'PRECIOS IDU 2025'!$A$1:$E$3189,3,FALSE)</f>
        <v>M3</v>
      </c>
      <c r="G90" s="108">
        <v>1</v>
      </c>
      <c r="H90" s="69"/>
      <c r="I90" s="69"/>
      <c r="J90" s="9"/>
    </row>
    <row r="91" spans="1:10" ht="30" customHeight="1" x14ac:dyDescent="0.3">
      <c r="A91" s="3"/>
      <c r="B91" s="8"/>
      <c r="C91" s="60">
        <v>4712</v>
      </c>
      <c r="D91" s="60">
        <v>3019</v>
      </c>
      <c r="E91" s="60" t="str">
        <f>+VLOOKUP(C91,'PRECIOS IDU 2025'!$A$1:$E$3189,2,FALSE)</f>
        <v>MEZCLA ASFALTICA CON ASFALTO CAUCHO (SUMINISTRO, EXTENDIDO, NIVELACIÓN Y COMPACTACIÓN MECANICA)</v>
      </c>
      <c r="F91" s="60" t="str">
        <f>+VLOOKUP(C91,'PRECIOS IDU 2025'!$A$1:$E$3189,3,FALSE)</f>
        <v>M3</v>
      </c>
      <c r="G91" s="108">
        <v>1</v>
      </c>
      <c r="H91" s="69"/>
      <c r="I91" s="69"/>
      <c r="J91" s="9"/>
    </row>
    <row r="92" spans="1:10" ht="55.2" x14ac:dyDescent="0.3">
      <c r="A92" s="3"/>
      <c r="B92" s="8"/>
      <c r="C92" s="60">
        <v>3708</v>
      </c>
      <c r="D92" s="60">
        <v>3020</v>
      </c>
      <c r="E92" s="60" t="str">
        <f>+VLOOKUP(C92,'PRECIOS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92" s="60" t="str">
        <f>+VLOOKUP(C92,'PRECIOS IDU 2025'!$A$1:$E$3189,3,FALSE)</f>
        <v>KG</v>
      </c>
      <c r="G92" s="108">
        <v>10</v>
      </c>
      <c r="H92" s="69"/>
      <c r="I92" s="69"/>
      <c r="J92" s="9"/>
    </row>
    <row r="93" spans="1:10" ht="50.25" customHeight="1" x14ac:dyDescent="0.3">
      <c r="A93" s="3"/>
      <c r="B93" s="8"/>
      <c r="C93" s="60">
        <v>4959</v>
      </c>
      <c r="D93" s="60">
        <v>3021</v>
      </c>
      <c r="E93" s="60" t="str">
        <f>+VLOOKUP(C93,'PRECIOS IDU 2025'!$A$1:$E$3189,2,FALSE)</f>
        <v>ACERO LISO PARA TRANSFERENCIA DE LOSAS D= 1 1/4" (NO INCLUYE CANASTILLA). SUMINISTRO E INSTALACIÓN.</v>
      </c>
      <c r="F93" s="60" t="str">
        <f>+VLOOKUP(C93,'PRECIOS IDU 2025'!$A$1:$E$3189,3,FALSE)</f>
        <v>KG</v>
      </c>
      <c r="G93" s="108">
        <v>1</v>
      </c>
      <c r="H93" s="69"/>
      <c r="I93" s="69"/>
      <c r="J93" s="9"/>
    </row>
    <row r="94" spans="1:10" ht="30" customHeight="1" x14ac:dyDescent="0.3">
      <c r="A94" s="3"/>
      <c r="B94" s="8"/>
      <c r="C94" s="60">
        <v>7713</v>
      </c>
      <c r="D94" s="60">
        <v>3022</v>
      </c>
      <c r="E94" s="60" t="str">
        <f>+VLOOKUP(C94,'PRECIOS IDU 2025'!$A$1:$E$3189,2,FALSE)</f>
        <v>(DOVELAS) ACERO LISO PARA TRANSFERENCIA DE LOSAS D= 1 1/2" (NO INCLUYE CANASTILLA). SUMINISTRO E INSTALACIÓN.</v>
      </c>
      <c r="F94" s="60" t="str">
        <f>+VLOOKUP(C94,'PRECIOS IDU 2025'!$A$1:$E$3189,3,FALSE)</f>
        <v>KG</v>
      </c>
      <c r="G94" s="108">
        <v>10</v>
      </c>
      <c r="H94" s="69"/>
      <c r="I94" s="69"/>
      <c r="J94" s="9"/>
    </row>
    <row r="95" spans="1:10" ht="30" customHeight="1" x14ac:dyDescent="0.3">
      <c r="A95" s="3"/>
      <c r="B95" s="8"/>
      <c r="C95" s="60">
        <v>7714</v>
      </c>
      <c r="D95" s="60">
        <v>3023</v>
      </c>
      <c r="E95" s="60" t="str">
        <f>+VLOOKUP(C95,'PRECIOS IDU 2025'!$A$1:$E$3189,2,FALSE)</f>
        <v>(DOVELAS) ACERO LISO PARA TRANSFERENCIA DE LOSAS D= 1" (NO INCLUYE CANASTILLA). SUMINISTRO E INSTALACIÓN.</v>
      </c>
      <c r="F95" s="60" t="str">
        <f>+VLOOKUP(C95,'PRECIOS IDU 2025'!$A$1:$E$3189,3,FALSE)</f>
        <v>KG</v>
      </c>
      <c r="G95" s="108">
        <v>10</v>
      </c>
      <c r="H95" s="69"/>
      <c r="I95" s="69"/>
      <c r="J95" s="9"/>
    </row>
    <row r="96" spans="1:10" ht="30" customHeight="1" x14ac:dyDescent="0.3">
      <c r="A96" s="3"/>
      <c r="B96" s="8"/>
      <c r="C96" s="60">
        <v>3394</v>
      </c>
      <c r="D96" s="60">
        <v>3024</v>
      </c>
      <c r="E96" s="60" t="str">
        <f>+VLOOKUP(C96,'PRECIOS IDU 2025'!$A$1:$E$3189,2,FALSE)</f>
        <v>LOSA DE CONCRETO MR41 (SUMINISTRO, FORMALETEADO, COLOCACIÓN Y ACABADO. NO INCLUYE ACERO, CURADO, JUNTAS)</v>
      </c>
      <c r="F96" s="60" t="str">
        <f>+VLOOKUP(C96,'PRECIOS IDU 2025'!$A$1:$E$3189,3,FALSE)</f>
        <v>M3</v>
      </c>
      <c r="G96" s="108">
        <v>10</v>
      </c>
      <c r="H96" s="69"/>
      <c r="I96" s="69"/>
      <c r="J96" s="9"/>
    </row>
    <row r="97" spans="1:10" ht="30" customHeight="1" x14ac:dyDescent="0.3">
      <c r="A97" s="3"/>
      <c r="B97" s="8"/>
      <c r="C97" s="60">
        <v>3806</v>
      </c>
      <c r="D97" s="60">
        <v>3026</v>
      </c>
      <c r="E97" s="60" t="str">
        <f>+VLOOKUP(C97,'PRECIOS IDU 2025'!$A$1:$E$3189,2,FALSE)</f>
        <v>CURADO DE LOSAS DE CONCRETO (SUMINISTRO Y APLICACIÓN)</v>
      </c>
      <c r="F97" s="60" t="str">
        <f>+VLOOKUP(C97,'PRECIOS IDU 2025'!$A$1:$E$3189,3,FALSE)</f>
        <v>M2</v>
      </c>
      <c r="G97" s="108">
        <v>10</v>
      </c>
      <c r="H97" s="69"/>
      <c r="I97" s="69"/>
      <c r="J97" s="9"/>
    </row>
    <row r="98" spans="1:10" ht="30" customHeight="1" x14ac:dyDescent="0.3">
      <c r="A98" s="3"/>
      <c r="B98" s="8"/>
      <c r="C98" s="60">
        <v>3837</v>
      </c>
      <c r="D98" s="60">
        <v>3027</v>
      </c>
      <c r="E98" s="60" t="str">
        <f>+VLOOKUP(C98,'PRECIOS IDU 2025'!$A$1:$E$3189,2,FALSE)</f>
        <v>SELLADO DE JUNTAS EN PAVIMENTO DE CONCRETO HIDRAULICO (INCLUYE LIMPIEZA, SUMINISTRO E INSTALACIÓN DE FONDO Y SELLANTE)</v>
      </c>
      <c r="F98" s="60" t="str">
        <f>+VLOOKUP(C98,'PRECIOS IDU 2025'!$A$1:$E$3189,3,FALSE)</f>
        <v>ML</v>
      </c>
      <c r="G98" s="108">
        <v>10</v>
      </c>
      <c r="H98" s="69"/>
      <c r="I98" s="69"/>
      <c r="J98" s="9"/>
    </row>
    <row r="99" spans="1:10" ht="15.6" x14ac:dyDescent="0.3">
      <c r="A99" s="3"/>
      <c r="B99" s="8"/>
      <c r="C99" s="60">
        <v>5404</v>
      </c>
      <c r="D99" s="60">
        <v>3028</v>
      </c>
      <c r="E99" s="60" t="str">
        <f>+VLOOKUP(C99,'PRECIOS IDU 2025'!$A$1:$E$3189,2,FALSE)</f>
        <v>CANASTILLA PASAJUNTAS (INCLUYE SUMINISTRO Y FIJACIÓN)</v>
      </c>
      <c r="F99" s="60" t="str">
        <f>+VLOOKUP(C99,'PRECIOS IDU 2025'!$A$1:$E$3189,3,FALSE)</f>
        <v>KG</v>
      </c>
      <c r="G99" s="108">
        <v>10</v>
      </c>
      <c r="H99" s="69"/>
      <c r="I99" s="69"/>
      <c r="J99" s="9"/>
    </row>
    <row r="100" spans="1:10" ht="30" customHeight="1" x14ac:dyDescent="0.3">
      <c r="A100" s="3"/>
      <c r="B100" s="8"/>
      <c r="C100" s="61" t="s">
        <v>35</v>
      </c>
      <c r="D100" s="62"/>
      <c r="E100" s="62"/>
      <c r="F100" s="62"/>
      <c r="G100" s="62"/>
      <c r="H100" s="62"/>
      <c r="I100" s="63"/>
      <c r="J100" s="9"/>
    </row>
    <row r="101" spans="1:10" ht="30" customHeight="1" x14ac:dyDescent="0.3">
      <c r="A101" s="3"/>
      <c r="B101" s="8"/>
      <c r="C101" s="60">
        <v>3007</v>
      </c>
      <c r="D101" s="60">
        <v>4001</v>
      </c>
      <c r="E101" s="60" t="str">
        <f>+VLOOKUP(C101,'PRECIOS IDU 2025'!$A$1:$E$3189,2,FALSE)</f>
        <v>REPLANTEO GENERAL</v>
      </c>
      <c r="F101" s="60" t="str">
        <f>+VLOOKUP(C101,'PRECIOS IDU 2025'!$A$1:$E$3189,3,FALSE)</f>
        <v>M2</v>
      </c>
      <c r="G101" s="108">
        <v>186.7</v>
      </c>
      <c r="H101" s="69"/>
      <c r="I101" s="69"/>
      <c r="J101" s="9"/>
    </row>
    <row r="102" spans="1:10" ht="30" customHeight="1" x14ac:dyDescent="0.3">
      <c r="A102" s="3"/>
      <c r="B102" s="8"/>
      <c r="C102" s="60">
        <v>3811</v>
      </c>
      <c r="D102" s="60">
        <v>4002</v>
      </c>
      <c r="E102" s="60" t="str">
        <f>+VLOOKUP(C102,'PRECIOS IDU 2025'!$A$1:$E$3189,2,FALSE)</f>
        <v>CORTE DE PAVIMENTO - INCLUYE EQUIPO: CORTADORA DE CONCRETO INCLUYE OPERARIO Y COMBUSTIBLE. INCLUYE DISCO DIAMANTADO ASFALTO-CONCRETO 350 MM, AGUA Y MANO DE OBRA</v>
      </c>
      <c r="F102" s="60" t="str">
        <f>+VLOOKUP(C102,'PRECIOS IDU 2025'!$A$1:$E$3189,3,FALSE)</f>
        <v>ML</v>
      </c>
      <c r="G102" s="108">
        <v>11.1</v>
      </c>
      <c r="H102" s="69"/>
      <c r="I102" s="69"/>
      <c r="J102" s="9"/>
    </row>
    <row r="103" spans="1:10" ht="30" customHeight="1" x14ac:dyDescent="0.3">
      <c r="A103" s="3"/>
      <c r="B103" s="8"/>
      <c r="C103" s="60">
        <v>3010</v>
      </c>
      <c r="D103" s="60">
        <v>4003</v>
      </c>
      <c r="E103" s="60" t="str">
        <f>+VLOOKUP(C103,'PRECIOS IDU 2025'!$A$1:$E$3189,2,FALSE)</f>
        <v>DEMOLICION PAVIMENTO ASFALTICO (INCLUYE CARGUE). NO INCLUYE TRANSPORTE Y DISPOSICIÓN FINAL DE SOBRANTES.</v>
      </c>
      <c r="F103" s="60" t="str">
        <f>+VLOOKUP(C103,'PRECIOS IDU 2025'!$A$1:$E$3189,3,FALSE)</f>
        <v>M3</v>
      </c>
      <c r="G103" s="108">
        <v>6.73</v>
      </c>
      <c r="H103" s="69"/>
      <c r="I103" s="69"/>
      <c r="J103" s="9"/>
    </row>
    <row r="104" spans="1:10" ht="30" customHeight="1" x14ac:dyDescent="0.3">
      <c r="A104" s="3"/>
      <c r="B104" s="8"/>
      <c r="C104" s="60">
        <v>3710</v>
      </c>
      <c r="D104" s="60">
        <v>4004</v>
      </c>
      <c r="E104" s="60" t="str">
        <f>+VLOOKUP(C104,'PRECIOS IDU 2025'!$A$1:$E$3189,2,FALSE)</f>
        <v>EXCAVACIÓN MECÁNICA EN MATERIAL COMÚN (INCLUYE CARGUE)</v>
      </c>
      <c r="F104" s="60" t="str">
        <f>+VLOOKUP(C104,'PRECIOS IDU 2025'!$A$1:$E$3189,3,FALSE)</f>
        <v>M3</v>
      </c>
      <c r="G104" s="108">
        <v>143.76</v>
      </c>
      <c r="H104" s="69"/>
      <c r="I104" s="69"/>
      <c r="J104" s="9"/>
    </row>
    <row r="105" spans="1:10" ht="30" customHeight="1" x14ac:dyDescent="0.3">
      <c r="A105" s="3"/>
      <c r="B105" s="8"/>
      <c r="C105" s="60">
        <v>3464</v>
      </c>
      <c r="D105" s="60">
        <v>4005</v>
      </c>
      <c r="E105" s="60" t="str">
        <f>+VLOOKUP(C105,'PRECIOS IDU 2025'!$A$1:$E$3189,2,FALSE)</f>
        <v>EXCAVACION MANUAL EN MATERIAL COMUN. INCLUYE CARGUE.</v>
      </c>
      <c r="F105" s="60" t="str">
        <f>+VLOOKUP(C105,'PRECIOS IDU 2025'!$A$1:$E$3189,3,FALSE)</f>
        <v>M3</v>
      </c>
      <c r="G105" s="108">
        <v>7.19</v>
      </c>
      <c r="H105" s="69"/>
      <c r="I105" s="69"/>
      <c r="J105" s="9"/>
    </row>
    <row r="106" spans="1:10" ht="27.6" x14ac:dyDescent="0.3">
      <c r="A106" s="3"/>
      <c r="B106" s="8"/>
      <c r="C106" s="60">
        <v>3017</v>
      </c>
      <c r="D106" s="60">
        <v>4006</v>
      </c>
      <c r="E106" s="60" t="str">
        <f>+VLOOKUP(C106,'PRECIOS IDU 2025'!$A$1:$E$3189,2,FALSE)</f>
        <v>TRANSPORTE Y DISPOSICIÓN FINAL DE ESCOMBROS EN SITIO AUTORIZADO (DISTANCIA DE TRANSPORTE 21 KM). A DISTANCIA MAYOR DEL ACARREO LIBRE (90 M) EN SITIO AUTORIZADO POR LA ENTIDAD AMBIENTAL COMPETENTE.</v>
      </c>
      <c r="F106" s="60" t="str">
        <f>+VLOOKUP(C106,'PRECIOS IDU 2025'!$A$1:$E$3189,3,FALSE)</f>
        <v>M3</v>
      </c>
      <c r="G106" s="108">
        <v>204.98</v>
      </c>
      <c r="H106" s="69"/>
      <c r="I106" s="69"/>
      <c r="J106" s="9"/>
    </row>
    <row r="107" spans="1:10" ht="15.6" x14ac:dyDescent="0.3">
      <c r="A107" s="3"/>
      <c r="B107" s="8"/>
      <c r="C107" s="60">
        <v>3800</v>
      </c>
      <c r="D107" s="60">
        <v>4007</v>
      </c>
      <c r="E107" s="60" t="str">
        <f>+VLOOKUP(C107,'PRECIOS IDU 2025'!$A$1:$E$3189,2,FALSE)</f>
        <v>NIVELACION Y COMPACTACIÓN DE SUBRASANTE</v>
      </c>
      <c r="F107" s="60" t="str">
        <f>+VLOOKUP(C107,'PRECIOS IDU 2025'!$A$1:$E$3189,3,FALSE)</f>
        <v>M2</v>
      </c>
      <c r="G107" s="108">
        <v>186.7</v>
      </c>
      <c r="H107" s="69"/>
      <c r="I107" s="69"/>
      <c r="J107" s="9"/>
    </row>
    <row r="108" spans="1:10" ht="27.6" x14ac:dyDescent="0.3">
      <c r="A108" s="3"/>
      <c r="B108" s="8"/>
      <c r="C108" s="60">
        <v>5843</v>
      </c>
      <c r="D108" s="60">
        <v>4008</v>
      </c>
      <c r="E108" s="60" t="str">
        <f>+VLOOKUP(C108,'PRECIOS IDU 2025'!$A$1:$E$3189,2,FALSE)</f>
        <v>GEOMALLA BIAXIAL PARA EL CONTROL DEL REFLEJO DE AGRIETAMIENTO EN CAPAS DE CONCRETO ASFALTICO, CON MODULO DE TENSION CICLICA MINIMO DE 2340 KN/M. (INCLUYE SUMINISTRO E INSTALACION).</v>
      </c>
      <c r="F108" s="60" t="str">
        <f>+VLOOKUP(C108,'PRECIOS IDU 2025'!$A$1:$E$3189,3,FALSE)</f>
        <v>M2</v>
      </c>
      <c r="G108" s="108">
        <v>186.7</v>
      </c>
      <c r="H108" s="69"/>
      <c r="I108" s="69"/>
      <c r="J108" s="9"/>
    </row>
    <row r="109" spans="1:10" ht="30" customHeight="1" x14ac:dyDescent="0.3">
      <c r="A109" s="3"/>
      <c r="B109" s="8"/>
      <c r="C109" s="60">
        <v>3864</v>
      </c>
      <c r="D109" s="60">
        <v>4009</v>
      </c>
      <c r="E109" s="60" t="str">
        <f>+VLOOKUP(C109,'PRECIOS IDU 2025'!$A$1:$E$3189,2,FALSE)</f>
        <v>IMPRIMACION CON EMULSION ASFALTICA CRL-0 (SUMINISTRO, BARRIDO SUPERFICIE Y RIEGO MECANICO)</v>
      </c>
      <c r="F109" s="60" t="str">
        <f>+VLOOKUP(C109,'PRECIOS IDU 2025'!$A$1:$E$3189,3,FALSE)</f>
        <v>M2</v>
      </c>
      <c r="G109" s="108">
        <v>186.7</v>
      </c>
      <c r="H109" s="69"/>
      <c r="I109" s="69"/>
      <c r="J109" s="9"/>
    </row>
    <row r="110" spans="1:10" ht="30" customHeight="1" x14ac:dyDescent="0.3">
      <c r="A110" s="3"/>
      <c r="B110" s="8"/>
      <c r="C110" s="60">
        <v>3867</v>
      </c>
      <c r="D110" s="60">
        <v>4010</v>
      </c>
      <c r="E110" s="60" t="str">
        <f>+VLOOKUP(C110,'PRECIOS IDU 2025'!$A$1:$E$3189,2,FALSE)</f>
        <v>RIEGO DE LIGA CON EMULSION ASFALTICA CRR-2 (SUMINISTRO, BARRIDO SUPERFICIE Y RIEGO MECANICO)</v>
      </c>
      <c r="F110" s="60" t="str">
        <f>+VLOOKUP(C110,'PRECIOS IDU 2025'!$A$1:$E$3189,3,FALSE)</f>
        <v>M2</v>
      </c>
      <c r="G110" s="108">
        <v>9.34</v>
      </c>
      <c r="H110" s="69"/>
      <c r="I110" s="69"/>
      <c r="J110" s="9"/>
    </row>
    <row r="111" spans="1:10" ht="30" customHeight="1" x14ac:dyDescent="0.3">
      <c r="A111" s="3"/>
      <c r="B111" s="8"/>
      <c r="C111" s="60">
        <v>6313</v>
      </c>
      <c r="D111" s="60">
        <v>4012</v>
      </c>
      <c r="E111" s="60" t="str">
        <f>+VLOOKUP(C111,'PRECIOS IDU 2025'!$A$1:$E$3189,2,FALSE)</f>
        <v>MEZCLA ASFÁLTICA DENSA EN CALIENTE MD12 CON CEMENTO ASFÁLTICO 60-70 (SUMINISTRO, EXTENDIDO, NIVELACIÓN Y COMPACTACIÓN MECANICA CON VIBROCOMPACTADOR Y COMPACTADOR DE LLANTAS)</v>
      </c>
      <c r="F111" s="60" t="str">
        <f>+VLOOKUP(C111,'PRECIOS IDU 2025'!$A$1:$E$3189,3,FALSE)</f>
        <v>M3</v>
      </c>
      <c r="G111" s="108">
        <v>15.68</v>
      </c>
      <c r="H111" s="69"/>
      <c r="I111" s="69"/>
      <c r="J111" s="9"/>
    </row>
    <row r="112" spans="1:10" ht="30" customHeight="1" x14ac:dyDescent="0.3">
      <c r="A112" s="3"/>
      <c r="B112" s="8"/>
      <c r="C112" s="60">
        <v>4712</v>
      </c>
      <c r="D112" s="60">
        <v>4013</v>
      </c>
      <c r="E112" s="60" t="str">
        <f>+VLOOKUP(C112,'PRECIOS IDU 2025'!$A$1:$E$3189,2,FALSE)</f>
        <v>MEZCLA ASFALTICA CON ASFALTO CAUCHO (SUMINISTRO, EXTENDIDO, NIVELACIÓN Y COMPACTACIÓN MECANICA)</v>
      </c>
      <c r="F112" s="60" t="str">
        <f>+VLOOKUP(C112,'PRECIOS IDU 2025'!$A$1:$E$3189,3,FALSE)</f>
        <v>M3</v>
      </c>
      <c r="G112" s="108">
        <v>6.72</v>
      </c>
      <c r="H112" s="69"/>
      <c r="I112" s="69"/>
      <c r="J112" s="9"/>
    </row>
    <row r="113" spans="1:10" ht="30" customHeight="1" x14ac:dyDescent="0.3">
      <c r="A113" s="3"/>
      <c r="B113" s="8"/>
      <c r="C113" s="60">
        <v>4598</v>
      </c>
      <c r="D113" s="60">
        <v>4014</v>
      </c>
      <c r="E113" s="60" t="str">
        <f>+VLOOKUP(C113,'PRECIOS IDU 2025'!$A$1:$E$3189,2,FALSE)</f>
        <v>SELLO DE GRIETAS</v>
      </c>
      <c r="F113" s="60" t="str">
        <f>+VLOOKUP(C113,'PRECIOS IDU 2025'!$A$1:$E$3189,3,FALSE)</f>
        <v>ML</v>
      </c>
      <c r="G113" s="108">
        <v>10</v>
      </c>
      <c r="H113" s="69"/>
      <c r="I113" s="69"/>
      <c r="J113" s="9"/>
    </row>
    <row r="114" spans="1:10" ht="30" customHeight="1" x14ac:dyDescent="0.3">
      <c r="A114" s="3"/>
      <c r="B114" s="8"/>
      <c r="C114" s="60">
        <v>4758</v>
      </c>
      <c r="D114" s="60">
        <v>4015</v>
      </c>
      <c r="E114" s="60" t="str">
        <f>+VLOOKUP(C114,'PRECIOS IDU 2025'!$A$1:$E$3189,2,FALSE)</f>
        <v>SELLO DE FISURAS</v>
      </c>
      <c r="F114" s="60" t="str">
        <f>+VLOOKUP(C114,'PRECIOS IDU 2025'!$A$1:$E$3189,3,FALSE)</f>
        <v>ML</v>
      </c>
      <c r="G114" s="108">
        <v>10</v>
      </c>
      <c r="H114" s="69"/>
      <c r="I114" s="69"/>
      <c r="J114" s="9"/>
    </row>
    <row r="115" spans="1:10" ht="30" customHeight="1" x14ac:dyDescent="0.3">
      <c r="A115" s="3"/>
      <c r="B115" s="8"/>
      <c r="C115" s="60">
        <v>3723</v>
      </c>
      <c r="D115" s="60">
        <v>4016</v>
      </c>
      <c r="E115" s="60" t="str">
        <f>+VLOOKUP(C115,'PRECIOS IDU 2025'!$A$1:$E$3189,2,FALSE)</f>
        <v>LIMPIEZA DE POZOS (INCLUYE CARGUE, RETIRO Y DISPOSICIÓN FINAL DE SOBRANTES)</v>
      </c>
      <c r="F115" s="60" t="str">
        <f>+VLOOKUP(C115,'PRECIOS IDU 2025'!$A$1:$E$3189,3,FALSE)</f>
        <v>UN</v>
      </c>
      <c r="G115" s="108">
        <v>1</v>
      </c>
      <c r="H115" s="69"/>
      <c r="I115" s="69"/>
      <c r="J115" s="9"/>
    </row>
    <row r="116" spans="1:10" ht="30" customHeight="1" x14ac:dyDescent="0.3">
      <c r="A116" s="3"/>
      <c r="B116" s="8"/>
      <c r="C116" s="60">
        <v>3724</v>
      </c>
      <c r="D116" s="60">
        <v>4017</v>
      </c>
      <c r="E116" s="60" t="str">
        <f>+VLOOKUP(C116,'PRECIOS IDU 2025'!$A$1:$E$3189,2,FALSE)</f>
        <v>LIMPIEZA DE SUMIDEROS (INCLUYE CARGUE, RETIRO Y DISPOSICIÓN FINAL DE SOBRANTES)</v>
      </c>
      <c r="F116" s="60" t="str">
        <f>+VLOOKUP(C116,'PRECIOS IDU 2025'!$A$1:$E$3189,3,FALSE)</f>
        <v>UN</v>
      </c>
      <c r="G116" s="108">
        <v>1</v>
      </c>
      <c r="H116" s="69"/>
      <c r="I116" s="69"/>
      <c r="J116" s="9"/>
    </row>
    <row r="117" spans="1:10" ht="30" customHeight="1" x14ac:dyDescent="0.3">
      <c r="A117" s="3"/>
      <c r="B117" s="8"/>
      <c r="C117" s="66" t="s">
        <v>36</v>
      </c>
      <c r="D117" s="62"/>
      <c r="E117" s="62"/>
      <c r="F117" s="62"/>
      <c r="G117" s="62"/>
      <c r="H117" s="62"/>
      <c r="I117" s="63"/>
      <c r="J117" s="9"/>
    </row>
    <row r="118" spans="1:10" ht="30" customHeight="1" x14ac:dyDescent="0.3">
      <c r="A118" s="3"/>
      <c r="B118" s="8"/>
      <c r="C118" s="60">
        <v>3007</v>
      </c>
      <c r="D118" s="60">
        <v>5001</v>
      </c>
      <c r="E118" s="60" t="str">
        <f>+VLOOKUP(C118,'PRECIOS IDU 2025'!$A$1:$E$3189,2,FALSE)</f>
        <v>REPLANTEO GENERAL</v>
      </c>
      <c r="F118" s="60" t="str">
        <f>+VLOOKUP(C118,'PRECIOS IDU 2025'!$A$1:$E$3189,3,FALSE)</f>
        <v>M2</v>
      </c>
      <c r="G118" s="108">
        <v>5</v>
      </c>
      <c r="H118" s="69"/>
      <c r="I118" s="69"/>
      <c r="J118" s="9"/>
    </row>
    <row r="119" spans="1:10" ht="30" customHeight="1" x14ac:dyDescent="0.3">
      <c r="A119" s="3"/>
      <c r="B119" s="8"/>
      <c r="C119" s="60">
        <v>3010</v>
      </c>
      <c r="D119" s="60">
        <v>5003</v>
      </c>
      <c r="E119" s="60" t="str">
        <f>+VLOOKUP(C119,'PRECIOS IDU 2025'!$A$1:$E$3189,2,FALSE)</f>
        <v>DEMOLICION PAVIMENTO ASFALTICO (INCLUYE CARGUE). NO INCLUYE TRANSPORTE Y DISPOSICIÓN FINAL DE SOBRANTES.</v>
      </c>
      <c r="F119" s="60" t="str">
        <f>+VLOOKUP(C119,'PRECIOS IDU 2025'!$A$1:$E$3189,3,FALSE)</f>
        <v>M3</v>
      </c>
      <c r="G119" s="108">
        <v>5</v>
      </c>
      <c r="H119" s="69"/>
      <c r="I119" s="69"/>
      <c r="J119" s="9"/>
    </row>
    <row r="120" spans="1:10" ht="30" customHeight="1" x14ac:dyDescent="0.3">
      <c r="A120" s="3"/>
      <c r="B120" s="8"/>
      <c r="C120" s="60">
        <v>3486</v>
      </c>
      <c r="D120" s="60">
        <v>5004</v>
      </c>
      <c r="E120" s="60" t="str">
        <f>+VLOOKUP(C120,'PRECIOS IDU 2025'!$A$1:$E$3189,2,FALSE)</f>
        <v>DEMOLICIÓN CONCRETO ESTRUCTURAL (INCLUYE CARGUE MANUAL). NO INCLUYE TRANSPORTE Y DISPOSICIÓN FINAL DE SOBRANTES.</v>
      </c>
      <c r="F120" s="60" t="str">
        <f>+VLOOKUP(C120,'PRECIOS IDU 2025'!$A$1:$E$3189,3,FALSE)</f>
        <v>M3</v>
      </c>
      <c r="G120" s="108">
        <v>5</v>
      </c>
      <c r="H120" s="69"/>
      <c r="I120" s="69"/>
      <c r="J120" s="9"/>
    </row>
    <row r="121" spans="1:10" ht="30" customHeight="1" x14ac:dyDescent="0.3">
      <c r="A121" s="3"/>
      <c r="B121" s="8"/>
      <c r="C121" s="60">
        <v>3017</v>
      </c>
      <c r="D121" s="60">
        <v>5007</v>
      </c>
      <c r="E121" s="60" t="str">
        <f>+VLOOKUP(C121,'PRECIOS IDU 2025'!$A$1:$E$3189,2,FALSE)</f>
        <v>TRANSPORTE Y DISPOSICIÓN FINAL DE ESCOMBROS EN SITIO AUTORIZADO (DISTANCIA DE TRANSPORTE 21 KM). A DISTANCIA MAYOR DEL ACARREO LIBRE (90 M) EN SITIO AUTORIZADO POR LA ENTIDAD AMBIENTAL COMPETENTE.</v>
      </c>
      <c r="F121" s="60" t="str">
        <f>+VLOOKUP(C121,'PRECIOS IDU 2025'!$A$1:$E$3189,3,FALSE)</f>
        <v>M3</v>
      </c>
      <c r="G121" s="108">
        <v>5</v>
      </c>
      <c r="H121" s="69"/>
      <c r="I121" s="69"/>
      <c r="J121" s="9"/>
    </row>
    <row r="122" spans="1:10" ht="30" customHeight="1" x14ac:dyDescent="0.3">
      <c r="A122" s="3"/>
      <c r="B122" s="8"/>
      <c r="C122" s="60">
        <v>3800</v>
      </c>
      <c r="D122" s="60">
        <v>5008</v>
      </c>
      <c r="E122" s="60" t="str">
        <f>+VLOOKUP(C122,'PRECIOS IDU 2025'!$A$1:$E$3189,2,FALSE)</f>
        <v>NIVELACION Y COMPACTACIÓN DE SUBRASANTE</v>
      </c>
      <c r="F122" s="60" t="str">
        <f>+VLOOKUP(C122,'PRECIOS IDU 2025'!$A$1:$E$3189,3,FALSE)</f>
        <v>M2</v>
      </c>
      <c r="G122" s="108">
        <v>5</v>
      </c>
      <c r="H122" s="69"/>
      <c r="I122" s="69"/>
      <c r="J122" s="9"/>
    </row>
    <row r="123" spans="1:10" ht="30" customHeight="1" x14ac:dyDescent="0.3">
      <c r="A123" s="3"/>
      <c r="B123" s="8"/>
      <c r="C123" s="60">
        <v>3864</v>
      </c>
      <c r="D123" s="60">
        <v>5009</v>
      </c>
      <c r="E123" s="60" t="str">
        <f>+VLOOKUP(C123,'PRECIOS IDU 2025'!$A$1:$E$3189,2,FALSE)</f>
        <v>IMPRIMACION CON EMULSION ASFALTICA CRL-0 (SUMINISTRO, BARRIDO SUPERFICIE Y RIEGO MECANICO)</v>
      </c>
      <c r="F123" s="60" t="str">
        <f>+VLOOKUP(C123,'PRECIOS IDU 2025'!$A$1:$E$3189,3,FALSE)</f>
        <v>M2</v>
      </c>
      <c r="G123" s="108">
        <v>5</v>
      </c>
      <c r="H123" s="69"/>
      <c r="I123" s="69"/>
      <c r="J123" s="9"/>
    </row>
    <row r="124" spans="1:10" ht="30" customHeight="1" x14ac:dyDescent="0.3">
      <c r="A124" s="3"/>
      <c r="B124" s="8"/>
      <c r="C124" s="60">
        <v>3867</v>
      </c>
      <c r="D124" s="60">
        <v>5010</v>
      </c>
      <c r="E124" s="60" t="str">
        <f>+VLOOKUP(C124,'PRECIOS IDU 2025'!$A$1:$E$3189,2,FALSE)</f>
        <v>RIEGO DE LIGA CON EMULSION ASFALTICA CRR-2 (SUMINISTRO, BARRIDO SUPERFICIE Y RIEGO MECANICO)</v>
      </c>
      <c r="F124" s="60" t="str">
        <f>+VLOOKUP(C124,'PRECIOS IDU 2025'!$A$1:$E$3189,3,FALSE)</f>
        <v>M2</v>
      </c>
      <c r="G124" s="108">
        <v>5</v>
      </c>
      <c r="H124" s="69"/>
      <c r="I124" s="69"/>
      <c r="J124" s="9"/>
    </row>
    <row r="125" spans="1:10" ht="30" customHeight="1" x14ac:dyDescent="0.3">
      <c r="A125" s="3"/>
      <c r="B125" s="8"/>
      <c r="C125" s="60">
        <v>6313</v>
      </c>
      <c r="D125" s="60">
        <v>5012</v>
      </c>
      <c r="E125" s="60" t="str">
        <f>+VLOOKUP(C125,'PRECIOS IDU 2025'!$A$1:$E$3189,2,FALSE)</f>
        <v>MEZCLA ASFÁLTICA DENSA EN CALIENTE MD12 CON CEMENTO ASFÁLTICO 60-70 (SUMINISTRO, EXTENDIDO, NIVELACIÓN Y COMPACTACIÓN MECANICA CON VIBROCOMPACTADOR Y COMPACTADOR DE LLANTAS)</v>
      </c>
      <c r="F125" s="60" t="str">
        <f>+VLOOKUP(C125,'PRECIOS IDU 2025'!$A$1:$E$3189,3,FALSE)</f>
        <v>M3</v>
      </c>
      <c r="G125" s="108">
        <v>5</v>
      </c>
      <c r="H125" s="69"/>
      <c r="I125" s="69"/>
      <c r="J125" s="9"/>
    </row>
    <row r="126" spans="1:10" ht="30" customHeight="1" x14ac:dyDescent="0.3">
      <c r="A126" s="3"/>
      <c r="B126" s="8"/>
      <c r="C126" s="60">
        <v>4712</v>
      </c>
      <c r="D126" s="60">
        <v>5013</v>
      </c>
      <c r="E126" s="60" t="str">
        <f>+VLOOKUP(C126,'PRECIOS IDU 2025'!$A$1:$E$3189,2,FALSE)</f>
        <v>MEZCLA ASFALTICA CON ASFALTO CAUCHO (SUMINISTRO, EXTENDIDO, NIVELACIÓN Y COMPACTACIÓN MECANICA)</v>
      </c>
      <c r="F126" s="60" t="str">
        <f>+VLOOKUP(C126,'PRECIOS IDU 2025'!$A$1:$E$3189,3,FALSE)</f>
        <v>M3</v>
      </c>
      <c r="G126" s="108">
        <v>5</v>
      </c>
      <c r="H126" s="69"/>
      <c r="I126" s="69"/>
      <c r="J126" s="9"/>
    </row>
    <row r="127" spans="1:10" ht="59.4" customHeight="1" x14ac:dyDescent="0.3">
      <c r="A127" s="3"/>
      <c r="B127" s="8"/>
      <c r="C127" s="60">
        <v>3708</v>
      </c>
      <c r="D127" s="60">
        <v>5014</v>
      </c>
      <c r="E127" s="60" t="str">
        <f>+VLOOKUP(C127,'PRECIOS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27" s="60" t="str">
        <f>+VLOOKUP(C127,'PRECIOS IDU 2025'!$A$1:$E$3189,3,FALSE)</f>
        <v>KG</v>
      </c>
      <c r="G127" s="108">
        <v>5</v>
      </c>
      <c r="H127" s="69"/>
      <c r="I127" s="69"/>
      <c r="J127" s="9"/>
    </row>
    <row r="128" spans="1:10" ht="30" customHeight="1" x14ac:dyDescent="0.3">
      <c r="A128" s="3"/>
      <c r="B128" s="8"/>
      <c r="C128" s="60">
        <v>4959</v>
      </c>
      <c r="D128" s="60">
        <v>5015</v>
      </c>
      <c r="E128" s="60" t="str">
        <f>+VLOOKUP(C128,'PRECIOS IDU 2025'!$A$1:$E$3189,2,FALSE)</f>
        <v>ACERO LISO PARA TRANSFERENCIA DE LOSAS D= 1 1/4" (NO INCLUYE CANASTILLA). SUMINISTRO E INSTALACIÓN.</v>
      </c>
      <c r="F128" s="60" t="str">
        <f>+VLOOKUP(C128,'PRECIOS IDU 2025'!$A$1:$E$3189,3,FALSE)</f>
        <v>KG</v>
      </c>
      <c r="G128" s="108">
        <v>5</v>
      </c>
      <c r="H128" s="69"/>
      <c r="I128" s="69"/>
      <c r="J128" s="9"/>
    </row>
    <row r="129" spans="1:10" ht="30" customHeight="1" x14ac:dyDescent="0.3">
      <c r="A129" s="3"/>
      <c r="B129" s="8"/>
      <c r="C129" s="60">
        <v>7713</v>
      </c>
      <c r="D129" s="60">
        <v>5016</v>
      </c>
      <c r="E129" s="60" t="str">
        <f>+VLOOKUP(C129,'PRECIOS IDU 2025'!$A$1:$E$3189,2,FALSE)</f>
        <v>(DOVELAS) ACERO LISO PARA TRANSFERENCIA DE LOSAS D= 1 1/2" (NO INCLUYE CANASTILLA). SUMINISTRO E INSTALACIÓN.</v>
      </c>
      <c r="F129" s="60" t="str">
        <f>+VLOOKUP(C129,'PRECIOS IDU 2025'!$A$1:$E$3189,3,FALSE)</f>
        <v>KG</v>
      </c>
      <c r="G129" s="108">
        <v>5</v>
      </c>
      <c r="H129" s="69"/>
      <c r="I129" s="69"/>
      <c r="J129" s="9"/>
    </row>
    <row r="130" spans="1:10" ht="30" customHeight="1" x14ac:dyDescent="0.3">
      <c r="A130" s="3"/>
      <c r="B130" s="8"/>
      <c r="C130" s="60">
        <v>7714</v>
      </c>
      <c r="D130" s="60">
        <v>5017</v>
      </c>
      <c r="E130" s="60" t="str">
        <f>+VLOOKUP(C130,'PRECIOS IDU 2025'!$A$1:$E$3189,2,FALSE)</f>
        <v>(DOVELAS) ACERO LISO PARA TRANSFERENCIA DE LOSAS D= 1" (NO INCLUYE CANASTILLA). SUMINISTRO E INSTALACIÓN.</v>
      </c>
      <c r="F130" s="60" t="str">
        <f>+VLOOKUP(C130,'PRECIOS IDU 2025'!$A$1:$E$3189,3,FALSE)</f>
        <v>KG</v>
      </c>
      <c r="G130" s="108">
        <v>5</v>
      </c>
      <c r="H130" s="69"/>
      <c r="I130" s="69"/>
      <c r="J130" s="9"/>
    </row>
    <row r="131" spans="1:10" ht="30" customHeight="1" x14ac:dyDescent="0.3">
      <c r="A131" s="3"/>
      <c r="B131" s="8"/>
      <c r="C131" s="60">
        <v>3204</v>
      </c>
      <c r="D131" s="60">
        <v>5019</v>
      </c>
      <c r="E131" s="60" t="str">
        <f>+VLOOKUP(C131,'PRECIOS IDU 2025'!$A$1:$E$3189,2,FALSE)</f>
        <v>LOSA DE CONCRETO MR43 (SUMINISTRO, FORMALETEADO, COLOCACIÓN Y ACABADO. NO INCLUYE ACERO, CURADO, JUNTAS)</v>
      </c>
      <c r="F131" s="60" t="str">
        <f>+VLOOKUP(C131,'PRECIOS IDU 2025'!$A$1:$E$3189,3,FALSE)</f>
        <v>M3</v>
      </c>
      <c r="G131" s="108">
        <v>5</v>
      </c>
      <c r="H131" s="69"/>
      <c r="I131" s="69"/>
      <c r="J131" s="9"/>
    </row>
    <row r="132" spans="1:10" ht="30" customHeight="1" x14ac:dyDescent="0.3">
      <c r="A132" s="3"/>
      <c r="B132" s="8"/>
      <c r="C132" s="60">
        <v>3806</v>
      </c>
      <c r="D132" s="60">
        <v>5020</v>
      </c>
      <c r="E132" s="60" t="str">
        <f>+VLOOKUP(C132,'PRECIOS IDU 2025'!$A$1:$E$3189,2,FALSE)</f>
        <v>CURADO DE LOSAS DE CONCRETO (SUMINISTRO Y APLICACIÓN)</v>
      </c>
      <c r="F132" s="60" t="str">
        <f>+VLOOKUP(C132,'PRECIOS IDU 2025'!$A$1:$E$3189,3,FALSE)</f>
        <v>M2</v>
      </c>
      <c r="G132" s="108">
        <v>5</v>
      </c>
      <c r="H132" s="69"/>
      <c r="I132" s="69"/>
      <c r="J132" s="9"/>
    </row>
    <row r="133" spans="1:10" ht="30" customHeight="1" x14ac:dyDescent="0.3">
      <c r="A133" s="3"/>
      <c r="B133" s="8"/>
      <c r="C133" s="60">
        <v>3837</v>
      </c>
      <c r="D133" s="60">
        <v>5021</v>
      </c>
      <c r="E133" s="60" t="str">
        <f>+VLOOKUP(C133,'PRECIOS IDU 2025'!$A$1:$E$3189,2,FALSE)</f>
        <v>SELLADO DE JUNTAS EN PAVIMENTO DE CONCRETO HIDRAULICO (INCLUYE LIMPIEZA, SUMINISTRO E INSTALACIÓN DE FONDO Y SELLANTE)</v>
      </c>
      <c r="F133" s="60" t="str">
        <f>+VLOOKUP(C133,'PRECIOS IDU 2025'!$A$1:$E$3189,3,FALSE)</f>
        <v>ML</v>
      </c>
      <c r="G133" s="108">
        <v>5</v>
      </c>
      <c r="H133" s="69"/>
      <c r="I133" s="69"/>
      <c r="J133" s="9"/>
    </row>
    <row r="134" spans="1:10" ht="30" customHeight="1" x14ac:dyDescent="0.3">
      <c r="A134" s="3"/>
      <c r="B134" s="8"/>
      <c r="C134" s="60">
        <v>5404</v>
      </c>
      <c r="D134" s="60">
        <v>5022</v>
      </c>
      <c r="E134" s="60" t="str">
        <f>+VLOOKUP(C134,'PRECIOS IDU 2025'!$A$1:$E$3189,2,FALSE)</f>
        <v>CANASTILLA PASAJUNTAS (INCLUYE SUMINISTRO Y FIJACIÓN)</v>
      </c>
      <c r="F134" s="60" t="str">
        <f>+VLOOKUP(C134,'PRECIOS IDU 2025'!$A$1:$E$3189,3,FALSE)</f>
        <v>KG</v>
      </c>
      <c r="G134" s="108">
        <v>5</v>
      </c>
      <c r="H134" s="69"/>
      <c r="I134" s="69"/>
      <c r="J134" s="9"/>
    </row>
    <row r="135" spans="1:10" ht="30" customHeight="1" x14ac:dyDescent="0.3">
      <c r="A135" s="3"/>
      <c r="B135" s="8"/>
      <c r="C135" s="60">
        <v>3723</v>
      </c>
      <c r="D135" s="60">
        <v>5023</v>
      </c>
      <c r="E135" s="60" t="str">
        <f>+VLOOKUP(C135,'PRECIOS IDU 2025'!$A$1:$E$3189,2,FALSE)</f>
        <v>LIMPIEZA DE POZOS (INCLUYE CARGUE, RETIRO Y DISPOSICIÓN FINAL DE SOBRANTES)</v>
      </c>
      <c r="F135" s="60" t="str">
        <f>+VLOOKUP(C135,'PRECIOS IDU 2025'!$A$1:$E$3189,3,FALSE)</f>
        <v>UN</v>
      </c>
      <c r="G135" s="108">
        <v>5</v>
      </c>
      <c r="H135" s="69"/>
      <c r="I135" s="69"/>
      <c r="J135" s="9"/>
    </row>
    <row r="136" spans="1:10" ht="30" customHeight="1" x14ac:dyDescent="0.3">
      <c r="A136" s="3"/>
      <c r="B136" s="8"/>
      <c r="C136" s="60">
        <v>3724</v>
      </c>
      <c r="D136" s="60">
        <v>5024</v>
      </c>
      <c r="E136" s="60" t="str">
        <f>+VLOOKUP(C136,'PRECIOS IDU 2025'!$A$1:$E$3189,2,FALSE)</f>
        <v>LIMPIEZA DE SUMIDEROS (INCLUYE CARGUE, RETIRO Y DISPOSICIÓN FINAL DE SOBRANTES)</v>
      </c>
      <c r="F136" s="60" t="str">
        <f>+VLOOKUP(C136,'PRECIOS IDU 2025'!$A$1:$E$3189,3,FALSE)</f>
        <v>UN</v>
      </c>
      <c r="G136" s="108">
        <v>5</v>
      </c>
      <c r="H136" s="69"/>
      <c r="I136" s="69"/>
      <c r="J136" s="9"/>
    </row>
    <row r="137" spans="1:10" ht="30" customHeight="1" x14ac:dyDescent="0.3">
      <c r="A137" s="3"/>
      <c r="B137" s="8"/>
      <c r="C137" s="66" t="s">
        <v>37</v>
      </c>
      <c r="D137" s="67"/>
      <c r="E137" s="67"/>
      <c r="F137" s="67"/>
      <c r="G137" s="67"/>
      <c r="H137" s="67"/>
      <c r="I137" s="68"/>
      <c r="J137" s="9"/>
    </row>
    <row r="138" spans="1:10" ht="30" customHeight="1" x14ac:dyDescent="0.3">
      <c r="A138" s="3"/>
      <c r="B138" s="8"/>
      <c r="C138" s="60">
        <v>3012</v>
      </c>
      <c r="D138" s="60">
        <v>6001</v>
      </c>
      <c r="E138" s="60" t="str">
        <f>+VLOOKUP(C138,'PRECIOS IDU 2025'!$A$1:$E$3189,2,FALSE)</f>
        <v>DEMOLICIÓN PISOS DE CONCRETO (ESPESOR VARIABLE HASTA 0.10 M. INCLUYE CARGUE). NO INCLUYE TRANSPORTE Y DISPOSICIÓN FINAL DE SOBRANTES.</v>
      </c>
      <c r="F138" s="60" t="str">
        <f>+VLOOKUP(C138,'PRECIOS IDU 2025'!$A$1:$E$3189,3,FALSE)</f>
        <v>M2</v>
      </c>
      <c r="G138" s="108">
        <v>3630</v>
      </c>
      <c r="H138" s="69"/>
      <c r="I138" s="69"/>
      <c r="J138" s="9"/>
    </row>
    <row r="139" spans="1:10" ht="30" customHeight="1" x14ac:dyDescent="0.3">
      <c r="A139" s="3"/>
      <c r="B139" s="8"/>
      <c r="C139" s="60">
        <v>3011</v>
      </c>
      <c r="D139" s="60">
        <v>6002</v>
      </c>
      <c r="E139" s="60" t="str">
        <f>+VLOOKUP(C139,'PRECIOS IDU 2025'!$A$1:$E$3189,2,FALSE)</f>
        <v>DEMOLICION MANUAL SARDINEL EXISTENTE (INCLUYE CARGUE). NO INCLUYE TRANSPORTE Y DISPOSICIÓN FINAL DE SOBRANTES.</v>
      </c>
      <c r="F139" s="60" t="str">
        <f>+VLOOKUP(C139,'PRECIOS IDU 2025'!$A$1:$E$3189,3,FALSE)</f>
        <v>ML</v>
      </c>
      <c r="G139" s="108">
        <v>2420</v>
      </c>
      <c r="H139" s="69"/>
      <c r="I139" s="69"/>
      <c r="J139" s="9"/>
    </row>
    <row r="140" spans="1:10" ht="30" customHeight="1" x14ac:dyDescent="0.3">
      <c r="A140" s="3"/>
      <c r="B140" s="8"/>
      <c r="C140" s="60">
        <v>3464</v>
      </c>
      <c r="D140" s="60">
        <v>6003</v>
      </c>
      <c r="E140" s="60" t="str">
        <f>+VLOOKUP(C140,'PRECIOS IDU 2025'!$A$1:$E$3189,2,FALSE)</f>
        <v>EXCAVACION MANUAL EN MATERIAL COMUN. INCLUYE CARGUE.</v>
      </c>
      <c r="F140" s="60" t="str">
        <f>+VLOOKUP(C140,'PRECIOS IDU 2025'!$A$1:$E$3189,3,FALSE)</f>
        <v>M3</v>
      </c>
      <c r="G140" s="108">
        <v>1815</v>
      </c>
      <c r="H140" s="69"/>
      <c r="I140" s="69"/>
      <c r="J140" s="9"/>
    </row>
    <row r="141" spans="1:10" ht="30" customHeight="1" x14ac:dyDescent="0.3">
      <c r="A141" s="3"/>
      <c r="B141" s="8"/>
      <c r="C141" s="60">
        <v>3017</v>
      </c>
      <c r="D141" s="60">
        <v>6004</v>
      </c>
      <c r="E141" s="60" t="str">
        <f>+VLOOKUP(C141,'PRECIOS IDU 2025'!$A$1:$E$3189,2,FALSE)</f>
        <v>TRANSPORTE Y DISPOSICIÓN FINAL DE ESCOMBROS EN SITIO AUTORIZADO (DISTANCIA DE TRANSPORTE 21 KM). A DISTANCIA MAYOR DEL ACARREO LIBRE (90 M) EN SITIO AUTORIZADO POR LA ENTIDAD AMBIENTAL COMPETENTE.</v>
      </c>
      <c r="F141" s="60" t="str">
        <f>+VLOOKUP(C141,'PRECIOS IDU 2025'!$A$1:$E$3189,3,FALSE)</f>
        <v>M3</v>
      </c>
      <c r="G141" s="108">
        <v>2359.5</v>
      </c>
      <c r="H141" s="69"/>
      <c r="I141" s="69"/>
      <c r="J141" s="9"/>
    </row>
    <row r="142" spans="1:10" ht="30" customHeight="1" x14ac:dyDescent="0.3">
      <c r="A142" s="3"/>
      <c r="B142" s="8"/>
      <c r="C142" s="60">
        <v>4159</v>
      </c>
      <c r="D142" s="60">
        <v>6005</v>
      </c>
      <c r="E142" s="60" t="str">
        <f>+VLOOKUP(C142,'PRECIOS IDU 2025'!$A$1:$E$3189,2,FALSE)</f>
        <v>SUBBASE GRANULAR CLASE C (SBG_C) (SUMINISTRO, EXTENDIDO, NIVELACIÓN, HUMEDECIMIENTO Y COMPACTACIÓN CON VIBROCOMPACTADOR)</v>
      </c>
      <c r="F142" s="60" t="str">
        <f>+VLOOKUP(C142,'PRECIOS IDU 2025'!$A$1:$E$3189,3,FALSE)</f>
        <v>M3</v>
      </c>
      <c r="G142" s="108">
        <v>120.02</v>
      </c>
      <c r="H142" s="69"/>
      <c r="I142" s="69"/>
      <c r="J142" s="9"/>
    </row>
    <row r="143" spans="1:10" ht="30" customHeight="1" x14ac:dyDescent="0.3">
      <c r="A143" s="3"/>
      <c r="B143" s="8"/>
      <c r="C143" s="60">
        <v>4755</v>
      </c>
      <c r="D143" s="60">
        <v>6006</v>
      </c>
      <c r="E143" s="60" t="str">
        <f>+VLOOKUP(C143,'PRECIOS IDU 2025'!$A$1:$E$3189,2,FALSE)</f>
        <v>SUBBASE GRANULAR CLASE C (SBG_C) CON RECICLADO DE CONCRETO HIDRAULICO (SUMINISTRO, EXTENDIDO MANUAL, HUMEDECIMIENTO Y COMPACTACIÓN)</v>
      </c>
      <c r="F143" s="60" t="str">
        <f>+VLOOKUP(C143,'PRECIOS IDU 2025'!$A$1:$E$3189,3,FALSE)</f>
        <v>M3</v>
      </c>
      <c r="G143" s="108">
        <v>1089</v>
      </c>
      <c r="H143" s="69"/>
      <c r="I143" s="69"/>
      <c r="J143" s="9"/>
    </row>
    <row r="144" spans="1:10" ht="30" customHeight="1" x14ac:dyDescent="0.3">
      <c r="A144" s="3"/>
      <c r="B144" s="8"/>
      <c r="C144" s="60">
        <v>3425</v>
      </c>
      <c r="D144" s="60">
        <v>6007</v>
      </c>
      <c r="E144" s="60" t="str">
        <f>+VLOOKUP(C144,'PRECIOS IDU 2025'!$A$1:$E$3189,2,FALSE)</f>
        <v>ANDEN CONCRETO GRAVA COMÚN DE 3000 PSI (210 KG/CM2) PREMEZCLADO E=0.10M (INCLUYE SUMINISTRO, FORMALETEO, FUNDIDA Y CURADO)</v>
      </c>
      <c r="F144" s="60" t="str">
        <f>+VLOOKUP(C144,'PRECIOS IDU 2025'!$A$1:$E$3189,3,FALSE)</f>
        <v>M2</v>
      </c>
      <c r="G144" s="108">
        <v>2904</v>
      </c>
      <c r="H144" s="69"/>
      <c r="I144" s="69"/>
      <c r="J144" s="9"/>
    </row>
    <row r="145" spans="1:10" ht="30" customHeight="1" x14ac:dyDescent="0.3">
      <c r="A145" s="3"/>
      <c r="B145" s="8"/>
      <c r="C145" s="60">
        <v>4238</v>
      </c>
      <c r="D145" s="60">
        <v>6008</v>
      </c>
      <c r="E145" s="60" t="str">
        <f>+VLOOKUP(C145,'PRECIOS IDU 2025'!$A$1:$E$3189,2,FALSE)</f>
        <v>MALLA ELECTROSOLDADA 0.25X0.25M, D=4MM, 4MM (INCLUYE SUMINISTRO, FIJACIÓN E INSTALACIÓN)</v>
      </c>
      <c r="F145" s="60" t="str">
        <f>+VLOOKUP(C145,'PRECIOS IDU 2025'!$A$1:$E$3189,3,FALSE)</f>
        <v>KG</v>
      </c>
      <c r="G145" s="108">
        <v>1524.8</v>
      </c>
      <c r="H145" s="69"/>
      <c r="I145" s="69"/>
      <c r="J145" s="9"/>
    </row>
    <row r="146" spans="1:10" ht="59.25" customHeight="1" x14ac:dyDescent="0.3">
      <c r="A146" s="3"/>
      <c r="B146" s="8"/>
      <c r="C146" s="60">
        <v>10016</v>
      </c>
      <c r="D146" s="60">
        <v>6009</v>
      </c>
      <c r="E146" s="60" t="str">
        <f>+VLOOKUP(C146,'PRECIOS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46" s="60" t="str">
        <f>+VLOOKUP(C146,'PRECIOS IDU 2025'!$A$1:$E$3189,3,FALSE)</f>
        <v>M3</v>
      </c>
      <c r="G146" s="108">
        <v>10</v>
      </c>
      <c r="H146" s="69"/>
      <c r="I146" s="69"/>
      <c r="J146" s="9"/>
    </row>
    <row r="147" spans="1:10" ht="30" customHeight="1" x14ac:dyDescent="0.3">
      <c r="A147" s="3"/>
      <c r="B147" s="8"/>
      <c r="C147" s="60">
        <v>3621</v>
      </c>
      <c r="D147" s="60">
        <v>6010</v>
      </c>
      <c r="E147" s="60" t="str">
        <f>+VLOOKUP(C147,'PRECIOS IDU 2025'!$A$1:$E$3189,2,FALSE)</f>
        <v>RAMPA TIPO A B10 INCLUYE BASE EN MORTERO 1:5, DESARROLLO: 1M.</v>
      </c>
      <c r="F147" s="60" t="str">
        <f>+VLOOKUP(C147,'PRECIOS IDU 2025'!$A$1:$E$3189,3,FALSE)</f>
        <v>UN</v>
      </c>
      <c r="G147" s="108">
        <v>10</v>
      </c>
      <c r="H147" s="69"/>
      <c r="I147" s="69"/>
      <c r="J147" s="9"/>
    </row>
    <row r="148" spans="1:10" ht="30" customHeight="1" x14ac:dyDescent="0.3">
      <c r="A148" s="3"/>
      <c r="B148" s="8"/>
      <c r="C148" s="60">
        <v>5181</v>
      </c>
      <c r="D148" s="60">
        <v>6011</v>
      </c>
      <c r="E148" s="60" t="str">
        <f>+VLOOKUP(C148,'PRECIOS IDU 2025'!$A$1:$E$3189,2,FALSE)</f>
        <v>SARDINEL FUNDIDO EN SITIO EN CONCRETO PREMEZCLADO DE 3000PSI. SUMINISTRO Y CONSTRUCCION. (GRAVA COMÚN) E=0.20M H=0.35M (INCLUYE FORMALETA METÁLICA, ACERO DE REFUERZO Y ALAMBRE NEGRO).</v>
      </c>
      <c r="F148" s="60" t="str">
        <f>+VLOOKUP(C148,'PRECIOS IDU 2025'!$A$1:$E$3189,3,FALSE)</f>
        <v>ML</v>
      </c>
      <c r="G148" s="108">
        <v>800.11</v>
      </c>
      <c r="H148" s="69"/>
      <c r="I148" s="69"/>
      <c r="J148" s="9"/>
    </row>
    <row r="149" spans="1:10" ht="30" customHeight="1" x14ac:dyDescent="0.3">
      <c r="A149" s="3"/>
      <c r="B149" s="8"/>
      <c r="C149" s="60">
        <v>4054</v>
      </c>
      <c r="D149" s="60">
        <v>6012</v>
      </c>
      <c r="E149" s="60" t="str">
        <f>+VLOOKUP(C149,'PRECIOS IDU 2025'!$A$1:$E$3189,2,FALSE)</f>
        <v>SARDINEL TIPO A10 (SUMINISTRO E INSTALACIÓN. INCLUYE 3CM MORTERO 2000 PSI)</v>
      </c>
      <c r="F149" s="60" t="str">
        <f>+VLOOKUP(C149,'PRECIOS IDU 2025'!$A$1:$E$3189,3,FALSE)</f>
        <v>ML</v>
      </c>
      <c r="G149" s="108">
        <v>500</v>
      </c>
      <c r="H149" s="69"/>
      <c r="I149" s="69"/>
      <c r="J149" s="9"/>
    </row>
    <row r="150" spans="1:10" ht="30" customHeight="1" x14ac:dyDescent="0.3">
      <c r="A150" s="3"/>
      <c r="B150" s="8"/>
      <c r="C150" s="60">
        <v>3210</v>
      </c>
      <c r="D150" s="60">
        <v>6013</v>
      </c>
      <c r="E150" s="60" t="str">
        <f>+VLOOKUP(C150,'PRECIOS IDU 2025'!$A$1:$E$3189,2,FALSE)</f>
        <v>BORDILLO PREFABRICADO A80 (SUMINISTRO E INSTALACIÓN. INCLUYE 3CM MORTERO DE NIVELACIÓN 2000 PSI)</v>
      </c>
      <c r="F150" s="60" t="str">
        <f>+VLOOKUP(C150,'PRECIOS IDU 2025'!$A$1:$E$3189,3,FALSE)</f>
        <v>ML</v>
      </c>
      <c r="G150" s="108">
        <v>114.3</v>
      </c>
      <c r="H150" s="69"/>
      <c r="I150" s="69"/>
      <c r="J150" s="9"/>
    </row>
    <row r="151" spans="1:10" ht="30" customHeight="1" x14ac:dyDescent="0.3">
      <c r="A151" s="3"/>
      <c r="B151" s="8"/>
      <c r="C151" s="60">
        <v>9997</v>
      </c>
      <c r="D151" s="60">
        <v>6014</v>
      </c>
      <c r="E151" s="60" t="str">
        <f>+VLOOKUP(C151,'PRECIOS IDU 2025'!$A$1:$E$3189,2,FALSE)</f>
        <v>NIVELACIÓN Y COMPACTACIÓN DE SUBRASANTE PARA ESPACIO PÚBLICO</v>
      </c>
      <c r="F151" s="60" t="str">
        <f>+VLOOKUP(C151,'PRECIOS IDU 2025'!$A$1:$E$3189,3,FALSE)</f>
        <v>M2</v>
      </c>
      <c r="G151" s="108">
        <v>1143.02</v>
      </c>
      <c r="H151" s="69"/>
      <c r="I151" s="69"/>
      <c r="J151" s="9"/>
    </row>
    <row r="152" spans="1:10" ht="30" customHeight="1" x14ac:dyDescent="0.3">
      <c r="A152" s="3"/>
      <c r="B152" s="8"/>
      <c r="C152" s="60">
        <v>8158</v>
      </c>
      <c r="D152" s="60">
        <v>6015</v>
      </c>
      <c r="E152" s="60" t="str">
        <f>+VLOOKUP(C152,'PRECIOS IDU 2025'!$A$1:$E$3189,2,FALSE)</f>
        <v>CONCRETO 3000 PSI GRAVA COMÚN PARA PIEZA REMATE TIPO HOMBROS PARA RAMPA (PREMEZCLADO. INCLUYE SUMIN., BOMBEO CON AUTOBOMBA, FORMALETEO Y COLOCACIÓN. NO INCL. REFUERZO, CURADO).</v>
      </c>
      <c r="F152" s="60" t="str">
        <f>+VLOOKUP(C152,'PRECIOS IDU 2025'!$A$1:$E$3189,3,FALSE)</f>
        <v>M3</v>
      </c>
      <c r="G152" s="108">
        <v>30</v>
      </c>
      <c r="H152" s="69"/>
      <c r="I152" s="69"/>
      <c r="J152" s="9"/>
    </row>
    <row r="153" spans="1:10" ht="30" customHeight="1" x14ac:dyDescent="0.3">
      <c r="A153" s="3"/>
      <c r="B153" s="8"/>
      <c r="C153" s="60">
        <v>4089</v>
      </c>
      <c r="D153" s="60">
        <v>6016</v>
      </c>
      <c r="E153" s="60" t="str">
        <f>+VLOOKUP(C153,'PRECIOS IDU 2025'!$A$1:$E$3189,2,FALSE)</f>
        <v>SARDINEL BAJO A85 PARA RAMPAS (SUMINISTRO E INSTALACIÓN. INCLUYE 3CM MORTERO 1:5)</v>
      </c>
      <c r="F153" s="60" t="str">
        <f>+VLOOKUP(C153,'PRECIOS IDU 2025'!$A$1:$E$3189,3,FALSE)</f>
        <v>ML</v>
      </c>
      <c r="G153" s="108">
        <v>400</v>
      </c>
      <c r="H153" s="69"/>
      <c r="I153" s="69"/>
      <c r="J153" s="9"/>
    </row>
    <row r="154" spans="1:10" ht="30" customHeight="1" x14ac:dyDescent="0.3">
      <c r="A154" s="3"/>
      <c r="B154" s="8"/>
      <c r="C154" s="60">
        <v>8166</v>
      </c>
      <c r="D154" s="60">
        <v>6017</v>
      </c>
      <c r="E154" s="60" t="str">
        <f>+VLOOKUP(C154,'PRECIOS IDU 2025'!$A$1:$E$3189,2,FALSE)</f>
        <v>CENEFA EN LOSETA PREFABRICADA A58 GUIA (20X20X6) CM. SUMINISTRO E INSTALACIÓN. (INCLUYE 4CM DE MORTERO 1:5 HECHO EN OBRA PARA BASE Y ARENA DE PEÑA PARA SELLO)</v>
      </c>
      <c r="F154" s="60" t="str">
        <f>+VLOOKUP(C154,'PRECIOS IDU 2025'!$A$1:$E$3189,3,FALSE)</f>
        <v>M2</v>
      </c>
      <c r="G154" s="108">
        <v>174.54</v>
      </c>
      <c r="H154" s="69"/>
      <c r="I154" s="69"/>
      <c r="J154" s="9"/>
    </row>
    <row r="155" spans="1:10" ht="30" customHeight="1" x14ac:dyDescent="0.3">
      <c r="A155" s="3"/>
      <c r="B155" s="8"/>
      <c r="C155" s="66" t="s">
        <v>38</v>
      </c>
      <c r="D155" s="67"/>
      <c r="E155" s="67"/>
      <c r="F155" s="67"/>
      <c r="G155" s="67"/>
      <c r="H155" s="67"/>
      <c r="I155" s="68"/>
      <c r="J155" s="9"/>
    </row>
    <row r="156" spans="1:10" ht="30" customHeight="1" x14ac:dyDescent="0.3">
      <c r="A156" s="3"/>
      <c r="B156" s="8"/>
      <c r="C156" s="60">
        <v>3009</v>
      </c>
      <c r="D156" s="60">
        <v>7001</v>
      </c>
      <c r="E156" s="60" t="str">
        <f>+VLOOKUP(C156,'PRECIOS IDU 2025'!$A$1:$E$3189,2,FALSE)</f>
        <v>EXCAVACION MANUAL PARA REDES PROFUNDIDAD 0M - 2M (INCLUYE CARGUE)</v>
      </c>
      <c r="F156" s="60" t="str">
        <f>+VLOOKUP(C156,'PRECIOS IDU 2025'!$A$1:$E$3189,3,FALSE)</f>
        <v>M3</v>
      </c>
      <c r="G156" s="108">
        <v>350.82</v>
      </c>
      <c r="H156" s="69"/>
      <c r="I156" s="69"/>
      <c r="J156" s="9"/>
    </row>
    <row r="157" spans="1:10" ht="30" customHeight="1" x14ac:dyDescent="0.3">
      <c r="A157" s="3"/>
      <c r="B157" s="8"/>
      <c r="C157" s="60">
        <v>7893</v>
      </c>
      <c r="D157" s="60">
        <v>7002</v>
      </c>
      <c r="E157" s="60" t="str">
        <f>+VLOOKUP(C157,'PRECIOS IDU 2025'!$A$1:$E$3189,2,FALSE)</f>
        <v>DEMOLICIÓN MANUAL DE TAPA EXISTENTE DE POZO DE INSPECCIÓN Y REPOSICIÓN TAPA PARA POZO DE D= 0.70 M. SUMINISTRO E INSTALACIÓN.</v>
      </c>
      <c r="F157" s="60" t="str">
        <f>+VLOOKUP(C157,'PRECIOS IDU 2025'!$A$1:$E$3189,3,FALSE)</f>
        <v>UN</v>
      </c>
      <c r="G157" s="108">
        <v>1</v>
      </c>
      <c r="H157" s="69"/>
      <c r="I157" s="69"/>
      <c r="J157" s="9"/>
    </row>
    <row r="158" spans="1:10" ht="30" customHeight="1" x14ac:dyDescent="0.3">
      <c r="A158" s="3"/>
      <c r="B158" s="8"/>
      <c r="C158" s="60">
        <v>4848</v>
      </c>
      <c r="D158" s="60">
        <v>7003</v>
      </c>
      <c r="E158" s="60" t="str">
        <f>+VLOOKUP(C158,'PRECIOS IDU 2025'!$A$1:$E$3189,2,FALSE)</f>
        <v>DEMOLICION DE TUBERIAS DE ACUEDUCTO Y ALCANTARILLADO Ø &lt; 36" (INCLUYE MARTILLO NEUMÁTICO DE 60 LB Y CARGUE).</v>
      </c>
      <c r="F158" s="60" t="str">
        <f>+VLOOKUP(C158,'PRECIOS IDU 2025'!$A$1:$E$3189,3,FALSE)</f>
        <v>ML</v>
      </c>
      <c r="G158" s="108">
        <v>10</v>
      </c>
      <c r="H158" s="69"/>
      <c r="I158" s="69"/>
      <c r="J158" s="9"/>
    </row>
    <row r="159" spans="1:10" ht="30" customHeight="1" x14ac:dyDescent="0.3">
      <c r="A159" s="3"/>
      <c r="B159" s="8"/>
      <c r="C159" s="60">
        <v>3155</v>
      </c>
      <c r="D159" s="60">
        <v>7004</v>
      </c>
      <c r="E159" s="60" t="str">
        <f>+VLOOKUP(C159,'PRECIOS IDU 2025'!$A$1:$E$3189,2,FALSE)</f>
        <v>DEMOLICION SUMIDERO EXISTENTE (INCLUYE CARGUE)</v>
      </c>
      <c r="F159" s="60" t="str">
        <f>+VLOOKUP(C159,'PRECIOS IDU 2025'!$A$1:$E$3189,3,FALSE)</f>
        <v>UN</v>
      </c>
      <c r="G159" s="108">
        <v>12</v>
      </c>
      <c r="H159" s="69"/>
      <c r="I159" s="69"/>
      <c r="J159" s="9"/>
    </row>
    <row r="160" spans="1:10" ht="30" customHeight="1" x14ac:dyDescent="0.3">
      <c r="A160" s="3"/>
      <c r="B160" s="8"/>
      <c r="C160" s="60">
        <v>3017</v>
      </c>
      <c r="D160" s="60">
        <v>7005</v>
      </c>
      <c r="E160" s="60" t="str">
        <f>+VLOOKUP(C160,'PRECIOS IDU 2025'!$A$1:$E$3189,2,FALSE)</f>
        <v>TRANSPORTE Y DISPOSICIÓN FINAL DE ESCOMBROS EN SITIO AUTORIZADO (DISTANCIA DE TRANSPORTE 21 KM). A DISTANCIA MAYOR DEL ACARREO LIBRE (90 M) EN SITIO AUTORIZADO POR LA ENTIDAD AMBIENTAL COMPETENTE.</v>
      </c>
      <c r="F160" s="60" t="str">
        <f>+VLOOKUP(C160,'PRECIOS IDU 2025'!$A$1:$E$3189,3,FALSE)</f>
        <v>M3</v>
      </c>
      <c r="G160" s="108">
        <v>466.56</v>
      </c>
      <c r="H160" s="69"/>
      <c r="I160" s="69"/>
      <c r="J160" s="9"/>
    </row>
    <row r="161" spans="1:10" ht="30" customHeight="1" x14ac:dyDescent="0.3">
      <c r="A161" s="3"/>
      <c r="B161" s="8"/>
      <c r="C161" s="60">
        <v>5412</v>
      </c>
      <c r="D161" s="60">
        <v>7008</v>
      </c>
      <c r="E161" s="60" t="str">
        <f>+VLOOKUP(C161,'PRECIOS IDU 2025'!$A$1:$E$3189,2,FALSE)</f>
        <v>RELLENO EN TRITURADO DE 3/4`` (INCLUYE TRANSPORTE, SUMINISTRO, EXTENDIDO MANUAL Y COLOCACIÓN)</v>
      </c>
      <c r="F161" s="60" t="str">
        <f>+VLOOKUP(C161,'PRECIOS IDU 2025'!$A$1:$E$3189,3,FALSE)</f>
        <v>M3</v>
      </c>
      <c r="G161" s="108">
        <v>89.72</v>
      </c>
      <c r="H161" s="69"/>
      <c r="I161" s="69"/>
      <c r="J161" s="9"/>
    </row>
    <row r="162" spans="1:10" ht="30" customHeight="1" x14ac:dyDescent="0.3">
      <c r="A162" s="3"/>
      <c r="B162" s="8"/>
      <c r="C162" s="60">
        <v>4792</v>
      </c>
      <c r="D162" s="60">
        <v>7009</v>
      </c>
      <c r="E162" s="60" t="str">
        <f>+VLOOKUP(C162,'PRECIOS IDU 2025'!$A$1:$E$3189,2,FALSE)</f>
        <v>RELLENO EN RECEBO COMUN (SUMINISTRO E INSTALACIÓN EXTENDIDO MANUAL, HUMEDECIMIENTO Y COMPACTACIÓN TRANSPORTE A 28 KM).</v>
      </c>
      <c r="F162" s="60" t="str">
        <f>+VLOOKUP(C162,'PRECIOS IDU 2025'!$A$1:$E$3189,3,FALSE)</f>
        <v>M3</v>
      </c>
      <c r="G162" s="108">
        <v>89.72</v>
      </c>
      <c r="H162" s="69"/>
      <c r="I162" s="69"/>
      <c r="J162" s="9"/>
    </row>
    <row r="163" spans="1:10" ht="30" customHeight="1" x14ac:dyDescent="0.3">
      <c r="A163" s="3"/>
      <c r="B163" s="8"/>
      <c r="C163" s="60">
        <v>3024</v>
      </c>
      <c r="D163" s="60">
        <v>7011</v>
      </c>
      <c r="E163" s="60" t="str">
        <f>+VLOOKUP(C163,'PRECIOS IDU 2025'!$A$1:$E$3189,2,FALSE)</f>
        <v>RELLENO PARA REDES EN ARENA DE PEÑA (SUMINISTRO, EXTENDIDO, HUMEDECIMIENTO Y COMPACTACIÓN)</v>
      </c>
      <c r="F163" s="60" t="str">
        <f>+VLOOKUP(C163,'PRECIOS IDU 2025'!$A$1:$E$3189,3,FALSE)</f>
        <v>M3</v>
      </c>
      <c r="G163" s="108">
        <v>89.72</v>
      </c>
      <c r="H163" s="69"/>
      <c r="I163" s="69"/>
      <c r="J163" s="9"/>
    </row>
    <row r="164" spans="1:10" ht="30" customHeight="1" x14ac:dyDescent="0.3">
      <c r="A164" s="3"/>
      <c r="B164" s="8"/>
      <c r="C164" s="60">
        <v>3878</v>
      </c>
      <c r="D164" s="60">
        <v>7012</v>
      </c>
      <c r="E164" s="60" t="str">
        <f>+VLOOKUP(C164,'PRECIOS IDU 2025'!$A$1:$E$3189,2,FALSE)</f>
        <v>PLACA CUBIERTA D=1.70M POZO INSPEC. (PREFABRICADA. INCLUYE SUMINISTRO E INSTALACIÓN. INCLUYE TAPA)</v>
      </c>
      <c r="F164" s="60" t="str">
        <f>+VLOOKUP(C164,'PRECIOS IDU 2025'!$A$1:$E$3189,3,FALSE)</f>
        <v>UN</v>
      </c>
      <c r="G164" s="108">
        <v>28</v>
      </c>
      <c r="H164" s="69"/>
      <c r="I164" s="69"/>
      <c r="J164" s="9"/>
    </row>
    <row r="165" spans="1:10" ht="30" customHeight="1" x14ac:dyDescent="0.3">
      <c r="A165" s="3"/>
      <c r="B165" s="8"/>
      <c r="C165" s="60">
        <v>3471</v>
      </c>
      <c r="D165" s="60">
        <v>7013</v>
      </c>
      <c r="E165" s="60" t="str">
        <f>+VLOOKUP(C165,'PRECIOS IDU 2025'!$A$1:$E$3189,2,FALSE)</f>
        <v>CILINDRO POZO INSP. EN MAMPOSTERIA E=0.25M (INC. SUMIN. Y CONST, ACERO PARA ESCALERAS, GEOTEXTIL NO TEJIDO CON RESISTENCIA A LA TENSION GRAB: ENTRE 450 N Y 500 N Y PAÑETE IMPERMEAB.)</v>
      </c>
      <c r="F165" s="60" t="str">
        <f>+VLOOKUP(C165,'PRECIOS IDU 2025'!$A$1:$E$3189,3,FALSE)</f>
        <v>ML</v>
      </c>
      <c r="G165" s="108">
        <v>28</v>
      </c>
      <c r="H165" s="69"/>
      <c r="I165" s="69"/>
      <c r="J165" s="9"/>
    </row>
    <row r="166" spans="1:10" ht="30" customHeight="1" x14ac:dyDescent="0.3">
      <c r="A166" s="3"/>
      <c r="B166" s="8"/>
      <c r="C166" s="60">
        <v>3722</v>
      </c>
      <c r="D166" s="60">
        <v>7014</v>
      </c>
      <c r="E166" s="60" t="str">
        <f>+VLOOKUP(C166,'PRECIOS IDU 2025'!$A$1:$E$3189,2,FALSE)</f>
        <v>NIVELACIÓN DE POZO (HASTA RASANTE EN CONCRETO 3000 PSI HECHO EN OBRA, H=0.15M. INCLUYE SUMINISTRO Y CONSTRUCCIÓN)</v>
      </c>
      <c r="F166" s="60" t="str">
        <f>+VLOOKUP(C166,'PRECIOS IDU 2025'!$A$1:$E$3189,3,FALSE)</f>
        <v>UN</v>
      </c>
      <c r="G166" s="108">
        <v>28</v>
      </c>
      <c r="H166" s="69"/>
      <c r="I166" s="69"/>
      <c r="J166" s="9"/>
    </row>
    <row r="167" spans="1:10" ht="30" customHeight="1" x14ac:dyDescent="0.3">
      <c r="A167" s="3"/>
      <c r="B167" s="8"/>
      <c r="C167" s="60">
        <v>3041</v>
      </c>
      <c r="D167" s="60">
        <v>7015</v>
      </c>
      <c r="E167" s="60" t="str">
        <f>+VLOOKUP(C167,'PRECIOS IDU 2025'!$A$1:$E$3189,2,FALSE)</f>
        <v>TUBERIA PVC U.M. EXT CORRUGADO/INT LISO U.M. NORMA NTC 3722-1 D=4" (INCLUYE SUMINISTRO E INSTALACIÓN)</v>
      </c>
      <c r="F167" s="60" t="str">
        <f>+VLOOKUP(C167,'PRECIOS IDU 2025'!$A$1:$E$3189,3,FALSE)</f>
        <v>ML</v>
      </c>
      <c r="G167" s="482">
        <v>1</v>
      </c>
      <c r="H167" s="69"/>
      <c r="I167" s="69"/>
      <c r="J167" s="9"/>
    </row>
    <row r="168" spans="1:10" ht="30" customHeight="1" x14ac:dyDescent="0.3">
      <c r="A168" s="3"/>
      <c r="B168" s="8"/>
      <c r="C168" s="60">
        <v>3042</v>
      </c>
      <c r="D168" s="60">
        <v>7016</v>
      </c>
      <c r="E168" s="60" t="str">
        <f>+VLOOKUP(C168,'PRECIOS IDU 2025'!$A$1:$E$3189,2,FALSE)</f>
        <v>TUBERIA PVC U.M. EXT CORRUGADO/INT LISO U.M. NORMA NTC 3722-1 D=6" (INCLUYE SUMINISTRO E INSTALACIÓN)</v>
      </c>
      <c r="F168" s="60" t="str">
        <f>+VLOOKUP(C168,'PRECIOS IDU 2025'!$A$1:$E$3189,3,FALSE)</f>
        <v>ML</v>
      </c>
      <c r="G168" s="482">
        <v>293.70999999999998</v>
      </c>
      <c r="H168" s="69"/>
      <c r="I168" s="69"/>
      <c r="J168" s="9"/>
    </row>
    <row r="169" spans="1:10" ht="30" customHeight="1" x14ac:dyDescent="0.3">
      <c r="A169" s="3"/>
      <c r="B169" s="8"/>
      <c r="C169" s="60">
        <v>3043</v>
      </c>
      <c r="D169" s="60">
        <v>7017</v>
      </c>
      <c r="E169" s="60" t="str">
        <f>+VLOOKUP(C169,'PRECIOS IDU 2025'!$A$1:$E$3189,2,FALSE)</f>
        <v>TUBERIA PVC U.M. EXT CORRUGADO/INT LISO U.M. NORMA NTC 3722-1 D=8" (INCLUYE SUMINISTRO E INSTALACIÓN)</v>
      </c>
      <c r="F169" s="60" t="str">
        <f>+VLOOKUP(C169,'PRECIOS IDU 2025'!$A$1:$E$3189,3,FALSE)</f>
        <v>ML</v>
      </c>
      <c r="G169" s="482">
        <v>373.85</v>
      </c>
      <c r="H169" s="69"/>
      <c r="I169" s="69"/>
      <c r="J169" s="9"/>
    </row>
    <row r="170" spans="1:10" ht="30" customHeight="1" x14ac:dyDescent="0.3">
      <c r="A170" s="3"/>
      <c r="B170" s="8"/>
      <c r="C170" s="60">
        <v>3044</v>
      </c>
      <c r="D170" s="60">
        <v>7018</v>
      </c>
      <c r="E170" s="60" t="str">
        <f>+VLOOKUP(C170,'PRECIOS IDU 2025'!$A$1:$E$3189,2,FALSE)</f>
        <v>TUBERIA PVC U.M. EXT CORRUGADO/INT LISO U.M. NORMA NTC 3722-1 D=10" (INCLUYE SUMINISTRO E INSTALACIÓN)</v>
      </c>
      <c r="F170" s="60" t="str">
        <f>+VLOOKUP(C170,'PRECIOS IDU 2025'!$A$1:$E$3189,3,FALSE)</f>
        <v>ML</v>
      </c>
      <c r="G170" s="482">
        <v>1</v>
      </c>
      <c r="H170" s="69"/>
      <c r="I170" s="69"/>
      <c r="J170" s="9"/>
    </row>
    <row r="171" spans="1:10" ht="30" customHeight="1" x14ac:dyDescent="0.3">
      <c r="A171" s="3"/>
      <c r="B171" s="8"/>
      <c r="C171" s="60">
        <v>3045</v>
      </c>
      <c r="D171" s="60">
        <v>7019</v>
      </c>
      <c r="E171" s="60" t="str">
        <f>+VLOOKUP(C171,'PRECIOS IDU 2025'!$A$1:$E$3189,2,FALSE)</f>
        <v>TUBERIA PVC U.M. EXT CORRUGADO/INT LISO U.M. NORMA NTC 3722-1 D=12" (INCLUYE SUMINISTRO E INSTALACIÓN)</v>
      </c>
      <c r="F171" s="60" t="str">
        <f>+VLOOKUP(C171,'PRECIOS IDU 2025'!$A$1:$E$3189,3,FALSE)</f>
        <v>ML</v>
      </c>
      <c r="G171" s="482">
        <v>365.81</v>
      </c>
      <c r="H171" s="69"/>
      <c r="I171" s="69"/>
      <c r="J171" s="9"/>
    </row>
    <row r="172" spans="1:10" ht="30" customHeight="1" x14ac:dyDescent="0.3">
      <c r="A172" s="3"/>
      <c r="B172" s="8"/>
      <c r="C172" s="60">
        <v>3046</v>
      </c>
      <c r="D172" s="60">
        <v>7020</v>
      </c>
      <c r="E172" s="60" t="str">
        <f>+VLOOKUP(C172,'PRECIOS IDU 2025'!$A$1:$E$3189,2,FALSE)</f>
        <v>TUBERIA PVC U.M. EXT CORRUGADO/INT LISO U.M. NORMA NTC 3722-1 D=16" (INCLUYE SUMINISTRO E INSTALACIÓN)</v>
      </c>
      <c r="F172" s="60" t="str">
        <f>+VLOOKUP(C172,'PRECIOS IDU 2025'!$A$1:$E$3189,3,FALSE)</f>
        <v>ML</v>
      </c>
      <c r="G172" s="482">
        <v>1</v>
      </c>
      <c r="H172" s="69"/>
      <c r="I172" s="69"/>
      <c r="J172" s="9"/>
    </row>
    <row r="173" spans="1:10" ht="30" customHeight="1" x14ac:dyDescent="0.3">
      <c r="A173" s="3"/>
      <c r="B173" s="8"/>
      <c r="C173" s="60">
        <v>3047</v>
      </c>
      <c r="D173" s="60">
        <v>7021</v>
      </c>
      <c r="E173" s="60" t="str">
        <f>+VLOOKUP(C173,'PRECIOS IDU 2025'!$A$1:$E$3189,2,FALSE)</f>
        <v>TUBERIA PVC U.M. EXT CORRUGADO/INT LISO U.M. NORMA NTC 3722-1 D=18" (INCLUYE SUMINISTRO E INSTALACIÓN)</v>
      </c>
      <c r="F173" s="60" t="str">
        <f>+VLOOKUP(C173,'PRECIOS IDU 2025'!$A$1:$E$3189,3,FALSE)</f>
        <v>ML</v>
      </c>
      <c r="G173" s="482">
        <v>1</v>
      </c>
      <c r="H173" s="69"/>
      <c r="I173" s="69"/>
      <c r="J173" s="9"/>
    </row>
    <row r="174" spans="1:10" ht="30" customHeight="1" x14ac:dyDescent="0.3">
      <c r="A174" s="3"/>
      <c r="B174" s="8"/>
      <c r="C174" s="60">
        <v>3048</v>
      </c>
      <c r="D174" s="60">
        <v>7022</v>
      </c>
      <c r="E174" s="60" t="str">
        <f>+VLOOKUP(C174,'PRECIOS IDU 2025'!$A$1:$E$3189,2,FALSE)</f>
        <v>TUBERIA PVC U.M. EXT CORRUGADO/INT LISO U.M. NORMA NTC 3722-1 D=20" (INCLUYE SUMINISTRO E INSTALACIÓN)</v>
      </c>
      <c r="F174" s="60" t="str">
        <f>+VLOOKUP(C174,'PRECIOS IDU 2025'!$A$1:$E$3189,3,FALSE)</f>
        <v>ML</v>
      </c>
      <c r="G174" s="482">
        <v>1</v>
      </c>
      <c r="H174" s="69"/>
      <c r="I174" s="69"/>
      <c r="J174" s="9"/>
    </row>
    <row r="175" spans="1:10" ht="30" customHeight="1" x14ac:dyDescent="0.3">
      <c r="A175" s="3"/>
      <c r="B175" s="8"/>
      <c r="C175" s="60">
        <v>4611</v>
      </c>
      <c r="D175" s="60">
        <v>7023</v>
      </c>
      <c r="E175" s="60" t="str">
        <f>+VLOOKUP(C175,'PRECIOS IDU 2025'!$A$1:$E$3189,2,FALSE)</f>
        <v>CARCAMO PROTECCIÓN DE TUBERÍA Ø 8" (TIPO PLACA) NORMA EAAB NS-090</v>
      </c>
      <c r="F175" s="60" t="str">
        <f>+VLOOKUP(C175,'PRECIOS IDU 2025'!$A$1:$E$3189,3,FALSE)</f>
        <v>ML</v>
      </c>
      <c r="G175" s="482">
        <v>50</v>
      </c>
      <c r="H175" s="69"/>
      <c r="I175" s="69"/>
      <c r="J175" s="9"/>
    </row>
    <row r="176" spans="1:10" ht="30" customHeight="1" x14ac:dyDescent="0.3">
      <c r="A176" s="3"/>
      <c r="B176" s="8"/>
      <c r="C176" s="60">
        <v>4612</v>
      </c>
      <c r="D176" s="60">
        <v>7024</v>
      </c>
      <c r="E176" s="60" t="str">
        <f>+VLOOKUP(C176,'PRECIOS IDU 2025'!$A$1:$E$3189,2,FALSE)</f>
        <v>CARCAMO PROTECCIÓN DE TUBERÍA Ø 10" (TIPO PLACA) NORMA EAAB NS-090</v>
      </c>
      <c r="F176" s="60" t="str">
        <f>+VLOOKUP(C176,'PRECIOS IDU 2025'!$A$1:$E$3189,3,FALSE)</f>
        <v>ML</v>
      </c>
      <c r="G176" s="482">
        <v>1</v>
      </c>
      <c r="H176" s="69"/>
      <c r="I176" s="69"/>
      <c r="J176" s="9"/>
    </row>
    <row r="177" spans="1:11" ht="30" customHeight="1" x14ac:dyDescent="0.3">
      <c r="A177" s="3"/>
      <c r="B177" s="8"/>
      <c r="C177" s="60">
        <v>4614</v>
      </c>
      <c r="D177" s="60">
        <v>7025</v>
      </c>
      <c r="E177" s="60" t="str">
        <f>+VLOOKUP(C177,'PRECIOS IDU 2025'!$A$1:$E$3189,2,FALSE)</f>
        <v>CARCAMO PROTECCIÓN DE TUBERÍA Ø 12" (TIPO PLACA) NORMA EAAB NS-090</v>
      </c>
      <c r="F177" s="60" t="str">
        <f>+VLOOKUP(C177,'PRECIOS IDU 2025'!$A$1:$E$3189,3,FALSE)</f>
        <v>ML</v>
      </c>
      <c r="G177" s="482">
        <v>50</v>
      </c>
      <c r="H177" s="69"/>
      <c r="I177" s="69"/>
      <c r="J177" s="9"/>
      <c r="K177" s="481"/>
    </row>
    <row r="178" spans="1:11" ht="30" customHeight="1" x14ac:dyDescent="0.3">
      <c r="A178" s="3"/>
      <c r="B178" s="8"/>
      <c r="C178" s="60">
        <v>4615</v>
      </c>
      <c r="D178" s="60">
        <v>7026</v>
      </c>
      <c r="E178" s="60" t="str">
        <f>+VLOOKUP(C178,'PRECIOS IDU 2025'!$A$1:$E$3189,2,FALSE)</f>
        <v>CARCAMO PROTECCIÓN DE TUBERÍA Ø 16" (TIPO PLACA) NORMA EAAB NS-090</v>
      </c>
      <c r="F178" s="60" t="str">
        <f>+VLOOKUP(C178,'PRECIOS IDU 2025'!$A$1:$E$3189,3,FALSE)</f>
        <v>ML</v>
      </c>
      <c r="G178" s="482">
        <v>1</v>
      </c>
      <c r="H178" s="69"/>
      <c r="I178" s="69"/>
      <c r="J178" s="9"/>
    </row>
    <row r="179" spans="1:11" ht="30" customHeight="1" x14ac:dyDescent="0.3">
      <c r="A179" s="3"/>
      <c r="B179" s="8"/>
      <c r="C179" s="60">
        <v>4616</v>
      </c>
      <c r="D179" s="60">
        <v>7027</v>
      </c>
      <c r="E179" s="60" t="str">
        <f>+VLOOKUP(C179,'PRECIOS IDU 2025'!$A$1:$E$3189,2,FALSE)</f>
        <v>CARCAMO PROTECCIÓN DE TUBERÍA Ø 18" (TIPO PLACA) NORMA EAAB NS-090</v>
      </c>
      <c r="F179" s="60" t="str">
        <f>+VLOOKUP(C179,'PRECIOS IDU 2025'!$A$1:$E$3189,3,FALSE)</f>
        <v>ML</v>
      </c>
      <c r="G179" s="482">
        <v>1</v>
      </c>
      <c r="H179" s="69"/>
      <c r="I179" s="69"/>
      <c r="J179" s="9"/>
    </row>
    <row r="180" spans="1:11" ht="30" customHeight="1" x14ac:dyDescent="0.3">
      <c r="A180" s="3"/>
      <c r="B180" s="8"/>
      <c r="C180" s="60">
        <v>4617</v>
      </c>
      <c r="D180" s="60">
        <v>7028</v>
      </c>
      <c r="E180" s="60" t="str">
        <f>+VLOOKUP(C180,'PRECIOS IDU 2025'!$A$1:$E$3189,2,FALSE)</f>
        <v>CARCAMO PROTECCIÓN DE TUBERÍA Ø 20" (TIPO PLACA) NORMA EAAB NS-090</v>
      </c>
      <c r="F180" s="60" t="str">
        <f>+VLOOKUP(C180,'PRECIOS IDU 2025'!$A$1:$E$3189,3,FALSE)</f>
        <v>ML</v>
      </c>
      <c r="G180" s="482">
        <v>1</v>
      </c>
      <c r="H180" s="69"/>
      <c r="I180" s="69"/>
      <c r="J180" s="9"/>
    </row>
    <row r="181" spans="1:11" ht="30" customHeight="1" x14ac:dyDescent="0.3">
      <c r="A181" s="3"/>
      <c r="B181" s="8"/>
      <c r="C181" s="60">
        <v>4982</v>
      </c>
      <c r="D181" s="60">
        <v>7029</v>
      </c>
      <c r="E181" s="60" t="str">
        <f>+VLOOKUP(C181,'PRECIOS IDU 2025'!$A$1:$E$3189,2,FALSE)</f>
        <v>ACOMETIDA DOMICILIARIA DE 1/2". SUMINISTRO E INSTALACIÓN. (INCLUYE TUBERIA PF D=1/2", REGISTROS Y ACCESORIOS, LOG. PROM. = 6.50M).</v>
      </c>
      <c r="F181" s="60" t="str">
        <f>+VLOOKUP(C181,'PRECIOS IDU 2025'!$A$1:$E$3189,3,FALSE)</f>
        <v>UN</v>
      </c>
      <c r="G181" s="108">
        <v>75</v>
      </c>
      <c r="H181" s="69"/>
      <c r="I181" s="69"/>
      <c r="J181" s="9"/>
    </row>
    <row r="182" spans="1:11" ht="30" customHeight="1" x14ac:dyDescent="0.3">
      <c r="A182" s="3"/>
      <c r="B182" s="8"/>
      <c r="C182" s="60">
        <v>5015</v>
      </c>
      <c r="D182" s="60">
        <v>7030</v>
      </c>
      <c r="E182" s="60" t="str">
        <f>+VLOOKUP(C182,'PRECIOS IDU 2025'!$A$1:$E$3189,2,FALSE)</f>
        <v>CAJA DE INSPECCION 0.80X0.8M. SUMINISTRO Y CONSTRUCCION. (H=0.6M. INCLUYE MARCO Y TAPA, NO INCLUYE BASE Y CAÑUELA).</v>
      </c>
      <c r="F182" s="60" t="str">
        <f>+VLOOKUP(C182,'PRECIOS IDU 2025'!$A$1:$E$3189,3,FALSE)</f>
        <v>UN</v>
      </c>
      <c r="G182" s="108">
        <v>75</v>
      </c>
      <c r="H182" s="69"/>
      <c r="I182" s="69"/>
      <c r="J182" s="9"/>
    </row>
    <row r="183" spans="1:11" ht="30" customHeight="1" x14ac:dyDescent="0.3">
      <c r="A183" s="3"/>
      <c r="B183" s="8"/>
      <c r="C183" s="60">
        <v>4878</v>
      </c>
      <c r="D183" s="60">
        <v>7031</v>
      </c>
      <c r="E183" s="60" t="str">
        <f>+VLOOKUP(C183,'PRECIOS IDU 2025'!$A$1:$E$3189,2,FALSE)</f>
        <v>CONEXIONES KIT SILLA YEE 200 X 160 PVC. SUMINISTRO E INSTALACIÓN.</v>
      </c>
      <c r="F183" s="60" t="str">
        <f>+VLOOKUP(C183,'PRECIOS IDU 2025'!$A$1:$E$3189,3,FALSE)</f>
        <v>UN</v>
      </c>
      <c r="G183" s="108">
        <v>73.64</v>
      </c>
      <c r="H183" s="69"/>
      <c r="I183" s="69"/>
      <c r="J183" s="9"/>
    </row>
    <row r="184" spans="1:11" ht="30" customHeight="1" x14ac:dyDescent="0.3">
      <c r="A184" s="3"/>
      <c r="B184" s="8"/>
      <c r="C184" s="60">
        <v>4879</v>
      </c>
      <c r="D184" s="60">
        <v>7032</v>
      </c>
      <c r="E184" s="60" t="str">
        <f>+VLOOKUP(C184,'PRECIOS IDU 2025'!$A$1:$E$3189,2,FALSE)</f>
        <v>CONEXIONES KIT SILLA YEE 315 X 160 PVC. SUMINISTRO E INSTALACIÓN.</v>
      </c>
      <c r="F184" s="60" t="str">
        <f>+VLOOKUP(C184,'PRECIOS IDU 2025'!$A$1:$E$3189,3,FALSE)</f>
        <v>UN</v>
      </c>
      <c r="G184" s="482">
        <v>1</v>
      </c>
      <c r="H184" s="69"/>
      <c r="I184" s="69"/>
      <c r="J184" s="9"/>
    </row>
    <row r="185" spans="1:11" ht="30" customHeight="1" x14ac:dyDescent="0.3">
      <c r="A185" s="3"/>
      <c r="B185" s="8"/>
      <c r="C185" s="60">
        <v>8970</v>
      </c>
      <c r="D185" s="60">
        <v>7033</v>
      </c>
      <c r="E185" s="60" t="str">
        <f>+VLOOKUP(C185,'PRECIOS IDU 2025'!$A$1:$E$3189,2,FALSE)</f>
        <v>CAJILLA PLASTICA Y TAPA EN POLIPROPILENO PARA MEDIDOR. SUMINISTRO E INSTALACION</v>
      </c>
      <c r="F185" s="60" t="str">
        <f>+VLOOKUP(C185,'PRECIOS IDU 2025'!$A$1:$E$3189,3,FALSE)</f>
        <v>UN</v>
      </c>
      <c r="G185" s="108">
        <v>75</v>
      </c>
      <c r="H185" s="69"/>
      <c r="I185" s="69"/>
      <c r="J185" s="9"/>
    </row>
    <row r="186" spans="1:11" ht="30" customHeight="1" x14ac:dyDescent="0.3">
      <c r="A186" s="3"/>
      <c r="B186" s="8"/>
      <c r="C186" s="60">
        <v>4558</v>
      </c>
      <c r="D186" s="60">
        <v>7034</v>
      </c>
      <c r="E186" s="60" t="str">
        <f>+VLOOKUP(C186,'PRECIOS IDU 2025'!$A$1:$E$3189,2,FALSE)</f>
        <v>SUMIDERO ALCANTARILLADO PLUVIAL EN VIA NS-047-1V4 EAAB</v>
      </c>
      <c r="F186" s="60" t="str">
        <f>+VLOOKUP(C186,'PRECIOS IDU 2025'!$A$1:$E$3189,3,FALSE)</f>
        <v>UN</v>
      </c>
      <c r="G186" s="108">
        <v>4</v>
      </c>
      <c r="H186" s="69"/>
      <c r="I186" s="69"/>
      <c r="J186" s="9"/>
    </row>
    <row r="187" spans="1:11" ht="30" customHeight="1" x14ac:dyDescent="0.3">
      <c r="A187" s="3"/>
      <c r="B187" s="8"/>
      <c r="C187" s="66" t="s">
        <v>39</v>
      </c>
      <c r="D187" s="67"/>
      <c r="E187" s="67"/>
      <c r="F187" s="67"/>
      <c r="G187" s="67"/>
      <c r="H187" s="67"/>
      <c r="I187" s="68"/>
      <c r="J187" s="9"/>
    </row>
    <row r="188" spans="1:11" ht="30" customHeight="1" x14ac:dyDescent="0.3">
      <c r="A188" s="3"/>
      <c r="B188" s="8"/>
      <c r="C188" s="60">
        <v>4240</v>
      </c>
      <c r="D188" s="60">
        <v>8001</v>
      </c>
      <c r="E188" s="60" t="str">
        <f>+VLOOKUP(C188,'PRECIOS IDU 2025'!$A$1:$E$3189,2,FALSE)</f>
        <v>DEMARCACION LINEA CONTINUA A=0.12M (E=2.3MM,TERMOPLÁSTICA. INC. SUMINISTRO Y APLICACIÓN CON EQUIPO. INCL. MICROESFERAS)</v>
      </c>
      <c r="F188" s="60" t="str">
        <f>+VLOOKUP(C188,'PRECIOS IDU 2025'!$A$1:$E$3189,3,FALSE)</f>
        <v>ML</v>
      </c>
      <c r="G188" s="108">
        <v>3589.34</v>
      </c>
      <c r="H188" s="69"/>
      <c r="I188" s="69"/>
      <c r="J188" s="9"/>
    </row>
    <row r="189" spans="1:11" ht="30" customHeight="1" x14ac:dyDescent="0.3">
      <c r="A189" s="3"/>
      <c r="B189" s="8"/>
      <c r="C189" s="60">
        <v>4246</v>
      </c>
      <c r="D189" s="60">
        <v>8002</v>
      </c>
      <c r="E189" s="60" t="str">
        <f>+VLOOKUP(C189,'PRECIOS IDU 2025'!$A$1:$E$3189,2,FALSE)</f>
        <v>FLECHA DIRECCIONAL "DE FRENTE" (E=2.3MM,TERMOPLÁSTICA. INC. SUMINISTRO Y APLICACIÓN CON EQUIPO. INC MICROESFERAS). MARCA VIAL PARA VELOCIDADES MENORES O IGUALES A 60 KM/H AREA DE LA MARCA: 1.20 M2.</v>
      </c>
      <c r="F189" s="60" t="str">
        <f>+VLOOKUP(C189,'PRECIOS IDU 2025'!$A$1:$E$3189,3,FALSE)</f>
        <v>UN</v>
      </c>
      <c r="G189" s="108">
        <v>17</v>
      </c>
      <c r="H189" s="69"/>
      <c r="I189" s="69"/>
      <c r="J189" s="9"/>
    </row>
    <row r="190" spans="1:11" ht="30" customHeight="1" x14ac:dyDescent="0.3">
      <c r="A190" s="3"/>
      <c r="B190" s="8"/>
      <c r="C190" s="60">
        <v>4248</v>
      </c>
      <c r="D190" s="60">
        <v>8003</v>
      </c>
      <c r="E190" s="60" t="str">
        <f>+VLOOKUP(C190,'PRECIOS IDU 2025'!$A$1:$E$3189,2,FALSE)</f>
        <v>DEMARCACION PASO PEATONAL-CEBRA (E=2.3MM,TERMOPLÁSTICA. INC. SUMINISTRO Y APLICACIÓN CON EQUIPO. INC MICROESFERAS)</v>
      </c>
      <c r="F190" s="60" t="str">
        <f>+VLOOKUP(C190,'PRECIOS IDU 2025'!$A$1:$E$3189,3,FALSE)</f>
        <v>M2</v>
      </c>
      <c r="G190" s="108">
        <v>350.85</v>
      </c>
      <c r="H190" s="69"/>
      <c r="I190" s="69"/>
      <c r="J190" s="9"/>
    </row>
    <row r="191" spans="1:11" ht="30" customHeight="1" x14ac:dyDescent="0.3">
      <c r="A191" s="3"/>
      <c r="B191" s="8"/>
      <c r="C191" s="60">
        <v>3872</v>
      </c>
      <c r="D191" s="60">
        <v>8004</v>
      </c>
      <c r="E191" s="60" t="str">
        <f>+VLOOKUP(C191,'PRECIOS IDU 2025'!$A$1:$E$3189,2,FALSE)</f>
        <v>DEMARCACION LINEA DISCONTINUA A=0.12M (E=15 MILS, ACRÍLICA BASE AGUA. INC. SUMIN. Y APLIC. CON EQUIPO. INC MICROESFERAS)</v>
      </c>
      <c r="F191" s="60" t="str">
        <f>+VLOOKUP(C191,'PRECIOS IDU 2025'!$A$1:$E$3189,3,FALSE)</f>
        <v>ML</v>
      </c>
      <c r="G191" s="108">
        <v>1795</v>
      </c>
      <c r="H191" s="69"/>
      <c r="I191" s="69"/>
      <c r="J191" s="9"/>
    </row>
    <row r="192" spans="1:11" ht="30" customHeight="1" x14ac:dyDescent="0.3">
      <c r="A192" s="3"/>
      <c r="B192" s="8"/>
      <c r="C192" s="60">
        <v>4244</v>
      </c>
      <c r="D192" s="60">
        <v>8005</v>
      </c>
      <c r="E192" s="60" t="str">
        <f>+VLOOKUP(C192,'PRECIOS IDU 2025'!$A$1:$E$3189,2,FALSE)</f>
        <v>FLECHA DIRECCIONAL "A LA DERECHA" (E=2.3MM,TERMOPLÁSTICA. INC. SUMINISTRO Y APLICACIÓN CON EQUIPO. INC MICROESFERAS). MARCA VIAL PARA VELOCIDADES MENORES O IGUALES A 60 KM/H AREA DE LA MARCA: 1.51M2</v>
      </c>
      <c r="F192" s="60" t="str">
        <f>+VLOOKUP(C192,'PRECIOS IDU 2025'!$A$1:$E$3189,3,FALSE)</f>
        <v>UN</v>
      </c>
      <c r="G192" s="108">
        <v>17</v>
      </c>
      <c r="H192" s="69"/>
      <c r="I192" s="69"/>
      <c r="J192" s="9"/>
    </row>
    <row r="193" spans="1:10" ht="30" customHeight="1" x14ac:dyDescent="0.3">
      <c r="A193" s="3"/>
      <c r="B193" s="8"/>
      <c r="C193" s="60">
        <v>4245</v>
      </c>
      <c r="D193" s="60">
        <v>8006</v>
      </c>
      <c r="E193" s="60" t="str">
        <f>+VLOOKUP(C193,'PRECIOS IDU 2025'!$A$1:$E$3189,2,FALSE)</f>
        <v>FLECHA DIRECCIONAL "DE FRENTE A LA DERECHA" (E=2.3MM,TERMOPLÁSTICA. INC. SUMIN. Y APLIC. CON EQUIPO. INC. MICROESFERAS). MARCA VIAL PARA VELOCIDADES MENORES O IGUALES A 60 KM/H AREA DE LA MARCA: 2.18M2</v>
      </c>
      <c r="F193" s="60" t="str">
        <f>+VLOOKUP(C193,'PRECIOS IDU 2025'!$A$1:$E$3189,3,FALSE)</f>
        <v>UN</v>
      </c>
      <c r="G193" s="108">
        <v>17</v>
      </c>
      <c r="H193" s="69"/>
      <c r="I193" s="69"/>
      <c r="J193" s="9"/>
    </row>
    <row r="194" spans="1:10" ht="30" customHeight="1" x14ac:dyDescent="0.3">
      <c r="A194" s="3"/>
      <c r="B194" s="8"/>
      <c r="C194" s="60">
        <v>4247</v>
      </c>
      <c r="D194" s="60">
        <v>8007</v>
      </c>
      <c r="E194" s="60" t="str">
        <f>+VLOOKUP(C194,'PRECIOS IDU 2025'!$A$1:$E$3189,2,FALSE)</f>
        <v>PINTURA TERMOPLASTICA (E=2.3MM. INCLUYE SUMINISTRO Y APLICACIÓN CON EQUIPO. INCLUYE MICROESFERAS)</v>
      </c>
      <c r="F194" s="60" t="str">
        <f>+VLOOKUP(C194,'PRECIOS IDU 2025'!$A$1:$E$3189,3,FALSE)</f>
        <v>M2</v>
      </c>
      <c r="G194" s="108">
        <v>269.2</v>
      </c>
      <c r="H194" s="69"/>
      <c r="I194" s="69"/>
      <c r="J194" s="9"/>
    </row>
    <row r="195" spans="1:10" ht="30" customHeight="1" x14ac:dyDescent="0.3">
      <c r="A195" s="3"/>
      <c r="B195" s="8"/>
      <c r="C195" s="60">
        <v>4569</v>
      </c>
      <c r="D195" s="60">
        <v>8008</v>
      </c>
      <c r="E195" s="60" t="str">
        <f>+VLOOKUP(C195,'PRECIOS IDU 2025'!$A$1:$E$3189,2,FALSE)</f>
        <v>ESTOPEROLES DE 10 CM X 2.5 CM. SUMINISTRO E INSTALACION.</v>
      </c>
      <c r="F195" s="60" t="str">
        <f>+VLOOKUP(C195,'PRECIOS IDU 2025'!$A$1:$E$3189,3,FALSE)</f>
        <v>UN</v>
      </c>
      <c r="G195" s="108">
        <v>850</v>
      </c>
      <c r="H195" s="69"/>
      <c r="I195" s="69"/>
      <c r="J195" s="9"/>
    </row>
    <row r="196" spans="1:10" ht="30" customHeight="1" x14ac:dyDescent="0.3">
      <c r="A196" s="3"/>
      <c r="B196" s="8"/>
      <c r="C196" s="60">
        <v>5220</v>
      </c>
      <c r="D196" s="60">
        <v>8009</v>
      </c>
      <c r="E196" s="60" t="str">
        <f>+VLOOKUP(C196,'PRECIOS IDU 2025'!$A$1:$E$3189,2,FALSE)</f>
        <v>PINTURA EN PLASTICO EN FRIO METILMETACRILATO DE A=12CM PARA LINEAS DE DEMARCACIÓN, CON MICROESFERAS Y ESPESOR SECO SEGÚN NORMA NTC 4744. SUMINISTRO Y APLICACIÓN.</v>
      </c>
      <c r="F196" s="60" t="str">
        <f>+VLOOKUP(C196,'PRECIOS IDU 2025'!$A$1:$E$3189,3,FALSE)</f>
        <v>ML</v>
      </c>
      <c r="G196" s="108">
        <v>1024.67</v>
      </c>
      <c r="H196" s="69"/>
      <c r="I196" s="69"/>
      <c r="J196" s="9"/>
    </row>
    <row r="197" spans="1:10" ht="30" customHeight="1" x14ac:dyDescent="0.3">
      <c r="A197" s="3"/>
      <c r="B197" s="8"/>
      <c r="C197" s="60">
        <v>5225</v>
      </c>
      <c r="D197" s="60">
        <v>8010</v>
      </c>
      <c r="E197" s="60" t="str">
        <f>+VLOOKUP(C197,'PRECIOS IDU 2025'!$A$1:$E$3189,2,FALSE)</f>
        <v>PINTURA DE TRÁFICO - IMPRIMANTE NEGRO A=15CM. SUMINISTRO Y APLICACIÓN.</v>
      </c>
      <c r="F197" s="60" t="str">
        <f>+VLOOKUP(C197,'PRECIOS IDU 2025'!$A$1:$E$3189,3,FALSE)</f>
        <v>ML</v>
      </c>
      <c r="G197" s="108">
        <v>1794.67</v>
      </c>
      <c r="H197" s="69"/>
      <c r="I197" s="69"/>
      <c r="J197" s="9"/>
    </row>
    <row r="198" spans="1:10" ht="30" customHeight="1" x14ac:dyDescent="0.3">
      <c r="A198" s="3"/>
      <c r="B198" s="8"/>
      <c r="C198" s="60">
        <v>5226</v>
      </c>
      <c r="D198" s="60">
        <v>8011</v>
      </c>
      <c r="E198" s="60" t="str">
        <f>+VLOOKUP(C198,'PRECIOS IDU 2025'!$A$1:$E$3189,2,FALSE)</f>
        <v>PINTURA DE TRÁFICO - IMPRIMANTE NEGRO A=20CM. SUMINISTRO Y APLICACIÓN.</v>
      </c>
      <c r="F198" s="60" t="str">
        <f>+VLOOKUP(C198,'PRECIOS IDU 2025'!$A$1:$E$3189,3,FALSE)</f>
        <v>ML</v>
      </c>
      <c r="G198" s="108">
        <v>1793.67</v>
      </c>
      <c r="H198" s="69"/>
      <c r="I198" s="69"/>
      <c r="J198" s="9"/>
    </row>
    <row r="199" spans="1:10" ht="30" customHeight="1" x14ac:dyDescent="0.3">
      <c r="A199" s="3"/>
      <c r="B199" s="8"/>
      <c r="C199" s="60">
        <v>5227</v>
      </c>
      <c r="D199" s="60">
        <v>8012</v>
      </c>
      <c r="E199" s="60" t="str">
        <f>+VLOOKUP(C199,'PRECIOS IDU 2025'!$A$1:$E$3189,2,FALSE)</f>
        <v>PINTURA DE TRÁFICO - IMPRIMANTE NEGRO. SUMINISTRO Y APLICACIÓN.</v>
      </c>
      <c r="F199" s="60" t="str">
        <f>+VLOOKUP(C199,'PRECIOS IDU 2025'!$A$1:$E$3189,3,FALSE)</f>
        <v>M2</v>
      </c>
      <c r="G199" s="108">
        <v>1024.67</v>
      </c>
      <c r="H199" s="69"/>
      <c r="I199" s="69"/>
      <c r="J199" s="9"/>
    </row>
    <row r="200" spans="1:10" ht="30" customHeight="1" x14ac:dyDescent="0.3">
      <c r="A200" s="3"/>
      <c r="B200" s="8"/>
      <c r="C200" s="60">
        <v>5241</v>
      </c>
      <c r="D200" s="60">
        <v>8013</v>
      </c>
      <c r="E200" s="60" t="str">
        <f>+VLOOKUP(C200,'PRECIOS IDU 2025'!$A$1:$E$3189,2,FALSE)</f>
        <v>TACHA REFLECTIVA BIDIRECCIONAL (INCLUYE SUMINISTRO E INSTALACIÓN).</v>
      </c>
      <c r="F200" s="60" t="str">
        <f>+VLOOKUP(C200,'PRECIOS IDU 2025'!$A$1:$E$3189,3,FALSE)</f>
        <v>UN</v>
      </c>
      <c r="G200" s="108">
        <v>35</v>
      </c>
      <c r="H200" s="69"/>
      <c r="I200" s="69"/>
      <c r="J200" s="9"/>
    </row>
    <row r="201" spans="1:10" ht="41.4" x14ac:dyDescent="0.3">
      <c r="A201" s="3"/>
      <c r="B201" s="8"/>
      <c r="C201" s="60">
        <v>8566</v>
      </c>
      <c r="D201" s="60">
        <v>8014</v>
      </c>
      <c r="E201" s="60" t="str">
        <f>+VLOOKUP(C201,'PRECIOS IDU 2025'!$A$1:$E$3189,2,FALSE)</f>
        <v>PINTURA EN PLÁSTICO EN FRÍO METILMETACRILATO PARA MARCAS VIALES, CON MICROESFERAS Y ESPESOR SECO SEGÚN NORMA NTC 4744. SUMINISTRO Y APLICACIÓN. (CEBRAS, FLECHAS, PICTOGRAMAS, LINEAS DE PARE, SENDEROS PEATONALES, ACHURADOS, ETC).</v>
      </c>
      <c r="F201" s="60" t="str">
        <f>+VLOOKUP(C201,'PRECIOS IDU 2025'!$A$1:$E$3189,3,FALSE)</f>
        <v>M2</v>
      </c>
      <c r="G201" s="108">
        <v>188.94</v>
      </c>
      <c r="H201" s="69"/>
      <c r="I201" s="69"/>
      <c r="J201" s="9"/>
    </row>
    <row r="202" spans="1:10" ht="30" customHeight="1" x14ac:dyDescent="0.3">
      <c r="A202" s="3"/>
      <c r="B202" s="8"/>
      <c r="C202" s="60">
        <v>10264</v>
      </c>
      <c r="D202" s="60">
        <v>8015</v>
      </c>
      <c r="E202" s="60" t="str">
        <f>+VLOOKUP(C202,'PRECIOS IDU 2025'!$A$1:$E$3189,2,FALSE)</f>
        <v>BANDAS SONORAS REDUCTORAS DE VELOCIDAD DE 3CM DE ALTURA, CONSTRUIDA CON GRAVILLA DE 1/2", PINTURA DE LARGA DURACIÓN BLANCA Y RESINA EPÓXICA.</v>
      </c>
      <c r="F202" s="60" t="str">
        <f>+VLOOKUP(C202,'PRECIOS IDU 2025'!$A$1:$E$3189,3,FALSE)</f>
        <v>M2</v>
      </c>
      <c r="G202" s="108">
        <v>58.49</v>
      </c>
      <c r="H202" s="69"/>
      <c r="I202" s="69"/>
      <c r="J202" s="9"/>
    </row>
    <row r="203" spans="1:10" ht="30" customHeight="1" thickBot="1" x14ac:dyDescent="0.35">
      <c r="A203" s="3"/>
      <c r="B203" s="8"/>
      <c r="C203" s="87"/>
      <c r="D203" s="87"/>
      <c r="E203" s="87"/>
      <c r="F203" s="87"/>
      <c r="G203" s="87"/>
      <c r="H203" s="89"/>
      <c r="I203" s="89"/>
      <c r="J203" s="9"/>
    </row>
    <row r="204" spans="1:10" s="22" customFormat="1" ht="30" customHeight="1" thickBot="1" x14ac:dyDescent="0.35">
      <c r="A204" s="17"/>
      <c r="B204" s="18"/>
      <c r="C204" s="573" t="s">
        <v>62</v>
      </c>
      <c r="D204" s="574"/>
      <c r="E204" s="574"/>
      <c r="F204" s="574"/>
      <c r="G204" s="574"/>
      <c r="H204" s="625"/>
      <c r="I204" s="491"/>
      <c r="J204" s="21"/>
    </row>
    <row r="205" spans="1:10" s="22" customFormat="1" ht="16.2" thickBot="1" x14ac:dyDescent="0.35">
      <c r="A205" s="17"/>
      <c r="B205" s="18"/>
      <c r="C205" s="23"/>
      <c r="D205" s="23"/>
      <c r="E205" s="23"/>
      <c r="F205" s="23"/>
      <c r="G205" s="23"/>
      <c r="H205" s="23"/>
      <c r="I205" s="24"/>
      <c r="J205" s="21"/>
    </row>
    <row r="206" spans="1:10" s="22" customFormat="1" ht="35.25" customHeight="1" x14ac:dyDescent="0.3">
      <c r="A206" s="17"/>
      <c r="B206" s="18"/>
      <c r="C206" s="23"/>
      <c r="D206" s="23"/>
      <c r="E206" s="617" t="s">
        <v>63</v>
      </c>
      <c r="F206" s="618"/>
      <c r="G206" s="618"/>
      <c r="H206" s="619"/>
      <c r="I206" s="492"/>
      <c r="J206" s="21"/>
    </row>
    <row r="207" spans="1:10" s="22" customFormat="1" ht="27.6" x14ac:dyDescent="0.3">
      <c r="A207" s="17"/>
      <c r="B207" s="18"/>
      <c r="C207" s="23"/>
      <c r="D207" s="23"/>
      <c r="E207" s="623" t="s">
        <v>64</v>
      </c>
      <c r="F207" s="624"/>
      <c r="G207" s="624"/>
      <c r="H207" s="494" t="s">
        <v>41</v>
      </c>
      <c r="I207" s="495" t="s">
        <v>42</v>
      </c>
      <c r="J207" s="21"/>
    </row>
    <row r="208" spans="1:10" s="22" customFormat="1" ht="33" customHeight="1" x14ac:dyDescent="0.3">
      <c r="A208" s="17"/>
      <c r="B208" s="18"/>
      <c r="C208" s="23"/>
      <c r="D208" s="23"/>
      <c r="E208" s="579" t="s">
        <v>65</v>
      </c>
      <c r="F208" s="580"/>
      <c r="G208" s="580"/>
      <c r="H208" s="485">
        <v>3.5334999999999998E-2</v>
      </c>
      <c r="I208" s="493"/>
      <c r="J208" s="21"/>
    </row>
    <row r="209" spans="1:10" s="22" customFormat="1" ht="15.6" x14ac:dyDescent="0.3">
      <c r="A209" s="17"/>
      <c r="B209" s="18"/>
      <c r="C209" s="23"/>
      <c r="D209" s="23"/>
      <c r="E209" s="579" t="s">
        <v>66</v>
      </c>
      <c r="F209" s="580"/>
      <c r="G209" s="580"/>
      <c r="H209" s="485">
        <v>3.2654000000000002E-2</v>
      </c>
      <c r="I209" s="493"/>
      <c r="J209" s="21"/>
    </row>
    <row r="210" spans="1:10" s="22" customFormat="1" ht="16.2" thickBot="1" x14ac:dyDescent="0.35">
      <c r="A210" s="17"/>
      <c r="B210" s="18"/>
      <c r="C210" s="23"/>
      <c r="D210" s="23"/>
      <c r="E210" s="626" t="s">
        <v>67</v>
      </c>
      <c r="F210" s="627"/>
      <c r="G210" s="627"/>
      <c r="H210" s="498">
        <v>4.4699999999999997E-2</v>
      </c>
      <c r="I210" s="496"/>
      <c r="J210" s="21"/>
    </row>
    <row r="211" spans="1:10" s="22" customFormat="1" ht="37.5" customHeight="1" thickBot="1" x14ac:dyDescent="0.35">
      <c r="A211" s="17"/>
      <c r="B211" s="18"/>
      <c r="C211" s="23"/>
      <c r="D211" s="23"/>
      <c r="E211" s="614" t="s">
        <v>68</v>
      </c>
      <c r="F211" s="615"/>
      <c r="G211" s="615"/>
      <c r="H211" s="616"/>
      <c r="I211" s="500"/>
      <c r="J211" s="21"/>
    </row>
    <row r="212" spans="1:10" s="22" customFormat="1" ht="57" customHeight="1" thickBot="1" x14ac:dyDescent="0.35">
      <c r="A212" s="17"/>
      <c r="B212" s="18"/>
      <c r="C212" s="23"/>
      <c r="D212" s="23"/>
      <c r="E212" s="620" t="s">
        <v>6107</v>
      </c>
      <c r="F212" s="621"/>
      <c r="G212" s="621"/>
      <c r="H212" s="622"/>
      <c r="I212" s="499"/>
      <c r="J212" s="21"/>
    </row>
    <row r="213" spans="1:10" s="22" customFormat="1" ht="16.2" thickBot="1" x14ac:dyDescent="0.35">
      <c r="A213" s="17"/>
      <c r="B213" s="18"/>
      <c r="C213" s="23"/>
      <c r="D213" s="23"/>
      <c r="E213" s="614" t="s">
        <v>69</v>
      </c>
      <c r="F213" s="615"/>
      <c r="G213" s="615"/>
      <c r="H213" s="616"/>
      <c r="I213" s="497"/>
      <c r="J213" s="21"/>
    </row>
    <row r="214" spans="1:10" s="22" customFormat="1" ht="16.2" thickBot="1" x14ac:dyDescent="0.35">
      <c r="A214" s="17"/>
      <c r="B214" s="18"/>
      <c r="C214" s="25"/>
      <c r="D214" s="26"/>
      <c r="E214" s="25"/>
      <c r="F214" s="25"/>
      <c r="G214" s="33"/>
      <c r="H214" s="34"/>
      <c r="I214" s="35"/>
      <c r="J214" s="21"/>
    </row>
    <row r="215" spans="1:10" s="22" customFormat="1" ht="15.6" x14ac:dyDescent="0.3">
      <c r="A215" s="17"/>
      <c r="B215" s="18"/>
      <c r="C215" s="36"/>
      <c r="D215" s="568"/>
      <c r="E215" s="568"/>
      <c r="F215" s="568"/>
      <c r="G215" s="568"/>
      <c r="H215" s="568"/>
      <c r="I215" s="569"/>
      <c r="J215" s="37"/>
    </row>
    <row r="216" spans="1:10" s="22" customFormat="1" ht="63.75" customHeight="1" x14ac:dyDescent="0.3">
      <c r="A216" s="17"/>
      <c r="B216" s="18"/>
      <c r="C216" s="562" t="s">
        <v>6106</v>
      </c>
      <c r="D216" s="558"/>
      <c r="E216" s="558"/>
      <c r="F216" s="567" t="s">
        <v>48</v>
      </c>
      <c r="G216" s="567"/>
      <c r="H216" s="58"/>
      <c r="I216" s="38" t="s">
        <v>49</v>
      </c>
      <c r="J216" s="39"/>
    </row>
    <row r="217" spans="1:10" s="22" customFormat="1" ht="114" customHeight="1" x14ac:dyDescent="0.3">
      <c r="A217" s="17"/>
      <c r="B217" s="18"/>
      <c r="C217" s="562" t="s">
        <v>50</v>
      </c>
      <c r="D217" s="558"/>
      <c r="E217" s="558"/>
      <c r="F217" s="563" t="s">
        <v>51</v>
      </c>
      <c r="G217" s="563"/>
      <c r="H217" s="40" t="s">
        <v>52</v>
      </c>
      <c r="I217" s="72" t="s">
        <v>6105</v>
      </c>
      <c r="J217" s="39"/>
    </row>
    <row r="218" spans="1:10" s="22" customFormat="1" ht="30" customHeight="1" x14ac:dyDescent="0.3">
      <c r="A218" s="17"/>
      <c r="B218" s="18"/>
      <c r="C218" s="562" t="s">
        <v>53</v>
      </c>
      <c r="D218" s="558"/>
      <c r="E218" s="558"/>
      <c r="F218" s="564" t="s">
        <v>54</v>
      </c>
      <c r="G218" s="565"/>
      <c r="H218" s="40" t="s">
        <v>55</v>
      </c>
      <c r="I218" s="72" t="s">
        <v>6105</v>
      </c>
      <c r="J218" s="39"/>
    </row>
    <row r="219" spans="1:10" s="42" customFormat="1" ht="33" customHeight="1" x14ac:dyDescent="0.3">
      <c r="A219" s="17"/>
      <c r="B219" s="18"/>
      <c r="C219" s="41"/>
      <c r="E219" s="43"/>
      <c r="F219" s="566" t="s">
        <v>56</v>
      </c>
      <c r="G219" s="563"/>
      <c r="H219" s="40" t="s">
        <v>57</v>
      </c>
      <c r="I219" s="72" t="s">
        <v>6105</v>
      </c>
      <c r="J219" s="21"/>
    </row>
    <row r="220" spans="1:10" ht="40.5" customHeight="1" x14ac:dyDescent="0.3">
      <c r="A220" s="3"/>
      <c r="B220" s="8"/>
      <c r="C220" s="44"/>
      <c r="D220" s="45"/>
      <c r="E220" s="46"/>
      <c r="F220" s="563" t="s">
        <v>58</v>
      </c>
      <c r="G220" s="563"/>
      <c r="H220" s="40" t="s">
        <v>59</v>
      </c>
      <c r="I220" s="72" t="s">
        <v>6105</v>
      </c>
      <c r="J220" s="9"/>
    </row>
    <row r="221" spans="1:10" ht="16.2" thickBot="1" x14ac:dyDescent="0.35">
      <c r="A221" s="3"/>
      <c r="B221" s="8"/>
      <c r="C221" s="47"/>
      <c r="D221" s="48"/>
      <c r="E221" s="49"/>
      <c r="F221" s="559"/>
      <c r="G221" s="559"/>
      <c r="H221" s="560"/>
      <c r="I221" s="561"/>
      <c r="J221" s="9"/>
    </row>
    <row r="222" spans="1:10" ht="16.2" thickBot="1" x14ac:dyDescent="0.35">
      <c r="A222" s="3"/>
      <c r="B222" s="50"/>
      <c r="C222" s="51"/>
      <c r="D222" s="51"/>
      <c r="E222" s="52"/>
      <c r="F222" s="51"/>
      <c r="G222" s="51"/>
      <c r="H222" s="51"/>
      <c r="I222" s="51"/>
      <c r="J222" s="53"/>
    </row>
    <row r="223" spans="1:10" ht="16.2" thickTop="1" x14ac:dyDescent="0.3">
      <c r="A223" s="3"/>
      <c r="B223" s="3"/>
      <c r="C223" s="3"/>
      <c r="D223" s="3"/>
      <c r="E223" s="3"/>
      <c r="F223" s="3"/>
      <c r="G223" s="3"/>
      <c r="H223" s="3"/>
      <c r="I223" s="3"/>
      <c r="J223" s="3"/>
    </row>
  </sheetData>
  <mergeCells count="48">
    <mergeCell ref="C3:D3"/>
    <mergeCell ref="C5:I5"/>
    <mergeCell ref="C6:I6"/>
    <mergeCell ref="C7:E7"/>
    <mergeCell ref="F7:I9"/>
    <mergeCell ref="C8:E8"/>
    <mergeCell ref="C9:E9"/>
    <mergeCell ref="C10:D12"/>
    <mergeCell ref="E10:I12"/>
    <mergeCell ref="C13:I13"/>
    <mergeCell ref="C14:C15"/>
    <mergeCell ref="D14:D15"/>
    <mergeCell ref="E14:E15"/>
    <mergeCell ref="F14:F15"/>
    <mergeCell ref="G14:G15"/>
    <mergeCell ref="H14:H15"/>
    <mergeCell ref="I14:I15"/>
    <mergeCell ref="C37:G37"/>
    <mergeCell ref="C38:G38"/>
    <mergeCell ref="C39:G39"/>
    <mergeCell ref="C43:I43"/>
    <mergeCell ref="C41:H41"/>
    <mergeCell ref="I44:I45"/>
    <mergeCell ref="C204:H204"/>
    <mergeCell ref="C217:E217"/>
    <mergeCell ref="F217:G217"/>
    <mergeCell ref="E208:G208"/>
    <mergeCell ref="E209:G209"/>
    <mergeCell ref="E210:G210"/>
    <mergeCell ref="D215:I215"/>
    <mergeCell ref="C216:E216"/>
    <mergeCell ref="F216:G216"/>
    <mergeCell ref="E211:H211"/>
    <mergeCell ref="C44:C45"/>
    <mergeCell ref="D44:D45"/>
    <mergeCell ref="E44:E45"/>
    <mergeCell ref="F44:F45"/>
    <mergeCell ref="G44:G45"/>
    <mergeCell ref="E213:H213"/>
    <mergeCell ref="E206:H206"/>
    <mergeCell ref="E212:H212"/>
    <mergeCell ref="E207:G207"/>
    <mergeCell ref="H44:H45"/>
    <mergeCell ref="F221:I221"/>
    <mergeCell ref="C218:E218"/>
    <mergeCell ref="F218:G218"/>
    <mergeCell ref="F219:G219"/>
    <mergeCell ref="F220:G220"/>
  </mergeCells>
  <pageMargins left="0.11811023622047245" right="0.11811023622047245" top="0.15748031496062992" bottom="0.15748031496062992" header="0.31496062992125984" footer="0.31496062992125984"/>
  <pageSetup scale="4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6AC54-6FD1-41B3-B93B-E5594D9AA760}">
  <sheetPr>
    <tabColor rgb="FF92D050"/>
    <pageSetUpPr fitToPage="1"/>
  </sheetPr>
  <dimension ref="A1:O73"/>
  <sheetViews>
    <sheetView topLeftCell="A18" zoomScale="70" zoomScaleNormal="70" zoomScaleSheetLayoutView="55" workbookViewId="0">
      <selection activeCell="C37" sqref="C37"/>
    </sheetView>
  </sheetViews>
  <sheetFormatPr baseColWidth="10" defaultColWidth="10.6640625" defaultRowHeight="14.4" x14ac:dyDescent="0.3"/>
  <cols>
    <col min="1" max="1" width="11.44140625" style="127"/>
    <col min="2" max="2" width="11" style="126" customWidth="1"/>
    <col min="3" max="3" width="67.88671875" style="127" customWidth="1"/>
    <col min="4" max="4" width="24.33203125" style="127" customWidth="1"/>
    <col min="5" max="5" width="15.88671875" style="127" customWidth="1"/>
    <col min="6" max="6" width="25.33203125" style="165" customWidth="1"/>
    <col min="7" max="7" width="20.109375" style="127" bestFit="1" customWidth="1"/>
    <col min="8" max="8" width="22.6640625" style="127" bestFit="1" customWidth="1"/>
    <col min="9" max="9" width="17.5546875" style="127" customWidth="1"/>
    <col min="10" max="10" width="24.109375" style="127" customWidth="1"/>
    <col min="11" max="243" width="11.44140625" style="127"/>
    <col min="244" max="244" width="11" style="127" customWidth="1"/>
    <col min="245" max="245" width="67.88671875" style="127" customWidth="1"/>
    <col min="246" max="246" width="24.33203125" style="127" customWidth="1"/>
    <col min="247" max="247" width="15.88671875" style="127" customWidth="1"/>
    <col min="248" max="248" width="25.33203125" style="127" customWidth="1"/>
    <col min="249" max="249" width="18.33203125" style="127" customWidth="1"/>
    <col min="250" max="250" width="21.5546875" style="127" customWidth="1"/>
    <col min="251" max="251" width="17.5546875" style="127" customWidth="1"/>
    <col min="252" max="252" width="24.109375" style="127" customWidth="1"/>
    <col min="253" max="253" width="17.6640625" style="127" customWidth="1"/>
    <col min="254" max="254" width="30.5546875" style="127" customWidth="1"/>
    <col min="255" max="256" width="11.88671875" style="127" customWidth="1"/>
    <col min="257" max="257" width="20.33203125" style="127" customWidth="1"/>
    <col min="258" max="258" width="14.109375" style="127" customWidth="1"/>
    <col min="259" max="259" width="15.5546875" style="127" customWidth="1"/>
    <col min="260" max="260" width="12.109375" style="127" customWidth="1"/>
    <col min="261" max="499" width="11.44140625" style="127"/>
    <col min="500" max="500" width="11" style="127" customWidth="1"/>
    <col min="501" max="501" width="67.88671875" style="127" customWidth="1"/>
    <col min="502" max="502" width="24.33203125" style="127" customWidth="1"/>
    <col min="503" max="503" width="15.88671875" style="127" customWidth="1"/>
    <col min="504" max="504" width="25.33203125" style="127" customWidth="1"/>
    <col min="505" max="505" width="18.33203125" style="127" customWidth="1"/>
    <col min="506" max="506" width="21.5546875" style="127" customWidth="1"/>
    <col min="507" max="507" width="17.5546875" style="127" customWidth="1"/>
    <col min="508" max="508" width="24.109375" style="127" customWidth="1"/>
    <col min="509" max="509" width="17.6640625" style="127" customWidth="1"/>
    <col min="510" max="510" width="30.5546875" style="127" customWidth="1"/>
    <col min="511" max="512" width="11.88671875" style="127" customWidth="1"/>
    <col min="513" max="513" width="20.33203125" style="127" customWidth="1"/>
    <col min="514" max="514" width="14.109375" style="127" customWidth="1"/>
    <col min="515" max="515" width="15.5546875" style="127" customWidth="1"/>
    <col min="516" max="516" width="12.109375" style="127" customWidth="1"/>
    <col min="517" max="755" width="11.44140625" style="127"/>
    <col min="756" max="756" width="11" style="127" customWidth="1"/>
    <col min="757" max="757" width="67.88671875" style="127" customWidth="1"/>
    <col min="758" max="758" width="24.33203125" style="127" customWidth="1"/>
    <col min="759" max="759" width="15.88671875" style="127" customWidth="1"/>
    <col min="760" max="760" width="25.33203125" style="127" customWidth="1"/>
    <col min="761" max="761" width="18.33203125" style="127" customWidth="1"/>
    <col min="762" max="762" width="21.5546875" style="127" customWidth="1"/>
    <col min="763" max="763" width="17.5546875" style="127" customWidth="1"/>
    <col min="764" max="764" width="24.109375" style="127" customWidth="1"/>
    <col min="765" max="765" width="17.6640625" style="127" customWidth="1"/>
    <col min="766" max="766" width="30.5546875" style="127" customWidth="1"/>
    <col min="767" max="768" width="11.88671875" style="127" customWidth="1"/>
    <col min="769" max="769" width="20.33203125" style="127" customWidth="1"/>
    <col min="770" max="770" width="14.109375" style="127" customWidth="1"/>
    <col min="771" max="771" width="15.5546875" style="127" customWidth="1"/>
    <col min="772" max="772" width="12.109375" style="127" customWidth="1"/>
    <col min="773" max="1011" width="11.44140625" style="127"/>
    <col min="1012" max="1012" width="11" style="127" customWidth="1"/>
    <col min="1013" max="1013" width="67.88671875" style="127" customWidth="1"/>
    <col min="1014" max="1014" width="24.33203125" style="127" customWidth="1"/>
    <col min="1015" max="1015" width="15.88671875" style="127" customWidth="1"/>
    <col min="1016" max="1016" width="25.33203125" style="127" customWidth="1"/>
    <col min="1017" max="1017" width="18.33203125" style="127" customWidth="1"/>
    <col min="1018" max="1018" width="21.5546875" style="127" customWidth="1"/>
    <col min="1019" max="1019" width="17.5546875" style="127" customWidth="1"/>
    <col min="1020" max="1020" width="24.109375" style="127" customWidth="1"/>
    <col min="1021" max="1021" width="17.6640625" style="127" customWidth="1"/>
    <col min="1022" max="1022" width="30.5546875" style="127" customWidth="1"/>
    <col min="1023" max="1024" width="11.88671875" style="127" customWidth="1"/>
    <col min="1025" max="1025" width="20.33203125" style="127" customWidth="1"/>
    <col min="1026" max="1026" width="14.109375" style="127" customWidth="1"/>
    <col min="1027" max="1027" width="15.5546875" style="127" customWidth="1"/>
    <col min="1028" max="1028" width="12.109375" style="127" customWidth="1"/>
    <col min="1029" max="1267" width="11.44140625" style="127"/>
    <col min="1268" max="1268" width="11" style="127" customWidth="1"/>
    <col min="1269" max="1269" width="67.88671875" style="127" customWidth="1"/>
    <col min="1270" max="1270" width="24.33203125" style="127" customWidth="1"/>
    <col min="1271" max="1271" width="15.88671875" style="127" customWidth="1"/>
    <col min="1272" max="1272" width="25.33203125" style="127" customWidth="1"/>
    <col min="1273" max="1273" width="18.33203125" style="127" customWidth="1"/>
    <col min="1274" max="1274" width="21.5546875" style="127" customWidth="1"/>
    <col min="1275" max="1275" width="17.5546875" style="127" customWidth="1"/>
    <col min="1276" max="1276" width="24.109375" style="127" customWidth="1"/>
    <col min="1277" max="1277" width="17.6640625" style="127" customWidth="1"/>
    <col min="1278" max="1278" width="30.5546875" style="127" customWidth="1"/>
    <col min="1279" max="1280" width="11.88671875" style="127" customWidth="1"/>
    <col min="1281" max="1281" width="20.33203125" style="127" customWidth="1"/>
    <col min="1282" max="1282" width="14.109375" style="127" customWidth="1"/>
    <col min="1283" max="1283" width="15.5546875" style="127" customWidth="1"/>
    <col min="1284" max="1284" width="12.109375" style="127" customWidth="1"/>
    <col min="1285" max="1523" width="11.44140625" style="127"/>
    <col min="1524" max="1524" width="11" style="127" customWidth="1"/>
    <col min="1525" max="1525" width="67.88671875" style="127" customWidth="1"/>
    <col min="1526" max="1526" width="24.33203125" style="127" customWidth="1"/>
    <col min="1527" max="1527" width="15.88671875" style="127" customWidth="1"/>
    <col min="1528" max="1528" width="25.33203125" style="127" customWidth="1"/>
    <col min="1529" max="1529" width="18.33203125" style="127" customWidth="1"/>
    <col min="1530" max="1530" width="21.5546875" style="127" customWidth="1"/>
    <col min="1531" max="1531" width="17.5546875" style="127" customWidth="1"/>
    <col min="1532" max="1532" width="24.109375" style="127" customWidth="1"/>
    <col min="1533" max="1533" width="17.6640625" style="127" customWidth="1"/>
    <col min="1534" max="1534" width="30.5546875" style="127" customWidth="1"/>
    <col min="1535" max="1536" width="11.88671875" style="127" customWidth="1"/>
    <col min="1537" max="1537" width="20.33203125" style="127" customWidth="1"/>
    <col min="1538" max="1538" width="14.109375" style="127" customWidth="1"/>
    <col min="1539" max="1539" width="15.5546875" style="127" customWidth="1"/>
    <col min="1540" max="1540" width="12.109375" style="127" customWidth="1"/>
    <col min="1541" max="1779" width="11.44140625" style="127"/>
    <col min="1780" max="1780" width="11" style="127" customWidth="1"/>
    <col min="1781" max="1781" width="67.88671875" style="127" customWidth="1"/>
    <col min="1782" max="1782" width="24.33203125" style="127" customWidth="1"/>
    <col min="1783" max="1783" width="15.88671875" style="127" customWidth="1"/>
    <col min="1784" max="1784" width="25.33203125" style="127" customWidth="1"/>
    <col min="1785" max="1785" width="18.33203125" style="127" customWidth="1"/>
    <col min="1786" max="1786" width="21.5546875" style="127" customWidth="1"/>
    <col min="1787" max="1787" width="17.5546875" style="127" customWidth="1"/>
    <col min="1788" max="1788" width="24.109375" style="127" customWidth="1"/>
    <col min="1789" max="1789" width="17.6640625" style="127" customWidth="1"/>
    <col min="1790" max="1790" width="30.5546875" style="127" customWidth="1"/>
    <col min="1791" max="1792" width="11.88671875" style="127" customWidth="1"/>
    <col min="1793" max="1793" width="20.33203125" style="127" customWidth="1"/>
    <col min="1794" max="1794" width="14.109375" style="127" customWidth="1"/>
    <col min="1795" max="1795" width="15.5546875" style="127" customWidth="1"/>
    <col min="1796" max="1796" width="12.109375" style="127" customWidth="1"/>
    <col min="1797" max="2035" width="11.44140625" style="127"/>
    <col min="2036" max="2036" width="11" style="127" customWidth="1"/>
    <col min="2037" max="2037" width="67.88671875" style="127" customWidth="1"/>
    <col min="2038" max="2038" width="24.33203125" style="127" customWidth="1"/>
    <col min="2039" max="2039" width="15.88671875" style="127" customWidth="1"/>
    <col min="2040" max="2040" width="25.33203125" style="127" customWidth="1"/>
    <col min="2041" max="2041" width="18.33203125" style="127" customWidth="1"/>
    <col min="2042" max="2042" width="21.5546875" style="127" customWidth="1"/>
    <col min="2043" max="2043" width="17.5546875" style="127" customWidth="1"/>
    <col min="2044" max="2044" width="24.109375" style="127" customWidth="1"/>
    <col min="2045" max="2045" width="17.6640625" style="127" customWidth="1"/>
    <col min="2046" max="2046" width="30.5546875" style="127" customWidth="1"/>
    <col min="2047" max="2048" width="11.88671875" style="127" customWidth="1"/>
    <col min="2049" max="2049" width="20.33203125" style="127" customWidth="1"/>
    <col min="2050" max="2050" width="14.109375" style="127" customWidth="1"/>
    <col min="2051" max="2051" width="15.5546875" style="127" customWidth="1"/>
    <col min="2052" max="2052" width="12.109375" style="127" customWidth="1"/>
    <col min="2053" max="2291" width="11.44140625" style="127"/>
    <col min="2292" max="2292" width="11" style="127" customWidth="1"/>
    <col min="2293" max="2293" width="67.88671875" style="127" customWidth="1"/>
    <col min="2294" max="2294" width="24.33203125" style="127" customWidth="1"/>
    <col min="2295" max="2295" width="15.88671875" style="127" customWidth="1"/>
    <col min="2296" max="2296" width="25.33203125" style="127" customWidth="1"/>
    <col min="2297" max="2297" width="18.33203125" style="127" customWidth="1"/>
    <col min="2298" max="2298" width="21.5546875" style="127" customWidth="1"/>
    <col min="2299" max="2299" width="17.5546875" style="127" customWidth="1"/>
    <col min="2300" max="2300" width="24.109375" style="127" customWidth="1"/>
    <col min="2301" max="2301" width="17.6640625" style="127" customWidth="1"/>
    <col min="2302" max="2302" width="30.5546875" style="127" customWidth="1"/>
    <col min="2303" max="2304" width="11.88671875" style="127" customWidth="1"/>
    <col min="2305" max="2305" width="20.33203125" style="127" customWidth="1"/>
    <col min="2306" max="2306" width="14.109375" style="127" customWidth="1"/>
    <col min="2307" max="2307" width="15.5546875" style="127" customWidth="1"/>
    <col min="2308" max="2308" width="12.109375" style="127" customWidth="1"/>
    <col min="2309" max="2547" width="11.44140625" style="127"/>
    <col min="2548" max="2548" width="11" style="127" customWidth="1"/>
    <col min="2549" max="2549" width="67.88671875" style="127" customWidth="1"/>
    <col min="2550" max="2550" width="24.33203125" style="127" customWidth="1"/>
    <col min="2551" max="2551" width="15.88671875" style="127" customWidth="1"/>
    <col min="2552" max="2552" width="25.33203125" style="127" customWidth="1"/>
    <col min="2553" max="2553" width="18.33203125" style="127" customWidth="1"/>
    <col min="2554" max="2554" width="21.5546875" style="127" customWidth="1"/>
    <col min="2555" max="2555" width="17.5546875" style="127" customWidth="1"/>
    <col min="2556" max="2556" width="24.109375" style="127" customWidth="1"/>
    <col min="2557" max="2557" width="17.6640625" style="127" customWidth="1"/>
    <col min="2558" max="2558" width="30.5546875" style="127" customWidth="1"/>
    <col min="2559" max="2560" width="11.88671875" style="127" customWidth="1"/>
    <col min="2561" max="2561" width="20.33203125" style="127" customWidth="1"/>
    <col min="2562" max="2562" width="14.109375" style="127" customWidth="1"/>
    <col min="2563" max="2563" width="15.5546875" style="127" customWidth="1"/>
    <col min="2564" max="2564" width="12.109375" style="127" customWidth="1"/>
    <col min="2565" max="2803" width="11.44140625" style="127"/>
    <col min="2804" max="2804" width="11" style="127" customWidth="1"/>
    <col min="2805" max="2805" width="67.88671875" style="127" customWidth="1"/>
    <col min="2806" max="2806" width="24.33203125" style="127" customWidth="1"/>
    <col min="2807" max="2807" width="15.88671875" style="127" customWidth="1"/>
    <col min="2808" max="2808" width="25.33203125" style="127" customWidth="1"/>
    <col min="2809" max="2809" width="18.33203125" style="127" customWidth="1"/>
    <col min="2810" max="2810" width="21.5546875" style="127" customWidth="1"/>
    <col min="2811" max="2811" width="17.5546875" style="127" customWidth="1"/>
    <col min="2812" max="2812" width="24.109375" style="127" customWidth="1"/>
    <col min="2813" max="2813" width="17.6640625" style="127" customWidth="1"/>
    <col min="2814" max="2814" width="30.5546875" style="127" customWidth="1"/>
    <col min="2815" max="2816" width="11.88671875" style="127" customWidth="1"/>
    <col min="2817" max="2817" width="20.33203125" style="127" customWidth="1"/>
    <col min="2818" max="2818" width="14.109375" style="127" customWidth="1"/>
    <col min="2819" max="2819" width="15.5546875" style="127" customWidth="1"/>
    <col min="2820" max="2820" width="12.109375" style="127" customWidth="1"/>
    <col min="2821" max="3059" width="11.44140625" style="127"/>
    <col min="3060" max="3060" width="11" style="127" customWidth="1"/>
    <col min="3061" max="3061" width="67.88671875" style="127" customWidth="1"/>
    <col min="3062" max="3062" width="24.33203125" style="127" customWidth="1"/>
    <col min="3063" max="3063" width="15.88671875" style="127" customWidth="1"/>
    <col min="3064" max="3064" width="25.33203125" style="127" customWidth="1"/>
    <col min="3065" max="3065" width="18.33203125" style="127" customWidth="1"/>
    <col min="3066" max="3066" width="21.5546875" style="127" customWidth="1"/>
    <col min="3067" max="3067" width="17.5546875" style="127" customWidth="1"/>
    <col min="3068" max="3068" width="24.109375" style="127" customWidth="1"/>
    <col min="3069" max="3069" width="17.6640625" style="127" customWidth="1"/>
    <col min="3070" max="3070" width="30.5546875" style="127" customWidth="1"/>
    <col min="3071" max="3072" width="11.88671875" style="127" customWidth="1"/>
    <col min="3073" max="3073" width="20.33203125" style="127" customWidth="1"/>
    <col min="3074" max="3074" width="14.109375" style="127" customWidth="1"/>
    <col min="3075" max="3075" width="15.5546875" style="127" customWidth="1"/>
    <col min="3076" max="3076" width="12.109375" style="127" customWidth="1"/>
    <col min="3077" max="3315" width="11.44140625" style="127"/>
    <col min="3316" max="3316" width="11" style="127" customWidth="1"/>
    <col min="3317" max="3317" width="67.88671875" style="127" customWidth="1"/>
    <col min="3318" max="3318" width="24.33203125" style="127" customWidth="1"/>
    <col min="3319" max="3319" width="15.88671875" style="127" customWidth="1"/>
    <col min="3320" max="3320" width="25.33203125" style="127" customWidth="1"/>
    <col min="3321" max="3321" width="18.33203125" style="127" customWidth="1"/>
    <col min="3322" max="3322" width="21.5546875" style="127" customWidth="1"/>
    <col min="3323" max="3323" width="17.5546875" style="127" customWidth="1"/>
    <col min="3324" max="3324" width="24.109375" style="127" customWidth="1"/>
    <col min="3325" max="3325" width="17.6640625" style="127" customWidth="1"/>
    <col min="3326" max="3326" width="30.5546875" style="127" customWidth="1"/>
    <col min="3327" max="3328" width="11.88671875" style="127" customWidth="1"/>
    <col min="3329" max="3329" width="20.33203125" style="127" customWidth="1"/>
    <col min="3330" max="3330" width="14.109375" style="127" customWidth="1"/>
    <col min="3331" max="3331" width="15.5546875" style="127" customWidth="1"/>
    <col min="3332" max="3332" width="12.109375" style="127" customWidth="1"/>
    <col min="3333" max="3571" width="11.44140625" style="127"/>
    <col min="3572" max="3572" width="11" style="127" customWidth="1"/>
    <col min="3573" max="3573" width="67.88671875" style="127" customWidth="1"/>
    <col min="3574" max="3574" width="24.33203125" style="127" customWidth="1"/>
    <col min="3575" max="3575" width="15.88671875" style="127" customWidth="1"/>
    <col min="3576" max="3576" width="25.33203125" style="127" customWidth="1"/>
    <col min="3577" max="3577" width="18.33203125" style="127" customWidth="1"/>
    <col min="3578" max="3578" width="21.5546875" style="127" customWidth="1"/>
    <col min="3579" max="3579" width="17.5546875" style="127" customWidth="1"/>
    <col min="3580" max="3580" width="24.109375" style="127" customWidth="1"/>
    <col min="3581" max="3581" width="17.6640625" style="127" customWidth="1"/>
    <col min="3582" max="3582" width="30.5546875" style="127" customWidth="1"/>
    <col min="3583" max="3584" width="11.88671875" style="127" customWidth="1"/>
    <col min="3585" max="3585" width="20.33203125" style="127" customWidth="1"/>
    <col min="3586" max="3586" width="14.109375" style="127" customWidth="1"/>
    <col min="3587" max="3587" width="15.5546875" style="127" customWidth="1"/>
    <col min="3588" max="3588" width="12.109375" style="127" customWidth="1"/>
    <col min="3589" max="3827" width="11.44140625" style="127"/>
    <col min="3828" max="3828" width="11" style="127" customWidth="1"/>
    <col min="3829" max="3829" width="67.88671875" style="127" customWidth="1"/>
    <col min="3830" max="3830" width="24.33203125" style="127" customWidth="1"/>
    <col min="3831" max="3831" width="15.88671875" style="127" customWidth="1"/>
    <col min="3832" max="3832" width="25.33203125" style="127" customWidth="1"/>
    <col min="3833" max="3833" width="18.33203125" style="127" customWidth="1"/>
    <col min="3834" max="3834" width="21.5546875" style="127" customWidth="1"/>
    <col min="3835" max="3835" width="17.5546875" style="127" customWidth="1"/>
    <col min="3836" max="3836" width="24.109375" style="127" customWidth="1"/>
    <col min="3837" max="3837" width="17.6640625" style="127" customWidth="1"/>
    <col min="3838" max="3838" width="30.5546875" style="127" customWidth="1"/>
    <col min="3839" max="3840" width="11.88671875" style="127" customWidth="1"/>
    <col min="3841" max="3841" width="20.33203125" style="127" customWidth="1"/>
    <col min="3842" max="3842" width="14.109375" style="127" customWidth="1"/>
    <col min="3843" max="3843" width="15.5546875" style="127" customWidth="1"/>
    <col min="3844" max="3844" width="12.109375" style="127" customWidth="1"/>
    <col min="3845" max="4083" width="11.44140625" style="127"/>
    <col min="4084" max="4084" width="11" style="127" customWidth="1"/>
    <col min="4085" max="4085" width="67.88671875" style="127" customWidth="1"/>
    <col min="4086" max="4086" width="24.33203125" style="127" customWidth="1"/>
    <col min="4087" max="4087" width="15.88671875" style="127" customWidth="1"/>
    <col min="4088" max="4088" width="25.33203125" style="127" customWidth="1"/>
    <col min="4089" max="4089" width="18.33203125" style="127" customWidth="1"/>
    <col min="4090" max="4090" width="21.5546875" style="127" customWidth="1"/>
    <col min="4091" max="4091" width="17.5546875" style="127" customWidth="1"/>
    <col min="4092" max="4092" width="24.109375" style="127" customWidth="1"/>
    <col min="4093" max="4093" width="17.6640625" style="127" customWidth="1"/>
    <col min="4094" max="4094" width="30.5546875" style="127" customWidth="1"/>
    <col min="4095" max="4096" width="11.88671875" style="127" customWidth="1"/>
    <col min="4097" max="4097" width="20.33203125" style="127" customWidth="1"/>
    <col min="4098" max="4098" width="14.109375" style="127" customWidth="1"/>
    <col min="4099" max="4099" width="15.5546875" style="127" customWidth="1"/>
    <col min="4100" max="4100" width="12.109375" style="127" customWidth="1"/>
    <col min="4101" max="4339" width="11.44140625" style="127"/>
    <col min="4340" max="4340" width="11" style="127" customWidth="1"/>
    <col min="4341" max="4341" width="67.88671875" style="127" customWidth="1"/>
    <col min="4342" max="4342" width="24.33203125" style="127" customWidth="1"/>
    <col min="4343" max="4343" width="15.88671875" style="127" customWidth="1"/>
    <col min="4344" max="4344" width="25.33203125" style="127" customWidth="1"/>
    <col min="4345" max="4345" width="18.33203125" style="127" customWidth="1"/>
    <col min="4346" max="4346" width="21.5546875" style="127" customWidth="1"/>
    <col min="4347" max="4347" width="17.5546875" style="127" customWidth="1"/>
    <col min="4348" max="4348" width="24.109375" style="127" customWidth="1"/>
    <col min="4349" max="4349" width="17.6640625" style="127" customWidth="1"/>
    <col min="4350" max="4350" width="30.5546875" style="127" customWidth="1"/>
    <col min="4351" max="4352" width="11.88671875" style="127" customWidth="1"/>
    <col min="4353" max="4353" width="20.33203125" style="127" customWidth="1"/>
    <col min="4354" max="4354" width="14.109375" style="127" customWidth="1"/>
    <col min="4355" max="4355" width="15.5546875" style="127" customWidth="1"/>
    <col min="4356" max="4356" width="12.109375" style="127" customWidth="1"/>
    <col min="4357" max="4595" width="11.44140625" style="127"/>
    <col min="4596" max="4596" width="11" style="127" customWidth="1"/>
    <col min="4597" max="4597" width="67.88671875" style="127" customWidth="1"/>
    <col min="4598" max="4598" width="24.33203125" style="127" customWidth="1"/>
    <col min="4599" max="4599" width="15.88671875" style="127" customWidth="1"/>
    <col min="4600" max="4600" width="25.33203125" style="127" customWidth="1"/>
    <col min="4601" max="4601" width="18.33203125" style="127" customWidth="1"/>
    <col min="4602" max="4602" width="21.5546875" style="127" customWidth="1"/>
    <col min="4603" max="4603" width="17.5546875" style="127" customWidth="1"/>
    <col min="4604" max="4604" width="24.109375" style="127" customWidth="1"/>
    <col min="4605" max="4605" width="17.6640625" style="127" customWidth="1"/>
    <col min="4606" max="4606" width="30.5546875" style="127" customWidth="1"/>
    <col min="4607" max="4608" width="11.88671875" style="127" customWidth="1"/>
    <col min="4609" max="4609" width="20.33203125" style="127" customWidth="1"/>
    <col min="4610" max="4610" width="14.109375" style="127" customWidth="1"/>
    <col min="4611" max="4611" width="15.5546875" style="127" customWidth="1"/>
    <col min="4612" max="4612" width="12.109375" style="127" customWidth="1"/>
    <col min="4613" max="4851" width="11.44140625" style="127"/>
    <col min="4852" max="4852" width="11" style="127" customWidth="1"/>
    <col min="4853" max="4853" width="67.88671875" style="127" customWidth="1"/>
    <col min="4854" max="4854" width="24.33203125" style="127" customWidth="1"/>
    <col min="4855" max="4855" width="15.88671875" style="127" customWidth="1"/>
    <col min="4856" max="4856" width="25.33203125" style="127" customWidth="1"/>
    <col min="4857" max="4857" width="18.33203125" style="127" customWidth="1"/>
    <col min="4858" max="4858" width="21.5546875" style="127" customWidth="1"/>
    <col min="4859" max="4859" width="17.5546875" style="127" customWidth="1"/>
    <col min="4860" max="4860" width="24.109375" style="127" customWidth="1"/>
    <col min="4861" max="4861" width="17.6640625" style="127" customWidth="1"/>
    <col min="4862" max="4862" width="30.5546875" style="127" customWidth="1"/>
    <col min="4863" max="4864" width="11.88671875" style="127" customWidth="1"/>
    <col min="4865" max="4865" width="20.33203125" style="127" customWidth="1"/>
    <col min="4866" max="4866" width="14.109375" style="127" customWidth="1"/>
    <col min="4867" max="4867" width="15.5546875" style="127" customWidth="1"/>
    <col min="4868" max="4868" width="12.109375" style="127" customWidth="1"/>
    <col min="4869" max="5107" width="11.44140625" style="127"/>
    <col min="5108" max="5108" width="11" style="127" customWidth="1"/>
    <col min="5109" max="5109" width="67.88671875" style="127" customWidth="1"/>
    <col min="5110" max="5110" width="24.33203125" style="127" customWidth="1"/>
    <col min="5111" max="5111" width="15.88671875" style="127" customWidth="1"/>
    <col min="5112" max="5112" width="25.33203125" style="127" customWidth="1"/>
    <col min="5113" max="5113" width="18.33203125" style="127" customWidth="1"/>
    <col min="5114" max="5114" width="21.5546875" style="127" customWidth="1"/>
    <col min="5115" max="5115" width="17.5546875" style="127" customWidth="1"/>
    <col min="5116" max="5116" width="24.109375" style="127" customWidth="1"/>
    <col min="5117" max="5117" width="17.6640625" style="127" customWidth="1"/>
    <col min="5118" max="5118" width="30.5546875" style="127" customWidth="1"/>
    <col min="5119" max="5120" width="11.88671875" style="127" customWidth="1"/>
    <col min="5121" max="5121" width="20.33203125" style="127" customWidth="1"/>
    <col min="5122" max="5122" width="14.109375" style="127" customWidth="1"/>
    <col min="5123" max="5123" width="15.5546875" style="127" customWidth="1"/>
    <col min="5124" max="5124" width="12.109375" style="127" customWidth="1"/>
    <col min="5125" max="5363" width="11.44140625" style="127"/>
    <col min="5364" max="5364" width="11" style="127" customWidth="1"/>
    <col min="5365" max="5365" width="67.88671875" style="127" customWidth="1"/>
    <col min="5366" max="5366" width="24.33203125" style="127" customWidth="1"/>
    <col min="5367" max="5367" width="15.88671875" style="127" customWidth="1"/>
    <col min="5368" max="5368" width="25.33203125" style="127" customWidth="1"/>
    <col min="5369" max="5369" width="18.33203125" style="127" customWidth="1"/>
    <col min="5370" max="5370" width="21.5546875" style="127" customWidth="1"/>
    <col min="5371" max="5371" width="17.5546875" style="127" customWidth="1"/>
    <col min="5372" max="5372" width="24.109375" style="127" customWidth="1"/>
    <col min="5373" max="5373" width="17.6640625" style="127" customWidth="1"/>
    <col min="5374" max="5374" width="30.5546875" style="127" customWidth="1"/>
    <col min="5375" max="5376" width="11.88671875" style="127" customWidth="1"/>
    <col min="5377" max="5377" width="20.33203125" style="127" customWidth="1"/>
    <col min="5378" max="5378" width="14.109375" style="127" customWidth="1"/>
    <col min="5379" max="5379" width="15.5546875" style="127" customWidth="1"/>
    <col min="5380" max="5380" width="12.109375" style="127" customWidth="1"/>
    <col min="5381" max="5619" width="11.44140625" style="127"/>
    <col min="5620" max="5620" width="11" style="127" customWidth="1"/>
    <col min="5621" max="5621" width="67.88671875" style="127" customWidth="1"/>
    <col min="5622" max="5622" width="24.33203125" style="127" customWidth="1"/>
    <col min="5623" max="5623" width="15.88671875" style="127" customWidth="1"/>
    <col min="5624" max="5624" width="25.33203125" style="127" customWidth="1"/>
    <col min="5625" max="5625" width="18.33203125" style="127" customWidth="1"/>
    <col min="5626" max="5626" width="21.5546875" style="127" customWidth="1"/>
    <col min="5627" max="5627" width="17.5546875" style="127" customWidth="1"/>
    <col min="5628" max="5628" width="24.109375" style="127" customWidth="1"/>
    <col min="5629" max="5629" width="17.6640625" style="127" customWidth="1"/>
    <col min="5630" max="5630" width="30.5546875" style="127" customWidth="1"/>
    <col min="5631" max="5632" width="11.88671875" style="127" customWidth="1"/>
    <col min="5633" max="5633" width="20.33203125" style="127" customWidth="1"/>
    <col min="5634" max="5634" width="14.109375" style="127" customWidth="1"/>
    <col min="5635" max="5635" width="15.5546875" style="127" customWidth="1"/>
    <col min="5636" max="5636" width="12.109375" style="127" customWidth="1"/>
    <col min="5637" max="5875" width="11.44140625" style="127"/>
    <col min="5876" max="5876" width="11" style="127" customWidth="1"/>
    <col min="5877" max="5877" width="67.88671875" style="127" customWidth="1"/>
    <col min="5878" max="5878" width="24.33203125" style="127" customWidth="1"/>
    <col min="5879" max="5879" width="15.88671875" style="127" customWidth="1"/>
    <col min="5880" max="5880" width="25.33203125" style="127" customWidth="1"/>
    <col min="5881" max="5881" width="18.33203125" style="127" customWidth="1"/>
    <col min="5882" max="5882" width="21.5546875" style="127" customWidth="1"/>
    <col min="5883" max="5883" width="17.5546875" style="127" customWidth="1"/>
    <col min="5884" max="5884" width="24.109375" style="127" customWidth="1"/>
    <col min="5885" max="5885" width="17.6640625" style="127" customWidth="1"/>
    <col min="5886" max="5886" width="30.5546875" style="127" customWidth="1"/>
    <col min="5887" max="5888" width="11.88671875" style="127" customWidth="1"/>
    <col min="5889" max="5889" width="20.33203125" style="127" customWidth="1"/>
    <col min="5890" max="5890" width="14.109375" style="127" customWidth="1"/>
    <col min="5891" max="5891" width="15.5546875" style="127" customWidth="1"/>
    <col min="5892" max="5892" width="12.109375" style="127" customWidth="1"/>
    <col min="5893" max="6131" width="11.44140625" style="127"/>
    <col min="6132" max="6132" width="11" style="127" customWidth="1"/>
    <col min="6133" max="6133" width="67.88671875" style="127" customWidth="1"/>
    <col min="6134" max="6134" width="24.33203125" style="127" customWidth="1"/>
    <col min="6135" max="6135" width="15.88671875" style="127" customWidth="1"/>
    <col min="6136" max="6136" width="25.33203125" style="127" customWidth="1"/>
    <col min="6137" max="6137" width="18.33203125" style="127" customWidth="1"/>
    <col min="6138" max="6138" width="21.5546875" style="127" customWidth="1"/>
    <col min="6139" max="6139" width="17.5546875" style="127" customWidth="1"/>
    <col min="6140" max="6140" width="24.109375" style="127" customWidth="1"/>
    <col min="6141" max="6141" width="17.6640625" style="127" customWidth="1"/>
    <col min="6142" max="6142" width="30.5546875" style="127" customWidth="1"/>
    <col min="6143" max="6144" width="11.88671875" style="127" customWidth="1"/>
    <col min="6145" max="6145" width="20.33203125" style="127" customWidth="1"/>
    <col min="6146" max="6146" width="14.109375" style="127" customWidth="1"/>
    <col min="6147" max="6147" width="15.5546875" style="127" customWidth="1"/>
    <col min="6148" max="6148" width="12.109375" style="127" customWidth="1"/>
    <col min="6149" max="6387" width="11.44140625" style="127"/>
    <col min="6388" max="6388" width="11" style="127" customWidth="1"/>
    <col min="6389" max="6389" width="67.88671875" style="127" customWidth="1"/>
    <col min="6390" max="6390" width="24.33203125" style="127" customWidth="1"/>
    <col min="6391" max="6391" width="15.88671875" style="127" customWidth="1"/>
    <col min="6392" max="6392" width="25.33203125" style="127" customWidth="1"/>
    <col min="6393" max="6393" width="18.33203125" style="127" customWidth="1"/>
    <col min="6394" max="6394" width="21.5546875" style="127" customWidth="1"/>
    <col min="6395" max="6395" width="17.5546875" style="127" customWidth="1"/>
    <col min="6396" max="6396" width="24.109375" style="127" customWidth="1"/>
    <col min="6397" max="6397" width="17.6640625" style="127" customWidth="1"/>
    <col min="6398" max="6398" width="30.5546875" style="127" customWidth="1"/>
    <col min="6399" max="6400" width="11.88671875" style="127" customWidth="1"/>
    <col min="6401" max="6401" width="20.33203125" style="127" customWidth="1"/>
    <col min="6402" max="6402" width="14.109375" style="127" customWidth="1"/>
    <col min="6403" max="6403" width="15.5546875" style="127" customWidth="1"/>
    <col min="6404" max="6404" width="12.109375" style="127" customWidth="1"/>
    <col min="6405" max="6643" width="11.44140625" style="127"/>
    <col min="6644" max="6644" width="11" style="127" customWidth="1"/>
    <col min="6645" max="6645" width="67.88671875" style="127" customWidth="1"/>
    <col min="6646" max="6646" width="24.33203125" style="127" customWidth="1"/>
    <col min="6647" max="6647" width="15.88671875" style="127" customWidth="1"/>
    <col min="6648" max="6648" width="25.33203125" style="127" customWidth="1"/>
    <col min="6649" max="6649" width="18.33203125" style="127" customWidth="1"/>
    <col min="6650" max="6650" width="21.5546875" style="127" customWidth="1"/>
    <col min="6651" max="6651" width="17.5546875" style="127" customWidth="1"/>
    <col min="6652" max="6652" width="24.109375" style="127" customWidth="1"/>
    <col min="6653" max="6653" width="17.6640625" style="127" customWidth="1"/>
    <col min="6654" max="6654" width="30.5546875" style="127" customWidth="1"/>
    <col min="6655" max="6656" width="11.88671875" style="127" customWidth="1"/>
    <col min="6657" max="6657" width="20.33203125" style="127" customWidth="1"/>
    <col min="6658" max="6658" width="14.109375" style="127" customWidth="1"/>
    <col min="6659" max="6659" width="15.5546875" style="127" customWidth="1"/>
    <col min="6660" max="6660" width="12.109375" style="127" customWidth="1"/>
    <col min="6661" max="6899" width="11.44140625" style="127"/>
    <col min="6900" max="6900" width="11" style="127" customWidth="1"/>
    <col min="6901" max="6901" width="67.88671875" style="127" customWidth="1"/>
    <col min="6902" max="6902" width="24.33203125" style="127" customWidth="1"/>
    <col min="6903" max="6903" width="15.88671875" style="127" customWidth="1"/>
    <col min="6904" max="6904" width="25.33203125" style="127" customWidth="1"/>
    <col min="6905" max="6905" width="18.33203125" style="127" customWidth="1"/>
    <col min="6906" max="6906" width="21.5546875" style="127" customWidth="1"/>
    <col min="6907" max="6907" width="17.5546875" style="127" customWidth="1"/>
    <col min="6908" max="6908" width="24.109375" style="127" customWidth="1"/>
    <col min="6909" max="6909" width="17.6640625" style="127" customWidth="1"/>
    <col min="6910" max="6910" width="30.5546875" style="127" customWidth="1"/>
    <col min="6911" max="6912" width="11.88671875" style="127" customWidth="1"/>
    <col min="6913" max="6913" width="20.33203125" style="127" customWidth="1"/>
    <col min="6914" max="6914" width="14.109375" style="127" customWidth="1"/>
    <col min="6915" max="6915" width="15.5546875" style="127" customWidth="1"/>
    <col min="6916" max="6916" width="12.109375" style="127" customWidth="1"/>
    <col min="6917" max="7155" width="11.44140625" style="127"/>
    <col min="7156" max="7156" width="11" style="127" customWidth="1"/>
    <col min="7157" max="7157" width="67.88671875" style="127" customWidth="1"/>
    <col min="7158" max="7158" width="24.33203125" style="127" customWidth="1"/>
    <col min="7159" max="7159" width="15.88671875" style="127" customWidth="1"/>
    <col min="7160" max="7160" width="25.33203125" style="127" customWidth="1"/>
    <col min="7161" max="7161" width="18.33203125" style="127" customWidth="1"/>
    <col min="7162" max="7162" width="21.5546875" style="127" customWidth="1"/>
    <col min="7163" max="7163" width="17.5546875" style="127" customWidth="1"/>
    <col min="7164" max="7164" width="24.109375" style="127" customWidth="1"/>
    <col min="7165" max="7165" width="17.6640625" style="127" customWidth="1"/>
    <col min="7166" max="7166" width="30.5546875" style="127" customWidth="1"/>
    <col min="7167" max="7168" width="11.88671875" style="127" customWidth="1"/>
    <col min="7169" max="7169" width="20.33203125" style="127" customWidth="1"/>
    <col min="7170" max="7170" width="14.109375" style="127" customWidth="1"/>
    <col min="7171" max="7171" width="15.5546875" style="127" customWidth="1"/>
    <col min="7172" max="7172" width="12.109375" style="127" customWidth="1"/>
    <col min="7173" max="7411" width="11.44140625" style="127"/>
    <col min="7412" max="7412" width="11" style="127" customWidth="1"/>
    <col min="7413" max="7413" width="67.88671875" style="127" customWidth="1"/>
    <col min="7414" max="7414" width="24.33203125" style="127" customWidth="1"/>
    <col min="7415" max="7415" width="15.88671875" style="127" customWidth="1"/>
    <col min="7416" max="7416" width="25.33203125" style="127" customWidth="1"/>
    <col min="7417" max="7417" width="18.33203125" style="127" customWidth="1"/>
    <col min="7418" max="7418" width="21.5546875" style="127" customWidth="1"/>
    <col min="7419" max="7419" width="17.5546875" style="127" customWidth="1"/>
    <col min="7420" max="7420" width="24.109375" style="127" customWidth="1"/>
    <col min="7421" max="7421" width="17.6640625" style="127" customWidth="1"/>
    <col min="7422" max="7422" width="30.5546875" style="127" customWidth="1"/>
    <col min="7423" max="7424" width="11.88671875" style="127" customWidth="1"/>
    <col min="7425" max="7425" width="20.33203125" style="127" customWidth="1"/>
    <col min="7426" max="7426" width="14.109375" style="127" customWidth="1"/>
    <col min="7427" max="7427" width="15.5546875" style="127" customWidth="1"/>
    <col min="7428" max="7428" width="12.109375" style="127" customWidth="1"/>
    <col min="7429" max="7667" width="11.44140625" style="127"/>
    <col min="7668" max="7668" width="11" style="127" customWidth="1"/>
    <col min="7669" max="7669" width="67.88671875" style="127" customWidth="1"/>
    <col min="7670" max="7670" width="24.33203125" style="127" customWidth="1"/>
    <col min="7671" max="7671" width="15.88671875" style="127" customWidth="1"/>
    <col min="7672" max="7672" width="25.33203125" style="127" customWidth="1"/>
    <col min="7673" max="7673" width="18.33203125" style="127" customWidth="1"/>
    <col min="7674" max="7674" width="21.5546875" style="127" customWidth="1"/>
    <col min="7675" max="7675" width="17.5546875" style="127" customWidth="1"/>
    <col min="7676" max="7676" width="24.109375" style="127" customWidth="1"/>
    <col min="7677" max="7677" width="17.6640625" style="127" customWidth="1"/>
    <col min="7678" max="7678" width="30.5546875" style="127" customWidth="1"/>
    <col min="7679" max="7680" width="11.88671875" style="127" customWidth="1"/>
    <col min="7681" max="7681" width="20.33203125" style="127" customWidth="1"/>
    <col min="7682" max="7682" width="14.109375" style="127" customWidth="1"/>
    <col min="7683" max="7683" width="15.5546875" style="127" customWidth="1"/>
    <col min="7684" max="7684" width="12.109375" style="127" customWidth="1"/>
    <col min="7685" max="7923" width="11.44140625" style="127"/>
    <col min="7924" max="7924" width="11" style="127" customWidth="1"/>
    <col min="7925" max="7925" width="67.88671875" style="127" customWidth="1"/>
    <col min="7926" max="7926" width="24.33203125" style="127" customWidth="1"/>
    <col min="7927" max="7927" width="15.88671875" style="127" customWidth="1"/>
    <col min="7928" max="7928" width="25.33203125" style="127" customWidth="1"/>
    <col min="7929" max="7929" width="18.33203125" style="127" customWidth="1"/>
    <col min="7930" max="7930" width="21.5546875" style="127" customWidth="1"/>
    <col min="7931" max="7931" width="17.5546875" style="127" customWidth="1"/>
    <col min="7932" max="7932" width="24.109375" style="127" customWidth="1"/>
    <col min="7933" max="7933" width="17.6640625" style="127" customWidth="1"/>
    <col min="7934" max="7934" width="30.5546875" style="127" customWidth="1"/>
    <col min="7935" max="7936" width="11.88671875" style="127" customWidth="1"/>
    <col min="7937" max="7937" width="20.33203125" style="127" customWidth="1"/>
    <col min="7938" max="7938" width="14.109375" style="127" customWidth="1"/>
    <col min="7939" max="7939" width="15.5546875" style="127" customWidth="1"/>
    <col min="7940" max="7940" width="12.109375" style="127" customWidth="1"/>
    <col min="7941" max="8179" width="11.44140625" style="127"/>
    <col min="8180" max="8180" width="11" style="127" customWidth="1"/>
    <col min="8181" max="8181" width="67.88671875" style="127" customWidth="1"/>
    <col min="8182" max="8182" width="24.33203125" style="127" customWidth="1"/>
    <col min="8183" max="8183" width="15.88671875" style="127" customWidth="1"/>
    <col min="8184" max="8184" width="25.33203125" style="127" customWidth="1"/>
    <col min="8185" max="8185" width="18.33203125" style="127" customWidth="1"/>
    <col min="8186" max="8186" width="21.5546875" style="127" customWidth="1"/>
    <col min="8187" max="8187" width="17.5546875" style="127" customWidth="1"/>
    <col min="8188" max="8188" width="24.109375" style="127" customWidth="1"/>
    <col min="8189" max="8189" width="17.6640625" style="127" customWidth="1"/>
    <col min="8190" max="8190" width="30.5546875" style="127" customWidth="1"/>
    <col min="8191" max="8192" width="11.88671875" style="127" customWidth="1"/>
    <col min="8193" max="8193" width="20.33203125" style="127" customWidth="1"/>
    <col min="8194" max="8194" width="14.109375" style="127" customWidth="1"/>
    <col min="8195" max="8195" width="15.5546875" style="127" customWidth="1"/>
    <col min="8196" max="8196" width="12.109375" style="127" customWidth="1"/>
    <col min="8197" max="8435" width="11.44140625" style="127"/>
    <col min="8436" max="8436" width="11" style="127" customWidth="1"/>
    <col min="8437" max="8437" width="67.88671875" style="127" customWidth="1"/>
    <col min="8438" max="8438" width="24.33203125" style="127" customWidth="1"/>
    <col min="8439" max="8439" width="15.88671875" style="127" customWidth="1"/>
    <col min="8440" max="8440" width="25.33203125" style="127" customWidth="1"/>
    <col min="8441" max="8441" width="18.33203125" style="127" customWidth="1"/>
    <col min="8442" max="8442" width="21.5546875" style="127" customWidth="1"/>
    <col min="8443" max="8443" width="17.5546875" style="127" customWidth="1"/>
    <col min="8444" max="8444" width="24.109375" style="127" customWidth="1"/>
    <col min="8445" max="8445" width="17.6640625" style="127" customWidth="1"/>
    <col min="8446" max="8446" width="30.5546875" style="127" customWidth="1"/>
    <col min="8447" max="8448" width="11.88671875" style="127" customWidth="1"/>
    <col min="8449" max="8449" width="20.33203125" style="127" customWidth="1"/>
    <col min="8450" max="8450" width="14.109375" style="127" customWidth="1"/>
    <col min="8451" max="8451" width="15.5546875" style="127" customWidth="1"/>
    <col min="8452" max="8452" width="12.109375" style="127" customWidth="1"/>
    <col min="8453" max="8691" width="11.44140625" style="127"/>
    <col min="8692" max="8692" width="11" style="127" customWidth="1"/>
    <col min="8693" max="8693" width="67.88671875" style="127" customWidth="1"/>
    <col min="8694" max="8694" width="24.33203125" style="127" customWidth="1"/>
    <col min="8695" max="8695" width="15.88671875" style="127" customWidth="1"/>
    <col min="8696" max="8696" width="25.33203125" style="127" customWidth="1"/>
    <col min="8697" max="8697" width="18.33203125" style="127" customWidth="1"/>
    <col min="8698" max="8698" width="21.5546875" style="127" customWidth="1"/>
    <col min="8699" max="8699" width="17.5546875" style="127" customWidth="1"/>
    <col min="8700" max="8700" width="24.109375" style="127" customWidth="1"/>
    <col min="8701" max="8701" width="17.6640625" style="127" customWidth="1"/>
    <col min="8702" max="8702" width="30.5546875" style="127" customWidth="1"/>
    <col min="8703" max="8704" width="11.88671875" style="127" customWidth="1"/>
    <col min="8705" max="8705" width="20.33203125" style="127" customWidth="1"/>
    <col min="8706" max="8706" width="14.109375" style="127" customWidth="1"/>
    <col min="8707" max="8707" width="15.5546875" style="127" customWidth="1"/>
    <col min="8708" max="8708" width="12.109375" style="127" customWidth="1"/>
    <col min="8709" max="8947" width="11.44140625" style="127"/>
    <col min="8948" max="8948" width="11" style="127" customWidth="1"/>
    <col min="8949" max="8949" width="67.88671875" style="127" customWidth="1"/>
    <col min="8950" max="8950" width="24.33203125" style="127" customWidth="1"/>
    <col min="8951" max="8951" width="15.88671875" style="127" customWidth="1"/>
    <col min="8952" max="8952" width="25.33203125" style="127" customWidth="1"/>
    <col min="8953" max="8953" width="18.33203125" style="127" customWidth="1"/>
    <col min="8954" max="8954" width="21.5546875" style="127" customWidth="1"/>
    <col min="8955" max="8955" width="17.5546875" style="127" customWidth="1"/>
    <col min="8956" max="8956" width="24.109375" style="127" customWidth="1"/>
    <col min="8957" max="8957" width="17.6640625" style="127" customWidth="1"/>
    <col min="8958" max="8958" width="30.5546875" style="127" customWidth="1"/>
    <col min="8959" max="8960" width="11.88671875" style="127" customWidth="1"/>
    <col min="8961" max="8961" width="20.33203125" style="127" customWidth="1"/>
    <col min="8962" max="8962" width="14.109375" style="127" customWidth="1"/>
    <col min="8963" max="8963" width="15.5546875" style="127" customWidth="1"/>
    <col min="8964" max="8964" width="12.109375" style="127" customWidth="1"/>
    <col min="8965" max="9203" width="11.44140625" style="127"/>
    <col min="9204" max="9204" width="11" style="127" customWidth="1"/>
    <col min="9205" max="9205" width="67.88671875" style="127" customWidth="1"/>
    <col min="9206" max="9206" width="24.33203125" style="127" customWidth="1"/>
    <col min="9207" max="9207" width="15.88671875" style="127" customWidth="1"/>
    <col min="9208" max="9208" width="25.33203125" style="127" customWidth="1"/>
    <col min="9209" max="9209" width="18.33203125" style="127" customWidth="1"/>
    <col min="9210" max="9210" width="21.5546875" style="127" customWidth="1"/>
    <col min="9211" max="9211" width="17.5546875" style="127" customWidth="1"/>
    <col min="9212" max="9212" width="24.109375" style="127" customWidth="1"/>
    <col min="9213" max="9213" width="17.6640625" style="127" customWidth="1"/>
    <col min="9214" max="9214" width="30.5546875" style="127" customWidth="1"/>
    <col min="9215" max="9216" width="11.88671875" style="127" customWidth="1"/>
    <col min="9217" max="9217" width="20.33203125" style="127" customWidth="1"/>
    <col min="9218" max="9218" width="14.109375" style="127" customWidth="1"/>
    <col min="9219" max="9219" width="15.5546875" style="127" customWidth="1"/>
    <col min="9220" max="9220" width="12.109375" style="127" customWidth="1"/>
    <col min="9221" max="9459" width="11.44140625" style="127"/>
    <col min="9460" max="9460" width="11" style="127" customWidth="1"/>
    <col min="9461" max="9461" width="67.88671875" style="127" customWidth="1"/>
    <col min="9462" max="9462" width="24.33203125" style="127" customWidth="1"/>
    <col min="9463" max="9463" width="15.88671875" style="127" customWidth="1"/>
    <col min="9464" max="9464" width="25.33203125" style="127" customWidth="1"/>
    <col min="9465" max="9465" width="18.33203125" style="127" customWidth="1"/>
    <col min="9466" max="9466" width="21.5546875" style="127" customWidth="1"/>
    <col min="9467" max="9467" width="17.5546875" style="127" customWidth="1"/>
    <col min="9468" max="9468" width="24.109375" style="127" customWidth="1"/>
    <col min="9469" max="9469" width="17.6640625" style="127" customWidth="1"/>
    <col min="9470" max="9470" width="30.5546875" style="127" customWidth="1"/>
    <col min="9471" max="9472" width="11.88671875" style="127" customWidth="1"/>
    <col min="9473" max="9473" width="20.33203125" style="127" customWidth="1"/>
    <col min="9474" max="9474" width="14.109375" style="127" customWidth="1"/>
    <col min="9475" max="9475" width="15.5546875" style="127" customWidth="1"/>
    <col min="9476" max="9476" width="12.109375" style="127" customWidth="1"/>
    <col min="9477" max="9715" width="11.44140625" style="127"/>
    <col min="9716" max="9716" width="11" style="127" customWidth="1"/>
    <col min="9717" max="9717" width="67.88671875" style="127" customWidth="1"/>
    <col min="9718" max="9718" width="24.33203125" style="127" customWidth="1"/>
    <col min="9719" max="9719" width="15.88671875" style="127" customWidth="1"/>
    <col min="9720" max="9720" width="25.33203125" style="127" customWidth="1"/>
    <col min="9721" max="9721" width="18.33203125" style="127" customWidth="1"/>
    <col min="9722" max="9722" width="21.5546875" style="127" customWidth="1"/>
    <col min="9723" max="9723" width="17.5546875" style="127" customWidth="1"/>
    <col min="9724" max="9724" width="24.109375" style="127" customWidth="1"/>
    <col min="9725" max="9725" width="17.6640625" style="127" customWidth="1"/>
    <col min="9726" max="9726" width="30.5546875" style="127" customWidth="1"/>
    <col min="9727" max="9728" width="11.88671875" style="127" customWidth="1"/>
    <col min="9729" max="9729" width="20.33203125" style="127" customWidth="1"/>
    <col min="9730" max="9730" width="14.109375" style="127" customWidth="1"/>
    <col min="9731" max="9731" width="15.5546875" style="127" customWidth="1"/>
    <col min="9732" max="9732" width="12.109375" style="127" customWidth="1"/>
    <col min="9733" max="9971" width="11.44140625" style="127"/>
    <col min="9972" max="9972" width="11" style="127" customWidth="1"/>
    <col min="9973" max="9973" width="67.88671875" style="127" customWidth="1"/>
    <col min="9974" max="9974" width="24.33203125" style="127" customWidth="1"/>
    <col min="9975" max="9975" width="15.88671875" style="127" customWidth="1"/>
    <col min="9976" max="9976" width="25.33203125" style="127" customWidth="1"/>
    <col min="9977" max="9977" width="18.33203125" style="127" customWidth="1"/>
    <col min="9978" max="9978" width="21.5546875" style="127" customWidth="1"/>
    <col min="9979" max="9979" width="17.5546875" style="127" customWidth="1"/>
    <col min="9980" max="9980" width="24.109375" style="127" customWidth="1"/>
    <col min="9981" max="9981" width="17.6640625" style="127" customWidth="1"/>
    <col min="9982" max="9982" width="30.5546875" style="127" customWidth="1"/>
    <col min="9983" max="9984" width="11.88671875" style="127" customWidth="1"/>
    <col min="9985" max="9985" width="20.33203125" style="127" customWidth="1"/>
    <col min="9986" max="9986" width="14.109375" style="127" customWidth="1"/>
    <col min="9987" max="9987" width="15.5546875" style="127" customWidth="1"/>
    <col min="9988" max="9988" width="12.109375" style="127" customWidth="1"/>
    <col min="9989" max="10227" width="11.44140625" style="127"/>
    <col min="10228" max="10228" width="11" style="127" customWidth="1"/>
    <col min="10229" max="10229" width="67.88671875" style="127" customWidth="1"/>
    <col min="10230" max="10230" width="24.33203125" style="127" customWidth="1"/>
    <col min="10231" max="10231" width="15.88671875" style="127" customWidth="1"/>
    <col min="10232" max="10232" width="25.33203125" style="127" customWidth="1"/>
    <col min="10233" max="10233" width="18.33203125" style="127" customWidth="1"/>
    <col min="10234" max="10234" width="21.5546875" style="127" customWidth="1"/>
    <col min="10235" max="10235" width="17.5546875" style="127" customWidth="1"/>
    <col min="10236" max="10236" width="24.109375" style="127" customWidth="1"/>
    <col min="10237" max="10237" width="17.6640625" style="127" customWidth="1"/>
    <col min="10238" max="10238" width="30.5546875" style="127" customWidth="1"/>
    <col min="10239" max="10240" width="11.88671875" style="127" customWidth="1"/>
    <col min="10241" max="10241" width="20.33203125" style="127" customWidth="1"/>
    <col min="10242" max="10242" width="14.109375" style="127" customWidth="1"/>
    <col min="10243" max="10243" width="15.5546875" style="127" customWidth="1"/>
    <col min="10244" max="10244" width="12.109375" style="127" customWidth="1"/>
    <col min="10245" max="10483" width="11.44140625" style="127"/>
    <col min="10484" max="10484" width="11" style="127" customWidth="1"/>
    <col min="10485" max="10485" width="67.88671875" style="127" customWidth="1"/>
    <col min="10486" max="10486" width="24.33203125" style="127" customWidth="1"/>
    <col min="10487" max="10487" width="15.88671875" style="127" customWidth="1"/>
    <col min="10488" max="10488" width="25.33203125" style="127" customWidth="1"/>
    <col min="10489" max="10489" width="18.33203125" style="127" customWidth="1"/>
    <col min="10490" max="10490" width="21.5546875" style="127" customWidth="1"/>
    <col min="10491" max="10491" width="17.5546875" style="127" customWidth="1"/>
    <col min="10492" max="10492" width="24.109375" style="127" customWidth="1"/>
    <col min="10493" max="10493" width="17.6640625" style="127" customWidth="1"/>
    <col min="10494" max="10494" width="30.5546875" style="127" customWidth="1"/>
    <col min="10495" max="10496" width="11.88671875" style="127" customWidth="1"/>
    <col min="10497" max="10497" width="20.33203125" style="127" customWidth="1"/>
    <col min="10498" max="10498" width="14.109375" style="127" customWidth="1"/>
    <col min="10499" max="10499" width="15.5546875" style="127" customWidth="1"/>
    <col min="10500" max="10500" width="12.109375" style="127" customWidth="1"/>
    <col min="10501" max="10739" width="11.44140625" style="127"/>
    <col min="10740" max="10740" width="11" style="127" customWidth="1"/>
    <col min="10741" max="10741" width="67.88671875" style="127" customWidth="1"/>
    <col min="10742" max="10742" width="24.33203125" style="127" customWidth="1"/>
    <col min="10743" max="10743" width="15.88671875" style="127" customWidth="1"/>
    <col min="10744" max="10744" width="25.33203125" style="127" customWidth="1"/>
    <col min="10745" max="10745" width="18.33203125" style="127" customWidth="1"/>
    <col min="10746" max="10746" width="21.5546875" style="127" customWidth="1"/>
    <col min="10747" max="10747" width="17.5546875" style="127" customWidth="1"/>
    <col min="10748" max="10748" width="24.109375" style="127" customWidth="1"/>
    <col min="10749" max="10749" width="17.6640625" style="127" customWidth="1"/>
    <col min="10750" max="10750" width="30.5546875" style="127" customWidth="1"/>
    <col min="10751" max="10752" width="11.88671875" style="127" customWidth="1"/>
    <col min="10753" max="10753" width="20.33203125" style="127" customWidth="1"/>
    <col min="10754" max="10754" width="14.109375" style="127" customWidth="1"/>
    <col min="10755" max="10755" width="15.5546875" style="127" customWidth="1"/>
    <col min="10756" max="10756" width="12.109375" style="127" customWidth="1"/>
    <col min="10757" max="10995" width="11.44140625" style="127"/>
    <col min="10996" max="10996" width="11" style="127" customWidth="1"/>
    <col min="10997" max="10997" width="67.88671875" style="127" customWidth="1"/>
    <col min="10998" max="10998" width="24.33203125" style="127" customWidth="1"/>
    <col min="10999" max="10999" width="15.88671875" style="127" customWidth="1"/>
    <col min="11000" max="11000" width="25.33203125" style="127" customWidth="1"/>
    <col min="11001" max="11001" width="18.33203125" style="127" customWidth="1"/>
    <col min="11002" max="11002" width="21.5546875" style="127" customWidth="1"/>
    <col min="11003" max="11003" width="17.5546875" style="127" customWidth="1"/>
    <col min="11004" max="11004" width="24.109375" style="127" customWidth="1"/>
    <col min="11005" max="11005" width="17.6640625" style="127" customWidth="1"/>
    <col min="11006" max="11006" width="30.5546875" style="127" customWidth="1"/>
    <col min="11007" max="11008" width="11.88671875" style="127" customWidth="1"/>
    <col min="11009" max="11009" width="20.33203125" style="127" customWidth="1"/>
    <col min="11010" max="11010" width="14.109375" style="127" customWidth="1"/>
    <col min="11011" max="11011" width="15.5546875" style="127" customWidth="1"/>
    <col min="11012" max="11012" width="12.109375" style="127" customWidth="1"/>
    <col min="11013" max="11251" width="11.44140625" style="127"/>
    <col min="11252" max="11252" width="11" style="127" customWidth="1"/>
    <col min="11253" max="11253" width="67.88671875" style="127" customWidth="1"/>
    <col min="11254" max="11254" width="24.33203125" style="127" customWidth="1"/>
    <col min="11255" max="11255" width="15.88671875" style="127" customWidth="1"/>
    <col min="11256" max="11256" width="25.33203125" style="127" customWidth="1"/>
    <col min="11257" max="11257" width="18.33203125" style="127" customWidth="1"/>
    <col min="11258" max="11258" width="21.5546875" style="127" customWidth="1"/>
    <col min="11259" max="11259" width="17.5546875" style="127" customWidth="1"/>
    <col min="11260" max="11260" width="24.109375" style="127" customWidth="1"/>
    <col min="11261" max="11261" width="17.6640625" style="127" customWidth="1"/>
    <col min="11262" max="11262" width="30.5546875" style="127" customWidth="1"/>
    <col min="11263" max="11264" width="11.88671875" style="127" customWidth="1"/>
    <col min="11265" max="11265" width="20.33203125" style="127" customWidth="1"/>
    <col min="11266" max="11266" width="14.109375" style="127" customWidth="1"/>
    <col min="11267" max="11267" width="15.5546875" style="127" customWidth="1"/>
    <col min="11268" max="11268" width="12.109375" style="127" customWidth="1"/>
    <col min="11269" max="11507" width="11.44140625" style="127"/>
    <col min="11508" max="11508" width="11" style="127" customWidth="1"/>
    <col min="11509" max="11509" width="67.88671875" style="127" customWidth="1"/>
    <col min="11510" max="11510" width="24.33203125" style="127" customWidth="1"/>
    <col min="11511" max="11511" width="15.88671875" style="127" customWidth="1"/>
    <col min="11512" max="11512" width="25.33203125" style="127" customWidth="1"/>
    <col min="11513" max="11513" width="18.33203125" style="127" customWidth="1"/>
    <col min="11514" max="11514" width="21.5546875" style="127" customWidth="1"/>
    <col min="11515" max="11515" width="17.5546875" style="127" customWidth="1"/>
    <col min="11516" max="11516" width="24.109375" style="127" customWidth="1"/>
    <col min="11517" max="11517" width="17.6640625" style="127" customWidth="1"/>
    <col min="11518" max="11518" width="30.5546875" style="127" customWidth="1"/>
    <col min="11519" max="11520" width="11.88671875" style="127" customWidth="1"/>
    <col min="11521" max="11521" width="20.33203125" style="127" customWidth="1"/>
    <col min="11522" max="11522" width="14.109375" style="127" customWidth="1"/>
    <col min="11523" max="11523" width="15.5546875" style="127" customWidth="1"/>
    <col min="11524" max="11524" width="12.109375" style="127" customWidth="1"/>
    <col min="11525" max="11763" width="11.44140625" style="127"/>
    <col min="11764" max="11764" width="11" style="127" customWidth="1"/>
    <col min="11765" max="11765" width="67.88671875" style="127" customWidth="1"/>
    <col min="11766" max="11766" width="24.33203125" style="127" customWidth="1"/>
    <col min="11767" max="11767" width="15.88671875" style="127" customWidth="1"/>
    <col min="11768" max="11768" width="25.33203125" style="127" customWidth="1"/>
    <col min="11769" max="11769" width="18.33203125" style="127" customWidth="1"/>
    <col min="11770" max="11770" width="21.5546875" style="127" customWidth="1"/>
    <col min="11771" max="11771" width="17.5546875" style="127" customWidth="1"/>
    <col min="11772" max="11772" width="24.109375" style="127" customWidth="1"/>
    <col min="11773" max="11773" width="17.6640625" style="127" customWidth="1"/>
    <col min="11774" max="11774" width="30.5546875" style="127" customWidth="1"/>
    <col min="11775" max="11776" width="11.88671875" style="127" customWidth="1"/>
    <col min="11777" max="11777" width="20.33203125" style="127" customWidth="1"/>
    <col min="11778" max="11778" width="14.109375" style="127" customWidth="1"/>
    <col min="11779" max="11779" width="15.5546875" style="127" customWidth="1"/>
    <col min="11780" max="11780" width="12.109375" style="127" customWidth="1"/>
    <col min="11781" max="12019" width="11.44140625" style="127"/>
    <col min="12020" max="12020" width="11" style="127" customWidth="1"/>
    <col min="12021" max="12021" width="67.88671875" style="127" customWidth="1"/>
    <col min="12022" max="12022" width="24.33203125" style="127" customWidth="1"/>
    <col min="12023" max="12023" width="15.88671875" style="127" customWidth="1"/>
    <col min="12024" max="12024" width="25.33203125" style="127" customWidth="1"/>
    <col min="12025" max="12025" width="18.33203125" style="127" customWidth="1"/>
    <col min="12026" max="12026" width="21.5546875" style="127" customWidth="1"/>
    <col min="12027" max="12027" width="17.5546875" style="127" customWidth="1"/>
    <col min="12028" max="12028" width="24.109375" style="127" customWidth="1"/>
    <col min="12029" max="12029" width="17.6640625" style="127" customWidth="1"/>
    <col min="12030" max="12030" width="30.5546875" style="127" customWidth="1"/>
    <col min="12031" max="12032" width="11.88671875" style="127" customWidth="1"/>
    <col min="12033" max="12033" width="20.33203125" style="127" customWidth="1"/>
    <col min="12034" max="12034" width="14.109375" style="127" customWidth="1"/>
    <col min="12035" max="12035" width="15.5546875" style="127" customWidth="1"/>
    <col min="12036" max="12036" width="12.109375" style="127" customWidth="1"/>
    <col min="12037" max="12275" width="11.44140625" style="127"/>
    <col min="12276" max="12276" width="11" style="127" customWidth="1"/>
    <col min="12277" max="12277" width="67.88671875" style="127" customWidth="1"/>
    <col min="12278" max="12278" width="24.33203125" style="127" customWidth="1"/>
    <col min="12279" max="12279" width="15.88671875" style="127" customWidth="1"/>
    <col min="12280" max="12280" width="25.33203125" style="127" customWidth="1"/>
    <col min="12281" max="12281" width="18.33203125" style="127" customWidth="1"/>
    <col min="12282" max="12282" width="21.5546875" style="127" customWidth="1"/>
    <col min="12283" max="12283" width="17.5546875" style="127" customWidth="1"/>
    <col min="12284" max="12284" width="24.109375" style="127" customWidth="1"/>
    <col min="12285" max="12285" width="17.6640625" style="127" customWidth="1"/>
    <col min="12286" max="12286" width="30.5546875" style="127" customWidth="1"/>
    <col min="12287" max="12288" width="11.88671875" style="127" customWidth="1"/>
    <col min="12289" max="12289" width="20.33203125" style="127" customWidth="1"/>
    <col min="12290" max="12290" width="14.109375" style="127" customWidth="1"/>
    <col min="12291" max="12291" width="15.5546875" style="127" customWidth="1"/>
    <col min="12292" max="12292" width="12.109375" style="127" customWidth="1"/>
    <col min="12293" max="12531" width="11.44140625" style="127"/>
    <col min="12532" max="12532" width="11" style="127" customWidth="1"/>
    <col min="12533" max="12533" width="67.88671875" style="127" customWidth="1"/>
    <col min="12534" max="12534" width="24.33203125" style="127" customWidth="1"/>
    <col min="12535" max="12535" width="15.88671875" style="127" customWidth="1"/>
    <col min="12536" max="12536" width="25.33203125" style="127" customWidth="1"/>
    <col min="12537" max="12537" width="18.33203125" style="127" customWidth="1"/>
    <col min="12538" max="12538" width="21.5546875" style="127" customWidth="1"/>
    <col min="12539" max="12539" width="17.5546875" style="127" customWidth="1"/>
    <col min="12540" max="12540" width="24.109375" style="127" customWidth="1"/>
    <col min="12541" max="12541" width="17.6640625" style="127" customWidth="1"/>
    <col min="12542" max="12542" width="30.5546875" style="127" customWidth="1"/>
    <col min="12543" max="12544" width="11.88671875" style="127" customWidth="1"/>
    <col min="12545" max="12545" width="20.33203125" style="127" customWidth="1"/>
    <col min="12546" max="12546" width="14.109375" style="127" customWidth="1"/>
    <col min="12547" max="12547" width="15.5546875" style="127" customWidth="1"/>
    <col min="12548" max="12548" width="12.109375" style="127" customWidth="1"/>
    <col min="12549" max="12787" width="11.44140625" style="127"/>
    <col min="12788" max="12788" width="11" style="127" customWidth="1"/>
    <col min="12789" max="12789" width="67.88671875" style="127" customWidth="1"/>
    <col min="12790" max="12790" width="24.33203125" style="127" customWidth="1"/>
    <col min="12791" max="12791" width="15.88671875" style="127" customWidth="1"/>
    <col min="12792" max="12792" width="25.33203125" style="127" customWidth="1"/>
    <col min="12793" max="12793" width="18.33203125" style="127" customWidth="1"/>
    <col min="12794" max="12794" width="21.5546875" style="127" customWidth="1"/>
    <col min="12795" max="12795" width="17.5546875" style="127" customWidth="1"/>
    <col min="12796" max="12796" width="24.109375" style="127" customWidth="1"/>
    <col min="12797" max="12797" width="17.6640625" style="127" customWidth="1"/>
    <col min="12798" max="12798" width="30.5546875" style="127" customWidth="1"/>
    <col min="12799" max="12800" width="11.88671875" style="127" customWidth="1"/>
    <col min="12801" max="12801" width="20.33203125" style="127" customWidth="1"/>
    <col min="12802" max="12802" width="14.109375" style="127" customWidth="1"/>
    <col min="12803" max="12803" width="15.5546875" style="127" customWidth="1"/>
    <col min="12804" max="12804" width="12.109375" style="127" customWidth="1"/>
    <col min="12805" max="13043" width="11.44140625" style="127"/>
    <col min="13044" max="13044" width="11" style="127" customWidth="1"/>
    <col min="13045" max="13045" width="67.88671875" style="127" customWidth="1"/>
    <col min="13046" max="13046" width="24.33203125" style="127" customWidth="1"/>
    <col min="13047" max="13047" width="15.88671875" style="127" customWidth="1"/>
    <col min="13048" max="13048" width="25.33203125" style="127" customWidth="1"/>
    <col min="13049" max="13049" width="18.33203125" style="127" customWidth="1"/>
    <col min="13050" max="13050" width="21.5546875" style="127" customWidth="1"/>
    <col min="13051" max="13051" width="17.5546875" style="127" customWidth="1"/>
    <col min="13052" max="13052" width="24.109375" style="127" customWidth="1"/>
    <col min="13053" max="13053" width="17.6640625" style="127" customWidth="1"/>
    <col min="13054" max="13054" width="30.5546875" style="127" customWidth="1"/>
    <col min="13055" max="13056" width="11.88671875" style="127" customWidth="1"/>
    <col min="13057" max="13057" width="20.33203125" style="127" customWidth="1"/>
    <col min="13058" max="13058" width="14.109375" style="127" customWidth="1"/>
    <col min="13059" max="13059" width="15.5546875" style="127" customWidth="1"/>
    <col min="13060" max="13060" width="12.109375" style="127" customWidth="1"/>
    <col min="13061" max="13299" width="11.44140625" style="127"/>
    <col min="13300" max="13300" width="11" style="127" customWidth="1"/>
    <col min="13301" max="13301" width="67.88671875" style="127" customWidth="1"/>
    <col min="13302" max="13302" width="24.33203125" style="127" customWidth="1"/>
    <col min="13303" max="13303" width="15.88671875" style="127" customWidth="1"/>
    <col min="13304" max="13304" width="25.33203125" style="127" customWidth="1"/>
    <col min="13305" max="13305" width="18.33203125" style="127" customWidth="1"/>
    <col min="13306" max="13306" width="21.5546875" style="127" customWidth="1"/>
    <col min="13307" max="13307" width="17.5546875" style="127" customWidth="1"/>
    <col min="13308" max="13308" width="24.109375" style="127" customWidth="1"/>
    <col min="13309" max="13309" width="17.6640625" style="127" customWidth="1"/>
    <col min="13310" max="13310" width="30.5546875" style="127" customWidth="1"/>
    <col min="13311" max="13312" width="11.88671875" style="127" customWidth="1"/>
    <col min="13313" max="13313" width="20.33203125" style="127" customWidth="1"/>
    <col min="13314" max="13314" width="14.109375" style="127" customWidth="1"/>
    <col min="13315" max="13315" width="15.5546875" style="127" customWidth="1"/>
    <col min="13316" max="13316" width="12.109375" style="127" customWidth="1"/>
    <col min="13317" max="13555" width="11.44140625" style="127"/>
    <col min="13556" max="13556" width="11" style="127" customWidth="1"/>
    <col min="13557" max="13557" width="67.88671875" style="127" customWidth="1"/>
    <col min="13558" max="13558" width="24.33203125" style="127" customWidth="1"/>
    <col min="13559" max="13559" width="15.88671875" style="127" customWidth="1"/>
    <col min="13560" max="13560" width="25.33203125" style="127" customWidth="1"/>
    <col min="13561" max="13561" width="18.33203125" style="127" customWidth="1"/>
    <col min="13562" max="13562" width="21.5546875" style="127" customWidth="1"/>
    <col min="13563" max="13563" width="17.5546875" style="127" customWidth="1"/>
    <col min="13564" max="13564" width="24.109375" style="127" customWidth="1"/>
    <col min="13565" max="13565" width="17.6640625" style="127" customWidth="1"/>
    <col min="13566" max="13566" width="30.5546875" style="127" customWidth="1"/>
    <col min="13567" max="13568" width="11.88671875" style="127" customWidth="1"/>
    <col min="13569" max="13569" width="20.33203125" style="127" customWidth="1"/>
    <col min="13570" max="13570" width="14.109375" style="127" customWidth="1"/>
    <col min="13571" max="13571" width="15.5546875" style="127" customWidth="1"/>
    <col min="13572" max="13572" width="12.109375" style="127" customWidth="1"/>
    <col min="13573" max="13811" width="11.44140625" style="127"/>
    <col min="13812" max="13812" width="11" style="127" customWidth="1"/>
    <col min="13813" max="13813" width="67.88671875" style="127" customWidth="1"/>
    <col min="13814" max="13814" width="24.33203125" style="127" customWidth="1"/>
    <col min="13815" max="13815" width="15.88671875" style="127" customWidth="1"/>
    <col min="13816" max="13816" width="25.33203125" style="127" customWidth="1"/>
    <col min="13817" max="13817" width="18.33203125" style="127" customWidth="1"/>
    <col min="13818" max="13818" width="21.5546875" style="127" customWidth="1"/>
    <col min="13819" max="13819" width="17.5546875" style="127" customWidth="1"/>
    <col min="13820" max="13820" width="24.109375" style="127" customWidth="1"/>
    <col min="13821" max="13821" width="17.6640625" style="127" customWidth="1"/>
    <col min="13822" max="13822" width="30.5546875" style="127" customWidth="1"/>
    <col min="13823" max="13824" width="11.88671875" style="127" customWidth="1"/>
    <col min="13825" max="13825" width="20.33203125" style="127" customWidth="1"/>
    <col min="13826" max="13826" width="14.109375" style="127" customWidth="1"/>
    <col min="13827" max="13827" width="15.5546875" style="127" customWidth="1"/>
    <col min="13828" max="13828" width="12.109375" style="127" customWidth="1"/>
    <col min="13829" max="14067" width="11.44140625" style="127"/>
    <col min="14068" max="14068" width="11" style="127" customWidth="1"/>
    <col min="14069" max="14069" width="67.88671875" style="127" customWidth="1"/>
    <col min="14070" max="14070" width="24.33203125" style="127" customWidth="1"/>
    <col min="14071" max="14071" width="15.88671875" style="127" customWidth="1"/>
    <col min="14072" max="14072" width="25.33203125" style="127" customWidth="1"/>
    <col min="14073" max="14073" width="18.33203125" style="127" customWidth="1"/>
    <col min="14074" max="14074" width="21.5546875" style="127" customWidth="1"/>
    <col min="14075" max="14075" width="17.5546875" style="127" customWidth="1"/>
    <col min="14076" max="14076" width="24.109375" style="127" customWidth="1"/>
    <col min="14077" max="14077" width="17.6640625" style="127" customWidth="1"/>
    <col min="14078" max="14078" width="30.5546875" style="127" customWidth="1"/>
    <col min="14079" max="14080" width="11.88671875" style="127" customWidth="1"/>
    <col min="14081" max="14081" width="20.33203125" style="127" customWidth="1"/>
    <col min="14082" max="14082" width="14.109375" style="127" customWidth="1"/>
    <col min="14083" max="14083" width="15.5546875" style="127" customWidth="1"/>
    <col min="14084" max="14084" width="12.109375" style="127" customWidth="1"/>
    <col min="14085" max="14323" width="11.44140625" style="127"/>
    <col min="14324" max="14324" width="11" style="127" customWidth="1"/>
    <col min="14325" max="14325" width="67.88671875" style="127" customWidth="1"/>
    <col min="14326" max="14326" width="24.33203125" style="127" customWidth="1"/>
    <col min="14327" max="14327" width="15.88671875" style="127" customWidth="1"/>
    <col min="14328" max="14328" width="25.33203125" style="127" customWidth="1"/>
    <col min="14329" max="14329" width="18.33203125" style="127" customWidth="1"/>
    <col min="14330" max="14330" width="21.5546875" style="127" customWidth="1"/>
    <col min="14331" max="14331" width="17.5546875" style="127" customWidth="1"/>
    <col min="14332" max="14332" width="24.109375" style="127" customWidth="1"/>
    <col min="14333" max="14333" width="17.6640625" style="127" customWidth="1"/>
    <col min="14334" max="14334" width="30.5546875" style="127" customWidth="1"/>
    <col min="14335" max="14336" width="11.88671875" style="127" customWidth="1"/>
    <col min="14337" max="14337" width="20.33203125" style="127" customWidth="1"/>
    <col min="14338" max="14338" width="14.109375" style="127" customWidth="1"/>
    <col min="14339" max="14339" width="15.5546875" style="127" customWidth="1"/>
    <col min="14340" max="14340" width="12.109375" style="127" customWidth="1"/>
    <col min="14341" max="14579" width="11.44140625" style="127"/>
    <col min="14580" max="14580" width="11" style="127" customWidth="1"/>
    <col min="14581" max="14581" width="67.88671875" style="127" customWidth="1"/>
    <col min="14582" max="14582" width="24.33203125" style="127" customWidth="1"/>
    <col min="14583" max="14583" width="15.88671875" style="127" customWidth="1"/>
    <col min="14584" max="14584" width="25.33203125" style="127" customWidth="1"/>
    <col min="14585" max="14585" width="18.33203125" style="127" customWidth="1"/>
    <col min="14586" max="14586" width="21.5546875" style="127" customWidth="1"/>
    <col min="14587" max="14587" width="17.5546875" style="127" customWidth="1"/>
    <col min="14588" max="14588" width="24.109375" style="127" customWidth="1"/>
    <col min="14589" max="14589" width="17.6640625" style="127" customWidth="1"/>
    <col min="14590" max="14590" width="30.5546875" style="127" customWidth="1"/>
    <col min="14591" max="14592" width="11.88671875" style="127" customWidth="1"/>
    <col min="14593" max="14593" width="20.33203125" style="127" customWidth="1"/>
    <col min="14594" max="14594" width="14.109375" style="127" customWidth="1"/>
    <col min="14595" max="14595" width="15.5546875" style="127" customWidth="1"/>
    <col min="14596" max="14596" width="12.109375" style="127" customWidth="1"/>
    <col min="14597" max="14835" width="11.44140625" style="127"/>
    <col min="14836" max="14836" width="11" style="127" customWidth="1"/>
    <col min="14837" max="14837" width="67.88671875" style="127" customWidth="1"/>
    <col min="14838" max="14838" width="24.33203125" style="127" customWidth="1"/>
    <col min="14839" max="14839" width="15.88671875" style="127" customWidth="1"/>
    <col min="14840" max="14840" width="25.33203125" style="127" customWidth="1"/>
    <col min="14841" max="14841" width="18.33203125" style="127" customWidth="1"/>
    <col min="14842" max="14842" width="21.5546875" style="127" customWidth="1"/>
    <col min="14843" max="14843" width="17.5546875" style="127" customWidth="1"/>
    <col min="14844" max="14844" width="24.109375" style="127" customWidth="1"/>
    <col min="14845" max="14845" width="17.6640625" style="127" customWidth="1"/>
    <col min="14846" max="14846" width="30.5546875" style="127" customWidth="1"/>
    <col min="14847" max="14848" width="11.88671875" style="127" customWidth="1"/>
    <col min="14849" max="14849" width="20.33203125" style="127" customWidth="1"/>
    <col min="14850" max="14850" width="14.109375" style="127" customWidth="1"/>
    <col min="14851" max="14851" width="15.5546875" style="127" customWidth="1"/>
    <col min="14852" max="14852" width="12.109375" style="127" customWidth="1"/>
    <col min="14853" max="15091" width="11.44140625" style="127"/>
    <col min="15092" max="15092" width="11" style="127" customWidth="1"/>
    <col min="15093" max="15093" width="67.88671875" style="127" customWidth="1"/>
    <col min="15094" max="15094" width="24.33203125" style="127" customWidth="1"/>
    <col min="15095" max="15095" width="15.88671875" style="127" customWidth="1"/>
    <col min="15096" max="15096" width="25.33203125" style="127" customWidth="1"/>
    <col min="15097" max="15097" width="18.33203125" style="127" customWidth="1"/>
    <col min="15098" max="15098" width="21.5546875" style="127" customWidth="1"/>
    <col min="15099" max="15099" width="17.5546875" style="127" customWidth="1"/>
    <col min="15100" max="15100" width="24.109375" style="127" customWidth="1"/>
    <col min="15101" max="15101" width="17.6640625" style="127" customWidth="1"/>
    <col min="15102" max="15102" width="30.5546875" style="127" customWidth="1"/>
    <col min="15103" max="15104" width="11.88671875" style="127" customWidth="1"/>
    <col min="15105" max="15105" width="20.33203125" style="127" customWidth="1"/>
    <col min="15106" max="15106" width="14.109375" style="127" customWidth="1"/>
    <col min="15107" max="15107" width="15.5546875" style="127" customWidth="1"/>
    <col min="15108" max="15108" width="12.109375" style="127" customWidth="1"/>
    <col min="15109" max="15347" width="11.44140625" style="127"/>
    <col min="15348" max="15348" width="11" style="127" customWidth="1"/>
    <col min="15349" max="15349" width="67.88671875" style="127" customWidth="1"/>
    <col min="15350" max="15350" width="24.33203125" style="127" customWidth="1"/>
    <col min="15351" max="15351" width="15.88671875" style="127" customWidth="1"/>
    <col min="15352" max="15352" width="25.33203125" style="127" customWidth="1"/>
    <col min="15353" max="15353" width="18.33203125" style="127" customWidth="1"/>
    <col min="15354" max="15354" width="21.5546875" style="127" customWidth="1"/>
    <col min="15355" max="15355" width="17.5546875" style="127" customWidth="1"/>
    <col min="15356" max="15356" width="24.109375" style="127" customWidth="1"/>
    <col min="15357" max="15357" width="17.6640625" style="127" customWidth="1"/>
    <col min="15358" max="15358" width="30.5546875" style="127" customWidth="1"/>
    <col min="15359" max="15360" width="11.88671875" style="127" customWidth="1"/>
    <col min="15361" max="15361" width="20.33203125" style="127" customWidth="1"/>
    <col min="15362" max="15362" width="14.109375" style="127" customWidth="1"/>
    <col min="15363" max="15363" width="15.5546875" style="127" customWidth="1"/>
    <col min="15364" max="15364" width="12.109375" style="127" customWidth="1"/>
    <col min="15365" max="15603" width="11.44140625" style="127"/>
    <col min="15604" max="15604" width="11" style="127" customWidth="1"/>
    <col min="15605" max="15605" width="67.88671875" style="127" customWidth="1"/>
    <col min="15606" max="15606" width="24.33203125" style="127" customWidth="1"/>
    <col min="15607" max="15607" width="15.88671875" style="127" customWidth="1"/>
    <col min="15608" max="15608" width="25.33203125" style="127" customWidth="1"/>
    <col min="15609" max="15609" width="18.33203125" style="127" customWidth="1"/>
    <col min="15610" max="15610" width="21.5546875" style="127" customWidth="1"/>
    <col min="15611" max="15611" width="17.5546875" style="127" customWidth="1"/>
    <col min="15612" max="15612" width="24.109375" style="127" customWidth="1"/>
    <col min="15613" max="15613" width="17.6640625" style="127" customWidth="1"/>
    <col min="15614" max="15614" width="30.5546875" style="127" customWidth="1"/>
    <col min="15615" max="15616" width="11.88671875" style="127" customWidth="1"/>
    <col min="15617" max="15617" width="20.33203125" style="127" customWidth="1"/>
    <col min="15618" max="15618" width="14.109375" style="127" customWidth="1"/>
    <col min="15619" max="15619" width="15.5546875" style="127" customWidth="1"/>
    <col min="15620" max="15620" width="12.109375" style="127" customWidth="1"/>
    <col min="15621" max="15859" width="11.44140625" style="127"/>
    <col min="15860" max="15860" width="11" style="127" customWidth="1"/>
    <col min="15861" max="15861" width="67.88671875" style="127" customWidth="1"/>
    <col min="15862" max="15862" width="24.33203125" style="127" customWidth="1"/>
    <col min="15863" max="15863" width="15.88671875" style="127" customWidth="1"/>
    <col min="15864" max="15864" width="25.33203125" style="127" customWidth="1"/>
    <col min="15865" max="15865" width="18.33203125" style="127" customWidth="1"/>
    <col min="15866" max="15866" width="21.5546875" style="127" customWidth="1"/>
    <col min="15867" max="15867" width="17.5546875" style="127" customWidth="1"/>
    <col min="15868" max="15868" width="24.109375" style="127" customWidth="1"/>
    <col min="15869" max="15869" width="17.6640625" style="127" customWidth="1"/>
    <col min="15870" max="15870" width="30.5546875" style="127" customWidth="1"/>
    <col min="15871" max="15872" width="11.88671875" style="127" customWidth="1"/>
    <col min="15873" max="15873" width="20.33203125" style="127" customWidth="1"/>
    <col min="15874" max="15874" width="14.109375" style="127" customWidth="1"/>
    <col min="15875" max="15875" width="15.5546875" style="127" customWidth="1"/>
    <col min="15876" max="15876" width="12.109375" style="127" customWidth="1"/>
    <col min="15877" max="16115" width="11.44140625" style="127"/>
    <col min="16116" max="16116" width="11" style="127" customWidth="1"/>
    <col min="16117" max="16117" width="67.88671875" style="127" customWidth="1"/>
    <col min="16118" max="16118" width="24.33203125" style="127" customWidth="1"/>
    <col min="16119" max="16119" width="15.88671875" style="127" customWidth="1"/>
    <col min="16120" max="16120" width="25.33203125" style="127" customWidth="1"/>
    <col min="16121" max="16121" width="18.33203125" style="127" customWidth="1"/>
    <col min="16122" max="16122" width="21.5546875" style="127" customWidth="1"/>
    <col min="16123" max="16123" width="17.5546875" style="127" customWidth="1"/>
    <col min="16124" max="16124" width="24.109375" style="127" customWidth="1"/>
    <col min="16125" max="16125" width="17.6640625" style="127" customWidth="1"/>
    <col min="16126" max="16126" width="30.5546875" style="127" customWidth="1"/>
    <col min="16127" max="16128" width="11.88671875" style="127" customWidth="1"/>
    <col min="16129" max="16129" width="20.33203125" style="127" customWidth="1"/>
    <col min="16130" max="16130" width="14.109375" style="127" customWidth="1"/>
    <col min="16131" max="16131" width="15.5546875" style="127" customWidth="1"/>
    <col min="16132" max="16132" width="12.109375" style="127" customWidth="1"/>
    <col min="16133" max="16384" width="11.44140625" style="127"/>
  </cols>
  <sheetData>
    <row r="1" spans="2:10" x14ac:dyDescent="0.3">
      <c r="B1" s="644" t="s">
        <v>70</v>
      </c>
      <c r="C1" s="644"/>
      <c r="D1" s="644"/>
      <c r="E1" s="644"/>
      <c r="F1" s="644"/>
      <c r="G1" s="644"/>
      <c r="H1" s="644"/>
      <c r="I1" s="644"/>
      <c r="J1" s="644"/>
    </row>
    <row r="2" spans="2:10" x14ac:dyDescent="0.3">
      <c r="B2" s="644"/>
      <c r="C2" s="644"/>
      <c r="D2" s="644"/>
      <c r="E2" s="644"/>
      <c r="F2" s="644"/>
      <c r="G2" s="644"/>
      <c r="H2" s="644"/>
      <c r="I2" s="644"/>
      <c r="J2" s="644"/>
    </row>
    <row r="3" spans="2:10" x14ac:dyDescent="0.3">
      <c r="B3" s="644"/>
      <c r="C3" s="644"/>
      <c r="D3" s="644"/>
      <c r="E3" s="644"/>
      <c r="F3" s="644"/>
      <c r="G3" s="644"/>
      <c r="H3" s="644"/>
      <c r="I3" s="644"/>
      <c r="J3" s="644"/>
    </row>
    <row r="4" spans="2:10" x14ac:dyDescent="0.3">
      <c r="B4" s="644"/>
      <c r="C4" s="644"/>
      <c r="D4" s="644"/>
      <c r="E4" s="644"/>
      <c r="F4" s="644"/>
      <c r="G4" s="644"/>
      <c r="H4" s="644"/>
      <c r="I4" s="644"/>
      <c r="J4" s="644"/>
    </row>
    <row r="5" spans="2:10" ht="43.5" customHeight="1" x14ac:dyDescent="0.3">
      <c r="B5" s="645" t="s">
        <v>6662</v>
      </c>
      <c r="C5" s="645"/>
      <c r="D5" s="645"/>
      <c r="E5" s="645"/>
      <c r="F5" s="645"/>
      <c r="G5" s="645"/>
      <c r="H5" s="645"/>
      <c r="I5" s="645"/>
      <c r="J5" s="645"/>
    </row>
    <row r="6" spans="2:10" ht="15" customHeight="1" thickBot="1" x14ac:dyDescent="0.35">
      <c r="B6" s="128"/>
      <c r="C6" s="128"/>
      <c r="D6" s="128"/>
      <c r="E6" s="128"/>
      <c r="F6" s="128"/>
      <c r="G6" s="128"/>
      <c r="H6" s="128"/>
      <c r="I6" s="129"/>
      <c r="J6" s="129"/>
    </row>
    <row r="7" spans="2:10" ht="17.399999999999999" x14ac:dyDescent="0.3">
      <c r="B7" s="130"/>
      <c r="C7" s="131" t="s">
        <v>71</v>
      </c>
      <c r="D7" s="646">
        <v>1499906885.4014597</v>
      </c>
      <c r="E7" s="647"/>
      <c r="F7" s="132"/>
      <c r="G7" s="133" t="s">
        <v>72</v>
      </c>
      <c r="H7" s="134">
        <v>46236</v>
      </c>
      <c r="I7" s="135"/>
      <c r="J7" s="130"/>
    </row>
    <row r="8" spans="2:10" x14ac:dyDescent="0.3">
      <c r="B8" s="130"/>
      <c r="C8" s="136" t="s">
        <v>73</v>
      </c>
      <c r="D8" s="137">
        <v>4</v>
      </c>
      <c r="E8" s="138" t="s">
        <v>74</v>
      </c>
      <c r="F8" s="139"/>
      <c r="G8" s="648" t="s">
        <v>75</v>
      </c>
      <c r="H8" s="649"/>
      <c r="I8" s="130"/>
      <c r="J8" s="130"/>
    </row>
    <row r="9" spans="2:10" ht="15" thickBot="1" x14ac:dyDescent="0.35">
      <c r="B9" s="130"/>
      <c r="C9" s="140"/>
      <c r="D9" s="650"/>
      <c r="E9" s="651"/>
      <c r="F9" s="139"/>
      <c r="G9" s="141"/>
      <c r="H9" s="142"/>
      <c r="I9" s="130"/>
      <c r="J9" s="130"/>
    </row>
    <row r="10" spans="2:10" x14ac:dyDescent="0.3">
      <c r="B10" s="130"/>
      <c r="C10" s="130"/>
      <c r="D10" s="130"/>
      <c r="E10" s="130"/>
      <c r="F10" s="139"/>
      <c r="G10" s="130"/>
      <c r="H10" s="130"/>
      <c r="I10" s="130"/>
      <c r="J10" s="130"/>
    </row>
    <row r="11" spans="2:10" ht="16.5" customHeight="1" x14ac:dyDescent="0.3">
      <c r="B11" s="143"/>
      <c r="C11" s="144"/>
      <c r="D11" s="144"/>
      <c r="E11" s="144"/>
      <c r="F11" s="145"/>
      <c r="G11" s="144"/>
      <c r="H11" s="144"/>
      <c r="I11" s="144"/>
      <c r="J11" s="144"/>
    </row>
    <row r="12" spans="2:10" ht="22.5" customHeight="1" x14ac:dyDescent="0.3">
      <c r="B12" s="643" t="s">
        <v>76</v>
      </c>
      <c r="C12" s="640" t="s">
        <v>77</v>
      </c>
      <c r="D12" s="640"/>
      <c r="E12" s="640"/>
      <c r="F12" s="640"/>
      <c r="G12" s="640"/>
      <c r="H12" s="640"/>
      <c r="I12" s="640"/>
      <c r="J12" s="640"/>
    </row>
    <row r="13" spans="2:10" ht="25.5" customHeight="1" x14ac:dyDescent="0.3">
      <c r="B13" s="643"/>
      <c r="C13" s="640" t="s">
        <v>78</v>
      </c>
      <c r="D13" s="640"/>
      <c r="E13" s="640"/>
      <c r="F13" s="640"/>
      <c r="G13" s="640"/>
      <c r="H13" s="640"/>
      <c r="I13" s="640"/>
      <c r="J13" s="640"/>
    </row>
    <row r="14" spans="2:10" ht="36.75" customHeight="1" x14ac:dyDescent="0.3">
      <c r="B14" s="643"/>
      <c r="C14" s="643" t="s">
        <v>79</v>
      </c>
      <c r="D14" s="457" t="s">
        <v>14</v>
      </c>
      <c r="E14" s="643" t="s">
        <v>80</v>
      </c>
      <c r="F14" s="458" t="s">
        <v>81</v>
      </c>
      <c r="G14" s="457" t="s">
        <v>82</v>
      </c>
      <c r="H14" s="457" t="s">
        <v>83</v>
      </c>
      <c r="I14" s="457" t="s">
        <v>84</v>
      </c>
      <c r="J14" s="457" t="s">
        <v>85</v>
      </c>
    </row>
    <row r="15" spans="2:10" ht="27" customHeight="1" x14ac:dyDescent="0.3">
      <c r="B15" s="643"/>
      <c r="C15" s="643"/>
      <c r="D15" s="457" t="s">
        <v>86</v>
      </c>
      <c r="E15" s="643"/>
      <c r="F15" s="458" t="s">
        <v>87</v>
      </c>
      <c r="G15" s="457" t="s">
        <v>88</v>
      </c>
      <c r="H15" s="457" t="s">
        <v>89</v>
      </c>
      <c r="I15" s="457" t="s">
        <v>90</v>
      </c>
      <c r="J15" s="457" t="s">
        <v>91</v>
      </c>
    </row>
    <row r="16" spans="2:10" x14ac:dyDescent="0.3">
      <c r="B16" s="464">
        <v>1.1000000000000001</v>
      </c>
      <c r="C16" s="465" t="s">
        <v>92</v>
      </c>
      <c r="D16" s="465"/>
      <c r="E16" s="465"/>
      <c r="F16" s="466"/>
      <c r="G16" s="465"/>
      <c r="H16" s="465"/>
      <c r="I16" s="465"/>
      <c r="J16" s="465"/>
    </row>
    <row r="17" spans="1:10" s="150" customFormat="1" ht="18" customHeight="1" x14ac:dyDescent="0.3">
      <c r="A17" s="150">
        <v>9110</v>
      </c>
      <c r="B17" s="149">
        <f>+B16+0.001</f>
        <v>1.101</v>
      </c>
      <c r="C17" s="146" t="s">
        <v>93</v>
      </c>
      <c r="D17" s="149">
        <v>1</v>
      </c>
      <c r="E17" s="149">
        <v>4</v>
      </c>
      <c r="F17" s="152">
        <v>0.3</v>
      </c>
      <c r="G17" s="147">
        <f>+VLOOKUP(A17,'PRECIOS INSUMOS IDU 2025'!$A$1:$E$2794,4,FALSE)</f>
        <v>9522000</v>
      </c>
      <c r="H17" s="148">
        <f>+'CÁLCULO FACTOR MULTIPLICADOR'!$D$25</f>
        <v>1.58</v>
      </c>
      <c r="I17" s="149">
        <f t="shared" ref="I17:I23" si="0">+$D$8</f>
        <v>4</v>
      </c>
      <c r="J17" s="467">
        <f>ROUND(D17*F17*G17*H17*I17,0)</f>
        <v>18053712</v>
      </c>
    </row>
    <row r="18" spans="1:10" s="150" customFormat="1" ht="18" customHeight="1" x14ac:dyDescent="0.3">
      <c r="A18" s="150">
        <v>9112</v>
      </c>
      <c r="B18" s="149">
        <f t="shared" ref="B18:B23" si="1">+B17+0.001</f>
        <v>1.1019999999999999</v>
      </c>
      <c r="C18" s="146" t="s">
        <v>94</v>
      </c>
      <c r="D18" s="149">
        <v>1</v>
      </c>
      <c r="E18" s="149">
        <v>6</v>
      </c>
      <c r="F18" s="152">
        <v>1</v>
      </c>
      <c r="G18" s="147">
        <f>+VLOOKUP(A18,'PRECIOS INSUMOS IDU 2025'!$A$1:$E$2794,4,FALSE)</f>
        <v>7659000</v>
      </c>
      <c r="H18" s="148">
        <f>+'CÁLCULO FACTOR MULTIPLICADOR'!$D$25</f>
        <v>1.58</v>
      </c>
      <c r="I18" s="149">
        <f t="shared" si="0"/>
        <v>4</v>
      </c>
      <c r="J18" s="467">
        <f t="shared" ref="J18:J19" si="2">ROUND(D18*F18*G18*H18*I18,0)</f>
        <v>48404880</v>
      </c>
    </row>
    <row r="19" spans="1:10" s="150" customFormat="1" ht="18" customHeight="1" x14ac:dyDescent="0.3">
      <c r="A19" s="150">
        <v>9110</v>
      </c>
      <c r="B19" s="149">
        <f t="shared" si="1"/>
        <v>1.1029999999999998</v>
      </c>
      <c r="C19" s="146" t="s">
        <v>95</v>
      </c>
      <c r="D19" s="149">
        <v>1</v>
      </c>
      <c r="E19" s="149">
        <v>4</v>
      </c>
      <c r="F19" s="152">
        <v>0.5</v>
      </c>
      <c r="G19" s="147">
        <f>+VLOOKUP(A19,'PRECIOS INSUMOS IDU 2025'!$A$1:$E$2794,4,FALSE)</f>
        <v>9522000</v>
      </c>
      <c r="H19" s="148">
        <f>+'CÁLCULO FACTOR MULTIPLICADOR'!$D$25</f>
        <v>1.58</v>
      </c>
      <c r="I19" s="149">
        <f t="shared" si="0"/>
        <v>4</v>
      </c>
      <c r="J19" s="467">
        <f t="shared" si="2"/>
        <v>30089520</v>
      </c>
    </row>
    <row r="20" spans="1:10" s="150" customFormat="1" ht="18" customHeight="1" x14ac:dyDescent="0.3">
      <c r="A20" s="150">
        <v>9112</v>
      </c>
      <c r="B20" s="149">
        <f t="shared" si="1"/>
        <v>1.1039999999999996</v>
      </c>
      <c r="C20" s="146" t="s">
        <v>96</v>
      </c>
      <c r="D20" s="149">
        <v>1</v>
      </c>
      <c r="E20" s="149">
        <v>6</v>
      </c>
      <c r="F20" s="152">
        <v>0.2</v>
      </c>
      <c r="G20" s="147">
        <f>+VLOOKUP(A20,'PRECIOS INSUMOS IDU 2025'!$A$1:$E$2794,4,FALSE)</f>
        <v>7659000</v>
      </c>
      <c r="H20" s="148">
        <f>+'CÁLCULO FACTOR MULTIPLICADOR'!$D$25</f>
        <v>1.58</v>
      </c>
      <c r="I20" s="149">
        <f t="shared" si="0"/>
        <v>4</v>
      </c>
      <c r="J20" s="467">
        <f>ROUND(D20*F20*G20*H20*I20,0)</f>
        <v>9680976</v>
      </c>
    </row>
    <row r="21" spans="1:10" s="150" customFormat="1" ht="18" customHeight="1" x14ac:dyDescent="0.3">
      <c r="A21" s="150">
        <v>9112</v>
      </c>
      <c r="B21" s="149">
        <f t="shared" si="1"/>
        <v>1.1049999999999995</v>
      </c>
      <c r="C21" s="146" t="s">
        <v>97</v>
      </c>
      <c r="D21" s="149">
        <v>1</v>
      </c>
      <c r="E21" s="149">
        <v>6</v>
      </c>
      <c r="F21" s="152">
        <v>0.5</v>
      </c>
      <c r="G21" s="147">
        <f>+VLOOKUP(A21,'PRECIOS INSUMOS IDU 2025'!$A$1:$E$2794,4,FALSE)</f>
        <v>7659000</v>
      </c>
      <c r="H21" s="148">
        <f>+'CÁLCULO FACTOR MULTIPLICADOR'!$D$25</f>
        <v>1.58</v>
      </c>
      <c r="I21" s="149">
        <f t="shared" si="0"/>
        <v>4</v>
      </c>
      <c r="J21" s="467">
        <f t="shared" ref="J21:J23" si="3">ROUND(D21*F21*G21*H21*I21,0)</f>
        <v>24202440</v>
      </c>
    </row>
    <row r="22" spans="1:10" s="150" customFormat="1" ht="18" customHeight="1" x14ac:dyDescent="0.3">
      <c r="A22" s="150">
        <v>9112</v>
      </c>
      <c r="B22" s="149">
        <f t="shared" si="1"/>
        <v>1.1059999999999994</v>
      </c>
      <c r="C22" s="146" t="s">
        <v>98</v>
      </c>
      <c r="D22" s="149">
        <v>1</v>
      </c>
      <c r="E22" s="149">
        <v>6</v>
      </c>
      <c r="F22" s="152">
        <v>0.3</v>
      </c>
      <c r="G22" s="147">
        <f>+VLOOKUP(A22,'PRECIOS INSUMOS IDU 2025'!$A$1:$E$2794,4,FALSE)</f>
        <v>7659000</v>
      </c>
      <c r="H22" s="148">
        <f>+'CÁLCULO FACTOR MULTIPLICADOR'!$D$25</f>
        <v>1.58</v>
      </c>
      <c r="I22" s="149">
        <f t="shared" si="0"/>
        <v>4</v>
      </c>
      <c r="J22" s="467">
        <f t="shared" si="3"/>
        <v>14521464</v>
      </c>
    </row>
    <row r="23" spans="1:10" s="150" customFormat="1" ht="18" customHeight="1" x14ac:dyDescent="0.3">
      <c r="A23" s="150">
        <v>9110</v>
      </c>
      <c r="B23" s="149">
        <f t="shared" si="1"/>
        <v>1.1069999999999993</v>
      </c>
      <c r="C23" s="146" t="s">
        <v>99</v>
      </c>
      <c r="D23" s="149">
        <v>1</v>
      </c>
      <c r="E23" s="149">
        <v>4</v>
      </c>
      <c r="F23" s="152">
        <v>0.5</v>
      </c>
      <c r="G23" s="147">
        <f>+VLOOKUP(A23,'PRECIOS INSUMOS IDU 2025'!$A$1:$E$2794,4,FALSE)</f>
        <v>9522000</v>
      </c>
      <c r="H23" s="148">
        <f>+'CÁLCULO FACTOR MULTIPLICADOR'!$D$25</f>
        <v>1.58</v>
      </c>
      <c r="I23" s="149">
        <f t="shared" si="0"/>
        <v>4</v>
      </c>
      <c r="J23" s="467">
        <f t="shared" si="3"/>
        <v>30089520</v>
      </c>
    </row>
    <row r="24" spans="1:10" x14ac:dyDescent="0.3">
      <c r="B24" s="149"/>
      <c r="C24" s="146"/>
      <c r="D24" s="146"/>
      <c r="E24" s="151"/>
      <c r="F24" s="152"/>
      <c r="G24" s="151"/>
      <c r="H24" s="148"/>
      <c r="I24" s="149"/>
      <c r="J24" s="151"/>
    </row>
    <row r="25" spans="1:10" x14ac:dyDescent="0.3">
      <c r="B25" s="464">
        <v>1.2</v>
      </c>
      <c r="C25" s="465" t="s">
        <v>100</v>
      </c>
      <c r="D25" s="465"/>
      <c r="E25" s="465"/>
      <c r="F25" s="466"/>
      <c r="G25" s="465"/>
      <c r="H25" s="468"/>
      <c r="I25" s="465"/>
      <c r="J25" s="465"/>
    </row>
    <row r="26" spans="1:10" ht="27.6" x14ac:dyDescent="0.3">
      <c r="A26" s="127">
        <v>9093</v>
      </c>
      <c r="B26" s="149">
        <v>1.2019999999999997</v>
      </c>
      <c r="C26" s="146" t="s">
        <v>101</v>
      </c>
      <c r="D26" s="149">
        <v>2</v>
      </c>
      <c r="E26" s="149" t="s">
        <v>102</v>
      </c>
      <c r="F26" s="152">
        <v>1</v>
      </c>
      <c r="G26" s="147">
        <f>+VLOOKUP(A26,'PRECIOS INSUMOS IDU 2025'!$A$1:$E$2794,4,FALSE)</f>
        <v>2718000</v>
      </c>
      <c r="H26" s="148">
        <f>+'CÁLCULO FACTOR MULTIPLICADOR'!$D$25</f>
        <v>1.58</v>
      </c>
      <c r="I26" s="149">
        <f t="shared" ref="I26:I27" si="4">+$D$8</f>
        <v>4</v>
      </c>
      <c r="J26" s="467">
        <f t="shared" ref="J26:J27" si="5">ROUND(D26*F26*G26*H26*I26,0)</f>
        <v>34355520</v>
      </c>
    </row>
    <row r="27" spans="1:10" ht="27.6" x14ac:dyDescent="0.3">
      <c r="A27" s="127">
        <v>9088</v>
      </c>
      <c r="B27" s="149">
        <v>1.2029999999999996</v>
      </c>
      <c r="C27" s="146" t="s">
        <v>103</v>
      </c>
      <c r="D27" s="149">
        <v>1</v>
      </c>
      <c r="E27" s="149" t="s">
        <v>102</v>
      </c>
      <c r="F27" s="152">
        <v>0.5</v>
      </c>
      <c r="G27" s="147">
        <f>+VLOOKUP(A27,'PRECIOS INSUMOS IDU 2025'!$A$1:$E$2794,4,FALSE)</f>
        <v>3736000</v>
      </c>
      <c r="H27" s="148">
        <f>+'CÁLCULO FACTOR MULTIPLICADOR'!$D$25</f>
        <v>1.58</v>
      </c>
      <c r="I27" s="149">
        <f t="shared" si="4"/>
        <v>4</v>
      </c>
      <c r="J27" s="467">
        <f t="shared" si="5"/>
        <v>11805760</v>
      </c>
    </row>
    <row r="28" spans="1:10" x14ac:dyDescent="0.3">
      <c r="B28" s="153"/>
      <c r="C28" s="456"/>
      <c r="D28" s="456"/>
      <c r="E28" s="159"/>
      <c r="F28" s="462"/>
      <c r="G28" s="159"/>
      <c r="H28" s="463"/>
      <c r="I28" s="153"/>
      <c r="J28" s="159"/>
    </row>
    <row r="29" spans="1:10" x14ac:dyDescent="0.3">
      <c r="B29" s="158" t="s">
        <v>104</v>
      </c>
      <c r="C29" s="637" t="s">
        <v>105</v>
      </c>
      <c r="D29" s="637"/>
      <c r="E29" s="637"/>
      <c r="F29" s="637"/>
      <c r="G29" s="637"/>
      <c r="H29" s="637"/>
      <c r="I29" s="637"/>
      <c r="J29" s="460">
        <f>SUM(J17:J28)</f>
        <v>221203792</v>
      </c>
    </row>
    <row r="30" spans="1:10" x14ac:dyDescent="0.3">
      <c r="B30" s="154"/>
      <c r="C30" s="155"/>
      <c r="D30" s="155"/>
      <c r="E30" s="155"/>
      <c r="F30" s="156"/>
      <c r="G30" s="155"/>
      <c r="H30" s="155"/>
      <c r="I30" s="155"/>
      <c r="J30" s="157"/>
    </row>
    <row r="31" spans="1:10" ht="34.200000000000003" customHeight="1" x14ac:dyDescent="0.3">
      <c r="B31" s="457">
        <v>2</v>
      </c>
      <c r="C31" s="457" t="s">
        <v>106</v>
      </c>
      <c r="D31" s="457" t="s">
        <v>14</v>
      </c>
      <c r="E31" s="457" t="s">
        <v>107</v>
      </c>
      <c r="F31" s="458" t="s">
        <v>81</v>
      </c>
      <c r="G31" s="457" t="s">
        <v>108</v>
      </c>
      <c r="H31" s="457" t="s">
        <v>109</v>
      </c>
      <c r="I31" s="457" t="s">
        <v>84</v>
      </c>
      <c r="J31" s="457" t="s">
        <v>110</v>
      </c>
    </row>
    <row r="32" spans="1:10" ht="37.950000000000003" customHeight="1" x14ac:dyDescent="0.3">
      <c r="A32" s="127">
        <v>9576</v>
      </c>
      <c r="B32" s="149">
        <v>2.0099999999999998</v>
      </c>
      <c r="C32" s="146" t="str">
        <f>+VLOOKUP(A32,'PRECIOS INSUMOS IDU 2025'!$A$1:$E$2794,2,FALSE)</f>
        <v>TARIFA MES - ARRIENDO OFICINA INCL. ADMINISTRACIÓN, SERVICIOS PÚBLICOS, COMUNICACIONES</v>
      </c>
      <c r="D32" s="149">
        <v>1</v>
      </c>
      <c r="E32" s="454">
        <v>50</v>
      </c>
      <c r="F32" s="152">
        <v>1</v>
      </c>
      <c r="G32" s="454">
        <f>+E32*F32</f>
        <v>50</v>
      </c>
      <c r="H32" s="147">
        <f>+VLOOKUP(A32,'PRECIOS INSUMOS IDU 2025'!$A$1:$E$2794,4,FALSE)</f>
        <v>55270</v>
      </c>
      <c r="I32" s="149">
        <f t="shared" ref="I32:I33" si="6">+$D$8</f>
        <v>4</v>
      </c>
      <c r="J32" s="455">
        <f>+G32*H32*I32</f>
        <v>11054000</v>
      </c>
    </row>
    <row r="33" spans="1:15" ht="33.6" customHeight="1" x14ac:dyDescent="0.3">
      <c r="A33" s="127">
        <v>9578</v>
      </c>
      <c r="B33" s="149">
        <v>2.02</v>
      </c>
      <c r="C33" s="146" t="str">
        <f>+VLOOKUP(A33,'PRECIOS INSUMOS IDU 2025'!$A$1:$E$2794,2,FALSE)</f>
        <v>TARIFA MES - GASTOS OFICINA (PAPELERIA, FOTOCOPIAS Y OTROS)</v>
      </c>
      <c r="D33" s="149">
        <v>1</v>
      </c>
      <c r="E33" s="454" t="s">
        <v>102</v>
      </c>
      <c r="F33" s="152">
        <v>0.5</v>
      </c>
      <c r="G33" s="454" t="s">
        <v>102</v>
      </c>
      <c r="H33" s="147">
        <f>+VLOOKUP(A33,'PRECIOS INSUMOS IDU 2025'!$A$1:$E$2794,4,FALSE)</f>
        <v>1260967</v>
      </c>
      <c r="I33" s="149">
        <f t="shared" si="6"/>
        <v>4</v>
      </c>
      <c r="J33" s="455">
        <f>+F33*H33*I33</f>
        <v>2521934</v>
      </c>
    </row>
    <row r="34" spans="1:15" ht="35.4" customHeight="1" x14ac:dyDescent="0.3">
      <c r="A34" s="127">
        <v>9117</v>
      </c>
      <c r="B34" s="149">
        <v>2.0299999999999998</v>
      </c>
      <c r="C34" s="146" t="str">
        <f>+VLOOKUP(A34,'PRECIOS INSUMOS IDU 2025'!$A$1:$E$2794,2,FALSE)</f>
        <v xml:space="preserve">TARIFA MES - EQUIPO COMPLETO DE LABORATORIO - ESTUDIOS </v>
      </c>
      <c r="D34" s="149">
        <v>1</v>
      </c>
      <c r="E34" s="454" t="s">
        <v>102</v>
      </c>
      <c r="F34" s="152">
        <v>0.3</v>
      </c>
      <c r="G34" s="454" t="s">
        <v>102</v>
      </c>
      <c r="H34" s="147">
        <f>+VLOOKUP(A34,'PRECIOS INSUMOS IDU 2025'!$A$1:$E$2794,4,FALSE)</f>
        <v>7732000</v>
      </c>
      <c r="I34" s="149">
        <v>4</v>
      </c>
      <c r="J34" s="455">
        <f>+F34*H34*I34</f>
        <v>9278400</v>
      </c>
    </row>
    <row r="35" spans="1:15" ht="69" x14ac:dyDescent="0.3">
      <c r="A35" s="127">
        <v>12782</v>
      </c>
      <c r="B35" s="149">
        <v>2.04</v>
      </c>
      <c r="C35" s="146" t="str">
        <f>+VLOOKUP(A35,'PRECIOS INSUMOS IDU 2025'!$A$1:$E$2794,2,FALSE)</f>
        <v>TARIFA MES - ALQUILER DE VEHICULO MES: CAMPERO, PICK-UP, CAMIONETA, CAMION O SIMILAR DE 1300cc A 2000cc DE CILINDRADA, MODELO 2022 A 2019. 80% DE LA TARIFA ESTABLECIDA. INCLUYE TODOS LOS COSTOS DE OPERACIÓN Y MANTENIMIENTO EXCEPTO EL SALARIO DEL CONDUCTOR.</v>
      </c>
      <c r="D35" s="149">
        <v>1</v>
      </c>
      <c r="E35" s="454" t="s">
        <v>102</v>
      </c>
      <c r="F35" s="152">
        <v>1</v>
      </c>
      <c r="G35" s="454" t="s">
        <v>102</v>
      </c>
      <c r="H35" s="147">
        <f>+VLOOKUP(A35,'PRECIOS INSUMOS IDU 2025'!$A$1:$E$2794,4,FALSE)</f>
        <v>6997000</v>
      </c>
      <c r="I35" s="149">
        <v>4</v>
      </c>
      <c r="J35" s="455">
        <f>+F35*H35*I35</f>
        <v>27988000</v>
      </c>
    </row>
    <row r="36" spans="1:15" ht="41.4" x14ac:dyDescent="0.3">
      <c r="A36" s="127">
        <v>9575</v>
      </c>
      <c r="B36" s="149">
        <v>2.0499999999999998</v>
      </c>
      <c r="C36" s="146" t="str">
        <f>+VLOOKUP(A36,'PRECIOS INSUMOS IDU 2025'!$A$1:$E$2794,2,FALSE)</f>
        <v>TARIFA MES - PERSONAL TÉCNICO - CELADOR ARMADO (24 horas por 30 dias dividos en 3 turnos de 8 horas diarias. Incluye prestaciones de ley, Administraciòn y servicios).</v>
      </c>
      <c r="D36" s="149">
        <v>2</v>
      </c>
      <c r="E36" s="454" t="s">
        <v>102</v>
      </c>
      <c r="F36" s="152">
        <v>0.6</v>
      </c>
      <c r="G36" s="454" t="s">
        <v>102</v>
      </c>
      <c r="H36" s="147">
        <v>12320209</v>
      </c>
      <c r="I36" s="149">
        <v>4</v>
      </c>
      <c r="J36" s="455">
        <f>+F36*H36*I36*D36</f>
        <v>59137003.199999996</v>
      </c>
    </row>
    <row r="37" spans="1:15" ht="148.5" customHeight="1" x14ac:dyDescent="0.3">
      <c r="A37" s="127">
        <v>13420</v>
      </c>
      <c r="B37" s="149">
        <v>2.06</v>
      </c>
      <c r="C37" s="146" t="str">
        <f>+VLOOKUP(A37,'PRECIOS INSUMOS IDU 2025'!$A$1:$E$2794,2,FALSE)</f>
        <v>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v>
      </c>
      <c r="D37" s="149">
        <v>2</v>
      </c>
      <c r="E37" s="454" t="s">
        <v>102</v>
      </c>
      <c r="F37" s="152">
        <v>0.6</v>
      </c>
      <c r="G37" s="454" t="s">
        <v>102</v>
      </c>
      <c r="H37" s="147">
        <f>+VLOOKUP(A37,'PRECIOS INSUMOS IDU 2025'!$A$1:$E$2794,4,FALSE)</f>
        <v>2856000</v>
      </c>
      <c r="I37" s="149">
        <v>4</v>
      </c>
      <c r="J37" s="455">
        <f>+F37*H37*I37</f>
        <v>6854400</v>
      </c>
      <c r="M37" s="524"/>
      <c r="N37" s="524"/>
      <c r="O37" s="524"/>
    </row>
    <row r="38" spans="1:15" ht="148.5" customHeight="1" x14ac:dyDescent="0.3">
      <c r="A38" s="127">
        <v>4988</v>
      </c>
      <c r="B38" s="149">
        <v>2.0699999999999998</v>
      </c>
      <c r="C38" s="146" t="s">
        <v>6634</v>
      </c>
      <c r="D38" s="149">
        <v>14</v>
      </c>
      <c r="E38" s="454" t="s">
        <v>102</v>
      </c>
      <c r="F38" s="152">
        <v>1</v>
      </c>
      <c r="G38" s="454" t="s">
        <v>102</v>
      </c>
      <c r="H38" s="147">
        <v>1840000</v>
      </c>
      <c r="I38" s="149">
        <v>4</v>
      </c>
      <c r="J38" s="455">
        <f>+F38*H38*I38</f>
        <v>7360000</v>
      </c>
    </row>
    <row r="39" spans="1:15" x14ac:dyDescent="0.3">
      <c r="B39" s="153"/>
      <c r="C39" s="637" t="s">
        <v>6627</v>
      </c>
      <c r="D39" s="637"/>
      <c r="E39" s="637"/>
      <c r="F39" s="637"/>
      <c r="G39" s="637"/>
      <c r="H39" s="637"/>
      <c r="I39" s="637"/>
      <c r="J39" s="460">
        <f>SUM(J32:J38)</f>
        <v>124193737.19999999</v>
      </c>
    </row>
    <row r="40" spans="1:15" x14ac:dyDescent="0.3">
      <c r="B40" s="153"/>
      <c r="C40" s="637" t="s">
        <v>111</v>
      </c>
      <c r="D40" s="637"/>
      <c r="E40" s="637"/>
      <c r="F40" s="637"/>
      <c r="G40" s="637"/>
      <c r="H40" s="637"/>
      <c r="I40" s="637"/>
      <c r="J40" s="460">
        <f>+J29+J39</f>
        <v>345397529.19999999</v>
      </c>
    </row>
    <row r="41" spans="1:15" x14ac:dyDescent="0.3">
      <c r="B41" s="153"/>
      <c r="C41" s="637" t="s">
        <v>112</v>
      </c>
      <c r="D41" s="637"/>
      <c r="E41" s="637"/>
      <c r="F41" s="637"/>
      <c r="G41" s="637"/>
      <c r="H41" s="637"/>
      <c r="I41" s="637"/>
      <c r="J41" s="461">
        <f>+ROUND(J40/D7,2)</f>
        <v>0.23</v>
      </c>
    </row>
    <row r="42" spans="1:15" ht="15" customHeight="1" x14ac:dyDescent="0.3">
      <c r="B42" s="128"/>
      <c r="C42" s="128"/>
      <c r="D42" s="128"/>
      <c r="E42" s="128"/>
      <c r="F42" s="128"/>
      <c r="G42" s="128"/>
      <c r="H42" s="128"/>
      <c r="I42" s="129"/>
      <c r="J42" s="129"/>
    </row>
    <row r="43" spans="1:15" x14ac:dyDescent="0.3">
      <c r="B43" s="457">
        <v>3</v>
      </c>
      <c r="C43" s="640" t="s">
        <v>113</v>
      </c>
      <c r="D43" s="640"/>
      <c r="E43" s="640"/>
      <c r="F43" s="640"/>
      <c r="G43" s="640"/>
      <c r="H43" s="640"/>
      <c r="I43" s="640"/>
      <c r="J43" s="640"/>
    </row>
    <row r="44" spans="1:15" x14ac:dyDescent="0.3">
      <c r="B44" s="464">
        <v>3.1</v>
      </c>
      <c r="C44" s="465" t="s">
        <v>114</v>
      </c>
      <c r="D44" s="465"/>
      <c r="E44" s="471"/>
      <c r="F44" s="466"/>
      <c r="G44" s="471"/>
      <c r="H44" s="465"/>
      <c r="I44" s="465"/>
      <c r="J44" s="465"/>
    </row>
    <row r="45" spans="1:15" x14ac:dyDescent="0.3">
      <c r="B45" s="457" t="s">
        <v>76</v>
      </c>
      <c r="C45" s="640" t="s">
        <v>12</v>
      </c>
      <c r="D45" s="640"/>
      <c r="E45" s="640"/>
      <c r="F45" s="640"/>
      <c r="G45" s="640"/>
      <c r="H45" s="640"/>
      <c r="I45" s="457" t="s">
        <v>115</v>
      </c>
      <c r="J45" s="457" t="s">
        <v>110</v>
      </c>
    </row>
    <row r="46" spans="1:15" x14ac:dyDescent="0.3">
      <c r="B46" s="149">
        <v>3.101</v>
      </c>
      <c r="C46" s="641" t="s">
        <v>116</v>
      </c>
      <c r="D46" s="641"/>
      <c r="E46" s="641"/>
      <c r="F46" s="641"/>
      <c r="G46" s="641"/>
      <c r="H46" s="641"/>
      <c r="I46" s="160">
        <v>0.05</v>
      </c>
      <c r="J46" s="147">
        <f>+D7*I46</f>
        <v>74995344.270072982</v>
      </c>
    </row>
    <row r="47" spans="1:15" x14ac:dyDescent="0.3">
      <c r="B47" s="149">
        <v>3.1019999999999999</v>
      </c>
      <c r="C47" s="641" t="s">
        <v>117</v>
      </c>
      <c r="D47" s="641"/>
      <c r="E47" s="641" t="s">
        <v>118</v>
      </c>
      <c r="F47" s="641" t="e">
        <f>+#REF!</f>
        <v>#REF!</v>
      </c>
      <c r="G47" s="641">
        <v>1</v>
      </c>
      <c r="H47" s="641" t="e">
        <f>F47*G47</f>
        <v>#REF!</v>
      </c>
      <c r="I47" s="160">
        <v>7.1199999999999996E-3</v>
      </c>
      <c r="J47" s="147">
        <f>+D7*I47</f>
        <v>10679337.024058392</v>
      </c>
    </row>
    <row r="48" spans="1:15" x14ac:dyDescent="0.3">
      <c r="B48" s="149">
        <v>3.1030000000000002</v>
      </c>
      <c r="C48" s="641" t="s">
        <v>119</v>
      </c>
      <c r="D48" s="641"/>
      <c r="E48" s="641"/>
      <c r="F48" s="641"/>
      <c r="G48" s="641"/>
      <c r="H48" s="641"/>
      <c r="I48" s="160">
        <v>4.0000000000000001E-3</v>
      </c>
      <c r="J48" s="147">
        <f>+D7*I48</f>
        <v>5999627.5416058386</v>
      </c>
    </row>
    <row r="49" spans="2:12" x14ac:dyDescent="0.3">
      <c r="B49" s="149">
        <v>3.1040000000000001</v>
      </c>
      <c r="C49" s="641" t="s">
        <v>120</v>
      </c>
      <c r="D49" s="641"/>
      <c r="E49" s="641"/>
      <c r="F49" s="641"/>
      <c r="G49" s="641"/>
      <c r="H49" s="641"/>
      <c r="I49" s="160">
        <v>5.0000000000000001E-3</v>
      </c>
      <c r="J49" s="147">
        <f>+D7*I49</f>
        <v>7499534.4270072989</v>
      </c>
    </row>
    <row r="50" spans="2:12" x14ac:dyDescent="0.3">
      <c r="B50" s="149">
        <v>3.1040000000000001</v>
      </c>
      <c r="C50" s="641" t="s">
        <v>121</v>
      </c>
      <c r="D50" s="641"/>
      <c r="E50" s="641"/>
      <c r="F50" s="641"/>
      <c r="G50" s="641"/>
      <c r="H50" s="641"/>
      <c r="I50" s="160">
        <v>5.0000000000000001E-3</v>
      </c>
      <c r="J50" s="147">
        <f>+D7*I50</f>
        <v>7499534.4270072989</v>
      </c>
    </row>
    <row r="51" spans="2:12" x14ac:dyDescent="0.3">
      <c r="B51" s="153"/>
      <c r="C51" s="637" t="s">
        <v>122</v>
      </c>
      <c r="D51" s="637"/>
      <c r="E51" s="637"/>
      <c r="F51" s="637"/>
      <c r="G51" s="637"/>
      <c r="H51" s="637"/>
      <c r="I51" s="637"/>
      <c r="J51" s="472">
        <f>SUM(J46:J50)</f>
        <v>106673377.68975182</v>
      </c>
    </row>
    <row r="52" spans="2:12" x14ac:dyDescent="0.3">
      <c r="B52" s="153"/>
      <c r="C52" s="158"/>
      <c r="D52" s="158"/>
      <c r="E52" s="158"/>
      <c r="F52" s="158"/>
      <c r="G52" s="158"/>
      <c r="H52" s="158"/>
      <c r="I52" s="158"/>
      <c r="J52" s="469"/>
    </row>
    <row r="53" spans="2:12" x14ac:dyDescent="0.3">
      <c r="B53" s="464">
        <v>3.2</v>
      </c>
      <c r="C53" s="642" t="s">
        <v>123</v>
      </c>
      <c r="D53" s="642"/>
      <c r="E53" s="642"/>
      <c r="F53" s="642"/>
      <c r="G53" s="642"/>
      <c r="H53" s="642"/>
      <c r="I53" s="642"/>
      <c r="J53" s="642"/>
    </row>
    <row r="54" spans="2:12" ht="52.95" customHeight="1" x14ac:dyDescent="0.3">
      <c r="B54" s="457" t="s">
        <v>76</v>
      </c>
      <c r="C54" s="640" t="s">
        <v>12</v>
      </c>
      <c r="D54" s="640"/>
      <c r="E54" s="643" t="s">
        <v>124</v>
      </c>
      <c r="F54" s="643"/>
      <c r="G54" s="457" t="s">
        <v>125</v>
      </c>
      <c r="H54" s="457" t="s">
        <v>126</v>
      </c>
      <c r="I54" s="457" t="s">
        <v>127</v>
      </c>
      <c r="J54" s="457" t="s">
        <v>110</v>
      </c>
    </row>
    <row r="55" spans="2:12" ht="18.600000000000001" customHeight="1" x14ac:dyDescent="0.3">
      <c r="B55" s="149">
        <v>3.2010000000000001</v>
      </c>
      <c r="C55" s="161" t="s">
        <v>128</v>
      </c>
      <c r="D55" s="637" t="s">
        <v>129</v>
      </c>
      <c r="E55" s="639">
        <f>+$D$7</f>
        <v>1499906885.4014597</v>
      </c>
      <c r="F55" s="639"/>
      <c r="G55" s="162">
        <v>0.1</v>
      </c>
      <c r="H55" s="164">
        <f>+D8+6</f>
        <v>10</v>
      </c>
      <c r="I55" s="461">
        <v>2E-3</v>
      </c>
      <c r="J55" s="473">
        <f>ROUND((((((E55*G55)*I55)/12)*H55)+2500)*1.19,0)</f>
        <v>300457</v>
      </c>
    </row>
    <row r="56" spans="2:12" ht="22.2" customHeight="1" x14ac:dyDescent="0.3">
      <c r="B56" s="149">
        <v>3.202</v>
      </c>
      <c r="C56" s="161" t="s">
        <v>130</v>
      </c>
      <c r="D56" s="637"/>
      <c r="E56" s="639">
        <f>+$D$7</f>
        <v>1499906885.4014597</v>
      </c>
      <c r="F56" s="639"/>
      <c r="G56" s="162">
        <v>0.05</v>
      </c>
      <c r="H56" s="164">
        <f>+D8+36</f>
        <v>40</v>
      </c>
      <c r="I56" s="461">
        <v>2E-3</v>
      </c>
      <c r="J56" s="473">
        <f>ROUND((((((E56*G56)*I56)/12)*H56)+2500)*1.19,0)</f>
        <v>597938</v>
      </c>
    </row>
    <row r="57" spans="2:12" ht="24.6" customHeight="1" x14ac:dyDescent="0.3">
      <c r="B57" s="149">
        <v>3.2029999999999998</v>
      </c>
      <c r="C57" s="161" t="s">
        <v>131</v>
      </c>
      <c r="D57" s="637"/>
      <c r="E57" s="639">
        <f>+$D$7</f>
        <v>1499906885.4014597</v>
      </c>
      <c r="F57" s="639"/>
      <c r="G57" s="163">
        <v>0.3</v>
      </c>
      <c r="H57" s="164">
        <v>60</v>
      </c>
      <c r="I57" s="461">
        <v>2E-3</v>
      </c>
      <c r="J57" s="525">
        <f>ROUND((((((E57*G57)*I57)/12)*H57)+2500)*1.19,0)</f>
        <v>5357643</v>
      </c>
      <c r="L57" s="524"/>
    </row>
    <row r="58" spans="2:12" ht="41.4" x14ac:dyDescent="0.3">
      <c r="B58" s="149">
        <v>3.2040000000000002</v>
      </c>
      <c r="C58" s="161" t="s">
        <v>132</v>
      </c>
      <c r="D58" s="459" t="s">
        <v>133</v>
      </c>
      <c r="E58" s="639" t="s">
        <v>134</v>
      </c>
      <c r="F58" s="639"/>
      <c r="G58" s="163">
        <v>1</v>
      </c>
      <c r="H58" s="164">
        <f t="shared" ref="H58" si="7">+$D$8</f>
        <v>4</v>
      </c>
      <c r="I58" s="461">
        <v>2E-3</v>
      </c>
      <c r="J58" s="473">
        <f>+(1423500*500)*H58*I58</f>
        <v>5694000</v>
      </c>
    </row>
    <row r="59" spans="2:12" x14ac:dyDescent="0.3">
      <c r="B59" s="158"/>
      <c r="C59" s="158"/>
      <c r="D59" s="158"/>
      <c r="E59" s="158"/>
      <c r="F59" s="158"/>
      <c r="G59" s="158"/>
      <c r="H59" s="158"/>
      <c r="I59" s="158"/>
      <c r="J59" s="158"/>
    </row>
    <row r="60" spans="2:12" x14ac:dyDescent="0.3">
      <c r="B60" s="158"/>
      <c r="C60" s="637" t="s">
        <v>135</v>
      </c>
      <c r="D60" s="637"/>
      <c r="E60" s="637"/>
      <c r="F60" s="637"/>
      <c r="G60" s="637"/>
      <c r="H60" s="637"/>
      <c r="I60" s="637"/>
      <c r="J60" s="472">
        <f>SUM(J55:J59)</f>
        <v>11950038</v>
      </c>
    </row>
    <row r="61" spans="2:12" x14ac:dyDescent="0.3">
      <c r="B61" s="158"/>
      <c r="C61" s="158"/>
      <c r="D61" s="158"/>
      <c r="E61" s="158"/>
      <c r="F61" s="158"/>
      <c r="G61" s="158"/>
      <c r="H61" s="158"/>
      <c r="I61" s="158"/>
      <c r="J61" s="158"/>
    </row>
    <row r="62" spans="2:12" x14ac:dyDescent="0.3">
      <c r="B62" s="158"/>
      <c r="C62" s="637" t="s">
        <v>136</v>
      </c>
      <c r="D62" s="637"/>
      <c r="E62" s="637"/>
      <c r="F62" s="637"/>
      <c r="G62" s="637"/>
      <c r="H62" s="637"/>
      <c r="I62" s="637"/>
      <c r="J62" s="474">
        <f>+J51+J60</f>
        <v>118623415.68975182</v>
      </c>
    </row>
    <row r="63" spans="2:12" x14ac:dyDescent="0.3">
      <c r="B63" s="158"/>
      <c r="C63" s="637">
        <v>1</v>
      </c>
      <c r="D63" s="637"/>
      <c r="E63" s="637"/>
      <c r="F63" s="637"/>
      <c r="G63" s="637"/>
      <c r="H63" s="637"/>
      <c r="I63" s="637"/>
      <c r="J63" s="461">
        <f>+ROUND(J62/D7,2)</f>
        <v>0.08</v>
      </c>
    </row>
    <row r="64" spans="2:12" x14ac:dyDescent="0.3">
      <c r="B64" s="158"/>
      <c r="C64" s="158"/>
      <c r="D64" s="158"/>
      <c r="E64" s="158"/>
      <c r="F64" s="158"/>
      <c r="G64" s="158"/>
      <c r="H64" s="158"/>
      <c r="I64" s="158"/>
      <c r="J64" s="158"/>
    </row>
    <row r="65" spans="2:10" x14ac:dyDescent="0.3">
      <c r="B65" s="158"/>
      <c r="C65" s="475" t="s">
        <v>86</v>
      </c>
      <c r="D65" s="637" t="s">
        <v>51</v>
      </c>
      <c r="E65" s="637"/>
      <c r="F65" s="637"/>
      <c r="G65" s="637"/>
      <c r="H65" s="637"/>
      <c r="I65" s="637"/>
      <c r="J65" s="461">
        <f>+J41+J63</f>
        <v>0.31</v>
      </c>
    </row>
    <row r="66" spans="2:10" x14ac:dyDescent="0.3">
      <c r="B66" s="158"/>
      <c r="C66" s="475" t="s">
        <v>138</v>
      </c>
      <c r="D66" s="637" t="s">
        <v>139</v>
      </c>
      <c r="E66" s="637"/>
      <c r="F66" s="637"/>
      <c r="G66" s="637"/>
      <c r="H66" s="637"/>
      <c r="I66" s="637"/>
      <c r="J66" s="461">
        <v>0.01</v>
      </c>
    </row>
    <row r="67" spans="2:10" x14ac:dyDescent="0.3">
      <c r="B67" s="158"/>
      <c r="C67" s="475" t="s">
        <v>140</v>
      </c>
      <c r="D67" s="637" t="s">
        <v>56</v>
      </c>
      <c r="E67" s="637"/>
      <c r="F67" s="637"/>
      <c r="G67" s="637"/>
      <c r="H67" s="637"/>
      <c r="I67" s="637"/>
      <c r="J67" s="461">
        <v>0.05</v>
      </c>
    </row>
    <row r="68" spans="2:10" x14ac:dyDescent="0.3">
      <c r="B68" s="158"/>
      <c r="C68" s="158"/>
      <c r="D68" s="158"/>
      <c r="E68" s="158"/>
      <c r="F68" s="158"/>
      <c r="G68" s="158"/>
      <c r="H68" s="158"/>
      <c r="I68" s="158"/>
      <c r="J68" s="158"/>
    </row>
    <row r="69" spans="2:10" ht="15.75" customHeight="1" x14ac:dyDescent="0.3">
      <c r="B69" s="155"/>
      <c r="C69" s="638" t="s">
        <v>141</v>
      </c>
      <c r="D69" s="638"/>
      <c r="E69" s="638"/>
      <c r="F69" s="638"/>
      <c r="G69" s="638"/>
      <c r="H69" s="638"/>
      <c r="I69" s="638"/>
      <c r="J69" s="476">
        <f>SUM(J65:J67)</f>
        <v>0.37</v>
      </c>
    </row>
    <row r="70" spans="2:10" x14ac:dyDescent="0.3">
      <c r="B70" s="143"/>
      <c r="C70" s="144"/>
      <c r="D70" s="144"/>
      <c r="E70" s="144"/>
      <c r="F70" s="470"/>
      <c r="G70" s="144"/>
      <c r="H70" s="144"/>
      <c r="I70" s="144"/>
      <c r="J70" s="144"/>
    </row>
    <row r="71" spans="2:10" x14ac:dyDescent="0.3">
      <c r="B71" s="636" t="s">
        <v>6626</v>
      </c>
      <c r="C71" s="636"/>
      <c r="D71" s="636"/>
      <c r="E71" s="636"/>
      <c r="F71" s="636"/>
      <c r="G71" s="636"/>
      <c r="H71" s="636"/>
      <c r="I71" s="636"/>
      <c r="J71" s="636"/>
    </row>
    <row r="72" spans="2:10" x14ac:dyDescent="0.3">
      <c r="B72" s="143"/>
      <c r="C72" s="144"/>
      <c r="D72" s="144"/>
      <c r="E72" s="144"/>
      <c r="F72" s="470"/>
      <c r="G72" s="144"/>
      <c r="H72" s="144"/>
      <c r="I72" s="144"/>
      <c r="J72" s="144"/>
    </row>
    <row r="73" spans="2:10" x14ac:dyDescent="0.3">
      <c r="J73" s="166"/>
    </row>
  </sheetData>
  <mergeCells count="38">
    <mergeCell ref="C41:I41"/>
    <mergeCell ref="B1:J4"/>
    <mergeCell ref="B5:J5"/>
    <mergeCell ref="D7:E7"/>
    <mergeCell ref="G8:H8"/>
    <mergeCell ref="D9:E9"/>
    <mergeCell ref="B12:B15"/>
    <mergeCell ref="C12:J12"/>
    <mergeCell ref="C13:J13"/>
    <mergeCell ref="C14:C15"/>
    <mergeCell ref="E14:E15"/>
    <mergeCell ref="C29:I29"/>
    <mergeCell ref="C39:I39"/>
    <mergeCell ref="C40:I40"/>
    <mergeCell ref="D55:D57"/>
    <mergeCell ref="E55:F55"/>
    <mergeCell ref="E56:F56"/>
    <mergeCell ref="E57:F57"/>
    <mergeCell ref="C43:J43"/>
    <mergeCell ref="C45:H45"/>
    <mergeCell ref="C46:H46"/>
    <mergeCell ref="C47:H47"/>
    <mergeCell ref="C48:H48"/>
    <mergeCell ref="C49:H49"/>
    <mergeCell ref="C50:H50"/>
    <mergeCell ref="C51:I51"/>
    <mergeCell ref="C53:J53"/>
    <mergeCell ref="C54:D54"/>
    <mergeCell ref="E54:F54"/>
    <mergeCell ref="B71:J71"/>
    <mergeCell ref="D67:I67"/>
    <mergeCell ref="C69:I69"/>
    <mergeCell ref="E58:F58"/>
    <mergeCell ref="C60:I60"/>
    <mergeCell ref="C62:I62"/>
    <mergeCell ref="C63:I63"/>
    <mergeCell ref="D65:I65"/>
    <mergeCell ref="D66:I66"/>
  </mergeCells>
  <printOptions horizontalCentered="1"/>
  <pageMargins left="0.19685039370078741" right="0.19685039370078741" top="0.39370078740157483" bottom="0.39370078740157483" header="0.31496062992125984" footer="0.31496062992125984"/>
  <pageSetup scale="43" fitToWidth="0" orientation="portrait" r:id="rId1"/>
  <rowBreaks count="2" manualBreakCount="2">
    <brk id="70" min="1" max="10" man="1"/>
    <brk id="71" min="1" max="10"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62484-0CEB-4880-9540-F9F529ED236D}">
  <sheetPr>
    <tabColor rgb="FF92D050"/>
  </sheetPr>
  <dimension ref="A1:E27"/>
  <sheetViews>
    <sheetView view="pageBreakPreview" zoomScaleNormal="100" zoomScaleSheetLayoutView="100" workbookViewId="0">
      <selection activeCell="F10" sqref="F10"/>
    </sheetView>
  </sheetViews>
  <sheetFormatPr baseColWidth="10" defaultColWidth="10.6640625" defaultRowHeight="14.4" x14ac:dyDescent="0.3"/>
  <cols>
    <col min="1" max="1" width="14" style="127" customWidth="1"/>
    <col min="2" max="2" width="38.88671875" style="127" customWidth="1"/>
    <col min="3" max="3" width="17" style="127" customWidth="1"/>
    <col min="4" max="4" width="21.6640625" style="127" customWidth="1"/>
    <col min="5" max="5" width="11.44140625" style="127"/>
    <col min="6" max="6" width="19" style="127" customWidth="1"/>
    <col min="7" max="256" width="11.44140625" style="127"/>
    <col min="257" max="257" width="14" style="127" customWidth="1"/>
    <col min="258" max="258" width="38.88671875" style="127" customWidth="1"/>
    <col min="259" max="259" width="17" style="127" customWidth="1"/>
    <col min="260" max="260" width="21.6640625" style="127" customWidth="1"/>
    <col min="261" max="261" width="11.44140625" style="127"/>
    <col min="262" max="262" width="19" style="127" customWidth="1"/>
    <col min="263" max="512" width="11.44140625" style="127"/>
    <col min="513" max="513" width="14" style="127" customWidth="1"/>
    <col min="514" max="514" width="38.88671875" style="127" customWidth="1"/>
    <col min="515" max="515" width="17" style="127" customWidth="1"/>
    <col min="516" max="516" width="21.6640625" style="127" customWidth="1"/>
    <col min="517" max="517" width="11.44140625" style="127"/>
    <col min="518" max="518" width="19" style="127" customWidth="1"/>
    <col min="519" max="768" width="11.44140625" style="127"/>
    <col min="769" max="769" width="14" style="127" customWidth="1"/>
    <col min="770" max="770" width="38.88671875" style="127" customWidth="1"/>
    <col min="771" max="771" width="17" style="127" customWidth="1"/>
    <col min="772" max="772" width="21.6640625" style="127" customWidth="1"/>
    <col min="773" max="773" width="11.44140625" style="127"/>
    <col min="774" max="774" width="19" style="127" customWidth="1"/>
    <col min="775" max="1024" width="11.44140625" style="127"/>
    <col min="1025" max="1025" width="14" style="127" customWidth="1"/>
    <col min="1026" max="1026" width="38.88671875" style="127" customWidth="1"/>
    <col min="1027" max="1027" width="17" style="127" customWidth="1"/>
    <col min="1028" max="1028" width="21.6640625" style="127" customWidth="1"/>
    <col min="1029" max="1029" width="11.44140625" style="127"/>
    <col min="1030" max="1030" width="19" style="127" customWidth="1"/>
    <col min="1031" max="1280" width="11.44140625" style="127"/>
    <col min="1281" max="1281" width="14" style="127" customWidth="1"/>
    <col min="1282" max="1282" width="38.88671875" style="127" customWidth="1"/>
    <col min="1283" max="1283" width="17" style="127" customWidth="1"/>
    <col min="1284" max="1284" width="21.6640625" style="127" customWidth="1"/>
    <col min="1285" max="1285" width="11.44140625" style="127"/>
    <col min="1286" max="1286" width="19" style="127" customWidth="1"/>
    <col min="1287" max="1536" width="11.44140625" style="127"/>
    <col min="1537" max="1537" width="14" style="127" customWidth="1"/>
    <col min="1538" max="1538" width="38.88671875" style="127" customWidth="1"/>
    <col min="1539" max="1539" width="17" style="127" customWidth="1"/>
    <col min="1540" max="1540" width="21.6640625" style="127" customWidth="1"/>
    <col min="1541" max="1541" width="11.44140625" style="127"/>
    <col min="1542" max="1542" width="19" style="127" customWidth="1"/>
    <col min="1543" max="1792" width="11.44140625" style="127"/>
    <col min="1793" max="1793" width="14" style="127" customWidth="1"/>
    <col min="1794" max="1794" width="38.88671875" style="127" customWidth="1"/>
    <col min="1795" max="1795" width="17" style="127" customWidth="1"/>
    <col min="1796" max="1796" width="21.6640625" style="127" customWidth="1"/>
    <col min="1797" max="1797" width="11.44140625" style="127"/>
    <col min="1798" max="1798" width="19" style="127" customWidth="1"/>
    <col min="1799" max="2048" width="11.44140625" style="127"/>
    <col min="2049" max="2049" width="14" style="127" customWidth="1"/>
    <col min="2050" max="2050" width="38.88671875" style="127" customWidth="1"/>
    <col min="2051" max="2051" width="17" style="127" customWidth="1"/>
    <col min="2052" max="2052" width="21.6640625" style="127" customWidth="1"/>
    <col min="2053" max="2053" width="11.44140625" style="127"/>
    <col min="2054" max="2054" width="19" style="127" customWidth="1"/>
    <col min="2055" max="2304" width="11.44140625" style="127"/>
    <col min="2305" max="2305" width="14" style="127" customWidth="1"/>
    <col min="2306" max="2306" width="38.88671875" style="127" customWidth="1"/>
    <col min="2307" max="2307" width="17" style="127" customWidth="1"/>
    <col min="2308" max="2308" width="21.6640625" style="127" customWidth="1"/>
    <col min="2309" max="2309" width="11.44140625" style="127"/>
    <col min="2310" max="2310" width="19" style="127" customWidth="1"/>
    <col min="2311" max="2560" width="11.44140625" style="127"/>
    <col min="2561" max="2561" width="14" style="127" customWidth="1"/>
    <col min="2562" max="2562" width="38.88671875" style="127" customWidth="1"/>
    <col min="2563" max="2563" width="17" style="127" customWidth="1"/>
    <col min="2564" max="2564" width="21.6640625" style="127" customWidth="1"/>
    <col min="2565" max="2565" width="11.44140625" style="127"/>
    <col min="2566" max="2566" width="19" style="127" customWidth="1"/>
    <col min="2567" max="2816" width="11.44140625" style="127"/>
    <col min="2817" max="2817" width="14" style="127" customWidth="1"/>
    <col min="2818" max="2818" width="38.88671875" style="127" customWidth="1"/>
    <col min="2819" max="2819" width="17" style="127" customWidth="1"/>
    <col min="2820" max="2820" width="21.6640625" style="127" customWidth="1"/>
    <col min="2821" max="2821" width="11.44140625" style="127"/>
    <col min="2822" max="2822" width="19" style="127" customWidth="1"/>
    <col min="2823" max="3072" width="11.44140625" style="127"/>
    <col min="3073" max="3073" width="14" style="127" customWidth="1"/>
    <col min="3074" max="3074" width="38.88671875" style="127" customWidth="1"/>
    <col min="3075" max="3075" width="17" style="127" customWidth="1"/>
    <col min="3076" max="3076" width="21.6640625" style="127" customWidth="1"/>
    <col min="3077" max="3077" width="11.44140625" style="127"/>
    <col min="3078" max="3078" width="19" style="127" customWidth="1"/>
    <col min="3079" max="3328" width="11.44140625" style="127"/>
    <col min="3329" max="3329" width="14" style="127" customWidth="1"/>
    <col min="3330" max="3330" width="38.88671875" style="127" customWidth="1"/>
    <col min="3331" max="3331" width="17" style="127" customWidth="1"/>
    <col min="3332" max="3332" width="21.6640625" style="127" customWidth="1"/>
    <col min="3333" max="3333" width="11.44140625" style="127"/>
    <col min="3334" max="3334" width="19" style="127" customWidth="1"/>
    <col min="3335" max="3584" width="11.44140625" style="127"/>
    <col min="3585" max="3585" width="14" style="127" customWidth="1"/>
    <col min="3586" max="3586" width="38.88671875" style="127" customWidth="1"/>
    <col min="3587" max="3587" width="17" style="127" customWidth="1"/>
    <col min="3588" max="3588" width="21.6640625" style="127" customWidth="1"/>
    <col min="3589" max="3589" width="11.44140625" style="127"/>
    <col min="3590" max="3590" width="19" style="127" customWidth="1"/>
    <col min="3591" max="3840" width="11.44140625" style="127"/>
    <col min="3841" max="3841" width="14" style="127" customWidth="1"/>
    <col min="3842" max="3842" width="38.88671875" style="127" customWidth="1"/>
    <col min="3843" max="3843" width="17" style="127" customWidth="1"/>
    <col min="3844" max="3844" width="21.6640625" style="127" customWidth="1"/>
    <col min="3845" max="3845" width="11.44140625" style="127"/>
    <col min="3846" max="3846" width="19" style="127" customWidth="1"/>
    <col min="3847" max="4096" width="11.44140625" style="127"/>
    <col min="4097" max="4097" width="14" style="127" customWidth="1"/>
    <col min="4098" max="4098" width="38.88671875" style="127" customWidth="1"/>
    <col min="4099" max="4099" width="17" style="127" customWidth="1"/>
    <col min="4100" max="4100" width="21.6640625" style="127" customWidth="1"/>
    <col min="4101" max="4101" width="11.44140625" style="127"/>
    <col min="4102" max="4102" width="19" style="127" customWidth="1"/>
    <col min="4103" max="4352" width="11.44140625" style="127"/>
    <col min="4353" max="4353" width="14" style="127" customWidth="1"/>
    <col min="4354" max="4354" width="38.88671875" style="127" customWidth="1"/>
    <col min="4355" max="4355" width="17" style="127" customWidth="1"/>
    <col min="4356" max="4356" width="21.6640625" style="127" customWidth="1"/>
    <col min="4357" max="4357" width="11.44140625" style="127"/>
    <col min="4358" max="4358" width="19" style="127" customWidth="1"/>
    <col min="4359" max="4608" width="11.44140625" style="127"/>
    <col min="4609" max="4609" width="14" style="127" customWidth="1"/>
    <col min="4610" max="4610" width="38.88671875" style="127" customWidth="1"/>
    <col min="4611" max="4611" width="17" style="127" customWidth="1"/>
    <col min="4612" max="4612" width="21.6640625" style="127" customWidth="1"/>
    <col min="4613" max="4613" width="11.44140625" style="127"/>
    <col min="4614" max="4614" width="19" style="127" customWidth="1"/>
    <col min="4615" max="4864" width="11.44140625" style="127"/>
    <col min="4865" max="4865" width="14" style="127" customWidth="1"/>
    <col min="4866" max="4866" width="38.88671875" style="127" customWidth="1"/>
    <col min="4867" max="4867" width="17" style="127" customWidth="1"/>
    <col min="4868" max="4868" width="21.6640625" style="127" customWidth="1"/>
    <col min="4869" max="4869" width="11.44140625" style="127"/>
    <col min="4870" max="4870" width="19" style="127" customWidth="1"/>
    <col min="4871" max="5120" width="11.44140625" style="127"/>
    <col min="5121" max="5121" width="14" style="127" customWidth="1"/>
    <col min="5122" max="5122" width="38.88671875" style="127" customWidth="1"/>
    <col min="5123" max="5123" width="17" style="127" customWidth="1"/>
    <col min="5124" max="5124" width="21.6640625" style="127" customWidth="1"/>
    <col min="5125" max="5125" width="11.44140625" style="127"/>
    <col min="5126" max="5126" width="19" style="127" customWidth="1"/>
    <col min="5127" max="5376" width="11.44140625" style="127"/>
    <col min="5377" max="5377" width="14" style="127" customWidth="1"/>
    <col min="5378" max="5378" width="38.88671875" style="127" customWidth="1"/>
    <col min="5379" max="5379" width="17" style="127" customWidth="1"/>
    <col min="5380" max="5380" width="21.6640625" style="127" customWidth="1"/>
    <col min="5381" max="5381" width="11.44140625" style="127"/>
    <col min="5382" max="5382" width="19" style="127" customWidth="1"/>
    <col min="5383" max="5632" width="11.44140625" style="127"/>
    <col min="5633" max="5633" width="14" style="127" customWidth="1"/>
    <col min="5634" max="5634" width="38.88671875" style="127" customWidth="1"/>
    <col min="5635" max="5635" width="17" style="127" customWidth="1"/>
    <col min="5636" max="5636" width="21.6640625" style="127" customWidth="1"/>
    <col min="5637" max="5637" width="11.44140625" style="127"/>
    <col min="5638" max="5638" width="19" style="127" customWidth="1"/>
    <col min="5639" max="5888" width="11.44140625" style="127"/>
    <col min="5889" max="5889" width="14" style="127" customWidth="1"/>
    <col min="5890" max="5890" width="38.88671875" style="127" customWidth="1"/>
    <col min="5891" max="5891" width="17" style="127" customWidth="1"/>
    <col min="5892" max="5892" width="21.6640625" style="127" customWidth="1"/>
    <col min="5893" max="5893" width="11.44140625" style="127"/>
    <col min="5894" max="5894" width="19" style="127" customWidth="1"/>
    <col min="5895" max="6144" width="11.44140625" style="127"/>
    <col min="6145" max="6145" width="14" style="127" customWidth="1"/>
    <col min="6146" max="6146" width="38.88671875" style="127" customWidth="1"/>
    <col min="6147" max="6147" width="17" style="127" customWidth="1"/>
    <col min="6148" max="6148" width="21.6640625" style="127" customWidth="1"/>
    <col min="6149" max="6149" width="11.44140625" style="127"/>
    <col min="6150" max="6150" width="19" style="127" customWidth="1"/>
    <col min="6151" max="6400" width="11.44140625" style="127"/>
    <col min="6401" max="6401" width="14" style="127" customWidth="1"/>
    <col min="6402" max="6402" width="38.88671875" style="127" customWidth="1"/>
    <col min="6403" max="6403" width="17" style="127" customWidth="1"/>
    <col min="6404" max="6404" width="21.6640625" style="127" customWidth="1"/>
    <col min="6405" max="6405" width="11.44140625" style="127"/>
    <col min="6406" max="6406" width="19" style="127" customWidth="1"/>
    <col min="6407" max="6656" width="11.44140625" style="127"/>
    <col min="6657" max="6657" width="14" style="127" customWidth="1"/>
    <col min="6658" max="6658" width="38.88671875" style="127" customWidth="1"/>
    <col min="6659" max="6659" width="17" style="127" customWidth="1"/>
    <col min="6660" max="6660" width="21.6640625" style="127" customWidth="1"/>
    <col min="6661" max="6661" width="11.44140625" style="127"/>
    <col min="6662" max="6662" width="19" style="127" customWidth="1"/>
    <col min="6663" max="6912" width="11.44140625" style="127"/>
    <col min="6913" max="6913" width="14" style="127" customWidth="1"/>
    <col min="6914" max="6914" width="38.88671875" style="127" customWidth="1"/>
    <col min="6915" max="6915" width="17" style="127" customWidth="1"/>
    <col min="6916" max="6916" width="21.6640625" style="127" customWidth="1"/>
    <col min="6917" max="6917" width="11.44140625" style="127"/>
    <col min="6918" max="6918" width="19" style="127" customWidth="1"/>
    <col min="6919" max="7168" width="11.44140625" style="127"/>
    <col min="7169" max="7169" width="14" style="127" customWidth="1"/>
    <col min="7170" max="7170" width="38.88671875" style="127" customWidth="1"/>
    <col min="7171" max="7171" width="17" style="127" customWidth="1"/>
    <col min="7172" max="7172" width="21.6640625" style="127" customWidth="1"/>
    <col min="7173" max="7173" width="11.44140625" style="127"/>
    <col min="7174" max="7174" width="19" style="127" customWidth="1"/>
    <col min="7175" max="7424" width="11.44140625" style="127"/>
    <col min="7425" max="7425" width="14" style="127" customWidth="1"/>
    <col min="7426" max="7426" width="38.88671875" style="127" customWidth="1"/>
    <col min="7427" max="7427" width="17" style="127" customWidth="1"/>
    <col min="7428" max="7428" width="21.6640625" style="127" customWidth="1"/>
    <col min="7429" max="7429" width="11.44140625" style="127"/>
    <col min="7430" max="7430" width="19" style="127" customWidth="1"/>
    <col min="7431" max="7680" width="11.44140625" style="127"/>
    <col min="7681" max="7681" width="14" style="127" customWidth="1"/>
    <col min="7682" max="7682" width="38.88671875" style="127" customWidth="1"/>
    <col min="7683" max="7683" width="17" style="127" customWidth="1"/>
    <col min="7684" max="7684" width="21.6640625" style="127" customWidth="1"/>
    <col min="7685" max="7685" width="11.44140625" style="127"/>
    <col min="7686" max="7686" width="19" style="127" customWidth="1"/>
    <col min="7687" max="7936" width="11.44140625" style="127"/>
    <col min="7937" max="7937" width="14" style="127" customWidth="1"/>
    <col min="7938" max="7938" width="38.88671875" style="127" customWidth="1"/>
    <col min="7939" max="7939" width="17" style="127" customWidth="1"/>
    <col min="7940" max="7940" width="21.6640625" style="127" customWidth="1"/>
    <col min="7941" max="7941" width="11.44140625" style="127"/>
    <col min="7942" max="7942" width="19" style="127" customWidth="1"/>
    <col min="7943" max="8192" width="11.44140625" style="127"/>
    <col min="8193" max="8193" width="14" style="127" customWidth="1"/>
    <col min="8194" max="8194" width="38.88671875" style="127" customWidth="1"/>
    <col min="8195" max="8195" width="17" style="127" customWidth="1"/>
    <col min="8196" max="8196" width="21.6640625" style="127" customWidth="1"/>
    <col min="8197" max="8197" width="11.44140625" style="127"/>
    <col min="8198" max="8198" width="19" style="127" customWidth="1"/>
    <col min="8199" max="8448" width="11.44140625" style="127"/>
    <col min="8449" max="8449" width="14" style="127" customWidth="1"/>
    <col min="8450" max="8450" width="38.88671875" style="127" customWidth="1"/>
    <col min="8451" max="8451" width="17" style="127" customWidth="1"/>
    <col min="8452" max="8452" width="21.6640625" style="127" customWidth="1"/>
    <col min="8453" max="8453" width="11.44140625" style="127"/>
    <col min="8454" max="8454" width="19" style="127" customWidth="1"/>
    <col min="8455" max="8704" width="11.44140625" style="127"/>
    <col min="8705" max="8705" width="14" style="127" customWidth="1"/>
    <col min="8706" max="8706" width="38.88671875" style="127" customWidth="1"/>
    <col min="8707" max="8707" width="17" style="127" customWidth="1"/>
    <col min="8708" max="8708" width="21.6640625" style="127" customWidth="1"/>
    <col min="8709" max="8709" width="11.44140625" style="127"/>
    <col min="8710" max="8710" width="19" style="127" customWidth="1"/>
    <col min="8711" max="8960" width="11.44140625" style="127"/>
    <col min="8961" max="8961" width="14" style="127" customWidth="1"/>
    <col min="8962" max="8962" width="38.88671875" style="127" customWidth="1"/>
    <col min="8963" max="8963" width="17" style="127" customWidth="1"/>
    <col min="8964" max="8964" width="21.6640625" style="127" customWidth="1"/>
    <col min="8965" max="8965" width="11.44140625" style="127"/>
    <col min="8966" max="8966" width="19" style="127" customWidth="1"/>
    <col min="8967" max="9216" width="11.44140625" style="127"/>
    <col min="9217" max="9217" width="14" style="127" customWidth="1"/>
    <col min="9218" max="9218" width="38.88671875" style="127" customWidth="1"/>
    <col min="9219" max="9219" width="17" style="127" customWidth="1"/>
    <col min="9220" max="9220" width="21.6640625" style="127" customWidth="1"/>
    <col min="9221" max="9221" width="11.44140625" style="127"/>
    <col min="9222" max="9222" width="19" style="127" customWidth="1"/>
    <col min="9223" max="9472" width="11.44140625" style="127"/>
    <col min="9473" max="9473" width="14" style="127" customWidth="1"/>
    <col min="9474" max="9474" width="38.88671875" style="127" customWidth="1"/>
    <col min="9475" max="9475" width="17" style="127" customWidth="1"/>
    <col min="9476" max="9476" width="21.6640625" style="127" customWidth="1"/>
    <col min="9477" max="9477" width="11.44140625" style="127"/>
    <col min="9478" max="9478" width="19" style="127" customWidth="1"/>
    <col min="9479" max="9728" width="11.44140625" style="127"/>
    <col min="9729" max="9729" width="14" style="127" customWidth="1"/>
    <col min="9730" max="9730" width="38.88671875" style="127" customWidth="1"/>
    <col min="9731" max="9731" width="17" style="127" customWidth="1"/>
    <col min="9732" max="9732" width="21.6640625" style="127" customWidth="1"/>
    <col min="9733" max="9733" width="11.44140625" style="127"/>
    <col min="9734" max="9734" width="19" style="127" customWidth="1"/>
    <col min="9735" max="9984" width="11.44140625" style="127"/>
    <col min="9985" max="9985" width="14" style="127" customWidth="1"/>
    <col min="9986" max="9986" width="38.88671875" style="127" customWidth="1"/>
    <col min="9987" max="9987" width="17" style="127" customWidth="1"/>
    <col min="9988" max="9988" width="21.6640625" style="127" customWidth="1"/>
    <col min="9989" max="9989" width="11.44140625" style="127"/>
    <col min="9990" max="9990" width="19" style="127" customWidth="1"/>
    <col min="9991" max="10240" width="11.44140625" style="127"/>
    <col min="10241" max="10241" width="14" style="127" customWidth="1"/>
    <col min="10242" max="10242" width="38.88671875" style="127" customWidth="1"/>
    <col min="10243" max="10243" width="17" style="127" customWidth="1"/>
    <col min="10244" max="10244" width="21.6640625" style="127" customWidth="1"/>
    <col min="10245" max="10245" width="11.44140625" style="127"/>
    <col min="10246" max="10246" width="19" style="127" customWidth="1"/>
    <col min="10247" max="10496" width="11.44140625" style="127"/>
    <col min="10497" max="10497" width="14" style="127" customWidth="1"/>
    <col min="10498" max="10498" width="38.88671875" style="127" customWidth="1"/>
    <col min="10499" max="10499" width="17" style="127" customWidth="1"/>
    <col min="10500" max="10500" width="21.6640625" style="127" customWidth="1"/>
    <col min="10501" max="10501" width="11.44140625" style="127"/>
    <col min="10502" max="10502" width="19" style="127" customWidth="1"/>
    <col min="10503" max="10752" width="11.44140625" style="127"/>
    <col min="10753" max="10753" width="14" style="127" customWidth="1"/>
    <col min="10754" max="10754" width="38.88671875" style="127" customWidth="1"/>
    <col min="10755" max="10755" width="17" style="127" customWidth="1"/>
    <col min="10756" max="10756" width="21.6640625" style="127" customWidth="1"/>
    <col min="10757" max="10757" width="11.44140625" style="127"/>
    <col min="10758" max="10758" width="19" style="127" customWidth="1"/>
    <col min="10759" max="11008" width="11.44140625" style="127"/>
    <col min="11009" max="11009" width="14" style="127" customWidth="1"/>
    <col min="11010" max="11010" width="38.88671875" style="127" customWidth="1"/>
    <col min="11011" max="11011" width="17" style="127" customWidth="1"/>
    <col min="11012" max="11012" width="21.6640625" style="127" customWidth="1"/>
    <col min="11013" max="11013" width="11.44140625" style="127"/>
    <col min="11014" max="11014" width="19" style="127" customWidth="1"/>
    <col min="11015" max="11264" width="11.44140625" style="127"/>
    <col min="11265" max="11265" width="14" style="127" customWidth="1"/>
    <col min="11266" max="11266" width="38.88671875" style="127" customWidth="1"/>
    <col min="11267" max="11267" width="17" style="127" customWidth="1"/>
    <col min="11268" max="11268" width="21.6640625" style="127" customWidth="1"/>
    <col min="11269" max="11269" width="11.44140625" style="127"/>
    <col min="11270" max="11270" width="19" style="127" customWidth="1"/>
    <col min="11271" max="11520" width="11.44140625" style="127"/>
    <col min="11521" max="11521" width="14" style="127" customWidth="1"/>
    <col min="11522" max="11522" width="38.88671875" style="127" customWidth="1"/>
    <col min="11523" max="11523" width="17" style="127" customWidth="1"/>
    <col min="11524" max="11524" width="21.6640625" style="127" customWidth="1"/>
    <col min="11525" max="11525" width="11.44140625" style="127"/>
    <col min="11526" max="11526" width="19" style="127" customWidth="1"/>
    <col min="11527" max="11776" width="11.44140625" style="127"/>
    <col min="11777" max="11777" width="14" style="127" customWidth="1"/>
    <col min="11778" max="11778" width="38.88671875" style="127" customWidth="1"/>
    <col min="11779" max="11779" width="17" style="127" customWidth="1"/>
    <col min="11780" max="11780" width="21.6640625" style="127" customWidth="1"/>
    <col min="11781" max="11781" width="11.44140625" style="127"/>
    <col min="11782" max="11782" width="19" style="127" customWidth="1"/>
    <col min="11783" max="12032" width="11.44140625" style="127"/>
    <col min="12033" max="12033" width="14" style="127" customWidth="1"/>
    <col min="12034" max="12034" width="38.88671875" style="127" customWidth="1"/>
    <col min="12035" max="12035" width="17" style="127" customWidth="1"/>
    <col min="12036" max="12036" width="21.6640625" style="127" customWidth="1"/>
    <col min="12037" max="12037" width="11.44140625" style="127"/>
    <col min="12038" max="12038" width="19" style="127" customWidth="1"/>
    <col min="12039" max="12288" width="11.44140625" style="127"/>
    <col min="12289" max="12289" width="14" style="127" customWidth="1"/>
    <col min="12290" max="12290" width="38.88671875" style="127" customWidth="1"/>
    <col min="12291" max="12291" width="17" style="127" customWidth="1"/>
    <col min="12292" max="12292" width="21.6640625" style="127" customWidth="1"/>
    <col min="12293" max="12293" width="11.44140625" style="127"/>
    <col min="12294" max="12294" width="19" style="127" customWidth="1"/>
    <col min="12295" max="12544" width="11.44140625" style="127"/>
    <col min="12545" max="12545" width="14" style="127" customWidth="1"/>
    <col min="12546" max="12546" width="38.88671875" style="127" customWidth="1"/>
    <col min="12547" max="12547" width="17" style="127" customWidth="1"/>
    <col min="12548" max="12548" width="21.6640625" style="127" customWidth="1"/>
    <col min="12549" max="12549" width="11.44140625" style="127"/>
    <col min="12550" max="12550" width="19" style="127" customWidth="1"/>
    <col min="12551" max="12800" width="11.44140625" style="127"/>
    <col min="12801" max="12801" width="14" style="127" customWidth="1"/>
    <col min="12802" max="12802" width="38.88671875" style="127" customWidth="1"/>
    <col min="12803" max="12803" width="17" style="127" customWidth="1"/>
    <col min="12804" max="12804" width="21.6640625" style="127" customWidth="1"/>
    <col min="12805" max="12805" width="11.44140625" style="127"/>
    <col min="12806" max="12806" width="19" style="127" customWidth="1"/>
    <col min="12807" max="13056" width="11.44140625" style="127"/>
    <col min="13057" max="13057" width="14" style="127" customWidth="1"/>
    <col min="13058" max="13058" width="38.88671875" style="127" customWidth="1"/>
    <col min="13059" max="13059" width="17" style="127" customWidth="1"/>
    <col min="13060" max="13060" width="21.6640625" style="127" customWidth="1"/>
    <col min="13061" max="13061" width="11.44140625" style="127"/>
    <col min="13062" max="13062" width="19" style="127" customWidth="1"/>
    <col min="13063" max="13312" width="11.44140625" style="127"/>
    <col min="13313" max="13313" width="14" style="127" customWidth="1"/>
    <col min="13314" max="13314" width="38.88671875" style="127" customWidth="1"/>
    <col min="13315" max="13315" width="17" style="127" customWidth="1"/>
    <col min="13316" max="13316" width="21.6640625" style="127" customWidth="1"/>
    <col min="13317" max="13317" width="11.44140625" style="127"/>
    <col min="13318" max="13318" width="19" style="127" customWidth="1"/>
    <col min="13319" max="13568" width="11.44140625" style="127"/>
    <col min="13569" max="13569" width="14" style="127" customWidth="1"/>
    <col min="13570" max="13570" width="38.88671875" style="127" customWidth="1"/>
    <col min="13571" max="13571" width="17" style="127" customWidth="1"/>
    <col min="13572" max="13572" width="21.6640625" style="127" customWidth="1"/>
    <col min="13573" max="13573" width="11.44140625" style="127"/>
    <col min="13574" max="13574" width="19" style="127" customWidth="1"/>
    <col min="13575" max="13824" width="11.44140625" style="127"/>
    <col min="13825" max="13825" width="14" style="127" customWidth="1"/>
    <col min="13826" max="13826" width="38.88671875" style="127" customWidth="1"/>
    <col min="13827" max="13827" width="17" style="127" customWidth="1"/>
    <col min="13828" max="13828" width="21.6640625" style="127" customWidth="1"/>
    <col min="13829" max="13829" width="11.44140625" style="127"/>
    <col min="13830" max="13830" width="19" style="127" customWidth="1"/>
    <col min="13831" max="14080" width="11.44140625" style="127"/>
    <col min="14081" max="14081" width="14" style="127" customWidth="1"/>
    <col min="14082" max="14082" width="38.88671875" style="127" customWidth="1"/>
    <col min="14083" max="14083" width="17" style="127" customWidth="1"/>
    <col min="14084" max="14084" width="21.6640625" style="127" customWidth="1"/>
    <col min="14085" max="14085" width="11.44140625" style="127"/>
    <col min="14086" max="14086" width="19" style="127" customWidth="1"/>
    <col min="14087" max="14336" width="11.44140625" style="127"/>
    <col min="14337" max="14337" width="14" style="127" customWidth="1"/>
    <col min="14338" max="14338" width="38.88671875" style="127" customWidth="1"/>
    <col min="14339" max="14339" width="17" style="127" customWidth="1"/>
    <col min="14340" max="14340" width="21.6640625" style="127" customWidth="1"/>
    <col min="14341" max="14341" width="11.44140625" style="127"/>
    <col min="14342" max="14342" width="19" style="127" customWidth="1"/>
    <col min="14343" max="14592" width="11.44140625" style="127"/>
    <col min="14593" max="14593" width="14" style="127" customWidth="1"/>
    <col min="14594" max="14594" width="38.88671875" style="127" customWidth="1"/>
    <col min="14595" max="14595" width="17" style="127" customWidth="1"/>
    <col min="14596" max="14596" width="21.6640625" style="127" customWidth="1"/>
    <col min="14597" max="14597" width="11.44140625" style="127"/>
    <col min="14598" max="14598" width="19" style="127" customWidth="1"/>
    <col min="14599" max="14848" width="11.44140625" style="127"/>
    <col min="14849" max="14849" width="14" style="127" customWidth="1"/>
    <col min="14850" max="14850" width="38.88671875" style="127" customWidth="1"/>
    <col min="14851" max="14851" width="17" style="127" customWidth="1"/>
    <col min="14852" max="14852" width="21.6640625" style="127" customWidth="1"/>
    <col min="14853" max="14853" width="11.44140625" style="127"/>
    <col min="14854" max="14854" width="19" style="127" customWidth="1"/>
    <col min="14855" max="15104" width="11.44140625" style="127"/>
    <col min="15105" max="15105" width="14" style="127" customWidth="1"/>
    <col min="15106" max="15106" width="38.88671875" style="127" customWidth="1"/>
    <col min="15107" max="15107" width="17" style="127" customWidth="1"/>
    <col min="15108" max="15108" width="21.6640625" style="127" customWidth="1"/>
    <col min="15109" max="15109" width="11.44140625" style="127"/>
    <col min="15110" max="15110" width="19" style="127" customWidth="1"/>
    <col min="15111" max="15360" width="11.44140625" style="127"/>
    <col min="15361" max="15361" width="14" style="127" customWidth="1"/>
    <col min="15362" max="15362" width="38.88671875" style="127" customWidth="1"/>
    <col min="15363" max="15363" width="17" style="127" customWidth="1"/>
    <col min="15364" max="15364" width="21.6640625" style="127" customWidth="1"/>
    <col min="15365" max="15365" width="11.44140625" style="127"/>
    <col min="15366" max="15366" width="19" style="127" customWidth="1"/>
    <col min="15367" max="15616" width="11.44140625" style="127"/>
    <col min="15617" max="15617" width="14" style="127" customWidth="1"/>
    <col min="15618" max="15618" width="38.88671875" style="127" customWidth="1"/>
    <col min="15619" max="15619" width="17" style="127" customWidth="1"/>
    <col min="15620" max="15620" width="21.6640625" style="127" customWidth="1"/>
    <col min="15621" max="15621" width="11.44140625" style="127"/>
    <col min="15622" max="15622" width="19" style="127" customWidth="1"/>
    <col min="15623" max="15872" width="11.44140625" style="127"/>
    <col min="15873" max="15873" width="14" style="127" customWidth="1"/>
    <col min="15874" max="15874" width="38.88671875" style="127" customWidth="1"/>
    <col min="15875" max="15875" width="17" style="127" customWidth="1"/>
    <col min="15876" max="15876" width="21.6640625" style="127" customWidth="1"/>
    <col min="15877" max="15877" width="11.44140625" style="127"/>
    <col min="15878" max="15878" width="19" style="127" customWidth="1"/>
    <col min="15879" max="16128" width="11.44140625" style="127"/>
    <col min="16129" max="16129" width="14" style="127" customWidth="1"/>
    <col min="16130" max="16130" width="38.88671875" style="127" customWidth="1"/>
    <col min="16131" max="16131" width="17" style="127" customWidth="1"/>
    <col min="16132" max="16132" width="21.6640625" style="127" customWidth="1"/>
    <col min="16133" max="16133" width="11.44140625" style="127"/>
    <col min="16134" max="16134" width="19" style="127" customWidth="1"/>
    <col min="16135" max="16384" width="11.44140625" style="127"/>
  </cols>
  <sheetData>
    <row r="1" spans="1:5" s="168" customFormat="1" ht="13.2" x14ac:dyDescent="0.25">
      <c r="A1" s="656"/>
      <c r="B1" s="659" t="s">
        <v>142</v>
      </c>
      <c r="C1" s="660"/>
      <c r="D1" s="665"/>
      <c r="E1" s="167"/>
    </row>
    <row r="2" spans="1:5" s="168" customFormat="1" ht="13.2" x14ac:dyDescent="0.25">
      <c r="A2" s="657"/>
      <c r="B2" s="661"/>
      <c r="C2" s="662"/>
      <c r="D2" s="666"/>
      <c r="E2" s="169">
        <f>+'AIU FLDT'!D8</f>
        <v>4</v>
      </c>
    </row>
    <row r="3" spans="1:5" ht="15" thickBot="1" x14ac:dyDescent="0.35">
      <c r="A3" s="658"/>
      <c r="B3" s="663"/>
      <c r="C3" s="664"/>
      <c r="D3" s="667"/>
    </row>
    <row r="4" spans="1:5" s="171" customFormat="1" x14ac:dyDescent="0.3">
      <c r="A4" s="170" t="s">
        <v>76</v>
      </c>
      <c r="B4" s="170" t="s">
        <v>12</v>
      </c>
      <c r="C4" s="170" t="s">
        <v>143</v>
      </c>
      <c r="D4" s="170" t="s">
        <v>144</v>
      </c>
    </row>
    <row r="5" spans="1:5" s="174" customFormat="1" x14ac:dyDescent="0.3">
      <c r="A5" s="172">
        <v>1</v>
      </c>
      <c r="B5" s="652" t="s">
        <v>145</v>
      </c>
      <c r="C5" s="652"/>
      <c r="D5" s="173">
        <f>SUM(C5:C10)</f>
        <v>1.2183333333333333</v>
      </c>
    </row>
    <row r="6" spans="1:5" x14ac:dyDescent="0.3">
      <c r="A6" s="175"/>
      <c r="B6" s="175" t="s">
        <v>146</v>
      </c>
      <c r="C6" s="176">
        <v>1</v>
      </c>
      <c r="D6" s="175"/>
    </row>
    <row r="7" spans="1:5" x14ac:dyDescent="0.3">
      <c r="A7" s="175"/>
      <c r="B7" s="175" t="s">
        <v>147</v>
      </c>
      <c r="C7" s="176">
        <f>1/12</f>
        <v>8.3333333333333329E-2</v>
      </c>
      <c r="D7" s="175"/>
    </row>
    <row r="8" spans="1:5" x14ac:dyDescent="0.3">
      <c r="A8" s="175"/>
      <c r="B8" s="175" t="s">
        <v>148</v>
      </c>
      <c r="C8" s="177">
        <v>0.01</v>
      </c>
      <c r="D8" s="175"/>
    </row>
    <row r="9" spans="1:5" x14ac:dyDescent="0.3">
      <c r="A9" s="175"/>
      <c r="B9" s="175" t="s">
        <v>149</v>
      </c>
      <c r="C9" s="176">
        <f>1/12</f>
        <v>8.3333333333333329E-2</v>
      </c>
      <c r="D9" s="175"/>
    </row>
    <row r="10" spans="1:5" x14ac:dyDescent="0.3">
      <c r="A10" s="175"/>
      <c r="B10" s="175" t="s">
        <v>150</v>
      </c>
      <c r="C10" s="176">
        <f>0.5/12</f>
        <v>4.1666666666666664E-2</v>
      </c>
      <c r="D10" s="175"/>
    </row>
    <row r="11" spans="1:5" x14ac:dyDescent="0.3">
      <c r="A11" s="175"/>
      <c r="B11" s="175"/>
      <c r="C11" s="176"/>
      <c r="D11" s="175"/>
    </row>
    <row r="12" spans="1:5" s="174" customFormat="1" x14ac:dyDescent="0.3">
      <c r="A12" s="172">
        <v>2</v>
      </c>
      <c r="B12" s="652" t="s">
        <v>151</v>
      </c>
      <c r="C12" s="653"/>
      <c r="D12" s="173">
        <f>SUM(C12:C15)</f>
        <v>0.27460000000000001</v>
      </c>
    </row>
    <row r="13" spans="1:5" x14ac:dyDescent="0.3">
      <c r="A13" s="175"/>
      <c r="B13" s="175" t="s">
        <v>152</v>
      </c>
      <c r="C13" s="178">
        <v>0.12</v>
      </c>
      <c r="D13" s="175"/>
    </row>
    <row r="14" spans="1:5" x14ac:dyDescent="0.3">
      <c r="A14" s="175"/>
      <c r="B14" s="175" t="s">
        <v>153</v>
      </c>
      <c r="C14" s="179">
        <v>8.5000000000000006E-2</v>
      </c>
      <c r="D14" s="175"/>
    </row>
    <row r="15" spans="1:5" x14ac:dyDescent="0.3">
      <c r="A15" s="175"/>
      <c r="B15" s="175" t="s">
        <v>154</v>
      </c>
      <c r="C15" s="179">
        <v>6.9599999999999995E-2</v>
      </c>
      <c r="D15" s="175"/>
    </row>
    <row r="16" spans="1:5" x14ac:dyDescent="0.3">
      <c r="A16" s="175"/>
      <c r="B16" s="175"/>
      <c r="C16" s="179"/>
      <c r="D16" s="175"/>
    </row>
    <row r="17" spans="1:4" s="174" customFormat="1" x14ac:dyDescent="0.3">
      <c r="A17" s="172">
        <v>3</v>
      </c>
      <c r="B17" s="652" t="s">
        <v>155</v>
      </c>
      <c r="C17" s="653"/>
      <c r="D17" s="180">
        <f>SUM(C18:C20)</f>
        <v>9.0000000000000011E-2</v>
      </c>
    </row>
    <row r="18" spans="1:4" x14ac:dyDescent="0.3">
      <c r="A18" s="175"/>
      <c r="B18" s="175" t="s">
        <v>156</v>
      </c>
      <c r="C18" s="178">
        <v>0.04</v>
      </c>
      <c r="D18" s="175"/>
    </row>
    <row r="19" spans="1:4" x14ac:dyDescent="0.3">
      <c r="A19" s="175"/>
      <c r="B19" s="175" t="s">
        <v>157</v>
      </c>
      <c r="C19" s="178">
        <v>0.03</v>
      </c>
      <c r="D19" s="175"/>
    </row>
    <row r="20" spans="1:4" x14ac:dyDescent="0.3">
      <c r="A20" s="175"/>
      <c r="B20" s="175" t="s">
        <v>158</v>
      </c>
      <c r="C20" s="178">
        <v>0.02</v>
      </c>
      <c r="D20" s="175"/>
    </row>
    <row r="21" spans="1:4" x14ac:dyDescent="0.3">
      <c r="A21" s="175"/>
      <c r="B21" s="175"/>
      <c r="C21" s="178"/>
      <c r="D21" s="175"/>
    </row>
    <row r="22" spans="1:4" s="174" customFormat="1" x14ac:dyDescent="0.3">
      <c r="A22" s="172">
        <v>4</v>
      </c>
      <c r="B22" s="652" t="s">
        <v>159</v>
      </c>
      <c r="C22" s="653"/>
      <c r="D22" s="181">
        <f>SUM(C23:C23)</f>
        <v>0</v>
      </c>
    </row>
    <row r="23" spans="1:4" x14ac:dyDescent="0.3">
      <c r="A23" s="175"/>
      <c r="B23" s="175"/>
      <c r="C23" s="178"/>
      <c r="D23" s="175"/>
    </row>
    <row r="24" spans="1:4" x14ac:dyDescent="0.3">
      <c r="A24" s="175"/>
      <c r="B24" s="652" t="s">
        <v>160</v>
      </c>
      <c r="C24" s="653"/>
      <c r="D24" s="180">
        <f>SUM(D5:D22)</f>
        <v>1.5829333333333333</v>
      </c>
    </row>
    <row r="25" spans="1:4" x14ac:dyDescent="0.3">
      <c r="A25" s="654" t="s">
        <v>161</v>
      </c>
      <c r="B25" s="654"/>
      <c r="C25" s="654"/>
      <c r="D25" s="655">
        <f>ROUND((D24),2)</f>
        <v>1.58</v>
      </c>
    </row>
    <row r="26" spans="1:4" x14ac:dyDescent="0.3">
      <c r="A26" s="654"/>
      <c r="B26" s="654"/>
      <c r="C26" s="654"/>
      <c r="D26" s="655"/>
    </row>
    <row r="27" spans="1:4" x14ac:dyDescent="0.3">
      <c r="A27" s="654"/>
      <c r="B27" s="654"/>
      <c r="C27" s="654"/>
      <c r="D27" s="655"/>
    </row>
  </sheetData>
  <mergeCells count="10">
    <mergeCell ref="B22:C22"/>
    <mergeCell ref="B24:C24"/>
    <mergeCell ref="A25:C27"/>
    <mergeCell ref="D25:D27"/>
    <mergeCell ref="A1:A3"/>
    <mergeCell ref="B1:C3"/>
    <mergeCell ref="D1:D3"/>
    <mergeCell ref="B5:C5"/>
    <mergeCell ref="B12:C12"/>
    <mergeCell ref="B17:C17"/>
  </mergeCells>
  <pageMargins left="0.75" right="0.75" top="1" bottom="1" header="0" footer="0"/>
  <pageSetup paperSize="9" scale="94"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8CE34-579B-4471-B233-E0564835D77D}">
  <sheetPr>
    <tabColor rgb="FF92D050"/>
  </sheetPr>
  <dimension ref="B2:P102"/>
  <sheetViews>
    <sheetView showGridLines="0" view="pageBreakPreview" topLeftCell="A56" zoomScale="80" zoomScaleNormal="80" zoomScaleSheetLayoutView="80" workbookViewId="0">
      <selection activeCell="P16" sqref="P16"/>
    </sheetView>
  </sheetViews>
  <sheetFormatPr baseColWidth="10" defaultColWidth="11.44140625" defaultRowHeight="13.8" x14ac:dyDescent="0.3"/>
  <cols>
    <col min="1" max="1" width="1.6640625" style="185" customWidth="1"/>
    <col min="2" max="2" width="8.109375" style="185" customWidth="1"/>
    <col min="3" max="3" width="6.44140625" style="185" customWidth="1"/>
    <col min="4" max="5" width="11.44140625" style="185"/>
    <col min="6" max="6" width="19.33203125" style="185" customWidth="1"/>
    <col min="7" max="7" width="51.33203125" style="185" customWidth="1"/>
    <col min="8" max="8" width="9.109375" style="186" customWidth="1"/>
    <col min="9" max="9" width="5.88671875" style="185" customWidth="1"/>
    <col min="10" max="10" width="7.6640625" style="185" customWidth="1"/>
    <col min="11" max="11" width="7.5546875" style="185" bestFit="1" customWidth="1"/>
    <col min="12" max="12" width="7.5546875" style="185" customWidth="1"/>
    <col min="13" max="13" width="13.6640625" style="185" customWidth="1"/>
    <col min="14" max="14" width="8.88671875" style="185" customWidth="1"/>
    <col min="15" max="15" width="19.5546875" style="219" customWidth="1"/>
    <col min="16" max="16" width="8.44140625" style="185" customWidth="1"/>
    <col min="17" max="17" width="5.5546875" style="185" customWidth="1"/>
    <col min="18" max="250" width="11.44140625" style="185"/>
    <col min="251" max="251" width="1.6640625" style="185" customWidth="1"/>
    <col min="252" max="252" width="8.109375" style="185" customWidth="1"/>
    <col min="253" max="253" width="6.44140625" style="185" customWidth="1"/>
    <col min="254" max="255" width="11.44140625" style="185"/>
    <col min="256" max="256" width="19.33203125" style="185" customWidth="1"/>
    <col min="257" max="257" width="51.33203125" style="185" customWidth="1"/>
    <col min="258" max="258" width="9.109375" style="185" customWidth="1"/>
    <col min="259" max="259" width="5.88671875" style="185" customWidth="1"/>
    <col min="260" max="260" width="7.6640625" style="185" customWidth="1"/>
    <col min="261" max="261" width="7.5546875" style="185" bestFit="1" customWidth="1"/>
    <col min="262" max="262" width="7.5546875" style="185" customWidth="1"/>
    <col min="263" max="263" width="13.6640625" style="185" customWidth="1"/>
    <col min="264" max="264" width="8.88671875" style="185" customWidth="1"/>
    <col min="265" max="265" width="19.5546875" style="185" customWidth="1"/>
    <col min="266" max="266" width="8.44140625" style="185" customWidth="1"/>
    <col min="267" max="267" width="5.5546875" style="185" customWidth="1"/>
    <col min="268" max="268" width="28.33203125" style="185" customWidth="1"/>
    <col min="269" max="269" width="11.33203125" style="185" customWidth="1"/>
    <col min="270" max="270" width="13" style="185" customWidth="1"/>
    <col min="271" max="271" width="20.33203125" style="185" customWidth="1"/>
    <col min="272" max="272" width="10.109375" style="185" customWidth="1"/>
    <col min="273" max="273" width="17" style="185" customWidth="1"/>
    <col min="274" max="506" width="11.44140625" style="185"/>
    <col min="507" max="507" width="1.6640625" style="185" customWidth="1"/>
    <col min="508" max="508" width="8.109375" style="185" customWidth="1"/>
    <col min="509" max="509" width="6.44140625" style="185" customWidth="1"/>
    <col min="510" max="511" width="11.44140625" style="185"/>
    <col min="512" max="512" width="19.33203125" style="185" customWidth="1"/>
    <col min="513" max="513" width="51.33203125" style="185" customWidth="1"/>
    <col min="514" max="514" width="9.109375" style="185" customWidth="1"/>
    <col min="515" max="515" width="5.88671875" style="185" customWidth="1"/>
    <col min="516" max="516" width="7.6640625" style="185" customWidth="1"/>
    <col min="517" max="517" width="7.5546875" style="185" bestFit="1" customWidth="1"/>
    <col min="518" max="518" width="7.5546875" style="185" customWidth="1"/>
    <col min="519" max="519" width="13.6640625" style="185" customWidth="1"/>
    <col min="520" max="520" width="8.88671875" style="185" customWidth="1"/>
    <col min="521" max="521" width="19.5546875" style="185" customWidth="1"/>
    <col min="522" max="522" width="8.44140625" style="185" customWidth="1"/>
    <col min="523" max="523" width="5.5546875" style="185" customWidth="1"/>
    <col min="524" max="524" width="28.33203125" style="185" customWidth="1"/>
    <col min="525" max="525" width="11.33203125" style="185" customWidth="1"/>
    <col min="526" max="526" width="13" style="185" customWidth="1"/>
    <col min="527" max="527" width="20.33203125" style="185" customWidth="1"/>
    <col min="528" max="528" width="10.109375" style="185" customWidth="1"/>
    <col min="529" max="529" width="17" style="185" customWidth="1"/>
    <col min="530" max="762" width="11.44140625" style="185"/>
    <col min="763" max="763" width="1.6640625" style="185" customWidth="1"/>
    <col min="764" max="764" width="8.109375" style="185" customWidth="1"/>
    <col min="765" max="765" width="6.44140625" style="185" customWidth="1"/>
    <col min="766" max="767" width="11.44140625" style="185"/>
    <col min="768" max="768" width="19.33203125" style="185" customWidth="1"/>
    <col min="769" max="769" width="51.33203125" style="185" customWidth="1"/>
    <col min="770" max="770" width="9.109375" style="185" customWidth="1"/>
    <col min="771" max="771" width="5.88671875" style="185" customWidth="1"/>
    <col min="772" max="772" width="7.6640625" style="185" customWidth="1"/>
    <col min="773" max="773" width="7.5546875" style="185" bestFit="1" customWidth="1"/>
    <col min="774" max="774" width="7.5546875" style="185" customWidth="1"/>
    <col min="775" max="775" width="13.6640625" style="185" customWidth="1"/>
    <col min="776" max="776" width="8.88671875" style="185" customWidth="1"/>
    <col min="777" max="777" width="19.5546875" style="185" customWidth="1"/>
    <col min="778" max="778" width="8.44140625" style="185" customWidth="1"/>
    <col min="779" max="779" width="5.5546875" style="185" customWidth="1"/>
    <col min="780" max="780" width="28.33203125" style="185" customWidth="1"/>
    <col min="781" max="781" width="11.33203125" style="185" customWidth="1"/>
    <col min="782" max="782" width="13" style="185" customWidth="1"/>
    <col min="783" max="783" width="20.33203125" style="185" customWidth="1"/>
    <col min="784" max="784" width="10.109375" style="185" customWidth="1"/>
    <col min="785" max="785" width="17" style="185" customWidth="1"/>
    <col min="786" max="1018" width="11.44140625" style="185"/>
    <col min="1019" max="1019" width="1.6640625" style="185" customWidth="1"/>
    <col min="1020" max="1020" width="8.109375" style="185" customWidth="1"/>
    <col min="1021" max="1021" width="6.44140625" style="185" customWidth="1"/>
    <col min="1022" max="1023" width="11.44140625" style="185"/>
    <col min="1024" max="1024" width="19.33203125" style="185" customWidth="1"/>
    <col min="1025" max="1025" width="51.33203125" style="185" customWidth="1"/>
    <col min="1026" max="1026" width="9.109375" style="185" customWidth="1"/>
    <col min="1027" max="1027" width="5.88671875" style="185" customWidth="1"/>
    <col min="1028" max="1028" width="7.6640625" style="185" customWidth="1"/>
    <col min="1029" max="1029" width="7.5546875" style="185" bestFit="1" customWidth="1"/>
    <col min="1030" max="1030" width="7.5546875" style="185" customWidth="1"/>
    <col min="1031" max="1031" width="13.6640625" style="185" customWidth="1"/>
    <col min="1032" max="1032" width="8.88671875" style="185" customWidth="1"/>
    <col min="1033" max="1033" width="19.5546875" style="185" customWidth="1"/>
    <col min="1034" max="1034" width="8.44140625" style="185" customWidth="1"/>
    <col min="1035" max="1035" width="5.5546875" style="185" customWidth="1"/>
    <col min="1036" max="1036" width="28.33203125" style="185" customWidth="1"/>
    <col min="1037" max="1037" width="11.33203125" style="185" customWidth="1"/>
    <col min="1038" max="1038" width="13" style="185" customWidth="1"/>
    <col min="1039" max="1039" width="20.33203125" style="185" customWidth="1"/>
    <col min="1040" max="1040" width="10.109375" style="185" customWidth="1"/>
    <col min="1041" max="1041" width="17" style="185" customWidth="1"/>
    <col min="1042" max="1274" width="11.44140625" style="185"/>
    <col min="1275" max="1275" width="1.6640625" style="185" customWidth="1"/>
    <col min="1276" max="1276" width="8.109375" style="185" customWidth="1"/>
    <col min="1277" max="1277" width="6.44140625" style="185" customWidth="1"/>
    <col min="1278" max="1279" width="11.44140625" style="185"/>
    <col min="1280" max="1280" width="19.33203125" style="185" customWidth="1"/>
    <col min="1281" max="1281" width="51.33203125" style="185" customWidth="1"/>
    <col min="1282" max="1282" width="9.109375" style="185" customWidth="1"/>
    <col min="1283" max="1283" width="5.88671875" style="185" customWidth="1"/>
    <col min="1284" max="1284" width="7.6640625" style="185" customWidth="1"/>
    <col min="1285" max="1285" width="7.5546875" style="185" bestFit="1" customWidth="1"/>
    <col min="1286" max="1286" width="7.5546875" style="185" customWidth="1"/>
    <col min="1287" max="1287" width="13.6640625" style="185" customWidth="1"/>
    <col min="1288" max="1288" width="8.88671875" style="185" customWidth="1"/>
    <col min="1289" max="1289" width="19.5546875" style="185" customWidth="1"/>
    <col min="1290" max="1290" width="8.44140625" style="185" customWidth="1"/>
    <col min="1291" max="1291" width="5.5546875" style="185" customWidth="1"/>
    <col min="1292" max="1292" width="28.33203125" style="185" customWidth="1"/>
    <col min="1293" max="1293" width="11.33203125" style="185" customWidth="1"/>
    <col min="1294" max="1294" width="13" style="185" customWidth="1"/>
    <col min="1295" max="1295" width="20.33203125" style="185" customWidth="1"/>
    <col min="1296" max="1296" width="10.109375" style="185" customWidth="1"/>
    <col min="1297" max="1297" width="17" style="185" customWidth="1"/>
    <col min="1298" max="1530" width="11.44140625" style="185"/>
    <col min="1531" max="1531" width="1.6640625" style="185" customWidth="1"/>
    <col min="1532" max="1532" width="8.109375" style="185" customWidth="1"/>
    <col min="1533" max="1533" width="6.44140625" style="185" customWidth="1"/>
    <col min="1534" max="1535" width="11.44140625" style="185"/>
    <col min="1536" max="1536" width="19.33203125" style="185" customWidth="1"/>
    <col min="1537" max="1537" width="51.33203125" style="185" customWidth="1"/>
    <col min="1538" max="1538" width="9.109375" style="185" customWidth="1"/>
    <col min="1539" max="1539" width="5.88671875" style="185" customWidth="1"/>
    <col min="1540" max="1540" width="7.6640625" style="185" customWidth="1"/>
    <col min="1541" max="1541" width="7.5546875" style="185" bestFit="1" customWidth="1"/>
    <col min="1542" max="1542" width="7.5546875" style="185" customWidth="1"/>
    <col min="1543" max="1543" width="13.6640625" style="185" customWidth="1"/>
    <col min="1544" max="1544" width="8.88671875" style="185" customWidth="1"/>
    <col min="1545" max="1545" width="19.5546875" style="185" customWidth="1"/>
    <col min="1546" max="1546" width="8.44140625" style="185" customWidth="1"/>
    <col min="1547" max="1547" width="5.5546875" style="185" customWidth="1"/>
    <col min="1548" max="1548" width="28.33203125" style="185" customWidth="1"/>
    <col min="1549" max="1549" width="11.33203125" style="185" customWidth="1"/>
    <col min="1550" max="1550" width="13" style="185" customWidth="1"/>
    <col min="1551" max="1551" width="20.33203125" style="185" customWidth="1"/>
    <col min="1552" max="1552" width="10.109375" style="185" customWidth="1"/>
    <col min="1553" max="1553" width="17" style="185" customWidth="1"/>
    <col min="1554" max="1786" width="11.44140625" style="185"/>
    <col min="1787" max="1787" width="1.6640625" style="185" customWidth="1"/>
    <col min="1788" max="1788" width="8.109375" style="185" customWidth="1"/>
    <col min="1789" max="1789" width="6.44140625" style="185" customWidth="1"/>
    <col min="1790" max="1791" width="11.44140625" style="185"/>
    <col min="1792" max="1792" width="19.33203125" style="185" customWidth="1"/>
    <col min="1793" max="1793" width="51.33203125" style="185" customWidth="1"/>
    <col min="1794" max="1794" width="9.109375" style="185" customWidth="1"/>
    <col min="1795" max="1795" width="5.88671875" style="185" customWidth="1"/>
    <col min="1796" max="1796" width="7.6640625" style="185" customWidth="1"/>
    <col min="1797" max="1797" width="7.5546875" style="185" bestFit="1" customWidth="1"/>
    <col min="1798" max="1798" width="7.5546875" style="185" customWidth="1"/>
    <col min="1799" max="1799" width="13.6640625" style="185" customWidth="1"/>
    <col min="1800" max="1800" width="8.88671875" style="185" customWidth="1"/>
    <col min="1801" max="1801" width="19.5546875" style="185" customWidth="1"/>
    <col min="1802" max="1802" width="8.44140625" style="185" customWidth="1"/>
    <col min="1803" max="1803" width="5.5546875" style="185" customWidth="1"/>
    <col min="1804" max="1804" width="28.33203125" style="185" customWidth="1"/>
    <col min="1805" max="1805" width="11.33203125" style="185" customWidth="1"/>
    <col min="1806" max="1806" width="13" style="185" customWidth="1"/>
    <col min="1807" max="1807" width="20.33203125" style="185" customWidth="1"/>
    <col min="1808" max="1808" width="10.109375" style="185" customWidth="1"/>
    <col min="1809" max="1809" width="17" style="185" customWidth="1"/>
    <col min="1810" max="2042" width="11.44140625" style="185"/>
    <col min="2043" max="2043" width="1.6640625" style="185" customWidth="1"/>
    <col min="2044" max="2044" width="8.109375" style="185" customWidth="1"/>
    <col min="2045" max="2045" width="6.44140625" style="185" customWidth="1"/>
    <col min="2046" max="2047" width="11.44140625" style="185"/>
    <col min="2048" max="2048" width="19.33203125" style="185" customWidth="1"/>
    <col min="2049" max="2049" width="51.33203125" style="185" customWidth="1"/>
    <col min="2050" max="2050" width="9.109375" style="185" customWidth="1"/>
    <col min="2051" max="2051" width="5.88671875" style="185" customWidth="1"/>
    <col min="2052" max="2052" width="7.6640625" style="185" customWidth="1"/>
    <col min="2053" max="2053" width="7.5546875" style="185" bestFit="1" customWidth="1"/>
    <col min="2054" max="2054" width="7.5546875" style="185" customWidth="1"/>
    <col min="2055" max="2055" width="13.6640625" style="185" customWidth="1"/>
    <col min="2056" max="2056" width="8.88671875" style="185" customWidth="1"/>
    <col min="2057" max="2057" width="19.5546875" style="185" customWidth="1"/>
    <col min="2058" max="2058" width="8.44140625" style="185" customWidth="1"/>
    <col min="2059" max="2059" width="5.5546875" style="185" customWidth="1"/>
    <col min="2060" max="2060" width="28.33203125" style="185" customWidth="1"/>
    <col min="2061" max="2061" width="11.33203125" style="185" customWidth="1"/>
    <col min="2062" max="2062" width="13" style="185" customWidth="1"/>
    <col min="2063" max="2063" width="20.33203125" style="185" customWidth="1"/>
    <col min="2064" max="2064" width="10.109375" style="185" customWidth="1"/>
    <col min="2065" max="2065" width="17" style="185" customWidth="1"/>
    <col min="2066" max="2298" width="11.44140625" style="185"/>
    <col min="2299" max="2299" width="1.6640625" style="185" customWidth="1"/>
    <col min="2300" max="2300" width="8.109375" style="185" customWidth="1"/>
    <col min="2301" max="2301" width="6.44140625" style="185" customWidth="1"/>
    <col min="2302" max="2303" width="11.44140625" style="185"/>
    <col min="2304" max="2304" width="19.33203125" style="185" customWidth="1"/>
    <col min="2305" max="2305" width="51.33203125" style="185" customWidth="1"/>
    <col min="2306" max="2306" width="9.109375" style="185" customWidth="1"/>
    <col min="2307" max="2307" width="5.88671875" style="185" customWidth="1"/>
    <col min="2308" max="2308" width="7.6640625" style="185" customWidth="1"/>
    <col min="2309" max="2309" width="7.5546875" style="185" bestFit="1" customWidth="1"/>
    <col min="2310" max="2310" width="7.5546875" style="185" customWidth="1"/>
    <col min="2311" max="2311" width="13.6640625" style="185" customWidth="1"/>
    <col min="2312" max="2312" width="8.88671875" style="185" customWidth="1"/>
    <col min="2313" max="2313" width="19.5546875" style="185" customWidth="1"/>
    <col min="2314" max="2314" width="8.44140625" style="185" customWidth="1"/>
    <col min="2315" max="2315" width="5.5546875" style="185" customWidth="1"/>
    <col min="2316" max="2316" width="28.33203125" style="185" customWidth="1"/>
    <col min="2317" max="2317" width="11.33203125" style="185" customWidth="1"/>
    <col min="2318" max="2318" width="13" style="185" customWidth="1"/>
    <col min="2319" max="2319" width="20.33203125" style="185" customWidth="1"/>
    <col min="2320" max="2320" width="10.109375" style="185" customWidth="1"/>
    <col min="2321" max="2321" width="17" style="185" customWidth="1"/>
    <col min="2322" max="2554" width="11.44140625" style="185"/>
    <col min="2555" max="2555" width="1.6640625" style="185" customWidth="1"/>
    <col min="2556" max="2556" width="8.109375" style="185" customWidth="1"/>
    <col min="2557" max="2557" width="6.44140625" style="185" customWidth="1"/>
    <col min="2558" max="2559" width="11.44140625" style="185"/>
    <col min="2560" max="2560" width="19.33203125" style="185" customWidth="1"/>
    <col min="2561" max="2561" width="51.33203125" style="185" customWidth="1"/>
    <col min="2562" max="2562" width="9.109375" style="185" customWidth="1"/>
    <col min="2563" max="2563" width="5.88671875" style="185" customWidth="1"/>
    <col min="2564" max="2564" width="7.6640625" style="185" customWidth="1"/>
    <col min="2565" max="2565" width="7.5546875" style="185" bestFit="1" customWidth="1"/>
    <col min="2566" max="2566" width="7.5546875" style="185" customWidth="1"/>
    <col min="2567" max="2567" width="13.6640625" style="185" customWidth="1"/>
    <col min="2568" max="2568" width="8.88671875" style="185" customWidth="1"/>
    <col min="2569" max="2569" width="19.5546875" style="185" customWidth="1"/>
    <col min="2570" max="2570" width="8.44140625" style="185" customWidth="1"/>
    <col min="2571" max="2571" width="5.5546875" style="185" customWidth="1"/>
    <col min="2572" max="2572" width="28.33203125" style="185" customWidth="1"/>
    <col min="2573" max="2573" width="11.33203125" style="185" customWidth="1"/>
    <col min="2574" max="2574" width="13" style="185" customWidth="1"/>
    <col min="2575" max="2575" width="20.33203125" style="185" customWidth="1"/>
    <col min="2576" max="2576" width="10.109375" style="185" customWidth="1"/>
    <col min="2577" max="2577" width="17" style="185" customWidth="1"/>
    <col min="2578" max="2810" width="11.44140625" style="185"/>
    <col min="2811" max="2811" width="1.6640625" style="185" customWidth="1"/>
    <col min="2812" max="2812" width="8.109375" style="185" customWidth="1"/>
    <col min="2813" max="2813" width="6.44140625" style="185" customWidth="1"/>
    <col min="2814" max="2815" width="11.44140625" style="185"/>
    <col min="2816" max="2816" width="19.33203125" style="185" customWidth="1"/>
    <col min="2817" max="2817" width="51.33203125" style="185" customWidth="1"/>
    <col min="2818" max="2818" width="9.109375" style="185" customWidth="1"/>
    <col min="2819" max="2819" width="5.88671875" style="185" customWidth="1"/>
    <col min="2820" max="2820" width="7.6640625" style="185" customWidth="1"/>
    <col min="2821" max="2821" width="7.5546875" style="185" bestFit="1" customWidth="1"/>
    <col min="2822" max="2822" width="7.5546875" style="185" customWidth="1"/>
    <col min="2823" max="2823" width="13.6640625" style="185" customWidth="1"/>
    <col min="2824" max="2824" width="8.88671875" style="185" customWidth="1"/>
    <col min="2825" max="2825" width="19.5546875" style="185" customWidth="1"/>
    <col min="2826" max="2826" width="8.44140625" style="185" customWidth="1"/>
    <col min="2827" max="2827" width="5.5546875" style="185" customWidth="1"/>
    <col min="2828" max="2828" width="28.33203125" style="185" customWidth="1"/>
    <col min="2829" max="2829" width="11.33203125" style="185" customWidth="1"/>
    <col min="2830" max="2830" width="13" style="185" customWidth="1"/>
    <col min="2831" max="2831" width="20.33203125" style="185" customWidth="1"/>
    <col min="2832" max="2832" width="10.109375" style="185" customWidth="1"/>
    <col min="2833" max="2833" width="17" style="185" customWidth="1"/>
    <col min="2834" max="3066" width="11.44140625" style="185"/>
    <col min="3067" max="3067" width="1.6640625" style="185" customWidth="1"/>
    <col min="3068" max="3068" width="8.109375" style="185" customWidth="1"/>
    <col min="3069" max="3069" width="6.44140625" style="185" customWidth="1"/>
    <col min="3070" max="3071" width="11.44140625" style="185"/>
    <col min="3072" max="3072" width="19.33203125" style="185" customWidth="1"/>
    <col min="3073" max="3073" width="51.33203125" style="185" customWidth="1"/>
    <col min="3074" max="3074" width="9.109375" style="185" customWidth="1"/>
    <col min="3075" max="3075" width="5.88671875" style="185" customWidth="1"/>
    <col min="3076" max="3076" width="7.6640625" style="185" customWidth="1"/>
    <col min="3077" max="3077" width="7.5546875" style="185" bestFit="1" customWidth="1"/>
    <col min="3078" max="3078" width="7.5546875" style="185" customWidth="1"/>
    <col min="3079" max="3079" width="13.6640625" style="185" customWidth="1"/>
    <col min="3080" max="3080" width="8.88671875" style="185" customWidth="1"/>
    <col min="3081" max="3081" width="19.5546875" style="185" customWidth="1"/>
    <col min="3082" max="3082" width="8.44140625" style="185" customWidth="1"/>
    <col min="3083" max="3083" width="5.5546875" style="185" customWidth="1"/>
    <col min="3084" max="3084" width="28.33203125" style="185" customWidth="1"/>
    <col min="3085" max="3085" width="11.33203125" style="185" customWidth="1"/>
    <col min="3086" max="3086" width="13" style="185" customWidth="1"/>
    <col min="3087" max="3087" width="20.33203125" style="185" customWidth="1"/>
    <col min="3088" max="3088" width="10.109375" style="185" customWidth="1"/>
    <col min="3089" max="3089" width="17" style="185" customWidth="1"/>
    <col min="3090" max="3322" width="11.44140625" style="185"/>
    <col min="3323" max="3323" width="1.6640625" style="185" customWidth="1"/>
    <col min="3324" max="3324" width="8.109375" style="185" customWidth="1"/>
    <col min="3325" max="3325" width="6.44140625" style="185" customWidth="1"/>
    <col min="3326" max="3327" width="11.44140625" style="185"/>
    <col min="3328" max="3328" width="19.33203125" style="185" customWidth="1"/>
    <col min="3329" max="3329" width="51.33203125" style="185" customWidth="1"/>
    <col min="3330" max="3330" width="9.109375" style="185" customWidth="1"/>
    <col min="3331" max="3331" width="5.88671875" style="185" customWidth="1"/>
    <col min="3332" max="3332" width="7.6640625" style="185" customWidth="1"/>
    <col min="3333" max="3333" width="7.5546875" style="185" bestFit="1" customWidth="1"/>
    <col min="3334" max="3334" width="7.5546875" style="185" customWidth="1"/>
    <col min="3335" max="3335" width="13.6640625" style="185" customWidth="1"/>
    <col min="3336" max="3336" width="8.88671875" style="185" customWidth="1"/>
    <col min="3337" max="3337" width="19.5546875" style="185" customWidth="1"/>
    <col min="3338" max="3338" width="8.44140625" style="185" customWidth="1"/>
    <col min="3339" max="3339" width="5.5546875" style="185" customWidth="1"/>
    <col min="3340" max="3340" width="28.33203125" style="185" customWidth="1"/>
    <col min="3341" max="3341" width="11.33203125" style="185" customWidth="1"/>
    <col min="3342" max="3342" width="13" style="185" customWidth="1"/>
    <col min="3343" max="3343" width="20.33203125" style="185" customWidth="1"/>
    <col min="3344" max="3344" width="10.109375" style="185" customWidth="1"/>
    <col min="3345" max="3345" width="17" style="185" customWidth="1"/>
    <col min="3346" max="3578" width="11.44140625" style="185"/>
    <col min="3579" max="3579" width="1.6640625" style="185" customWidth="1"/>
    <col min="3580" max="3580" width="8.109375" style="185" customWidth="1"/>
    <col min="3581" max="3581" width="6.44140625" style="185" customWidth="1"/>
    <col min="3582" max="3583" width="11.44140625" style="185"/>
    <col min="3584" max="3584" width="19.33203125" style="185" customWidth="1"/>
    <col min="3585" max="3585" width="51.33203125" style="185" customWidth="1"/>
    <col min="3586" max="3586" width="9.109375" style="185" customWidth="1"/>
    <col min="3587" max="3587" width="5.88671875" style="185" customWidth="1"/>
    <col min="3588" max="3588" width="7.6640625" style="185" customWidth="1"/>
    <col min="3589" max="3589" width="7.5546875" style="185" bestFit="1" customWidth="1"/>
    <col min="3590" max="3590" width="7.5546875" style="185" customWidth="1"/>
    <col min="3591" max="3591" width="13.6640625" style="185" customWidth="1"/>
    <col min="3592" max="3592" width="8.88671875" style="185" customWidth="1"/>
    <col min="3593" max="3593" width="19.5546875" style="185" customWidth="1"/>
    <col min="3594" max="3594" width="8.44140625" style="185" customWidth="1"/>
    <col min="3595" max="3595" width="5.5546875" style="185" customWidth="1"/>
    <col min="3596" max="3596" width="28.33203125" style="185" customWidth="1"/>
    <col min="3597" max="3597" width="11.33203125" style="185" customWidth="1"/>
    <col min="3598" max="3598" width="13" style="185" customWidth="1"/>
    <col min="3599" max="3599" width="20.33203125" style="185" customWidth="1"/>
    <col min="3600" max="3600" width="10.109375" style="185" customWidth="1"/>
    <col min="3601" max="3601" width="17" style="185" customWidth="1"/>
    <col min="3602" max="3834" width="11.44140625" style="185"/>
    <col min="3835" max="3835" width="1.6640625" style="185" customWidth="1"/>
    <col min="3836" max="3836" width="8.109375" style="185" customWidth="1"/>
    <col min="3837" max="3837" width="6.44140625" style="185" customWidth="1"/>
    <col min="3838" max="3839" width="11.44140625" style="185"/>
    <col min="3840" max="3840" width="19.33203125" style="185" customWidth="1"/>
    <col min="3841" max="3841" width="51.33203125" style="185" customWidth="1"/>
    <col min="3842" max="3842" width="9.109375" style="185" customWidth="1"/>
    <col min="3843" max="3843" width="5.88671875" style="185" customWidth="1"/>
    <col min="3844" max="3844" width="7.6640625" style="185" customWidth="1"/>
    <col min="3845" max="3845" width="7.5546875" style="185" bestFit="1" customWidth="1"/>
    <col min="3846" max="3846" width="7.5546875" style="185" customWidth="1"/>
    <col min="3847" max="3847" width="13.6640625" style="185" customWidth="1"/>
    <col min="3848" max="3848" width="8.88671875" style="185" customWidth="1"/>
    <col min="3849" max="3849" width="19.5546875" style="185" customWidth="1"/>
    <col min="3850" max="3850" width="8.44140625" style="185" customWidth="1"/>
    <col min="3851" max="3851" width="5.5546875" style="185" customWidth="1"/>
    <col min="3852" max="3852" width="28.33203125" style="185" customWidth="1"/>
    <col min="3853" max="3853" width="11.33203125" style="185" customWidth="1"/>
    <col min="3854" max="3854" width="13" style="185" customWidth="1"/>
    <col min="3855" max="3855" width="20.33203125" style="185" customWidth="1"/>
    <col min="3856" max="3856" width="10.109375" style="185" customWidth="1"/>
    <col min="3857" max="3857" width="17" style="185" customWidth="1"/>
    <col min="3858" max="4090" width="11.44140625" style="185"/>
    <col min="4091" max="4091" width="1.6640625" style="185" customWidth="1"/>
    <col min="4092" max="4092" width="8.109375" style="185" customWidth="1"/>
    <col min="4093" max="4093" width="6.44140625" style="185" customWidth="1"/>
    <col min="4094" max="4095" width="11.44140625" style="185"/>
    <col min="4096" max="4096" width="19.33203125" style="185" customWidth="1"/>
    <col min="4097" max="4097" width="51.33203125" style="185" customWidth="1"/>
    <col min="4098" max="4098" width="9.109375" style="185" customWidth="1"/>
    <col min="4099" max="4099" width="5.88671875" style="185" customWidth="1"/>
    <col min="4100" max="4100" width="7.6640625" style="185" customWidth="1"/>
    <col min="4101" max="4101" width="7.5546875" style="185" bestFit="1" customWidth="1"/>
    <col min="4102" max="4102" width="7.5546875" style="185" customWidth="1"/>
    <col min="4103" max="4103" width="13.6640625" style="185" customWidth="1"/>
    <col min="4104" max="4104" width="8.88671875" style="185" customWidth="1"/>
    <col min="4105" max="4105" width="19.5546875" style="185" customWidth="1"/>
    <col min="4106" max="4106" width="8.44140625" style="185" customWidth="1"/>
    <col min="4107" max="4107" width="5.5546875" style="185" customWidth="1"/>
    <col min="4108" max="4108" width="28.33203125" style="185" customWidth="1"/>
    <col min="4109" max="4109" width="11.33203125" style="185" customWidth="1"/>
    <col min="4110" max="4110" width="13" style="185" customWidth="1"/>
    <col min="4111" max="4111" width="20.33203125" style="185" customWidth="1"/>
    <col min="4112" max="4112" width="10.109375" style="185" customWidth="1"/>
    <col min="4113" max="4113" width="17" style="185" customWidth="1"/>
    <col min="4114" max="4346" width="11.44140625" style="185"/>
    <col min="4347" max="4347" width="1.6640625" style="185" customWidth="1"/>
    <col min="4348" max="4348" width="8.109375" style="185" customWidth="1"/>
    <col min="4349" max="4349" width="6.44140625" style="185" customWidth="1"/>
    <col min="4350" max="4351" width="11.44140625" style="185"/>
    <col min="4352" max="4352" width="19.33203125" style="185" customWidth="1"/>
    <col min="4353" max="4353" width="51.33203125" style="185" customWidth="1"/>
    <col min="4354" max="4354" width="9.109375" style="185" customWidth="1"/>
    <col min="4355" max="4355" width="5.88671875" style="185" customWidth="1"/>
    <col min="4356" max="4356" width="7.6640625" style="185" customWidth="1"/>
    <col min="4357" max="4357" width="7.5546875" style="185" bestFit="1" customWidth="1"/>
    <col min="4358" max="4358" width="7.5546875" style="185" customWidth="1"/>
    <col min="4359" max="4359" width="13.6640625" style="185" customWidth="1"/>
    <col min="4360" max="4360" width="8.88671875" style="185" customWidth="1"/>
    <col min="4361" max="4361" width="19.5546875" style="185" customWidth="1"/>
    <col min="4362" max="4362" width="8.44140625" style="185" customWidth="1"/>
    <col min="4363" max="4363" width="5.5546875" style="185" customWidth="1"/>
    <col min="4364" max="4364" width="28.33203125" style="185" customWidth="1"/>
    <col min="4365" max="4365" width="11.33203125" style="185" customWidth="1"/>
    <col min="4366" max="4366" width="13" style="185" customWidth="1"/>
    <col min="4367" max="4367" width="20.33203125" style="185" customWidth="1"/>
    <col min="4368" max="4368" width="10.109375" style="185" customWidth="1"/>
    <col min="4369" max="4369" width="17" style="185" customWidth="1"/>
    <col min="4370" max="4602" width="11.44140625" style="185"/>
    <col min="4603" max="4603" width="1.6640625" style="185" customWidth="1"/>
    <col min="4604" max="4604" width="8.109375" style="185" customWidth="1"/>
    <col min="4605" max="4605" width="6.44140625" style="185" customWidth="1"/>
    <col min="4606" max="4607" width="11.44140625" style="185"/>
    <col min="4608" max="4608" width="19.33203125" style="185" customWidth="1"/>
    <col min="4609" max="4609" width="51.33203125" style="185" customWidth="1"/>
    <col min="4610" max="4610" width="9.109375" style="185" customWidth="1"/>
    <col min="4611" max="4611" width="5.88671875" style="185" customWidth="1"/>
    <col min="4612" max="4612" width="7.6640625" style="185" customWidth="1"/>
    <col min="4613" max="4613" width="7.5546875" style="185" bestFit="1" customWidth="1"/>
    <col min="4614" max="4614" width="7.5546875" style="185" customWidth="1"/>
    <col min="4615" max="4615" width="13.6640625" style="185" customWidth="1"/>
    <col min="4616" max="4616" width="8.88671875" style="185" customWidth="1"/>
    <col min="4617" max="4617" width="19.5546875" style="185" customWidth="1"/>
    <col min="4618" max="4618" width="8.44140625" style="185" customWidth="1"/>
    <col min="4619" max="4619" width="5.5546875" style="185" customWidth="1"/>
    <col min="4620" max="4620" width="28.33203125" style="185" customWidth="1"/>
    <col min="4621" max="4621" width="11.33203125" style="185" customWidth="1"/>
    <col min="4622" max="4622" width="13" style="185" customWidth="1"/>
    <col min="4623" max="4623" width="20.33203125" style="185" customWidth="1"/>
    <col min="4624" max="4624" width="10.109375" style="185" customWidth="1"/>
    <col min="4625" max="4625" width="17" style="185" customWidth="1"/>
    <col min="4626" max="4858" width="11.44140625" style="185"/>
    <col min="4859" max="4859" width="1.6640625" style="185" customWidth="1"/>
    <col min="4860" max="4860" width="8.109375" style="185" customWidth="1"/>
    <col min="4861" max="4861" width="6.44140625" style="185" customWidth="1"/>
    <col min="4862" max="4863" width="11.44140625" style="185"/>
    <col min="4864" max="4864" width="19.33203125" style="185" customWidth="1"/>
    <col min="4865" max="4865" width="51.33203125" style="185" customWidth="1"/>
    <col min="4866" max="4866" width="9.109375" style="185" customWidth="1"/>
    <col min="4867" max="4867" width="5.88671875" style="185" customWidth="1"/>
    <col min="4868" max="4868" width="7.6640625" style="185" customWidth="1"/>
    <col min="4869" max="4869" width="7.5546875" style="185" bestFit="1" customWidth="1"/>
    <col min="4870" max="4870" width="7.5546875" style="185" customWidth="1"/>
    <col min="4871" max="4871" width="13.6640625" style="185" customWidth="1"/>
    <col min="4872" max="4872" width="8.88671875" style="185" customWidth="1"/>
    <col min="4873" max="4873" width="19.5546875" style="185" customWidth="1"/>
    <col min="4874" max="4874" width="8.44140625" style="185" customWidth="1"/>
    <col min="4875" max="4875" width="5.5546875" style="185" customWidth="1"/>
    <col min="4876" max="4876" width="28.33203125" style="185" customWidth="1"/>
    <col min="4877" max="4877" width="11.33203125" style="185" customWidth="1"/>
    <col min="4878" max="4878" width="13" style="185" customWidth="1"/>
    <col min="4879" max="4879" width="20.33203125" style="185" customWidth="1"/>
    <col min="4880" max="4880" width="10.109375" style="185" customWidth="1"/>
    <col min="4881" max="4881" width="17" style="185" customWidth="1"/>
    <col min="4882" max="5114" width="11.44140625" style="185"/>
    <col min="5115" max="5115" width="1.6640625" style="185" customWidth="1"/>
    <col min="5116" max="5116" width="8.109375" style="185" customWidth="1"/>
    <col min="5117" max="5117" width="6.44140625" style="185" customWidth="1"/>
    <col min="5118" max="5119" width="11.44140625" style="185"/>
    <col min="5120" max="5120" width="19.33203125" style="185" customWidth="1"/>
    <col min="5121" max="5121" width="51.33203125" style="185" customWidth="1"/>
    <col min="5122" max="5122" width="9.109375" style="185" customWidth="1"/>
    <col min="5123" max="5123" width="5.88671875" style="185" customWidth="1"/>
    <col min="5124" max="5124" width="7.6640625" style="185" customWidth="1"/>
    <col min="5125" max="5125" width="7.5546875" style="185" bestFit="1" customWidth="1"/>
    <col min="5126" max="5126" width="7.5546875" style="185" customWidth="1"/>
    <col min="5127" max="5127" width="13.6640625" style="185" customWidth="1"/>
    <col min="5128" max="5128" width="8.88671875" style="185" customWidth="1"/>
    <col min="5129" max="5129" width="19.5546875" style="185" customWidth="1"/>
    <col min="5130" max="5130" width="8.44140625" style="185" customWidth="1"/>
    <col min="5131" max="5131" width="5.5546875" style="185" customWidth="1"/>
    <col min="5132" max="5132" width="28.33203125" style="185" customWidth="1"/>
    <col min="5133" max="5133" width="11.33203125" style="185" customWidth="1"/>
    <col min="5134" max="5134" width="13" style="185" customWidth="1"/>
    <col min="5135" max="5135" width="20.33203125" style="185" customWidth="1"/>
    <col min="5136" max="5136" width="10.109375" style="185" customWidth="1"/>
    <col min="5137" max="5137" width="17" style="185" customWidth="1"/>
    <col min="5138" max="5370" width="11.44140625" style="185"/>
    <col min="5371" max="5371" width="1.6640625" style="185" customWidth="1"/>
    <col min="5372" max="5372" width="8.109375" style="185" customWidth="1"/>
    <col min="5373" max="5373" width="6.44140625" style="185" customWidth="1"/>
    <col min="5374" max="5375" width="11.44140625" style="185"/>
    <col min="5376" max="5376" width="19.33203125" style="185" customWidth="1"/>
    <col min="5377" max="5377" width="51.33203125" style="185" customWidth="1"/>
    <col min="5378" max="5378" width="9.109375" style="185" customWidth="1"/>
    <col min="5379" max="5379" width="5.88671875" style="185" customWidth="1"/>
    <col min="5380" max="5380" width="7.6640625" style="185" customWidth="1"/>
    <col min="5381" max="5381" width="7.5546875" style="185" bestFit="1" customWidth="1"/>
    <col min="5382" max="5382" width="7.5546875" style="185" customWidth="1"/>
    <col min="5383" max="5383" width="13.6640625" style="185" customWidth="1"/>
    <col min="5384" max="5384" width="8.88671875" style="185" customWidth="1"/>
    <col min="5385" max="5385" width="19.5546875" style="185" customWidth="1"/>
    <col min="5386" max="5386" width="8.44140625" style="185" customWidth="1"/>
    <col min="5387" max="5387" width="5.5546875" style="185" customWidth="1"/>
    <col min="5388" max="5388" width="28.33203125" style="185" customWidth="1"/>
    <col min="5389" max="5389" width="11.33203125" style="185" customWidth="1"/>
    <col min="5390" max="5390" width="13" style="185" customWidth="1"/>
    <col min="5391" max="5391" width="20.33203125" style="185" customWidth="1"/>
    <col min="5392" max="5392" width="10.109375" style="185" customWidth="1"/>
    <col min="5393" max="5393" width="17" style="185" customWidth="1"/>
    <col min="5394" max="5626" width="11.44140625" style="185"/>
    <col min="5627" max="5627" width="1.6640625" style="185" customWidth="1"/>
    <col min="5628" max="5628" width="8.109375" style="185" customWidth="1"/>
    <col min="5629" max="5629" width="6.44140625" style="185" customWidth="1"/>
    <col min="5630" max="5631" width="11.44140625" style="185"/>
    <col min="5632" max="5632" width="19.33203125" style="185" customWidth="1"/>
    <col min="5633" max="5633" width="51.33203125" style="185" customWidth="1"/>
    <col min="5634" max="5634" width="9.109375" style="185" customWidth="1"/>
    <col min="5635" max="5635" width="5.88671875" style="185" customWidth="1"/>
    <col min="5636" max="5636" width="7.6640625" style="185" customWidth="1"/>
    <col min="5637" max="5637" width="7.5546875" style="185" bestFit="1" customWidth="1"/>
    <col min="5638" max="5638" width="7.5546875" style="185" customWidth="1"/>
    <col min="5639" max="5639" width="13.6640625" style="185" customWidth="1"/>
    <col min="5640" max="5640" width="8.88671875" style="185" customWidth="1"/>
    <col min="5641" max="5641" width="19.5546875" style="185" customWidth="1"/>
    <col min="5642" max="5642" width="8.44140625" style="185" customWidth="1"/>
    <col min="5643" max="5643" width="5.5546875" style="185" customWidth="1"/>
    <col min="5644" max="5644" width="28.33203125" style="185" customWidth="1"/>
    <col min="5645" max="5645" width="11.33203125" style="185" customWidth="1"/>
    <col min="5646" max="5646" width="13" style="185" customWidth="1"/>
    <col min="5647" max="5647" width="20.33203125" style="185" customWidth="1"/>
    <col min="5648" max="5648" width="10.109375" style="185" customWidth="1"/>
    <col min="5649" max="5649" width="17" style="185" customWidth="1"/>
    <col min="5650" max="5882" width="11.44140625" style="185"/>
    <col min="5883" max="5883" width="1.6640625" style="185" customWidth="1"/>
    <col min="5884" max="5884" width="8.109375" style="185" customWidth="1"/>
    <col min="5885" max="5885" width="6.44140625" style="185" customWidth="1"/>
    <col min="5886" max="5887" width="11.44140625" style="185"/>
    <col min="5888" max="5888" width="19.33203125" style="185" customWidth="1"/>
    <col min="5889" max="5889" width="51.33203125" style="185" customWidth="1"/>
    <col min="5890" max="5890" width="9.109375" style="185" customWidth="1"/>
    <col min="5891" max="5891" width="5.88671875" style="185" customWidth="1"/>
    <col min="5892" max="5892" width="7.6640625" style="185" customWidth="1"/>
    <col min="5893" max="5893" width="7.5546875" style="185" bestFit="1" customWidth="1"/>
    <col min="5894" max="5894" width="7.5546875" style="185" customWidth="1"/>
    <col min="5895" max="5895" width="13.6640625" style="185" customWidth="1"/>
    <col min="5896" max="5896" width="8.88671875" style="185" customWidth="1"/>
    <col min="5897" max="5897" width="19.5546875" style="185" customWidth="1"/>
    <col min="5898" max="5898" width="8.44140625" style="185" customWidth="1"/>
    <col min="5899" max="5899" width="5.5546875" style="185" customWidth="1"/>
    <col min="5900" max="5900" width="28.33203125" style="185" customWidth="1"/>
    <col min="5901" max="5901" width="11.33203125" style="185" customWidth="1"/>
    <col min="5902" max="5902" width="13" style="185" customWidth="1"/>
    <col min="5903" max="5903" width="20.33203125" style="185" customWidth="1"/>
    <col min="5904" max="5904" width="10.109375" style="185" customWidth="1"/>
    <col min="5905" max="5905" width="17" style="185" customWidth="1"/>
    <col min="5906" max="6138" width="11.44140625" style="185"/>
    <col min="6139" max="6139" width="1.6640625" style="185" customWidth="1"/>
    <col min="6140" max="6140" width="8.109375" style="185" customWidth="1"/>
    <col min="6141" max="6141" width="6.44140625" style="185" customWidth="1"/>
    <col min="6142" max="6143" width="11.44140625" style="185"/>
    <col min="6144" max="6144" width="19.33203125" style="185" customWidth="1"/>
    <col min="6145" max="6145" width="51.33203125" style="185" customWidth="1"/>
    <col min="6146" max="6146" width="9.109375" style="185" customWidth="1"/>
    <col min="6147" max="6147" width="5.88671875" style="185" customWidth="1"/>
    <col min="6148" max="6148" width="7.6640625" style="185" customWidth="1"/>
    <col min="6149" max="6149" width="7.5546875" style="185" bestFit="1" customWidth="1"/>
    <col min="6150" max="6150" width="7.5546875" style="185" customWidth="1"/>
    <col min="6151" max="6151" width="13.6640625" style="185" customWidth="1"/>
    <col min="6152" max="6152" width="8.88671875" style="185" customWidth="1"/>
    <col min="6153" max="6153" width="19.5546875" style="185" customWidth="1"/>
    <col min="6154" max="6154" width="8.44140625" style="185" customWidth="1"/>
    <col min="6155" max="6155" width="5.5546875" style="185" customWidth="1"/>
    <col min="6156" max="6156" width="28.33203125" style="185" customWidth="1"/>
    <col min="6157" max="6157" width="11.33203125" style="185" customWidth="1"/>
    <col min="6158" max="6158" width="13" style="185" customWidth="1"/>
    <col min="6159" max="6159" width="20.33203125" style="185" customWidth="1"/>
    <col min="6160" max="6160" width="10.109375" style="185" customWidth="1"/>
    <col min="6161" max="6161" width="17" style="185" customWidth="1"/>
    <col min="6162" max="6394" width="11.44140625" style="185"/>
    <col min="6395" max="6395" width="1.6640625" style="185" customWidth="1"/>
    <col min="6396" max="6396" width="8.109375" style="185" customWidth="1"/>
    <col min="6397" max="6397" width="6.44140625" style="185" customWidth="1"/>
    <col min="6398" max="6399" width="11.44140625" style="185"/>
    <col min="6400" max="6400" width="19.33203125" style="185" customWidth="1"/>
    <col min="6401" max="6401" width="51.33203125" style="185" customWidth="1"/>
    <col min="6402" max="6402" width="9.109375" style="185" customWidth="1"/>
    <col min="6403" max="6403" width="5.88671875" style="185" customWidth="1"/>
    <col min="6404" max="6404" width="7.6640625" style="185" customWidth="1"/>
    <col min="6405" max="6405" width="7.5546875" style="185" bestFit="1" customWidth="1"/>
    <col min="6406" max="6406" width="7.5546875" style="185" customWidth="1"/>
    <col min="6407" max="6407" width="13.6640625" style="185" customWidth="1"/>
    <col min="6408" max="6408" width="8.88671875" style="185" customWidth="1"/>
    <col min="6409" max="6409" width="19.5546875" style="185" customWidth="1"/>
    <col min="6410" max="6410" width="8.44140625" style="185" customWidth="1"/>
    <col min="6411" max="6411" width="5.5546875" style="185" customWidth="1"/>
    <col min="6412" max="6412" width="28.33203125" style="185" customWidth="1"/>
    <col min="6413" max="6413" width="11.33203125" style="185" customWidth="1"/>
    <col min="6414" max="6414" width="13" style="185" customWidth="1"/>
    <col min="6415" max="6415" width="20.33203125" style="185" customWidth="1"/>
    <col min="6416" max="6416" width="10.109375" style="185" customWidth="1"/>
    <col min="6417" max="6417" width="17" style="185" customWidth="1"/>
    <col min="6418" max="6650" width="11.44140625" style="185"/>
    <col min="6651" max="6651" width="1.6640625" style="185" customWidth="1"/>
    <col min="6652" max="6652" width="8.109375" style="185" customWidth="1"/>
    <col min="6653" max="6653" width="6.44140625" style="185" customWidth="1"/>
    <col min="6654" max="6655" width="11.44140625" style="185"/>
    <col min="6656" max="6656" width="19.33203125" style="185" customWidth="1"/>
    <col min="6657" max="6657" width="51.33203125" style="185" customWidth="1"/>
    <col min="6658" max="6658" width="9.109375" style="185" customWidth="1"/>
    <col min="6659" max="6659" width="5.88671875" style="185" customWidth="1"/>
    <col min="6660" max="6660" width="7.6640625" style="185" customWidth="1"/>
    <col min="6661" max="6661" width="7.5546875" style="185" bestFit="1" customWidth="1"/>
    <col min="6662" max="6662" width="7.5546875" style="185" customWidth="1"/>
    <col min="6663" max="6663" width="13.6640625" style="185" customWidth="1"/>
    <col min="6664" max="6664" width="8.88671875" style="185" customWidth="1"/>
    <col min="6665" max="6665" width="19.5546875" style="185" customWidth="1"/>
    <col min="6666" max="6666" width="8.44140625" style="185" customWidth="1"/>
    <col min="6667" max="6667" width="5.5546875" style="185" customWidth="1"/>
    <col min="6668" max="6668" width="28.33203125" style="185" customWidth="1"/>
    <col min="6669" max="6669" width="11.33203125" style="185" customWidth="1"/>
    <col min="6670" max="6670" width="13" style="185" customWidth="1"/>
    <col min="6671" max="6671" width="20.33203125" style="185" customWidth="1"/>
    <col min="6672" max="6672" width="10.109375" style="185" customWidth="1"/>
    <col min="6673" max="6673" width="17" style="185" customWidth="1"/>
    <col min="6674" max="6906" width="11.44140625" style="185"/>
    <col min="6907" max="6907" width="1.6640625" style="185" customWidth="1"/>
    <col min="6908" max="6908" width="8.109375" style="185" customWidth="1"/>
    <col min="6909" max="6909" width="6.44140625" style="185" customWidth="1"/>
    <col min="6910" max="6911" width="11.44140625" style="185"/>
    <col min="6912" max="6912" width="19.33203125" style="185" customWidth="1"/>
    <col min="6913" max="6913" width="51.33203125" style="185" customWidth="1"/>
    <col min="6914" max="6914" width="9.109375" style="185" customWidth="1"/>
    <col min="6915" max="6915" width="5.88671875" style="185" customWidth="1"/>
    <col min="6916" max="6916" width="7.6640625" style="185" customWidth="1"/>
    <col min="6917" max="6917" width="7.5546875" style="185" bestFit="1" customWidth="1"/>
    <col min="6918" max="6918" width="7.5546875" style="185" customWidth="1"/>
    <col min="6919" max="6919" width="13.6640625" style="185" customWidth="1"/>
    <col min="6920" max="6920" width="8.88671875" style="185" customWidth="1"/>
    <col min="6921" max="6921" width="19.5546875" style="185" customWidth="1"/>
    <col min="6922" max="6922" width="8.44140625" style="185" customWidth="1"/>
    <col min="6923" max="6923" width="5.5546875" style="185" customWidth="1"/>
    <col min="6924" max="6924" width="28.33203125" style="185" customWidth="1"/>
    <col min="6925" max="6925" width="11.33203125" style="185" customWidth="1"/>
    <col min="6926" max="6926" width="13" style="185" customWidth="1"/>
    <col min="6927" max="6927" width="20.33203125" style="185" customWidth="1"/>
    <col min="6928" max="6928" width="10.109375" style="185" customWidth="1"/>
    <col min="6929" max="6929" width="17" style="185" customWidth="1"/>
    <col min="6930" max="7162" width="11.44140625" style="185"/>
    <col min="7163" max="7163" width="1.6640625" style="185" customWidth="1"/>
    <col min="7164" max="7164" width="8.109375" style="185" customWidth="1"/>
    <col min="7165" max="7165" width="6.44140625" style="185" customWidth="1"/>
    <col min="7166" max="7167" width="11.44140625" style="185"/>
    <col min="7168" max="7168" width="19.33203125" style="185" customWidth="1"/>
    <col min="7169" max="7169" width="51.33203125" style="185" customWidth="1"/>
    <col min="7170" max="7170" width="9.109375" style="185" customWidth="1"/>
    <col min="7171" max="7171" width="5.88671875" style="185" customWidth="1"/>
    <col min="7172" max="7172" width="7.6640625" style="185" customWidth="1"/>
    <col min="7173" max="7173" width="7.5546875" style="185" bestFit="1" customWidth="1"/>
    <col min="7174" max="7174" width="7.5546875" style="185" customWidth="1"/>
    <col min="7175" max="7175" width="13.6640625" style="185" customWidth="1"/>
    <col min="7176" max="7176" width="8.88671875" style="185" customWidth="1"/>
    <col min="7177" max="7177" width="19.5546875" style="185" customWidth="1"/>
    <col min="7178" max="7178" width="8.44140625" style="185" customWidth="1"/>
    <col min="7179" max="7179" width="5.5546875" style="185" customWidth="1"/>
    <col min="7180" max="7180" width="28.33203125" style="185" customWidth="1"/>
    <col min="7181" max="7181" width="11.33203125" style="185" customWidth="1"/>
    <col min="7182" max="7182" width="13" style="185" customWidth="1"/>
    <col min="7183" max="7183" width="20.33203125" style="185" customWidth="1"/>
    <col min="7184" max="7184" width="10.109375" style="185" customWidth="1"/>
    <col min="7185" max="7185" width="17" style="185" customWidth="1"/>
    <col min="7186" max="7418" width="11.44140625" style="185"/>
    <col min="7419" max="7419" width="1.6640625" style="185" customWidth="1"/>
    <col min="7420" max="7420" width="8.109375" style="185" customWidth="1"/>
    <col min="7421" max="7421" width="6.44140625" style="185" customWidth="1"/>
    <col min="7422" max="7423" width="11.44140625" style="185"/>
    <col min="7424" max="7424" width="19.33203125" style="185" customWidth="1"/>
    <col min="7425" max="7425" width="51.33203125" style="185" customWidth="1"/>
    <col min="7426" max="7426" width="9.109375" style="185" customWidth="1"/>
    <col min="7427" max="7427" width="5.88671875" style="185" customWidth="1"/>
    <col min="7428" max="7428" width="7.6640625" style="185" customWidth="1"/>
    <col min="7429" max="7429" width="7.5546875" style="185" bestFit="1" customWidth="1"/>
    <col min="7430" max="7430" width="7.5546875" style="185" customWidth="1"/>
    <col min="7431" max="7431" width="13.6640625" style="185" customWidth="1"/>
    <col min="7432" max="7432" width="8.88671875" style="185" customWidth="1"/>
    <col min="7433" max="7433" width="19.5546875" style="185" customWidth="1"/>
    <col min="7434" max="7434" width="8.44140625" style="185" customWidth="1"/>
    <col min="7435" max="7435" width="5.5546875" style="185" customWidth="1"/>
    <col min="7436" max="7436" width="28.33203125" style="185" customWidth="1"/>
    <col min="7437" max="7437" width="11.33203125" style="185" customWidth="1"/>
    <col min="7438" max="7438" width="13" style="185" customWidth="1"/>
    <col min="7439" max="7439" width="20.33203125" style="185" customWidth="1"/>
    <col min="7440" max="7440" width="10.109375" style="185" customWidth="1"/>
    <col min="7441" max="7441" width="17" style="185" customWidth="1"/>
    <col min="7442" max="7674" width="11.44140625" style="185"/>
    <col min="7675" max="7675" width="1.6640625" style="185" customWidth="1"/>
    <col min="7676" max="7676" width="8.109375" style="185" customWidth="1"/>
    <col min="7677" max="7677" width="6.44140625" style="185" customWidth="1"/>
    <col min="7678" max="7679" width="11.44140625" style="185"/>
    <col min="7680" max="7680" width="19.33203125" style="185" customWidth="1"/>
    <col min="7681" max="7681" width="51.33203125" style="185" customWidth="1"/>
    <col min="7682" max="7682" width="9.109375" style="185" customWidth="1"/>
    <col min="7683" max="7683" width="5.88671875" style="185" customWidth="1"/>
    <col min="7684" max="7684" width="7.6640625" style="185" customWidth="1"/>
    <col min="7685" max="7685" width="7.5546875" style="185" bestFit="1" customWidth="1"/>
    <col min="7686" max="7686" width="7.5546875" style="185" customWidth="1"/>
    <col min="7687" max="7687" width="13.6640625" style="185" customWidth="1"/>
    <col min="7688" max="7688" width="8.88671875" style="185" customWidth="1"/>
    <col min="7689" max="7689" width="19.5546875" style="185" customWidth="1"/>
    <col min="7690" max="7690" width="8.44140625" style="185" customWidth="1"/>
    <col min="7691" max="7691" width="5.5546875" style="185" customWidth="1"/>
    <col min="7692" max="7692" width="28.33203125" style="185" customWidth="1"/>
    <col min="7693" max="7693" width="11.33203125" style="185" customWidth="1"/>
    <col min="7694" max="7694" width="13" style="185" customWidth="1"/>
    <col min="7695" max="7695" width="20.33203125" style="185" customWidth="1"/>
    <col min="7696" max="7696" width="10.109375" style="185" customWidth="1"/>
    <col min="7697" max="7697" width="17" style="185" customWidth="1"/>
    <col min="7698" max="7930" width="11.44140625" style="185"/>
    <col min="7931" max="7931" width="1.6640625" style="185" customWidth="1"/>
    <col min="7932" max="7932" width="8.109375" style="185" customWidth="1"/>
    <col min="7933" max="7933" width="6.44140625" style="185" customWidth="1"/>
    <col min="7934" max="7935" width="11.44140625" style="185"/>
    <col min="7936" max="7936" width="19.33203125" style="185" customWidth="1"/>
    <col min="7937" max="7937" width="51.33203125" style="185" customWidth="1"/>
    <col min="7938" max="7938" width="9.109375" style="185" customWidth="1"/>
    <col min="7939" max="7939" width="5.88671875" style="185" customWidth="1"/>
    <col min="7940" max="7940" width="7.6640625" style="185" customWidth="1"/>
    <col min="7941" max="7941" width="7.5546875" style="185" bestFit="1" customWidth="1"/>
    <col min="7942" max="7942" width="7.5546875" style="185" customWidth="1"/>
    <col min="7943" max="7943" width="13.6640625" style="185" customWidth="1"/>
    <col min="7944" max="7944" width="8.88671875" style="185" customWidth="1"/>
    <col min="7945" max="7945" width="19.5546875" style="185" customWidth="1"/>
    <col min="7946" max="7946" width="8.44140625" style="185" customWidth="1"/>
    <col min="7947" max="7947" width="5.5546875" style="185" customWidth="1"/>
    <col min="7948" max="7948" width="28.33203125" style="185" customWidth="1"/>
    <col min="7949" max="7949" width="11.33203125" style="185" customWidth="1"/>
    <col min="7950" max="7950" width="13" style="185" customWidth="1"/>
    <col min="7951" max="7951" width="20.33203125" style="185" customWidth="1"/>
    <col min="7952" max="7952" width="10.109375" style="185" customWidth="1"/>
    <col min="7953" max="7953" width="17" style="185" customWidth="1"/>
    <col min="7954" max="8186" width="11.44140625" style="185"/>
    <col min="8187" max="8187" width="1.6640625" style="185" customWidth="1"/>
    <col min="8188" max="8188" width="8.109375" style="185" customWidth="1"/>
    <col min="8189" max="8189" width="6.44140625" style="185" customWidth="1"/>
    <col min="8190" max="8191" width="11.44140625" style="185"/>
    <col min="8192" max="8192" width="19.33203125" style="185" customWidth="1"/>
    <col min="8193" max="8193" width="51.33203125" style="185" customWidth="1"/>
    <col min="8194" max="8194" width="9.109375" style="185" customWidth="1"/>
    <col min="8195" max="8195" width="5.88671875" style="185" customWidth="1"/>
    <col min="8196" max="8196" width="7.6640625" style="185" customWidth="1"/>
    <col min="8197" max="8197" width="7.5546875" style="185" bestFit="1" customWidth="1"/>
    <col min="8198" max="8198" width="7.5546875" style="185" customWidth="1"/>
    <col min="8199" max="8199" width="13.6640625" style="185" customWidth="1"/>
    <col min="8200" max="8200" width="8.88671875" style="185" customWidth="1"/>
    <col min="8201" max="8201" width="19.5546875" style="185" customWidth="1"/>
    <col min="8202" max="8202" width="8.44140625" style="185" customWidth="1"/>
    <col min="8203" max="8203" width="5.5546875" style="185" customWidth="1"/>
    <col min="8204" max="8204" width="28.33203125" style="185" customWidth="1"/>
    <col min="8205" max="8205" width="11.33203125" style="185" customWidth="1"/>
    <col min="8206" max="8206" width="13" style="185" customWidth="1"/>
    <col min="8207" max="8207" width="20.33203125" style="185" customWidth="1"/>
    <col min="8208" max="8208" width="10.109375" style="185" customWidth="1"/>
    <col min="8209" max="8209" width="17" style="185" customWidth="1"/>
    <col min="8210" max="8442" width="11.44140625" style="185"/>
    <col min="8443" max="8443" width="1.6640625" style="185" customWidth="1"/>
    <col min="8444" max="8444" width="8.109375" style="185" customWidth="1"/>
    <col min="8445" max="8445" width="6.44140625" style="185" customWidth="1"/>
    <col min="8446" max="8447" width="11.44140625" style="185"/>
    <col min="8448" max="8448" width="19.33203125" style="185" customWidth="1"/>
    <col min="8449" max="8449" width="51.33203125" style="185" customWidth="1"/>
    <col min="8450" max="8450" width="9.109375" style="185" customWidth="1"/>
    <col min="8451" max="8451" width="5.88671875" style="185" customWidth="1"/>
    <col min="8452" max="8452" width="7.6640625" style="185" customWidth="1"/>
    <col min="8453" max="8453" width="7.5546875" style="185" bestFit="1" customWidth="1"/>
    <col min="8454" max="8454" width="7.5546875" style="185" customWidth="1"/>
    <col min="8455" max="8455" width="13.6640625" style="185" customWidth="1"/>
    <col min="8456" max="8456" width="8.88671875" style="185" customWidth="1"/>
    <col min="8457" max="8457" width="19.5546875" style="185" customWidth="1"/>
    <col min="8458" max="8458" width="8.44140625" style="185" customWidth="1"/>
    <col min="8459" max="8459" width="5.5546875" style="185" customWidth="1"/>
    <col min="8460" max="8460" width="28.33203125" style="185" customWidth="1"/>
    <col min="8461" max="8461" width="11.33203125" style="185" customWidth="1"/>
    <col min="8462" max="8462" width="13" style="185" customWidth="1"/>
    <col min="8463" max="8463" width="20.33203125" style="185" customWidth="1"/>
    <col min="8464" max="8464" width="10.109375" style="185" customWidth="1"/>
    <col min="8465" max="8465" width="17" style="185" customWidth="1"/>
    <col min="8466" max="8698" width="11.44140625" style="185"/>
    <col min="8699" max="8699" width="1.6640625" style="185" customWidth="1"/>
    <col min="8700" max="8700" width="8.109375" style="185" customWidth="1"/>
    <col min="8701" max="8701" width="6.44140625" style="185" customWidth="1"/>
    <col min="8702" max="8703" width="11.44140625" style="185"/>
    <col min="8704" max="8704" width="19.33203125" style="185" customWidth="1"/>
    <col min="8705" max="8705" width="51.33203125" style="185" customWidth="1"/>
    <col min="8706" max="8706" width="9.109375" style="185" customWidth="1"/>
    <col min="8707" max="8707" width="5.88671875" style="185" customWidth="1"/>
    <col min="8708" max="8708" width="7.6640625" style="185" customWidth="1"/>
    <col min="8709" max="8709" width="7.5546875" style="185" bestFit="1" customWidth="1"/>
    <col min="8710" max="8710" width="7.5546875" style="185" customWidth="1"/>
    <col min="8711" max="8711" width="13.6640625" style="185" customWidth="1"/>
    <col min="8712" max="8712" width="8.88671875" style="185" customWidth="1"/>
    <col min="8713" max="8713" width="19.5546875" style="185" customWidth="1"/>
    <col min="8714" max="8714" width="8.44140625" style="185" customWidth="1"/>
    <col min="8715" max="8715" width="5.5546875" style="185" customWidth="1"/>
    <col min="8716" max="8716" width="28.33203125" style="185" customWidth="1"/>
    <col min="8717" max="8717" width="11.33203125" style="185" customWidth="1"/>
    <col min="8718" max="8718" width="13" style="185" customWidth="1"/>
    <col min="8719" max="8719" width="20.33203125" style="185" customWidth="1"/>
    <col min="8720" max="8720" width="10.109375" style="185" customWidth="1"/>
    <col min="8721" max="8721" width="17" style="185" customWidth="1"/>
    <col min="8722" max="8954" width="11.44140625" style="185"/>
    <col min="8955" max="8955" width="1.6640625" style="185" customWidth="1"/>
    <col min="8956" max="8956" width="8.109375" style="185" customWidth="1"/>
    <col min="8957" max="8957" width="6.44140625" style="185" customWidth="1"/>
    <col min="8958" max="8959" width="11.44140625" style="185"/>
    <col min="8960" max="8960" width="19.33203125" style="185" customWidth="1"/>
    <col min="8961" max="8961" width="51.33203125" style="185" customWidth="1"/>
    <col min="8962" max="8962" width="9.109375" style="185" customWidth="1"/>
    <col min="8963" max="8963" width="5.88671875" style="185" customWidth="1"/>
    <col min="8964" max="8964" width="7.6640625" style="185" customWidth="1"/>
    <col min="8965" max="8965" width="7.5546875" style="185" bestFit="1" customWidth="1"/>
    <col min="8966" max="8966" width="7.5546875" style="185" customWidth="1"/>
    <col min="8967" max="8967" width="13.6640625" style="185" customWidth="1"/>
    <col min="8968" max="8968" width="8.88671875" style="185" customWidth="1"/>
    <col min="8969" max="8969" width="19.5546875" style="185" customWidth="1"/>
    <col min="8970" max="8970" width="8.44140625" style="185" customWidth="1"/>
    <col min="8971" max="8971" width="5.5546875" style="185" customWidth="1"/>
    <col min="8972" max="8972" width="28.33203125" style="185" customWidth="1"/>
    <col min="8973" max="8973" width="11.33203125" style="185" customWidth="1"/>
    <col min="8974" max="8974" width="13" style="185" customWidth="1"/>
    <col min="8975" max="8975" width="20.33203125" style="185" customWidth="1"/>
    <col min="8976" max="8976" width="10.109375" style="185" customWidth="1"/>
    <col min="8977" max="8977" width="17" style="185" customWidth="1"/>
    <col min="8978" max="9210" width="11.44140625" style="185"/>
    <col min="9211" max="9211" width="1.6640625" style="185" customWidth="1"/>
    <col min="9212" max="9212" width="8.109375" style="185" customWidth="1"/>
    <col min="9213" max="9213" width="6.44140625" style="185" customWidth="1"/>
    <col min="9214" max="9215" width="11.44140625" style="185"/>
    <col min="9216" max="9216" width="19.33203125" style="185" customWidth="1"/>
    <col min="9217" max="9217" width="51.33203125" style="185" customWidth="1"/>
    <col min="9218" max="9218" width="9.109375" style="185" customWidth="1"/>
    <col min="9219" max="9219" width="5.88671875" style="185" customWidth="1"/>
    <col min="9220" max="9220" width="7.6640625" style="185" customWidth="1"/>
    <col min="9221" max="9221" width="7.5546875" style="185" bestFit="1" customWidth="1"/>
    <col min="9222" max="9222" width="7.5546875" style="185" customWidth="1"/>
    <col min="9223" max="9223" width="13.6640625" style="185" customWidth="1"/>
    <col min="9224" max="9224" width="8.88671875" style="185" customWidth="1"/>
    <col min="9225" max="9225" width="19.5546875" style="185" customWidth="1"/>
    <col min="9226" max="9226" width="8.44140625" style="185" customWidth="1"/>
    <col min="9227" max="9227" width="5.5546875" style="185" customWidth="1"/>
    <col min="9228" max="9228" width="28.33203125" style="185" customWidth="1"/>
    <col min="9229" max="9229" width="11.33203125" style="185" customWidth="1"/>
    <col min="9230" max="9230" width="13" style="185" customWidth="1"/>
    <col min="9231" max="9231" width="20.33203125" style="185" customWidth="1"/>
    <col min="9232" max="9232" width="10.109375" style="185" customWidth="1"/>
    <col min="9233" max="9233" width="17" style="185" customWidth="1"/>
    <col min="9234" max="9466" width="11.44140625" style="185"/>
    <col min="9467" max="9467" width="1.6640625" style="185" customWidth="1"/>
    <col min="9468" max="9468" width="8.109375" style="185" customWidth="1"/>
    <col min="9469" max="9469" width="6.44140625" style="185" customWidth="1"/>
    <col min="9470" max="9471" width="11.44140625" style="185"/>
    <col min="9472" max="9472" width="19.33203125" style="185" customWidth="1"/>
    <col min="9473" max="9473" width="51.33203125" style="185" customWidth="1"/>
    <col min="9474" max="9474" width="9.109375" style="185" customWidth="1"/>
    <col min="9475" max="9475" width="5.88671875" style="185" customWidth="1"/>
    <col min="9476" max="9476" width="7.6640625" style="185" customWidth="1"/>
    <col min="9477" max="9477" width="7.5546875" style="185" bestFit="1" customWidth="1"/>
    <col min="9478" max="9478" width="7.5546875" style="185" customWidth="1"/>
    <col min="9479" max="9479" width="13.6640625" style="185" customWidth="1"/>
    <col min="9480" max="9480" width="8.88671875" style="185" customWidth="1"/>
    <col min="9481" max="9481" width="19.5546875" style="185" customWidth="1"/>
    <col min="9482" max="9482" width="8.44140625" style="185" customWidth="1"/>
    <col min="9483" max="9483" width="5.5546875" style="185" customWidth="1"/>
    <col min="9484" max="9484" width="28.33203125" style="185" customWidth="1"/>
    <col min="9485" max="9485" width="11.33203125" style="185" customWidth="1"/>
    <col min="9486" max="9486" width="13" style="185" customWidth="1"/>
    <col min="9487" max="9487" width="20.33203125" style="185" customWidth="1"/>
    <col min="9488" max="9488" width="10.109375" style="185" customWidth="1"/>
    <col min="9489" max="9489" width="17" style="185" customWidth="1"/>
    <col min="9490" max="9722" width="11.44140625" style="185"/>
    <col min="9723" max="9723" width="1.6640625" style="185" customWidth="1"/>
    <col min="9724" max="9724" width="8.109375" style="185" customWidth="1"/>
    <col min="9725" max="9725" width="6.44140625" style="185" customWidth="1"/>
    <col min="9726" max="9727" width="11.44140625" style="185"/>
    <col min="9728" max="9728" width="19.33203125" style="185" customWidth="1"/>
    <col min="9729" max="9729" width="51.33203125" style="185" customWidth="1"/>
    <col min="9730" max="9730" width="9.109375" style="185" customWidth="1"/>
    <col min="9731" max="9731" width="5.88671875" style="185" customWidth="1"/>
    <col min="9732" max="9732" width="7.6640625" style="185" customWidth="1"/>
    <col min="9733" max="9733" width="7.5546875" style="185" bestFit="1" customWidth="1"/>
    <col min="9734" max="9734" width="7.5546875" style="185" customWidth="1"/>
    <col min="9735" max="9735" width="13.6640625" style="185" customWidth="1"/>
    <col min="9736" max="9736" width="8.88671875" style="185" customWidth="1"/>
    <col min="9737" max="9737" width="19.5546875" style="185" customWidth="1"/>
    <col min="9738" max="9738" width="8.44140625" style="185" customWidth="1"/>
    <col min="9739" max="9739" width="5.5546875" style="185" customWidth="1"/>
    <col min="9740" max="9740" width="28.33203125" style="185" customWidth="1"/>
    <col min="9741" max="9741" width="11.33203125" style="185" customWidth="1"/>
    <col min="9742" max="9742" width="13" style="185" customWidth="1"/>
    <col min="9743" max="9743" width="20.33203125" style="185" customWidth="1"/>
    <col min="9744" max="9744" width="10.109375" style="185" customWidth="1"/>
    <col min="9745" max="9745" width="17" style="185" customWidth="1"/>
    <col min="9746" max="9978" width="11.44140625" style="185"/>
    <col min="9979" max="9979" width="1.6640625" style="185" customWidth="1"/>
    <col min="9980" max="9980" width="8.109375" style="185" customWidth="1"/>
    <col min="9981" max="9981" width="6.44140625" style="185" customWidth="1"/>
    <col min="9982" max="9983" width="11.44140625" style="185"/>
    <col min="9984" max="9984" width="19.33203125" style="185" customWidth="1"/>
    <col min="9985" max="9985" width="51.33203125" style="185" customWidth="1"/>
    <col min="9986" max="9986" width="9.109375" style="185" customWidth="1"/>
    <col min="9987" max="9987" width="5.88671875" style="185" customWidth="1"/>
    <col min="9988" max="9988" width="7.6640625" style="185" customWidth="1"/>
    <col min="9989" max="9989" width="7.5546875" style="185" bestFit="1" customWidth="1"/>
    <col min="9990" max="9990" width="7.5546875" style="185" customWidth="1"/>
    <col min="9991" max="9991" width="13.6640625" style="185" customWidth="1"/>
    <col min="9992" max="9992" width="8.88671875" style="185" customWidth="1"/>
    <col min="9993" max="9993" width="19.5546875" style="185" customWidth="1"/>
    <col min="9994" max="9994" width="8.44140625" style="185" customWidth="1"/>
    <col min="9995" max="9995" width="5.5546875" style="185" customWidth="1"/>
    <col min="9996" max="9996" width="28.33203125" style="185" customWidth="1"/>
    <col min="9997" max="9997" width="11.33203125" style="185" customWidth="1"/>
    <col min="9998" max="9998" width="13" style="185" customWidth="1"/>
    <col min="9999" max="9999" width="20.33203125" style="185" customWidth="1"/>
    <col min="10000" max="10000" width="10.109375" style="185" customWidth="1"/>
    <col min="10001" max="10001" width="17" style="185" customWidth="1"/>
    <col min="10002" max="10234" width="11.44140625" style="185"/>
    <col min="10235" max="10235" width="1.6640625" style="185" customWidth="1"/>
    <col min="10236" max="10236" width="8.109375" style="185" customWidth="1"/>
    <col min="10237" max="10237" width="6.44140625" style="185" customWidth="1"/>
    <col min="10238" max="10239" width="11.44140625" style="185"/>
    <col min="10240" max="10240" width="19.33203125" style="185" customWidth="1"/>
    <col min="10241" max="10241" width="51.33203125" style="185" customWidth="1"/>
    <col min="10242" max="10242" width="9.109375" style="185" customWidth="1"/>
    <col min="10243" max="10243" width="5.88671875" style="185" customWidth="1"/>
    <col min="10244" max="10244" width="7.6640625" style="185" customWidth="1"/>
    <col min="10245" max="10245" width="7.5546875" style="185" bestFit="1" customWidth="1"/>
    <col min="10246" max="10246" width="7.5546875" style="185" customWidth="1"/>
    <col min="10247" max="10247" width="13.6640625" style="185" customWidth="1"/>
    <col min="10248" max="10248" width="8.88671875" style="185" customWidth="1"/>
    <col min="10249" max="10249" width="19.5546875" style="185" customWidth="1"/>
    <col min="10250" max="10250" width="8.44140625" style="185" customWidth="1"/>
    <col min="10251" max="10251" width="5.5546875" style="185" customWidth="1"/>
    <col min="10252" max="10252" width="28.33203125" style="185" customWidth="1"/>
    <col min="10253" max="10253" width="11.33203125" style="185" customWidth="1"/>
    <col min="10254" max="10254" width="13" style="185" customWidth="1"/>
    <col min="10255" max="10255" width="20.33203125" style="185" customWidth="1"/>
    <col min="10256" max="10256" width="10.109375" style="185" customWidth="1"/>
    <col min="10257" max="10257" width="17" style="185" customWidth="1"/>
    <col min="10258" max="10490" width="11.44140625" style="185"/>
    <col min="10491" max="10491" width="1.6640625" style="185" customWidth="1"/>
    <col min="10492" max="10492" width="8.109375" style="185" customWidth="1"/>
    <col min="10493" max="10493" width="6.44140625" style="185" customWidth="1"/>
    <col min="10494" max="10495" width="11.44140625" style="185"/>
    <col min="10496" max="10496" width="19.33203125" style="185" customWidth="1"/>
    <col min="10497" max="10497" width="51.33203125" style="185" customWidth="1"/>
    <col min="10498" max="10498" width="9.109375" style="185" customWidth="1"/>
    <col min="10499" max="10499" width="5.88671875" style="185" customWidth="1"/>
    <col min="10500" max="10500" width="7.6640625" style="185" customWidth="1"/>
    <col min="10501" max="10501" width="7.5546875" style="185" bestFit="1" customWidth="1"/>
    <col min="10502" max="10502" width="7.5546875" style="185" customWidth="1"/>
    <col min="10503" max="10503" width="13.6640625" style="185" customWidth="1"/>
    <col min="10504" max="10504" width="8.88671875" style="185" customWidth="1"/>
    <col min="10505" max="10505" width="19.5546875" style="185" customWidth="1"/>
    <col min="10506" max="10506" width="8.44140625" style="185" customWidth="1"/>
    <col min="10507" max="10507" width="5.5546875" style="185" customWidth="1"/>
    <col min="10508" max="10508" width="28.33203125" style="185" customWidth="1"/>
    <col min="10509" max="10509" width="11.33203125" style="185" customWidth="1"/>
    <col min="10510" max="10510" width="13" style="185" customWidth="1"/>
    <col min="10511" max="10511" width="20.33203125" style="185" customWidth="1"/>
    <col min="10512" max="10512" width="10.109375" style="185" customWidth="1"/>
    <col min="10513" max="10513" width="17" style="185" customWidth="1"/>
    <col min="10514" max="10746" width="11.44140625" style="185"/>
    <col min="10747" max="10747" width="1.6640625" style="185" customWidth="1"/>
    <col min="10748" max="10748" width="8.109375" style="185" customWidth="1"/>
    <col min="10749" max="10749" width="6.44140625" style="185" customWidth="1"/>
    <col min="10750" max="10751" width="11.44140625" style="185"/>
    <col min="10752" max="10752" width="19.33203125" style="185" customWidth="1"/>
    <col min="10753" max="10753" width="51.33203125" style="185" customWidth="1"/>
    <col min="10754" max="10754" width="9.109375" style="185" customWidth="1"/>
    <col min="10755" max="10755" width="5.88671875" style="185" customWidth="1"/>
    <col min="10756" max="10756" width="7.6640625" style="185" customWidth="1"/>
    <col min="10757" max="10757" width="7.5546875" style="185" bestFit="1" customWidth="1"/>
    <col min="10758" max="10758" width="7.5546875" style="185" customWidth="1"/>
    <col min="10759" max="10759" width="13.6640625" style="185" customWidth="1"/>
    <col min="10760" max="10760" width="8.88671875" style="185" customWidth="1"/>
    <col min="10761" max="10761" width="19.5546875" style="185" customWidth="1"/>
    <col min="10762" max="10762" width="8.44140625" style="185" customWidth="1"/>
    <col min="10763" max="10763" width="5.5546875" style="185" customWidth="1"/>
    <col min="10764" max="10764" width="28.33203125" style="185" customWidth="1"/>
    <col min="10765" max="10765" width="11.33203125" style="185" customWidth="1"/>
    <col min="10766" max="10766" width="13" style="185" customWidth="1"/>
    <col min="10767" max="10767" width="20.33203125" style="185" customWidth="1"/>
    <col min="10768" max="10768" width="10.109375" style="185" customWidth="1"/>
    <col min="10769" max="10769" width="17" style="185" customWidth="1"/>
    <col min="10770" max="11002" width="11.44140625" style="185"/>
    <col min="11003" max="11003" width="1.6640625" style="185" customWidth="1"/>
    <col min="11004" max="11004" width="8.109375" style="185" customWidth="1"/>
    <col min="11005" max="11005" width="6.44140625" style="185" customWidth="1"/>
    <col min="11006" max="11007" width="11.44140625" style="185"/>
    <col min="11008" max="11008" width="19.33203125" style="185" customWidth="1"/>
    <col min="11009" max="11009" width="51.33203125" style="185" customWidth="1"/>
    <col min="11010" max="11010" width="9.109375" style="185" customWidth="1"/>
    <col min="11011" max="11011" width="5.88671875" style="185" customWidth="1"/>
    <col min="11012" max="11012" width="7.6640625" style="185" customWidth="1"/>
    <col min="11013" max="11013" width="7.5546875" style="185" bestFit="1" customWidth="1"/>
    <col min="11014" max="11014" width="7.5546875" style="185" customWidth="1"/>
    <col min="11015" max="11015" width="13.6640625" style="185" customWidth="1"/>
    <col min="11016" max="11016" width="8.88671875" style="185" customWidth="1"/>
    <col min="11017" max="11017" width="19.5546875" style="185" customWidth="1"/>
    <col min="11018" max="11018" width="8.44140625" style="185" customWidth="1"/>
    <col min="11019" max="11019" width="5.5546875" style="185" customWidth="1"/>
    <col min="11020" max="11020" width="28.33203125" style="185" customWidth="1"/>
    <col min="11021" max="11021" width="11.33203125" style="185" customWidth="1"/>
    <col min="11022" max="11022" width="13" style="185" customWidth="1"/>
    <col min="11023" max="11023" width="20.33203125" style="185" customWidth="1"/>
    <col min="11024" max="11024" width="10.109375" style="185" customWidth="1"/>
    <col min="11025" max="11025" width="17" style="185" customWidth="1"/>
    <col min="11026" max="11258" width="11.44140625" style="185"/>
    <col min="11259" max="11259" width="1.6640625" style="185" customWidth="1"/>
    <col min="11260" max="11260" width="8.109375" style="185" customWidth="1"/>
    <col min="11261" max="11261" width="6.44140625" style="185" customWidth="1"/>
    <col min="11262" max="11263" width="11.44140625" style="185"/>
    <col min="11264" max="11264" width="19.33203125" style="185" customWidth="1"/>
    <col min="11265" max="11265" width="51.33203125" style="185" customWidth="1"/>
    <col min="11266" max="11266" width="9.109375" style="185" customWidth="1"/>
    <col min="11267" max="11267" width="5.88671875" style="185" customWidth="1"/>
    <col min="11268" max="11268" width="7.6640625" style="185" customWidth="1"/>
    <col min="11269" max="11269" width="7.5546875" style="185" bestFit="1" customWidth="1"/>
    <col min="11270" max="11270" width="7.5546875" style="185" customWidth="1"/>
    <col min="11271" max="11271" width="13.6640625" style="185" customWidth="1"/>
    <col min="11272" max="11272" width="8.88671875" style="185" customWidth="1"/>
    <col min="11273" max="11273" width="19.5546875" style="185" customWidth="1"/>
    <col min="11274" max="11274" width="8.44140625" style="185" customWidth="1"/>
    <col min="11275" max="11275" width="5.5546875" style="185" customWidth="1"/>
    <col min="11276" max="11276" width="28.33203125" style="185" customWidth="1"/>
    <col min="11277" max="11277" width="11.33203125" style="185" customWidth="1"/>
    <col min="11278" max="11278" width="13" style="185" customWidth="1"/>
    <col min="11279" max="11279" width="20.33203125" style="185" customWidth="1"/>
    <col min="11280" max="11280" width="10.109375" style="185" customWidth="1"/>
    <col min="11281" max="11281" width="17" style="185" customWidth="1"/>
    <col min="11282" max="11514" width="11.44140625" style="185"/>
    <col min="11515" max="11515" width="1.6640625" style="185" customWidth="1"/>
    <col min="11516" max="11516" width="8.109375" style="185" customWidth="1"/>
    <col min="11517" max="11517" width="6.44140625" style="185" customWidth="1"/>
    <col min="11518" max="11519" width="11.44140625" style="185"/>
    <col min="11520" max="11520" width="19.33203125" style="185" customWidth="1"/>
    <col min="11521" max="11521" width="51.33203125" style="185" customWidth="1"/>
    <col min="11522" max="11522" width="9.109375" style="185" customWidth="1"/>
    <col min="11523" max="11523" width="5.88671875" style="185" customWidth="1"/>
    <col min="11524" max="11524" width="7.6640625" style="185" customWidth="1"/>
    <col min="11525" max="11525" width="7.5546875" style="185" bestFit="1" customWidth="1"/>
    <col min="11526" max="11526" width="7.5546875" style="185" customWidth="1"/>
    <col min="11527" max="11527" width="13.6640625" style="185" customWidth="1"/>
    <col min="11528" max="11528" width="8.88671875" style="185" customWidth="1"/>
    <col min="11529" max="11529" width="19.5546875" style="185" customWidth="1"/>
    <col min="11530" max="11530" width="8.44140625" style="185" customWidth="1"/>
    <col min="11531" max="11531" width="5.5546875" style="185" customWidth="1"/>
    <col min="11532" max="11532" width="28.33203125" style="185" customWidth="1"/>
    <col min="11533" max="11533" width="11.33203125" style="185" customWidth="1"/>
    <col min="11534" max="11534" width="13" style="185" customWidth="1"/>
    <col min="11535" max="11535" width="20.33203125" style="185" customWidth="1"/>
    <col min="11536" max="11536" width="10.109375" style="185" customWidth="1"/>
    <col min="11537" max="11537" width="17" style="185" customWidth="1"/>
    <col min="11538" max="11770" width="11.44140625" style="185"/>
    <col min="11771" max="11771" width="1.6640625" style="185" customWidth="1"/>
    <col min="11772" max="11772" width="8.109375" style="185" customWidth="1"/>
    <col min="11773" max="11773" width="6.44140625" style="185" customWidth="1"/>
    <col min="11774" max="11775" width="11.44140625" style="185"/>
    <col min="11776" max="11776" width="19.33203125" style="185" customWidth="1"/>
    <col min="11777" max="11777" width="51.33203125" style="185" customWidth="1"/>
    <col min="11778" max="11778" width="9.109375" style="185" customWidth="1"/>
    <col min="11779" max="11779" width="5.88671875" style="185" customWidth="1"/>
    <col min="11780" max="11780" width="7.6640625" style="185" customWidth="1"/>
    <col min="11781" max="11781" width="7.5546875" style="185" bestFit="1" customWidth="1"/>
    <col min="11782" max="11782" width="7.5546875" style="185" customWidth="1"/>
    <col min="11783" max="11783" width="13.6640625" style="185" customWidth="1"/>
    <col min="11784" max="11784" width="8.88671875" style="185" customWidth="1"/>
    <col min="11785" max="11785" width="19.5546875" style="185" customWidth="1"/>
    <col min="11786" max="11786" width="8.44140625" style="185" customWidth="1"/>
    <col min="11787" max="11787" width="5.5546875" style="185" customWidth="1"/>
    <col min="11788" max="11788" width="28.33203125" style="185" customWidth="1"/>
    <col min="11789" max="11789" width="11.33203125" style="185" customWidth="1"/>
    <col min="11790" max="11790" width="13" style="185" customWidth="1"/>
    <col min="11791" max="11791" width="20.33203125" style="185" customWidth="1"/>
    <col min="11792" max="11792" width="10.109375" style="185" customWidth="1"/>
    <col min="11793" max="11793" width="17" style="185" customWidth="1"/>
    <col min="11794" max="12026" width="11.44140625" style="185"/>
    <col min="12027" max="12027" width="1.6640625" style="185" customWidth="1"/>
    <col min="12028" max="12028" width="8.109375" style="185" customWidth="1"/>
    <col min="12029" max="12029" width="6.44140625" style="185" customWidth="1"/>
    <col min="12030" max="12031" width="11.44140625" style="185"/>
    <col min="12032" max="12032" width="19.33203125" style="185" customWidth="1"/>
    <col min="12033" max="12033" width="51.33203125" style="185" customWidth="1"/>
    <col min="12034" max="12034" width="9.109375" style="185" customWidth="1"/>
    <col min="12035" max="12035" width="5.88671875" style="185" customWidth="1"/>
    <col min="12036" max="12036" width="7.6640625" style="185" customWidth="1"/>
    <col min="12037" max="12037" width="7.5546875" style="185" bestFit="1" customWidth="1"/>
    <col min="12038" max="12038" width="7.5546875" style="185" customWidth="1"/>
    <col min="12039" max="12039" width="13.6640625" style="185" customWidth="1"/>
    <col min="12040" max="12040" width="8.88671875" style="185" customWidth="1"/>
    <col min="12041" max="12041" width="19.5546875" style="185" customWidth="1"/>
    <col min="12042" max="12042" width="8.44140625" style="185" customWidth="1"/>
    <col min="12043" max="12043" width="5.5546875" style="185" customWidth="1"/>
    <col min="12044" max="12044" width="28.33203125" style="185" customWidth="1"/>
    <col min="12045" max="12045" width="11.33203125" style="185" customWidth="1"/>
    <col min="12046" max="12046" width="13" style="185" customWidth="1"/>
    <col min="12047" max="12047" width="20.33203125" style="185" customWidth="1"/>
    <col min="12048" max="12048" width="10.109375" style="185" customWidth="1"/>
    <col min="12049" max="12049" width="17" style="185" customWidth="1"/>
    <col min="12050" max="12282" width="11.44140625" style="185"/>
    <col min="12283" max="12283" width="1.6640625" style="185" customWidth="1"/>
    <col min="12284" max="12284" width="8.109375" style="185" customWidth="1"/>
    <col min="12285" max="12285" width="6.44140625" style="185" customWidth="1"/>
    <col min="12286" max="12287" width="11.44140625" style="185"/>
    <col min="12288" max="12288" width="19.33203125" style="185" customWidth="1"/>
    <col min="12289" max="12289" width="51.33203125" style="185" customWidth="1"/>
    <col min="12290" max="12290" width="9.109375" style="185" customWidth="1"/>
    <col min="12291" max="12291" width="5.88671875" style="185" customWidth="1"/>
    <col min="12292" max="12292" width="7.6640625" style="185" customWidth="1"/>
    <col min="12293" max="12293" width="7.5546875" style="185" bestFit="1" customWidth="1"/>
    <col min="12294" max="12294" width="7.5546875" style="185" customWidth="1"/>
    <col min="12295" max="12295" width="13.6640625" style="185" customWidth="1"/>
    <col min="12296" max="12296" width="8.88671875" style="185" customWidth="1"/>
    <col min="12297" max="12297" width="19.5546875" style="185" customWidth="1"/>
    <col min="12298" max="12298" width="8.44140625" style="185" customWidth="1"/>
    <col min="12299" max="12299" width="5.5546875" style="185" customWidth="1"/>
    <col min="12300" max="12300" width="28.33203125" style="185" customWidth="1"/>
    <col min="12301" max="12301" width="11.33203125" style="185" customWidth="1"/>
    <col min="12302" max="12302" width="13" style="185" customWidth="1"/>
    <col min="12303" max="12303" width="20.33203125" style="185" customWidth="1"/>
    <col min="12304" max="12304" width="10.109375" style="185" customWidth="1"/>
    <col min="12305" max="12305" width="17" style="185" customWidth="1"/>
    <col min="12306" max="12538" width="11.44140625" style="185"/>
    <col min="12539" max="12539" width="1.6640625" style="185" customWidth="1"/>
    <col min="12540" max="12540" width="8.109375" style="185" customWidth="1"/>
    <col min="12541" max="12541" width="6.44140625" style="185" customWidth="1"/>
    <col min="12542" max="12543" width="11.44140625" style="185"/>
    <col min="12544" max="12544" width="19.33203125" style="185" customWidth="1"/>
    <col min="12545" max="12545" width="51.33203125" style="185" customWidth="1"/>
    <col min="12546" max="12546" width="9.109375" style="185" customWidth="1"/>
    <col min="12547" max="12547" width="5.88671875" style="185" customWidth="1"/>
    <col min="12548" max="12548" width="7.6640625" style="185" customWidth="1"/>
    <col min="12549" max="12549" width="7.5546875" style="185" bestFit="1" customWidth="1"/>
    <col min="12550" max="12550" width="7.5546875" style="185" customWidth="1"/>
    <col min="12551" max="12551" width="13.6640625" style="185" customWidth="1"/>
    <col min="12552" max="12552" width="8.88671875" style="185" customWidth="1"/>
    <col min="12553" max="12553" width="19.5546875" style="185" customWidth="1"/>
    <col min="12554" max="12554" width="8.44140625" style="185" customWidth="1"/>
    <col min="12555" max="12555" width="5.5546875" style="185" customWidth="1"/>
    <col min="12556" max="12556" width="28.33203125" style="185" customWidth="1"/>
    <col min="12557" max="12557" width="11.33203125" style="185" customWidth="1"/>
    <col min="12558" max="12558" width="13" style="185" customWidth="1"/>
    <col min="12559" max="12559" width="20.33203125" style="185" customWidth="1"/>
    <col min="12560" max="12560" width="10.109375" style="185" customWidth="1"/>
    <col min="12561" max="12561" width="17" style="185" customWidth="1"/>
    <col min="12562" max="12794" width="11.44140625" style="185"/>
    <col min="12795" max="12795" width="1.6640625" style="185" customWidth="1"/>
    <col min="12796" max="12796" width="8.109375" style="185" customWidth="1"/>
    <col min="12797" max="12797" width="6.44140625" style="185" customWidth="1"/>
    <col min="12798" max="12799" width="11.44140625" style="185"/>
    <col min="12800" max="12800" width="19.33203125" style="185" customWidth="1"/>
    <col min="12801" max="12801" width="51.33203125" style="185" customWidth="1"/>
    <col min="12802" max="12802" width="9.109375" style="185" customWidth="1"/>
    <col min="12803" max="12803" width="5.88671875" style="185" customWidth="1"/>
    <col min="12804" max="12804" width="7.6640625" style="185" customWidth="1"/>
    <col min="12805" max="12805" width="7.5546875" style="185" bestFit="1" customWidth="1"/>
    <col min="12806" max="12806" width="7.5546875" style="185" customWidth="1"/>
    <col min="12807" max="12807" width="13.6640625" style="185" customWidth="1"/>
    <col min="12808" max="12808" width="8.88671875" style="185" customWidth="1"/>
    <col min="12809" max="12809" width="19.5546875" style="185" customWidth="1"/>
    <col min="12810" max="12810" width="8.44140625" style="185" customWidth="1"/>
    <col min="12811" max="12811" width="5.5546875" style="185" customWidth="1"/>
    <col min="12812" max="12812" width="28.33203125" style="185" customWidth="1"/>
    <col min="12813" max="12813" width="11.33203125" style="185" customWidth="1"/>
    <col min="12814" max="12814" width="13" style="185" customWidth="1"/>
    <col min="12815" max="12815" width="20.33203125" style="185" customWidth="1"/>
    <col min="12816" max="12816" width="10.109375" style="185" customWidth="1"/>
    <col min="12817" max="12817" width="17" style="185" customWidth="1"/>
    <col min="12818" max="13050" width="11.44140625" style="185"/>
    <col min="13051" max="13051" width="1.6640625" style="185" customWidth="1"/>
    <col min="13052" max="13052" width="8.109375" style="185" customWidth="1"/>
    <col min="13053" max="13053" width="6.44140625" style="185" customWidth="1"/>
    <col min="13054" max="13055" width="11.44140625" style="185"/>
    <col min="13056" max="13056" width="19.33203125" style="185" customWidth="1"/>
    <col min="13057" max="13057" width="51.33203125" style="185" customWidth="1"/>
    <col min="13058" max="13058" width="9.109375" style="185" customWidth="1"/>
    <col min="13059" max="13059" width="5.88671875" style="185" customWidth="1"/>
    <col min="13060" max="13060" width="7.6640625" style="185" customWidth="1"/>
    <col min="13061" max="13061" width="7.5546875" style="185" bestFit="1" customWidth="1"/>
    <col min="13062" max="13062" width="7.5546875" style="185" customWidth="1"/>
    <col min="13063" max="13063" width="13.6640625" style="185" customWidth="1"/>
    <col min="13064" max="13064" width="8.88671875" style="185" customWidth="1"/>
    <col min="13065" max="13065" width="19.5546875" style="185" customWidth="1"/>
    <col min="13066" max="13066" width="8.44140625" style="185" customWidth="1"/>
    <col min="13067" max="13067" width="5.5546875" style="185" customWidth="1"/>
    <col min="13068" max="13068" width="28.33203125" style="185" customWidth="1"/>
    <col min="13069" max="13069" width="11.33203125" style="185" customWidth="1"/>
    <col min="13070" max="13070" width="13" style="185" customWidth="1"/>
    <col min="13071" max="13071" width="20.33203125" style="185" customWidth="1"/>
    <col min="13072" max="13072" width="10.109375" style="185" customWidth="1"/>
    <col min="13073" max="13073" width="17" style="185" customWidth="1"/>
    <col min="13074" max="13306" width="11.44140625" style="185"/>
    <col min="13307" max="13307" width="1.6640625" style="185" customWidth="1"/>
    <col min="13308" max="13308" width="8.109375" style="185" customWidth="1"/>
    <col min="13309" max="13309" width="6.44140625" style="185" customWidth="1"/>
    <col min="13310" max="13311" width="11.44140625" style="185"/>
    <col min="13312" max="13312" width="19.33203125" style="185" customWidth="1"/>
    <col min="13313" max="13313" width="51.33203125" style="185" customWidth="1"/>
    <col min="13314" max="13314" width="9.109375" style="185" customWidth="1"/>
    <col min="13315" max="13315" width="5.88671875" style="185" customWidth="1"/>
    <col min="13316" max="13316" width="7.6640625" style="185" customWidth="1"/>
    <col min="13317" max="13317" width="7.5546875" style="185" bestFit="1" customWidth="1"/>
    <col min="13318" max="13318" width="7.5546875" style="185" customWidth="1"/>
    <col min="13319" max="13319" width="13.6640625" style="185" customWidth="1"/>
    <col min="13320" max="13320" width="8.88671875" style="185" customWidth="1"/>
    <col min="13321" max="13321" width="19.5546875" style="185" customWidth="1"/>
    <col min="13322" max="13322" width="8.44140625" style="185" customWidth="1"/>
    <col min="13323" max="13323" width="5.5546875" style="185" customWidth="1"/>
    <col min="13324" max="13324" width="28.33203125" style="185" customWidth="1"/>
    <col min="13325" max="13325" width="11.33203125" style="185" customWidth="1"/>
    <col min="13326" max="13326" width="13" style="185" customWidth="1"/>
    <col min="13327" max="13327" width="20.33203125" style="185" customWidth="1"/>
    <col min="13328" max="13328" width="10.109375" style="185" customWidth="1"/>
    <col min="13329" max="13329" width="17" style="185" customWidth="1"/>
    <col min="13330" max="13562" width="11.44140625" style="185"/>
    <col min="13563" max="13563" width="1.6640625" style="185" customWidth="1"/>
    <col min="13564" max="13564" width="8.109375" style="185" customWidth="1"/>
    <col min="13565" max="13565" width="6.44140625" style="185" customWidth="1"/>
    <col min="13566" max="13567" width="11.44140625" style="185"/>
    <col min="13568" max="13568" width="19.33203125" style="185" customWidth="1"/>
    <col min="13569" max="13569" width="51.33203125" style="185" customWidth="1"/>
    <col min="13570" max="13570" width="9.109375" style="185" customWidth="1"/>
    <col min="13571" max="13571" width="5.88671875" style="185" customWidth="1"/>
    <col min="13572" max="13572" width="7.6640625" style="185" customWidth="1"/>
    <col min="13573" max="13573" width="7.5546875" style="185" bestFit="1" customWidth="1"/>
    <col min="13574" max="13574" width="7.5546875" style="185" customWidth="1"/>
    <col min="13575" max="13575" width="13.6640625" style="185" customWidth="1"/>
    <col min="13576" max="13576" width="8.88671875" style="185" customWidth="1"/>
    <col min="13577" max="13577" width="19.5546875" style="185" customWidth="1"/>
    <col min="13578" max="13578" width="8.44140625" style="185" customWidth="1"/>
    <col min="13579" max="13579" width="5.5546875" style="185" customWidth="1"/>
    <col min="13580" max="13580" width="28.33203125" style="185" customWidth="1"/>
    <col min="13581" max="13581" width="11.33203125" style="185" customWidth="1"/>
    <col min="13582" max="13582" width="13" style="185" customWidth="1"/>
    <col min="13583" max="13583" width="20.33203125" style="185" customWidth="1"/>
    <col min="13584" max="13584" width="10.109375" style="185" customWidth="1"/>
    <col min="13585" max="13585" width="17" style="185" customWidth="1"/>
    <col min="13586" max="13818" width="11.44140625" style="185"/>
    <col min="13819" max="13819" width="1.6640625" style="185" customWidth="1"/>
    <col min="13820" max="13820" width="8.109375" style="185" customWidth="1"/>
    <col min="13821" max="13821" width="6.44140625" style="185" customWidth="1"/>
    <col min="13822" max="13823" width="11.44140625" style="185"/>
    <col min="13824" max="13824" width="19.33203125" style="185" customWidth="1"/>
    <col min="13825" max="13825" width="51.33203125" style="185" customWidth="1"/>
    <col min="13826" max="13826" width="9.109375" style="185" customWidth="1"/>
    <col min="13827" max="13827" width="5.88671875" style="185" customWidth="1"/>
    <col min="13828" max="13828" width="7.6640625" style="185" customWidth="1"/>
    <col min="13829" max="13829" width="7.5546875" style="185" bestFit="1" customWidth="1"/>
    <col min="13830" max="13830" width="7.5546875" style="185" customWidth="1"/>
    <col min="13831" max="13831" width="13.6640625" style="185" customWidth="1"/>
    <col min="13832" max="13832" width="8.88671875" style="185" customWidth="1"/>
    <col min="13833" max="13833" width="19.5546875" style="185" customWidth="1"/>
    <col min="13834" max="13834" width="8.44140625" style="185" customWidth="1"/>
    <col min="13835" max="13835" width="5.5546875" style="185" customWidth="1"/>
    <col min="13836" max="13836" width="28.33203125" style="185" customWidth="1"/>
    <col min="13837" max="13837" width="11.33203125" style="185" customWidth="1"/>
    <col min="13838" max="13838" width="13" style="185" customWidth="1"/>
    <col min="13839" max="13839" width="20.33203125" style="185" customWidth="1"/>
    <col min="13840" max="13840" width="10.109375" style="185" customWidth="1"/>
    <col min="13841" max="13841" width="17" style="185" customWidth="1"/>
    <col min="13842" max="14074" width="11.44140625" style="185"/>
    <col min="14075" max="14075" width="1.6640625" style="185" customWidth="1"/>
    <col min="14076" max="14076" width="8.109375" style="185" customWidth="1"/>
    <col min="14077" max="14077" width="6.44140625" style="185" customWidth="1"/>
    <col min="14078" max="14079" width="11.44140625" style="185"/>
    <col min="14080" max="14080" width="19.33203125" style="185" customWidth="1"/>
    <col min="14081" max="14081" width="51.33203125" style="185" customWidth="1"/>
    <col min="14082" max="14082" width="9.109375" style="185" customWidth="1"/>
    <col min="14083" max="14083" width="5.88671875" style="185" customWidth="1"/>
    <col min="14084" max="14084" width="7.6640625" style="185" customWidth="1"/>
    <col min="14085" max="14085" width="7.5546875" style="185" bestFit="1" customWidth="1"/>
    <col min="14086" max="14086" width="7.5546875" style="185" customWidth="1"/>
    <col min="14087" max="14087" width="13.6640625" style="185" customWidth="1"/>
    <col min="14088" max="14088" width="8.88671875" style="185" customWidth="1"/>
    <col min="14089" max="14089" width="19.5546875" style="185" customWidth="1"/>
    <col min="14090" max="14090" width="8.44140625" style="185" customWidth="1"/>
    <col min="14091" max="14091" width="5.5546875" style="185" customWidth="1"/>
    <col min="14092" max="14092" width="28.33203125" style="185" customWidth="1"/>
    <col min="14093" max="14093" width="11.33203125" style="185" customWidth="1"/>
    <col min="14094" max="14094" width="13" style="185" customWidth="1"/>
    <col min="14095" max="14095" width="20.33203125" style="185" customWidth="1"/>
    <col min="14096" max="14096" width="10.109375" style="185" customWidth="1"/>
    <col min="14097" max="14097" width="17" style="185" customWidth="1"/>
    <col min="14098" max="14330" width="11.44140625" style="185"/>
    <col min="14331" max="14331" width="1.6640625" style="185" customWidth="1"/>
    <col min="14332" max="14332" width="8.109375" style="185" customWidth="1"/>
    <col min="14333" max="14333" width="6.44140625" style="185" customWidth="1"/>
    <col min="14334" max="14335" width="11.44140625" style="185"/>
    <col min="14336" max="14336" width="19.33203125" style="185" customWidth="1"/>
    <col min="14337" max="14337" width="51.33203125" style="185" customWidth="1"/>
    <col min="14338" max="14338" width="9.109375" style="185" customWidth="1"/>
    <col min="14339" max="14339" width="5.88671875" style="185" customWidth="1"/>
    <col min="14340" max="14340" width="7.6640625" style="185" customWidth="1"/>
    <col min="14341" max="14341" width="7.5546875" style="185" bestFit="1" customWidth="1"/>
    <col min="14342" max="14342" width="7.5546875" style="185" customWidth="1"/>
    <col min="14343" max="14343" width="13.6640625" style="185" customWidth="1"/>
    <col min="14344" max="14344" width="8.88671875" style="185" customWidth="1"/>
    <col min="14345" max="14345" width="19.5546875" style="185" customWidth="1"/>
    <col min="14346" max="14346" width="8.44140625" style="185" customWidth="1"/>
    <col min="14347" max="14347" width="5.5546875" style="185" customWidth="1"/>
    <col min="14348" max="14348" width="28.33203125" style="185" customWidth="1"/>
    <col min="14349" max="14349" width="11.33203125" style="185" customWidth="1"/>
    <col min="14350" max="14350" width="13" style="185" customWidth="1"/>
    <col min="14351" max="14351" width="20.33203125" style="185" customWidth="1"/>
    <col min="14352" max="14352" width="10.109375" style="185" customWidth="1"/>
    <col min="14353" max="14353" width="17" style="185" customWidth="1"/>
    <col min="14354" max="14586" width="11.44140625" style="185"/>
    <col min="14587" max="14587" width="1.6640625" style="185" customWidth="1"/>
    <col min="14588" max="14588" width="8.109375" style="185" customWidth="1"/>
    <col min="14589" max="14589" width="6.44140625" style="185" customWidth="1"/>
    <col min="14590" max="14591" width="11.44140625" style="185"/>
    <col min="14592" max="14592" width="19.33203125" style="185" customWidth="1"/>
    <col min="14593" max="14593" width="51.33203125" style="185" customWidth="1"/>
    <col min="14594" max="14594" width="9.109375" style="185" customWidth="1"/>
    <col min="14595" max="14595" width="5.88671875" style="185" customWidth="1"/>
    <col min="14596" max="14596" width="7.6640625" style="185" customWidth="1"/>
    <col min="14597" max="14597" width="7.5546875" style="185" bestFit="1" customWidth="1"/>
    <col min="14598" max="14598" width="7.5546875" style="185" customWidth="1"/>
    <col min="14599" max="14599" width="13.6640625" style="185" customWidth="1"/>
    <col min="14600" max="14600" width="8.88671875" style="185" customWidth="1"/>
    <col min="14601" max="14601" width="19.5546875" style="185" customWidth="1"/>
    <col min="14602" max="14602" width="8.44140625" style="185" customWidth="1"/>
    <col min="14603" max="14603" width="5.5546875" style="185" customWidth="1"/>
    <col min="14604" max="14604" width="28.33203125" style="185" customWidth="1"/>
    <col min="14605" max="14605" width="11.33203125" style="185" customWidth="1"/>
    <col min="14606" max="14606" width="13" style="185" customWidth="1"/>
    <col min="14607" max="14607" width="20.33203125" style="185" customWidth="1"/>
    <col min="14608" max="14608" width="10.109375" style="185" customWidth="1"/>
    <col min="14609" max="14609" width="17" style="185" customWidth="1"/>
    <col min="14610" max="14842" width="11.44140625" style="185"/>
    <col min="14843" max="14843" width="1.6640625" style="185" customWidth="1"/>
    <col min="14844" max="14844" width="8.109375" style="185" customWidth="1"/>
    <col min="14845" max="14845" width="6.44140625" style="185" customWidth="1"/>
    <col min="14846" max="14847" width="11.44140625" style="185"/>
    <col min="14848" max="14848" width="19.33203125" style="185" customWidth="1"/>
    <col min="14849" max="14849" width="51.33203125" style="185" customWidth="1"/>
    <col min="14850" max="14850" width="9.109375" style="185" customWidth="1"/>
    <col min="14851" max="14851" width="5.88671875" style="185" customWidth="1"/>
    <col min="14852" max="14852" width="7.6640625" style="185" customWidth="1"/>
    <col min="14853" max="14853" width="7.5546875" style="185" bestFit="1" customWidth="1"/>
    <col min="14854" max="14854" width="7.5546875" style="185" customWidth="1"/>
    <col min="14855" max="14855" width="13.6640625" style="185" customWidth="1"/>
    <col min="14856" max="14856" width="8.88671875" style="185" customWidth="1"/>
    <col min="14857" max="14857" width="19.5546875" style="185" customWidth="1"/>
    <col min="14858" max="14858" width="8.44140625" style="185" customWidth="1"/>
    <col min="14859" max="14859" width="5.5546875" style="185" customWidth="1"/>
    <col min="14860" max="14860" width="28.33203125" style="185" customWidth="1"/>
    <col min="14861" max="14861" width="11.33203125" style="185" customWidth="1"/>
    <col min="14862" max="14862" width="13" style="185" customWidth="1"/>
    <col min="14863" max="14863" width="20.33203125" style="185" customWidth="1"/>
    <col min="14864" max="14864" width="10.109375" style="185" customWidth="1"/>
    <col min="14865" max="14865" width="17" style="185" customWidth="1"/>
    <col min="14866" max="15098" width="11.44140625" style="185"/>
    <col min="15099" max="15099" width="1.6640625" style="185" customWidth="1"/>
    <col min="15100" max="15100" width="8.109375" style="185" customWidth="1"/>
    <col min="15101" max="15101" width="6.44140625" style="185" customWidth="1"/>
    <col min="15102" max="15103" width="11.44140625" style="185"/>
    <col min="15104" max="15104" width="19.33203125" style="185" customWidth="1"/>
    <col min="15105" max="15105" width="51.33203125" style="185" customWidth="1"/>
    <col min="15106" max="15106" width="9.109375" style="185" customWidth="1"/>
    <col min="15107" max="15107" width="5.88671875" style="185" customWidth="1"/>
    <col min="15108" max="15108" width="7.6640625" style="185" customWidth="1"/>
    <col min="15109" max="15109" width="7.5546875" style="185" bestFit="1" customWidth="1"/>
    <col min="15110" max="15110" width="7.5546875" style="185" customWidth="1"/>
    <col min="15111" max="15111" width="13.6640625" style="185" customWidth="1"/>
    <col min="15112" max="15112" width="8.88671875" style="185" customWidth="1"/>
    <col min="15113" max="15113" width="19.5546875" style="185" customWidth="1"/>
    <col min="15114" max="15114" width="8.44140625" style="185" customWidth="1"/>
    <col min="15115" max="15115" width="5.5546875" style="185" customWidth="1"/>
    <col min="15116" max="15116" width="28.33203125" style="185" customWidth="1"/>
    <col min="15117" max="15117" width="11.33203125" style="185" customWidth="1"/>
    <col min="15118" max="15118" width="13" style="185" customWidth="1"/>
    <col min="15119" max="15119" width="20.33203125" style="185" customWidth="1"/>
    <col min="15120" max="15120" width="10.109375" style="185" customWidth="1"/>
    <col min="15121" max="15121" width="17" style="185" customWidth="1"/>
    <col min="15122" max="15354" width="11.44140625" style="185"/>
    <col min="15355" max="15355" width="1.6640625" style="185" customWidth="1"/>
    <col min="15356" max="15356" width="8.109375" style="185" customWidth="1"/>
    <col min="15357" max="15357" width="6.44140625" style="185" customWidth="1"/>
    <col min="15358" max="15359" width="11.44140625" style="185"/>
    <col min="15360" max="15360" width="19.33203125" style="185" customWidth="1"/>
    <col min="15361" max="15361" width="51.33203125" style="185" customWidth="1"/>
    <col min="15362" max="15362" width="9.109375" style="185" customWidth="1"/>
    <col min="15363" max="15363" width="5.88671875" style="185" customWidth="1"/>
    <col min="15364" max="15364" width="7.6640625" style="185" customWidth="1"/>
    <col min="15365" max="15365" width="7.5546875" style="185" bestFit="1" customWidth="1"/>
    <col min="15366" max="15366" width="7.5546875" style="185" customWidth="1"/>
    <col min="15367" max="15367" width="13.6640625" style="185" customWidth="1"/>
    <col min="15368" max="15368" width="8.88671875" style="185" customWidth="1"/>
    <col min="15369" max="15369" width="19.5546875" style="185" customWidth="1"/>
    <col min="15370" max="15370" width="8.44140625" style="185" customWidth="1"/>
    <col min="15371" max="15371" width="5.5546875" style="185" customWidth="1"/>
    <col min="15372" max="15372" width="28.33203125" style="185" customWidth="1"/>
    <col min="15373" max="15373" width="11.33203125" style="185" customWidth="1"/>
    <col min="15374" max="15374" width="13" style="185" customWidth="1"/>
    <col min="15375" max="15375" width="20.33203125" style="185" customWidth="1"/>
    <col min="15376" max="15376" width="10.109375" style="185" customWidth="1"/>
    <col min="15377" max="15377" width="17" style="185" customWidth="1"/>
    <col min="15378" max="15610" width="11.44140625" style="185"/>
    <col min="15611" max="15611" width="1.6640625" style="185" customWidth="1"/>
    <col min="15612" max="15612" width="8.109375" style="185" customWidth="1"/>
    <col min="15613" max="15613" width="6.44140625" style="185" customWidth="1"/>
    <col min="15614" max="15615" width="11.44140625" style="185"/>
    <col min="15616" max="15616" width="19.33203125" style="185" customWidth="1"/>
    <col min="15617" max="15617" width="51.33203125" style="185" customWidth="1"/>
    <col min="15618" max="15618" width="9.109375" style="185" customWidth="1"/>
    <col min="15619" max="15619" width="5.88671875" style="185" customWidth="1"/>
    <col min="15620" max="15620" width="7.6640625" style="185" customWidth="1"/>
    <col min="15621" max="15621" width="7.5546875" style="185" bestFit="1" customWidth="1"/>
    <col min="15622" max="15622" width="7.5546875" style="185" customWidth="1"/>
    <col min="15623" max="15623" width="13.6640625" style="185" customWidth="1"/>
    <col min="15624" max="15624" width="8.88671875" style="185" customWidth="1"/>
    <col min="15625" max="15625" width="19.5546875" style="185" customWidth="1"/>
    <col min="15626" max="15626" width="8.44140625" style="185" customWidth="1"/>
    <col min="15627" max="15627" width="5.5546875" style="185" customWidth="1"/>
    <col min="15628" max="15628" width="28.33203125" style="185" customWidth="1"/>
    <col min="15629" max="15629" width="11.33203125" style="185" customWidth="1"/>
    <col min="15630" max="15630" width="13" style="185" customWidth="1"/>
    <col min="15631" max="15631" width="20.33203125" style="185" customWidth="1"/>
    <col min="15632" max="15632" width="10.109375" style="185" customWidth="1"/>
    <col min="15633" max="15633" width="17" style="185" customWidth="1"/>
    <col min="15634" max="15866" width="11.44140625" style="185"/>
    <col min="15867" max="15867" width="1.6640625" style="185" customWidth="1"/>
    <col min="15868" max="15868" width="8.109375" style="185" customWidth="1"/>
    <col min="15869" max="15869" width="6.44140625" style="185" customWidth="1"/>
    <col min="15870" max="15871" width="11.44140625" style="185"/>
    <col min="15872" max="15872" width="19.33203125" style="185" customWidth="1"/>
    <col min="15873" max="15873" width="51.33203125" style="185" customWidth="1"/>
    <col min="15874" max="15874" width="9.109375" style="185" customWidth="1"/>
    <col min="15875" max="15875" width="5.88671875" style="185" customWidth="1"/>
    <col min="15876" max="15876" width="7.6640625" style="185" customWidth="1"/>
    <col min="15877" max="15877" width="7.5546875" style="185" bestFit="1" customWidth="1"/>
    <col min="15878" max="15878" width="7.5546875" style="185" customWidth="1"/>
    <col min="15879" max="15879" width="13.6640625" style="185" customWidth="1"/>
    <col min="15880" max="15880" width="8.88671875" style="185" customWidth="1"/>
    <col min="15881" max="15881" width="19.5546875" style="185" customWidth="1"/>
    <col min="15882" max="15882" width="8.44140625" style="185" customWidth="1"/>
    <col min="15883" max="15883" width="5.5546875" style="185" customWidth="1"/>
    <col min="15884" max="15884" width="28.33203125" style="185" customWidth="1"/>
    <col min="15885" max="15885" width="11.33203125" style="185" customWidth="1"/>
    <col min="15886" max="15886" width="13" style="185" customWidth="1"/>
    <col min="15887" max="15887" width="20.33203125" style="185" customWidth="1"/>
    <col min="15888" max="15888" width="10.109375" style="185" customWidth="1"/>
    <col min="15889" max="15889" width="17" style="185" customWidth="1"/>
    <col min="15890" max="16122" width="11.44140625" style="185"/>
    <col min="16123" max="16123" width="1.6640625" style="185" customWidth="1"/>
    <col min="16124" max="16124" width="8.109375" style="185" customWidth="1"/>
    <col min="16125" max="16125" width="6.44140625" style="185" customWidth="1"/>
    <col min="16126" max="16127" width="11.44140625" style="185"/>
    <col min="16128" max="16128" width="19.33203125" style="185" customWidth="1"/>
    <col min="16129" max="16129" width="51.33203125" style="185" customWidth="1"/>
    <col min="16130" max="16130" width="9.109375" style="185" customWidth="1"/>
    <col min="16131" max="16131" width="5.88671875" style="185" customWidth="1"/>
    <col min="16132" max="16132" width="7.6640625" style="185" customWidth="1"/>
    <col min="16133" max="16133" width="7.5546875" style="185" bestFit="1" customWidth="1"/>
    <col min="16134" max="16134" width="7.5546875" style="185" customWidth="1"/>
    <col min="16135" max="16135" width="13.6640625" style="185" customWidth="1"/>
    <col min="16136" max="16136" width="8.88671875" style="185" customWidth="1"/>
    <col min="16137" max="16137" width="19.5546875" style="185" customWidth="1"/>
    <col min="16138" max="16138" width="8.44140625" style="185" customWidth="1"/>
    <col min="16139" max="16139" width="5.5546875" style="185" customWidth="1"/>
    <col min="16140" max="16140" width="28.33203125" style="185" customWidth="1"/>
    <col min="16141" max="16141" width="11.33203125" style="185" customWidth="1"/>
    <col min="16142" max="16142" width="13" style="185" customWidth="1"/>
    <col min="16143" max="16143" width="20.33203125" style="185" customWidth="1"/>
    <col min="16144" max="16144" width="10.109375" style="185" customWidth="1"/>
    <col min="16145" max="16145" width="17" style="185" customWidth="1"/>
    <col min="16146" max="16384" width="11.44140625" style="185"/>
  </cols>
  <sheetData>
    <row r="2" spans="2:16" ht="14.4" thickBot="1" x14ac:dyDescent="0.3">
      <c r="C2" s="182"/>
      <c r="D2" s="183"/>
      <c r="E2" s="183"/>
      <c r="F2" s="183"/>
      <c r="G2" s="183"/>
      <c r="H2" s="183"/>
      <c r="I2" s="183"/>
      <c r="J2" s="183"/>
      <c r="K2" s="183"/>
      <c r="L2" s="183"/>
      <c r="M2" s="183"/>
      <c r="N2" s="184"/>
      <c r="O2" s="184"/>
    </row>
    <row r="3" spans="2:16" ht="15" customHeight="1" x14ac:dyDescent="0.3">
      <c r="C3" s="762"/>
      <c r="D3" s="763"/>
      <c r="E3" s="763"/>
      <c r="F3" s="767" t="s">
        <v>162</v>
      </c>
      <c r="G3" s="767"/>
      <c r="H3" s="767"/>
      <c r="I3" s="767"/>
      <c r="J3" s="767"/>
      <c r="K3" s="767"/>
      <c r="L3" s="768"/>
      <c r="M3" s="773"/>
      <c r="N3" s="774"/>
      <c r="O3" s="775"/>
    </row>
    <row r="4" spans="2:16" ht="15" customHeight="1" x14ac:dyDescent="0.3">
      <c r="C4" s="764"/>
      <c r="D4" s="720"/>
      <c r="E4" s="720"/>
      <c r="F4" s="769"/>
      <c r="G4" s="769"/>
      <c r="H4" s="769"/>
      <c r="I4" s="769"/>
      <c r="J4" s="769"/>
      <c r="K4" s="769"/>
      <c r="L4" s="770"/>
      <c r="M4" s="776"/>
      <c r="N4" s="777"/>
      <c r="O4" s="778"/>
    </row>
    <row r="5" spans="2:16" ht="15" customHeight="1" x14ac:dyDescent="0.3">
      <c r="C5" s="764"/>
      <c r="D5" s="720"/>
      <c r="E5" s="720"/>
      <c r="F5" s="769"/>
      <c r="G5" s="769"/>
      <c r="H5" s="769"/>
      <c r="I5" s="769"/>
      <c r="J5" s="769"/>
      <c r="K5" s="769"/>
      <c r="L5" s="770"/>
      <c r="M5" s="776"/>
      <c r="N5" s="777"/>
      <c r="O5" s="778"/>
    </row>
    <row r="6" spans="2:16" ht="15.75" customHeight="1" thickBot="1" x14ac:dyDescent="0.35">
      <c r="C6" s="765"/>
      <c r="D6" s="766"/>
      <c r="E6" s="766"/>
      <c r="F6" s="771"/>
      <c r="G6" s="771"/>
      <c r="H6" s="771"/>
      <c r="I6" s="771"/>
      <c r="J6" s="771"/>
      <c r="K6" s="771"/>
      <c r="L6" s="772"/>
      <c r="M6" s="779"/>
      <c r="N6" s="780"/>
      <c r="O6" s="781"/>
    </row>
    <row r="7" spans="2:16" ht="29.25" customHeight="1" thickBot="1" x14ac:dyDescent="0.35">
      <c r="C7" s="782" t="s">
        <v>163</v>
      </c>
      <c r="D7" s="783"/>
      <c r="E7" s="784"/>
      <c r="F7" s="785" t="s">
        <v>6623</v>
      </c>
      <c r="G7" s="786"/>
      <c r="H7" s="786"/>
      <c r="I7" s="786"/>
      <c r="J7" s="786"/>
      <c r="K7" s="786"/>
      <c r="L7" s="786"/>
      <c r="M7" s="786"/>
      <c r="N7" s="786"/>
      <c r="O7" s="787"/>
    </row>
    <row r="8" spans="2:16" x14ac:dyDescent="0.3">
      <c r="D8" s="187"/>
      <c r="E8" s="187"/>
      <c r="F8" s="187"/>
      <c r="G8" s="187"/>
      <c r="H8" s="187"/>
      <c r="I8" s="187"/>
      <c r="J8" s="187"/>
      <c r="K8" s="187"/>
      <c r="L8" s="187"/>
      <c r="M8" s="187"/>
      <c r="N8" s="187"/>
      <c r="O8" s="188"/>
    </row>
    <row r="9" spans="2:16" x14ac:dyDescent="0.3">
      <c r="C9" s="788" t="s">
        <v>164</v>
      </c>
      <c r="D9" s="788"/>
      <c r="E9" s="788"/>
      <c r="F9" s="788"/>
      <c r="G9" s="788"/>
      <c r="H9" s="788"/>
      <c r="I9" s="788"/>
      <c r="J9" s="788"/>
      <c r="K9" s="788"/>
      <c r="L9" s="788"/>
      <c r="M9" s="788"/>
      <c r="N9" s="788"/>
      <c r="O9" s="788"/>
    </row>
    <row r="10" spans="2:16" x14ac:dyDescent="0.3">
      <c r="C10" s="752" t="s">
        <v>165</v>
      </c>
      <c r="D10" s="753"/>
      <c r="E10" s="753"/>
      <c r="F10" s="753"/>
      <c r="G10" s="753"/>
      <c r="H10" s="753"/>
      <c r="I10" s="753"/>
      <c r="J10" s="753"/>
      <c r="K10" s="753"/>
      <c r="L10" s="753"/>
      <c r="M10" s="753"/>
      <c r="N10" s="753"/>
      <c r="O10" s="754"/>
    </row>
    <row r="11" spans="2:16" x14ac:dyDescent="0.3">
      <c r="C11" s="189"/>
      <c r="D11" s="190"/>
      <c r="E11" s="190"/>
      <c r="F11" s="190"/>
      <c r="G11" s="190"/>
      <c r="H11" s="191"/>
      <c r="I11" s="191"/>
      <c r="J11" s="192"/>
      <c r="K11" s="193"/>
      <c r="L11" s="194"/>
      <c r="M11" s="195"/>
      <c r="N11" s="196"/>
      <c r="O11" s="197"/>
    </row>
    <row r="12" spans="2:16" x14ac:dyDescent="0.3">
      <c r="C12" s="198"/>
      <c r="D12" s="199"/>
      <c r="E12" s="199"/>
      <c r="F12" s="199"/>
      <c r="G12" s="200"/>
      <c r="H12" s="200"/>
      <c r="I12" s="199"/>
      <c r="J12" s="199"/>
      <c r="K12" s="755" t="s">
        <v>166</v>
      </c>
      <c r="L12" s="755"/>
      <c r="M12" s="755"/>
      <c r="N12" s="200">
        <f>'CÁLCULO FACTOR MULTIPLICADOR'!E2</f>
        <v>4</v>
      </c>
      <c r="O12" s="201" t="s">
        <v>74</v>
      </c>
    </row>
    <row r="13" spans="2:16" x14ac:dyDescent="0.3">
      <c r="C13" s="756" t="s">
        <v>167</v>
      </c>
      <c r="D13" s="757"/>
      <c r="E13" s="757"/>
      <c r="F13" s="757"/>
      <c r="G13" s="757"/>
      <c r="H13" s="757"/>
      <c r="I13" s="757"/>
      <c r="J13" s="757"/>
      <c r="K13" s="757"/>
      <c r="L13" s="757"/>
      <c r="M13" s="757"/>
      <c r="N13" s="757"/>
      <c r="O13" s="758"/>
    </row>
    <row r="14" spans="2:16" ht="28.8" x14ac:dyDescent="0.3">
      <c r="C14" s="759" t="s">
        <v>168</v>
      </c>
      <c r="D14" s="760"/>
      <c r="E14" s="760"/>
      <c r="F14" s="760"/>
      <c r="G14" s="761"/>
      <c r="H14" s="202" t="s">
        <v>169</v>
      </c>
      <c r="I14" s="203" t="s">
        <v>170</v>
      </c>
      <c r="J14" s="204" t="s">
        <v>171</v>
      </c>
      <c r="K14" s="204" t="s">
        <v>172</v>
      </c>
      <c r="L14" s="205" t="s">
        <v>173</v>
      </c>
      <c r="M14" s="206" t="s">
        <v>174</v>
      </c>
      <c r="N14" s="207" t="s">
        <v>175</v>
      </c>
      <c r="O14" s="206" t="s">
        <v>176</v>
      </c>
    </row>
    <row r="15" spans="2:16" x14ac:dyDescent="0.3">
      <c r="C15" s="210"/>
      <c r="D15" s="746" t="s">
        <v>177</v>
      </c>
      <c r="E15" s="747"/>
      <c r="F15" s="747"/>
      <c r="G15" s="211"/>
      <c r="H15" s="212"/>
      <c r="I15" s="212"/>
      <c r="J15" s="213"/>
      <c r="K15" s="214"/>
      <c r="L15" s="215"/>
      <c r="M15" s="216"/>
      <c r="N15" s="217"/>
      <c r="O15" s="218"/>
      <c r="P15" s="219"/>
    </row>
    <row r="16" spans="2:16" x14ac:dyDescent="0.3">
      <c r="B16" s="185">
        <v>9455</v>
      </c>
      <c r="C16" s="208">
        <v>3</v>
      </c>
      <c r="D16" s="748" t="str">
        <f>+VLOOKUP(B16,'PRECIOS INSUMOS IDU 2025'!$A$1:$E$2794,2,FALSE)</f>
        <v>TARIFA MES - PERSONAL DE OBRA - AYUDANTE (NO INCLUYE FACTOR DE PRESTACIONES)</v>
      </c>
      <c r="E16" s="749"/>
      <c r="F16" s="749"/>
      <c r="G16" s="750"/>
      <c r="H16" s="220" t="str">
        <f>+VLOOKUP(B16,'PRECIOS INSUMOS IDU 2025'!$A$1:$E$2794,3)</f>
        <v>MES</v>
      </c>
      <c r="I16" s="221">
        <v>3</v>
      </c>
      <c r="J16" s="222">
        <v>5</v>
      </c>
      <c r="K16" s="223">
        <v>1</v>
      </c>
      <c r="L16" s="224">
        <f>+K16*J16</f>
        <v>5</v>
      </c>
      <c r="M16" s="225">
        <f>+VLOOKUP(B16,'PRECIOS INSUMOS IDU 2025'!$A$1:$E$2794,4)</f>
        <v>1750905</v>
      </c>
      <c r="N16" s="209">
        <f>'CÁLCULO FACTOR MULTIPLICADOR'!$D$25</f>
        <v>1.58</v>
      </c>
      <c r="O16" s="226">
        <f>ROUND(L16*M16*N16,0)</f>
        <v>13832150</v>
      </c>
      <c r="P16" s="219"/>
    </row>
    <row r="17" spans="2:15" x14ac:dyDescent="0.3">
      <c r="D17" s="227"/>
      <c r="E17" s="227"/>
      <c r="F17" s="227"/>
      <c r="G17" s="227"/>
      <c r="H17" s="751" t="s">
        <v>178</v>
      </c>
      <c r="I17" s="751"/>
      <c r="J17" s="751"/>
      <c r="K17" s="751"/>
      <c r="L17" s="751"/>
      <c r="M17" s="751"/>
      <c r="N17" s="751"/>
      <c r="O17" s="228">
        <f>SUM(O15:O16)</f>
        <v>13832150</v>
      </c>
    </row>
    <row r="18" spans="2:15" x14ac:dyDescent="0.3">
      <c r="D18" s="227"/>
      <c r="E18" s="227"/>
      <c r="F18" s="227"/>
      <c r="G18" s="227"/>
      <c r="H18" s="229"/>
      <c r="I18" s="229"/>
      <c r="J18" s="229"/>
      <c r="K18" s="229"/>
      <c r="L18" s="229"/>
      <c r="M18" s="229"/>
      <c r="N18" s="229"/>
      <c r="O18" s="230"/>
    </row>
    <row r="19" spans="2:15" x14ac:dyDescent="0.3">
      <c r="C19" s="739" t="s">
        <v>179</v>
      </c>
      <c r="D19" s="740"/>
      <c r="E19" s="740"/>
      <c r="F19" s="740"/>
      <c r="G19" s="740"/>
      <c r="H19" s="740"/>
      <c r="I19" s="740"/>
      <c r="J19" s="740"/>
      <c r="K19" s="740"/>
      <c r="L19" s="740"/>
      <c r="M19" s="740"/>
      <c r="N19" s="740"/>
      <c r="O19" s="741"/>
    </row>
    <row r="20" spans="2:15" x14ac:dyDescent="0.3">
      <c r="C20" s="742" t="s">
        <v>168</v>
      </c>
      <c r="D20" s="742"/>
      <c r="E20" s="742"/>
      <c r="F20" s="742"/>
      <c r="G20" s="231" t="s">
        <v>180</v>
      </c>
      <c r="H20" s="231" t="s">
        <v>169</v>
      </c>
      <c r="I20" s="743" t="s">
        <v>14</v>
      </c>
      <c r="J20" s="743"/>
      <c r="K20" s="744" t="s">
        <v>15</v>
      </c>
      <c r="L20" s="744"/>
      <c r="M20" s="744"/>
      <c r="N20" s="745" t="s">
        <v>181</v>
      </c>
      <c r="O20" s="745"/>
    </row>
    <row r="21" spans="2:15" x14ac:dyDescent="0.3">
      <c r="C21" s="232" t="s">
        <v>182</v>
      </c>
      <c r="D21" s="736" t="s">
        <v>183</v>
      </c>
      <c r="E21" s="736"/>
      <c r="F21" s="736"/>
      <c r="G21" s="736"/>
      <c r="H21" s="736"/>
      <c r="I21" s="736"/>
      <c r="J21" s="736"/>
      <c r="K21" s="736"/>
      <c r="L21" s="736"/>
      <c r="M21" s="736"/>
      <c r="N21" s="736"/>
      <c r="O21" s="736"/>
    </row>
    <row r="22" spans="2:15" x14ac:dyDescent="0.3">
      <c r="B22" s="185">
        <v>7559</v>
      </c>
      <c r="C22" s="208">
        <v>1.1000000000000001</v>
      </c>
      <c r="D22" s="725" t="s">
        <v>184</v>
      </c>
      <c r="E22" s="725"/>
      <c r="F22" s="725"/>
      <c r="G22" s="233" t="str">
        <f>+VLOOKUP(B22,'PRECIOS INSUMOS IDU 2025'!$A$1:$E$2794,2)</f>
        <v>TELA VERDE DE CERRAMIENTO (2.10mx250)</v>
      </c>
      <c r="H22" s="220" t="str">
        <f>VLOOKUP(B22,'[115]Insumos sin EBSA'!$G$15:$J$3677,3,0)</f>
        <v>M2</v>
      </c>
      <c r="I22" s="734">
        <v>300</v>
      </c>
      <c r="J22" s="735"/>
      <c r="K22" s="686">
        <f>+VLOOKUP(B22,'PRECIOS INSUMOS IDU 2025'!$A$1:$E$2794,4)</f>
        <v>2763</v>
      </c>
      <c r="L22" s="687"/>
      <c r="M22" s="688"/>
      <c r="N22" s="723">
        <f>ROUND(I22*K22,0)</f>
        <v>828900</v>
      </c>
      <c r="O22" s="723"/>
    </row>
    <row r="23" spans="2:15" x14ac:dyDescent="0.3">
      <c r="B23" s="185">
        <v>7285</v>
      </c>
      <c r="C23" s="208">
        <v>1.2</v>
      </c>
      <c r="D23" s="725" t="s">
        <v>185</v>
      </c>
      <c r="E23" s="725"/>
      <c r="F23" s="725"/>
      <c r="G23" s="233" t="str">
        <f>+VLOOKUP(B23,'PRECIOS INSUMOS IDU 2025'!$A$1:$E$2794,2)</f>
        <v>VARA DE CORREDOR 6.0 M</v>
      </c>
      <c r="H23" s="220" t="str">
        <f>VLOOKUP(B23,'[115]Insumos sin EBSA'!$G$15:$J$3677,3,0)</f>
        <v>UN</v>
      </c>
      <c r="I23" s="734">
        <v>200</v>
      </c>
      <c r="J23" s="735"/>
      <c r="K23" s="686">
        <f>+VLOOKUP(B23,'PRECIOS INSUMOS IDU 2025'!$A$1:$E$2794,4)</f>
        <v>22050</v>
      </c>
      <c r="L23" s="687"/>
      <c r="M23" s="688"/>
      <c r="N23" s="723">
        <f>ROUND(I23*K23,0)</f>
        <v>4410000</v>
      </c>
      <c r="O23" s="723"/>
    </row>
    <row r="24" spans="2:15" x14ac:dyDescent="0.3">
      <c r="C24" s="737"/>
      <c r="D24" s="737"/>
      <c r="E24" s="737"/>
      <c r="F24" s="737"/>
      <c r="G24" s="738"/>
      <c r="H24" s="669" t="s">
        <v>186</v>
      </c>
      <c r="I24" s="669"/>
      <c r="J24" s="669"/>
      <c r="K24" s="669"/>
      <c r="L24" s="669"/>
      <c r="M24" s="669"/>
      <c r="N24" s="703">
        <f>SUM(N22:O23)</f>
        <v>5238900</v>
      </c>
      <c r="O24" s="703"/>
    </row>
    <row r="25" spans="2:15" x14ac:dyDescent="0.3">
      <c r="C25" s="726"/>
      <c r="D25" s="726"/>
      <c r="E25" s="726"/>
      <c r="F25" s="726"/>
      <c r="G25" s="726"/>
      <c r="H25" s="726"/>
      <c r="I25" s="726"/>
      <c r="J25" s="726"/>
      <c r="K25" s="726"/>
      <c r="L25" s="726"/>
      <c r="M25" s="726"/>
      <c r="N25" s="726"/>
      <c r="O25" s="726"/>
    </row>
    <row r="26" spans="2:15" x14ac:dyDescent="0.3">
      <c r="C26" s="739" t="s">
        <v>187</v>
      </c>
      <c r="D26" s="740"/>
      <c r="E26" s="740"/>
      <c r="F26" s="740"/>
      <c r="G26" s="740"/>
      <c r="H26" s="740"/>
      <c r="I26" s="740"/>
      <c r="J26" s="740"/>
      <c r="K26" s="740"/>
      <c r="L26" s="740"/>
      <c r="M26" s="740"/>
      <c r="N26" s="740"/>
      <c r="O26" s="741"/>
    </row>
    <row r="27" spans="2:15" ht="15" customHeight="1" x14ac:dyDescent="0.3">
      <c r="C27" s="742" t="s">
        <v>168</v>
      </c>
      <c r="D27" s="742"/>
      <c r="E27" s="742"/>
      <c r="F27" s="742"/>
      <c r="G27" s="231" t="s">
        <v>180</v>
      </c>
      <c r="H27" s="231" t="s">
        <v>169</v>
      </c>
      <c r="I27" s="743" t="s">
        <v>14</v>
      </c>
      <c r="J27" s="743"/>
      <c r="K27" s="744" t="s">
        <v>15</v>
      </c>
      <c r="L27" s="744"/>
      <c r="M27" s="744"/>
      <c r="N27" s="745" t="s">
        <v>181</v>
      </c>
      <c r="O27" s="745"/>
    </row>
    <row r="28" spans="2:15" ht="15" customHeight="1" x14ac:dyDescent="0.3">
      <c r="C28" s="232" t="s">
        <v>188</v>
      </c>
      <c r="D28" s="736" t="s">
        <v>189</v>
      </c>
      <c r="E28" s="736"/>
      <c r="F28" s="736"/>
      <c r="G28" s="736"/>
      <c r="H28" s="736"/>
      <c r="I28" s="736"/>
      <c r="J28" s="736"/>
      <c r="K28" s="736"/>
      <c r="L28" s="736"/>
      <c r="M28" s="736"/>
      <c r="N28" s="736"/>
      <c r="O28" s="736"/>
    </row>
    <row r="29" spans="2:15" ht="31.5" customHeight="1" x14ac:dyDescent="0.3">
      <c r="B29" s="185">
        <v>9290</v>
      </c>
      <c r="C29" s="208">
        <v>1.1000000000000001</v>
      </c>
      <c r="D29" s="725" t="s">
        <v>190</v>
      </c>
      <c r="E29" s="725"/>
      <c r="F29" s="725"/>
      <c r="G29" s="233" t="str">
        <f>+VLOOKUP(B29,'PRECIOS INSUMOS IDU 2025'!$A$1:$E$2794,2)</f>
        <v>CANECA PLÁSTICA NEGRA DE 55 GALONES CON TAPA PLANA.</v>
      </c>
      <c r="H29" s="220" t="str">
        <f>VLOOKUP(B29,'[115]Insumos sin EBSA'!$G$15:$J$3677,3,0)</f>
        <v>UN</v>
      </c>
      <c r="I29" s="685">
        <v>4</v>
      </c>
      <c r="J29" s="685"/>
      <c r="K29" s="686">
        <f>+VLOOKUP(B29,'PRECIOS INSUMOS IDU 2025'!$A$1:$E$2794,4)</f>
        <v>142496</v>
      </c>
      <c r="L29" s="687"/>
      <c r="M29" s="688"/>
      <c r="N29" s="723">
        <f>ROUND(I29*K29,0)</f>
        <v>569984</v>
      </c>
      <c r="O29" s="723"/>
    </row>
    <row r="30" spans="2:15" ht="15" customHeight="1" x14ac:dyDescent="0.3">
      <c r="C30" s="737"/>
      <c r="D30" s="737"/>
      <c r="E30" s="737"/>
      <c r="F30" s="737"/>
      <c r="G30" s="738"/>
      <c r="H30" s="669" t="s">
        <v>191</v>
      </c>
      <c r="I30" s="669"/>
      <c r="J30" s="669"/>
      <c r="K30" s="669"/>
      <c r="L30" s="669"/>
      <c r="M30" s="669"/>
      <c r="N30" s="703">
        <f>SUM(N29:N29)</f>
        <v>569984</v>
      </c>
      <c r="O30" s="703"/>
    </row>
    <row r="31" spans="2:15" ht="13.5" customHeight="1" x14ac:dyDescent="0.3">
      <c r="C31" s="726"/>
      <c r="D31" s="726"/>
      <c r="E31" s="726"/>
      <c r="F31" s="726"/>
      <c r="G31" s="726"/>
      <c r="H31" s="726"/>
      <c r="I31" s="726"/>
      <c r="J31" s="726"/>
      <c r="K31" s="726"/>
      <c r="L31" s="726"/>
      <c r="M31" s="726"/>
      <c r="N31" s="726"/>
      <c r="O31" s="726"/>
    </row>
    <row r="32" spans="2:15" x14ac:dyDescent="0.3">
      <c r="C32" s="208" t="s">
        <v>192</v>
      </c>
      <c r="D32" s="692" t="s">
        <v>193</v>
      </c>
      <c r="E32" s="692"/>
      <c r="F32" s="692"/>
      <c r="G32" s="692"/>
      <c r="H32" s="692"/>
      <c r="I32" s="692"/>
      <c r="J32" s="692"/>
      <c r="K32" s="692"/>
      <c r="L32" s="692"/>
      <c r="M32" s="692"/>
      <c r="N32" s="692"/>
      <c r="O32" s="692"/>
    </row>
    <row r="33" spans="2:15" ht="14.25" customHeight="1" x14ac:dyDescent="0.3">
      <c r="B33" s="185">
        <v>7556</v>
      </c>
      <c r="C33" s="677">
        <v>2.1</v>
      </c>
      <c r="D33" s="728" t="s">
        <v>194</v>
      </c>
      <c r="E33" s="717"/>
      <c r="F33" s="729"/>
      <c r="G33" s="233" t="str">
        <f>+VLOOKUP(B33,'PRECIOS INSUMOS IDU 2025'!$A$1:$E$2794,2)</f>
        <v>PLASTICO NEGRO CALIBRE 6</v>
      </c>
      <c r="H33" s="220" t="str">
        <f>VLOOKUP(B33,'[115]Insumos sin EBSA'!$G$15:$J$3677,3,0)</f>
        <v>M2</v>
      </c>
      <c r="I33" s="734">
        <f>15*20</f>
        <v>300</v>
      </c>
      <c r="J33" s="735"/>
      <c r="K33" s="686">
        <f>+VLOOKUP(B33,'PRECIOS INSUMOS IDU 2025'!$A$1:$E$2794,4)</f>
        <v>1728</v>
      </c>
      <c r="L33" s="687"/>
      <c r="M33" s="688"/>
      <c r="N33" s="723">
        <f>ROUND(I33*K33,0)</f>
        <v>518400</v>
      </c>
      <c r="O33" s="723"/>
    </row>
    <row r="34" spans="2:15" x14ac:dyDescent="0.3">
      <c r="B34" s="185">
        <v>7554</v>
      </c>
      <c r="C34" s="727"/>
      <c r="D34" s="730"/>
      <c r="E34" s="718"/>
      <c r="F34" s="731"/>
      <c r="G34" s="233" t="str">
        <f>+VLOOKUP(B34,'PRECIOS INSUMOS IDU 2025'!$A$1:$E$2794,2)</f>
        <v>SEÑALIZACION TUBULAR COLOMBINA PLASTICA</v>
      </c>
      <c r="H34" s="220" t="str">
        <f>VLOOKUP(B34,'[115]Insumos sin EBSA'!$G$15:$J$3677,3,0)</f>
        <v>UN</v>
      </c>
      <c r="I34" s="685">
        <v>30</v>
      </c>
      <c r="J34" s="685"/>
      <c r="K34" s="686">
        <f>+VLOOKUP(B34,'PRECIOS INSUMOS IDU 2025'!$A$1:$E$2794,4)</f>
        <v>46520</v>
      </c>
      <c r="L34" s="687"/>
      <c r="M34" s="688"/>
      <c r="N34" s="709">
        <f>ROUND(I34*K34,0)</f>
        <v>1395600</v>
      </c>
      <c r="O34" s="710"/>
    </row>
    <row r="35" spans="2:15" ht="30.75" customHeight="1" x14ac:dyDescent="0.3">
      <c r="B35" s="185">
        <v>7850</v>
      </c>
      <c r="C35" s="678"/>
      <c r="D35" s="732"/>
      <c r="E35" s="719"/>
      <c r="F35" s="733"/>
      <c r="G35" s="233" t="str">
        <f>+VLOOKUP(B35,'PRECIOS INSUMOS IDU 2025'!$A$1:$E$2794,2)</f>
        <v>CINTA PARA SEÑALIZACION DE 500MT X 4" PELIGRO CALIBRE 3.5</v>
      </c>
      <c r="H35" s="220" t="str">
        <f>VLOOKUP(B35,'[115]Insumos sin EBSA'!$G$15:$J$3677,3,0)</f>
        <v>ROLLO</v>
      </c>
      <c r="I35" s="685">
        <f>3*20</f>
        <v>60</v>
      </c>
      <c r="J35" s="685"/>
      <c r="K35" s="686">
        <f>+VLOOKUP(B35,'PRECIOS INSUMOS IDU 2025'!$A$1:$E$2794,4)</f>
        <v>26009</v>
      </c>
      <c r="L35" s="687"/>
      <c r="M35" s="688"/>
      <c r="N35" s="709">
        <f>ROUND(I35*K35,0)</f>
        <v>1560540</v>
      </c>
      <c r="O35" s="710"/>
    </row>
    <row r="36" spans="2:15" ht="15" customHeight="1" x14ac:dyDescent="0.3">
      <c r="D36" s="234"/>
      <c r="E36" s="234"/>
      <c r="F36" s="234"/>
      <c r="G36" s="234"/>
      <c r="H36" s="669" t="s">
        <v>191</v>
      </c>
      <c r="I36" s="669"/>
      <c r="J36" s="669"/>
      <c r="K36" s="669"/>
      <c r="L36" s="669"/>
      <c r="M36" s="669"/>
      <c r="N36" s="703">
        <f>SUM(N33:O35)</f>
        <v>3474540</v>
      </c>
      <c r="O36" s="703"/>
    </row>
    <row r="37" spans="2:15" ht="11.25" customHeight="1" x14ac:dyDescent="0.3">
      <c r="D37" s="234"/>
      <c r="E37" s="234"/>
      <c r="F37" s="234"/>
      <c r="G37" s="234"/>
      <c r="H37" s="235"/>
      <c r="I37" s="235"/>
      <c r="J37" s="235"/>
      <c r="K37" s="235"/>
      <c r="L37" s="235"/>
      <c r="M37" s="235"/>
      <c r="N37" s="230"/>
      <c r="O37" s="230"/>
    </row>
    <row r="38" spans="2:15" x14ac:dyDescent="0.3">
      <c r="C38" s="208" t="s">
        <v>195</v>
      </c>
      <c r="D38" s="692" t="s">
        <v>196</v>
      </c>
      <c r="E38" s="692"/>
      <c r="F38" s="692"/>
      <c r="G38" s="692"/>
      <c r="H38" s="692"/>
      <c r="I38" s="692"/>
      <c r="J38" s="692"/>
      <c r="K38" s="692"/>
      <c r="L38" s="692"/>
      <c r="M38" s="692"/>
      <c r="N38" s="692"/>
      <c r="O38" s="692"/>
    </row>
    <row r="39" spans="2:15" ht="28.5" customHeight="1" x14ac:dyDescent="0.3">
      <c r="B39" s="185">
        <v>7556</v>
      </c>
      <c r="C39" s="208">
        <v>3.1</v>
      </c>
      <c r="D39" s="724" t="s">
        <v>197</v>
      </c>
      <c r="E39" s="724"/>
      <c r="F39" s="724"/>
      <c r="G39" s="233" t="str">
        <f>+VLOOKUP(B39,'PRECIOS INSUMOS IDU 2025'!$A$1:$E$2794,2,FALSE)</f>
        <v>PLASTICO NEGRO CALIBRE 6</v>
      </c>
      <c r="H39" s="220" t="str">
        <f>VLOOKUP(B39,'[115]Insumos sin EBSA'!$G$15:$J$3677,3,0)</f>
        <v>M2</v>
      </c>
      <c r="I39" s="685">
        <v>100</v>
      </c>
      <c r="J39" s="685"/>
      <c r="K39" s="686">
        <f>+VLOOKUP(B39,'PRECIOS INSUMOS IDU 2025'!$A$1:$E$2794,4)</f>
        <v>1728</v>
      </c>
      <c r="L39" s="687"/>
      <c r="M39" s="688"/>
      <c r="N39" s="723">
        <f t="shared" ref="N39:N46" si="0">+ROUND(I39*K39,0)</f>
        <v>172800</v>
      </c>
      <c r="O39" s="723"/>
    </row>
    <row r="40" spans="2:15" ht="48.75" customHeight="1" x14ac:dyDescent="0.3">
      <c r="B40" s="185">
        <v>7812</v>
      </c>
      <c r="C40" s="669">
        <v>3.2</v>
      </c>
      <c r="D40" s="725" t="s">
        <v>198</v>
      </c>
      <c r="E40" s="725"/>
      <c r="F40" s="725"/>
      <c r="G40" s="477" t="s">
        <v>199</v>
      </c>
      <c r="H40" s="220" t="str">
        <f>VLOOKUP(B40,'[115]Insumos sin EBSA'!$G$15:$J$3677,3,0)</f>
        <v>UN</v>
      </c>
      <c r="I40" s="685">
        <v>15</v>
      </c>
      <c r="J40" s="685"/>
      <c r="K40" s="686">
        <v>210100</v>
      </c>
      <c r="L40" s="687"/>
      <c r="M40" s="688"/>
      <c r="N40" s="723">
        <f t="shared" si="0"/>
        <v>3151500</v>
      </c>
      <c r="O40" s="723"/>
    </row>
    <row r="41" spans="2:15" x14ac:dyDescent="0.3">
      <c r="B41" s="185">
        <v>9287</v>
      </c>
      <c r="C41" s="669"/>
      <c r="D41" s="725"/>
      <c r="E41" s="725"/>
      <c r="F41" s="725"/>
      <c r="G41" s="233" t="str">
        <f>+VLOOKUP(B41,'PRECIOS INSUMOS IDU 2025'!$A$1:$E$2794,2,FALSE)</f>
        <v>PALA REDONDA No.  2 CON CABO</v>
      </c>
      <c r="H41" s="220" t="str">
        <f>VLOOKUP(B41,'[115]Insumos sin EBSA'!$G$15:$J$3677,3,0)</f>
        <v>UN</v>
      </c>
      <c r="I41" s="685">
        <v>10</v>
      </c>
      <c r="J41" s="685"/>
      <c r="K41" s="686">
        <f>+VLOOKUP(B41,'PRECIOS INSUMOS IDU 2025'!$A$1:$E$2794,4)</f>
        <v>22046</v>
      </c>
      <c r="L41" s="687"/>
      <c r="M41" s="688"/>
      <c r="N41" s="723">
        <f t="shared" si="0"/>
        <v>220460</v>
      </c>
      <c r="O41" s="723"/>
    </row>
    <row r="42" spans="2:15" ht="25.5" customHeight="1" x14ac:dyDescent="0.3">
      <c r="B42" s="185">
        <v>7811</v>
      </c>
      <c r="C42" s="669"/>
      <c r="D42" s="725"/>
      <c r="E42" s="725"/>
      <c r="F42" s="725"/>
      <c r="G42" s="233" t="str">
        <f>+VLOOKUP(B42,'PRECIOS INSUMOS IDU 2025'!$A$1:$E$2794,2,FALSE)</f>
        <v>CEPILLO INDUSTRIAL DE NYLON CON CABO DE 35CM A 42CM X 9CM X 17CM</v>
      </c>
      <c r="H42" s="220" t="str">
        <f>VLOOKUP(B42,'[115]Insumos sin EBSA'!$G$15:$J$3677,3,0)</f>
        <v>UN</v>
      </c>
      <c r="I42" s="685">
        <v>10</v>
      </c>
      <c r="J42" s="685"/>
      <c r="K42" s="686">
        <f>+VLOOKUP(B42,'PRECIOS INSUMOS IDU 2025'!$A$1:$E$2794,4)</f>
        <v>16483</v>
      </c>
      <c r="L42" s="687"/>
      <c r="M42" s="688"/>
      <c r="N42" s="723">
        <f t="shared" si="0"/>
        <v>164830</v>
      </c>
      <c r="O42" s="723"/>
    </row>
    <row r="43" spans="2:15" x14ac:dyDescent="0.3">
      <c r="B43" s="185">
        <v>7813</v>
      </c>
      <c r="C43" s="669"/>
      <c r="D43" s="725"/>
      <c r="E43" s="725"/>
      <c r="F43" s="725"/>
      <c r="G43" s="233" t="str">
        <f>VLOOKUP(B43,'[115]Insumos sin EBSA'!$G$15:$J$3677,2,0)</f>
        <v>BARRA DE 18LB CON PUNTA Y PALA 150CM X 10CM</v>
      </c>
      <c r="H43" s="220" t="str">
        <f>VLOOKUP(B43,'[115]Insumos sin EBSA'!$G$15:$J$3677,3,0)</f>
        <v>UN</v>
      </c>
      <c r="I43" s="685">
        <v>10</v>
      </c>
      <c r="J43" s="685"/>
      <c r="K43" s="686">
        <v>64260</v>
      </c>
      <c r="L43" s="687"/>
      <c r="M43" s="688"/>
      <c r="N43" s="723">
        <f t="shared" si="0"/>
        <v>642600</v>
      </c>
      <c r="O43" s="723"/>
    </row>
    <row r="44" spans="2:15" x14ac:dyDescent="0.3">
      <c r="B44" s="185">
        <v>7814</v>
      </c>
      <c r="C44" s="669"/>
      <c r="D44" s="725"/>
      <c r="E44" s="725"/>
      <c r="F44" s="725"/>
      <c r="G44" s="233" t="str">
        <f>VLOOKUP(B44,'[115]Insumos sin EBSA'!$G$15:$J$3677,2,0)</f>
        <v>SERRUCHO DE 20" DIENTE ENDURECIDO</v>
      </c>
      <c r="H44" s="220" t="str">
        <f>VLOOKUP(B44,'[115]Insumos sin EBSA'!$G$15:$J$3677,3,0)</f>
        <v>UN</v>
      </c>
      <c r="I44" s="685">
        <v>10</v>
      </c>
      <c r="J44" s="685"/>
      <c r="K44" s="686">
        <v>37900</v>
      </c>
      <c r="L44" s="687"/>
      <c r="M44" s="688"/>
      <c r="N44" s="723">
        <f t="shared" si="0"/>
        <v>379000</v>
      </c>
      <c r="O44" s="723"/>
    </row>
    <row r="45" spans="2:15" x14ac:dyDescent="0.3">
      <c r="B45" s="185">
        <v>7815</v>
      </c>
      <c r="C45" s="669"/>
      <c r="D45" s="725"/>
      <c r="E45" s="725"/>
      <c r="F45" s="725"/>
      <c r="G45" s="233" t="s">
        <v>200</v>
      </c>
      <c r="H45" s="220" t="s">
        <v>32</v>
      </c>
      <c r="I45" s="685">
        <v>10</v>
      </c>
      <c r="J45" s="685"/>
      <c r="K45" s="686">
        <v>37900</v>
      </c>
      <c r="L45" s="687"/>
      <c r="M45" s="688"/>
      <c r="N45" s="723">
        <f t="shared" si="0"/>
        <v>379000</v>
      </c>
      <c r="O45" s="723"/>
    </row>
    <row r="46" spans="2:15" ht="30" customHeight="1" x14ac:dyDescent="0.3">
      <c r="B46" s="185">
        <v>9280</v>
      </c>
      <c r="C46" s="669"/>
      <c r="D46" s="725"/>
      <c r="E46" s="725"/>
      <c r="F46" s="725"/>
      <c r="G46" s="233" t="str">
        <f>VLOOKUP(B46,'[115]Insumos sin EBSA'!$G$15:$J$3677,2,0)</f>
        <v>BOLSA PARA BASURA TIPO INDUSTRIAL NEGRA DE 60 x 90 Cm CALIBRE 2 (PAQUETE DE 30 UNIDADES)</v>
      </c>
      <c r="H46" s="220" t="str">
        <f>VLOOKUP(B46,'[115]Insumos sin EBSA'!$G$15:$J$3677,3,0)</f>
        <v>UN</v>
      </c>
      <c r="I46" s="685">
        <v>20</v>
      </c>
      <c r="J46" s="685"/>
      <c r="K46" s="686">
        <v>10042</v>
      </c>
      <c r="L46" s="687"/>
      <c r="M46" s="688"/>
      <c r="N46" s="723">
        <f t="shared" si="0"/>
        <v>200840</v>
      </c>
      <c r="O46" s="723"/>
    </row>
    <row r="47" spans="2:15" ht="15" customHeight="1" x14ac:dyDescent="0.3">
      <c r="C47" s="720"/>
      <c r="D47" s="720"/>
      <c r="E47" s="720"/>
      <c r="F47" s="720"/>
      <c r="G47" s="721"/>
      <c r="H47" s="678" t="s">
        <v>191</v>
      </c>
      <c r="I47" s="678"/>
      <c r="J47" s="678"/>
      <c r="K47" s="678"/>
      <c r="L47" s="678"/>
      <c r="M47" s="678"/>
      <c r="N47" s="722">
        <f>SUM(N39:O46)</f>
        <v>5311030</v>
      </c>
      <c r="O47" s="722"/>
    </row>
    <row r="48" spans="2:15" ht="9.75" customHeight="1" x14ac:dyDescent="0.3">
      <c r="D48" s="234"/>
      <c r="E48" s="234"/>
      <c r="F48" s="234"/>
      <c r="G48" s="234"/>
      <c r="H48" s="235"/>
      <c r="I48" s="235"/>
      <c r="J48" s="235"/>
      <c r="K48" s="235"/>
      <c r="L48" s="235"/>
      <c r="M48" s="235"/>
      <c r="N48" s="230"/>
      <c r="O48" s="230"/>
    </row>
    <row r="49" spans="2:15" x14ac:dyDescent="0.3">
      <c r="C49" s="208" t="s">
        <v>201</v>
      </c>
      <c r="D49" s="692" t="s">
        <v>202</v>
      </c>
      <c r="E49" s="692"/>
      <c r="F49" s="692"/>
      <c r="G49" s="692"/>
      <c r="H49" s="692"/>
      <c r="I49" s="692"/>
      <c r="J49" s="692"/>
      <c r="K49" s="692"/>
      <c r="L49" s="692"/>
      <c r="M49" s="692"/>
      <c r="N49" s="692"/>
      <c r="O49" s="692"/>
    </row>
    <row r="50" spans="2:15" ht="53.25" customHeight="1" x14ac:dyDescent="0.3">
      <c r="B50" s="185">
        <v>12507</v>
      </c>
      <c r="C50" s="208">
        <v>4.0999999999999996</v>
      </c>
      <c r="D50" s="699" t="s">
        <v>203</v>
      </c>
      <c r="E50" s="699"/>
      <c r="F50" s="699"/>
      <c r="G50" s="233" t="str">
        <f>+VLOOKUP(B50,'PRECIOS INSUMOS IDU 2025'!$A$1:$E$2794,2,FALSE)</f>
        <v>BAÑO TIPO FLUSHING - ALQUILER MANTENIMIENTO Y ASEO DE BAÑOS PORTÁTILES VIP MENSUAL_(Según Apéndice Bioseguridad Covid 19_V1 y V2)</v>
      </c>
      <c r="H50" s="220" t="str">
        <f>VLOOKUP(B50,'[115]Insumos sin EBSA'!$G$15:$J$3677,3,0)</f>
        <v>UN/MES</v>
      </c>
      <c r="I50" s="685">
        <v>4</v>
      </c>
      <c r="J50" s="685"/>
      <c r="K50" s="686">
        <f>+VLOOKUP(B50,'PRECIOS INSUMOS IDU 2025'!$A$1:$E$2794,4)</f>
        <v>720000</v>
      </c>
      <c r="L50" s="687"/>
      <c r="M50" s="688"/>
      <c r="N50" s="691">
        <f>+ROUND(I50*K50*3,0)</f>
        <v>8640000</v>
      </c>
      <c r="O50" s="691"/>
    </row>
    <row r="51" spans="2:15" ht="39.6" x14ac:dyDescent="0.3">
      <c r="B51" s="185">
        <v>5168</v>
      </c>
      <c r="C51" s="208">
        <v>4.2</v>
      </c>
      <c r="D51" s="717" t="s">
        <v>204</v>
      </c>
      <c r="E51" s="717"/>
      <c r="F51" s="717"/>
      <c r="G51" s="233" t="str">
        <f>VLOOKUP(B51,'[115] APU''s sin EBSA'!$F$12:$I$4065,2,0)</f>
        <v>PROTECCION A SUMIDEROS (INCLUYE SUMINISTRO Y COLOCACIÓN DE BOLSAS DE LONA Y GEOTEXTIL NT 1600 O SIMILAR).</v>
      </c>
      <c r="H51" s="220" t="str">
        <f>VLOOKUP(B51,'[115] APU''s sin EBSA'!$F$12:$I$4065,3,0)</f>
        <v>UN/MES</v>
      </c>
      <c r="I51" s="685">
        <v>5</v>
      </c>
      <c r="J51" s="685"/>
      <c r="K51" s="686">
        <v>10121</v>
      </c>
      <c r="L51" s="687"/>
      <c r="M51" s="688"/>
      <c r="N51" s="691">
        <f>+ROUND(I51*K51*7,0)</f>
        <v>354235</v>
      </c>
      <c r="O51" s="691"/>
    </row>
    <row r="52" spans="2:15" ht="66" x14ac:dyDescent="0.3">
      <c r="B52" s="185">
        <v>5169</v>
      </c>
      <c r="C52" s="208">
        <v>4.3</v>
      </c>
      <c r="D52" s="718"/>
      <c r="E52" s="718"/>
      <c r="F52" s="718"/>
      <c r="G52" s="233" t="str">
        <f>VLOOKUP(B52,'[115] APU''s sin EBSA'!$F$12:$I$4065,2,0)</f>
        <v>PLAFONADO DE POZOS (INCLUYE SUMINISTRO Y COLOCACIÓN DE PUNTILLA, TABLA BURRA DE 2.90 X0.28X0.025M, CINTA DE SEÑALIZACION CAL 4 ROLLO 500MX0.10M Y SEÑALIZACIÓN TUBULAR COLOMBINA PLÁSTICA).</v>
      </c>
      <c r="H52" s="220" t="str">
        <f>VLOOKUP(B52,'[115] APU''s sin EBSA'!$F$12:$I$4065,3,0)</f>
        <v>UN</v>
      </c>
      <c r="I52" s="685">
        <v>5</v>
      </c>
      <c r="J52" s="685"/>
      <c r="K52" s="686">
        <v>153543</v>
      </c>
      <c r="L52" s="687"/>
      <c r="M52" s="688"/>
      <c r="N52" s="691">
        <f>+ROUND(I52*K52,0)</f>
        <v>767715</v>
      </c>
      <c r="O52" s="691"/>
    </row>
    <row r="53" spans="2:15" ht="26.4" x14ac:dyDescent="0.3">
      <c r="B53" s="185">
        <v>5366</v>
      </c>
      <c r="C53" s="208">
        <v>4.4000000000000004</v>
      </c>
      <c r="D53" s="719"/>
      <c r="E53" s="719"/>
      <c r="F53" s="719"/>
      <c r="G53" s="233" t="str">
        <f>VLOOKUP(B53,'[115] APU''s sin EBSA'!$F$12:$I$4065,2,0)</f>
        <v>POLISOMBRA VERDE PARA CERRAMIENTO. SUMINISTRO E INSTALACION.</v>
      </c>
      <c r="H53" s="220" t="str">
        <f>VLOOKUP(B53,'[115] APU''s sin EBSA'!$F$12:$I$4065,3,0)</f>
        <v>M2</v>
      </c>
      <c r="I53" s="685">
        <v>200</v>
      </c>
      <c r="J53" s="685"/>
      <c r="K53" s="686">
        <v>2656</v>
      </c>
      <c r="L53" s="687"/>
      <c r="M53" s="688"/>
      <c r="N53" s="691">
        <f>+ROUND(I53*K53,0)</f>
        <v>531200</v>
      </c>
      <c r="O53" s="691"/>
    </row>
    <row r="54" spans="2:15" x14ac:dyDescent="0.3">
      <c r="C54" s="236"/>
      <c r="D54" s="237"/>
      <c r="E54" s="237"/>
      <c r="F54" s="237"/>
      <c r="G54" s="234"/>
      <c r="H54" s="669" t="s">
        <v>191</v>
      </c>
      <c r="I54" s="669"/>
      <c r="J54" s="669"/>
      <c r="K54" s="669"/>
      <c r="L54" s="669"/>
      <c r="M54" s="669"/>
      <c r="N54" s="674">
        <f>SUM(N50:O53)</f>
        <v>10293150</v>
      </c>
      <c r="O54" s="674"/>
    </row>
    <row r="55" spans="2:15" ht="15" customHeight="1" x14ac:dyDescent="0.3">
      <c r="D55" s="234"/>
      <c r="E55" s="234"/>
      <c r="F55" s="234"/>
      <c r="G55" s="234"/>
      <c r="H55" s="669" t="s">
        <v>205</v>
      </c>
      <c r="I55" s="669"/>
      <c r="J55" s="669"/>
      <c r="K55" s="669"/>
      <c r="L55" s="669"/>
      <c r="M55" s="669"/>
      <c r="N55" s="674">
        <f>+N54+N47+N36+N30</f>
        <v>19648704</v>
      </c>
      <c r="O55" s="674"/>
    </row>
    <row r="56" spans="2:15" ht="12" customHeight="1" x14ac:dyDescent="0.3">
      <c r="D56" s="234"/>
      <c r="E56" s="234"/>
      <c r="F56" s="234"/>
      <c r="G56" s="234"/>
      <c r="H56" s="675"/>
      <c r="I56" s="675"/>
      <c r="J56" s="675"/>
      <c r="K56" s="675"/>
      <c r="L56" s="675"/>
      <c r="M56" s="675"/>
      <c r="N56" s="676"/>
      <c r="O56" s="676"/>
    </row>
    <row r="57" spans="2:15" x14ac:dyDescent="0.3">
      <c r="C57" s="716" t="s">
        <v>206</v>
      </c>
      <c r="D57" s="716"/>
      <c r="E57" s="716"/>
      <c r="F57" s="716"/>
      <c r="G57" s="716"/>
      <c r="H57" s="716"/>
      <c r="I57" s="716"/>
      <c r="J57" s="716"/>
      <c r="K57" s="716"/>
      <c r="L57" s="716"/>
      <c r="M57" s="716"/>
      <c r="N57" s="716"/>
      <c r="O57" s="716"/>
    </row>
    <row r="58" spans="2:15" x14ac:dyDescent="0.3">
      <c r="C58" s="700" t="s">
        <v>168</v>
      </c>
      <c r="D58" s="700"/>
      <c r="E58" s="700"/>
      <c r="F58" s="700"/>
      <c r="G58" s="700"/>
      <c r="H58" s="202" t="s">
        <v>169</v>
      </c>
      <c r="I58" s="700" t="s">
        <v>14</v>
      </c>
      <c r="J58" s="700"/>
      <c r="K58" s="701" t="s">
        <v>15</v>
      </c>
      <c r="L58" s="701"/>
      <c r="M58" s="701"/>
      <c r="N58" s="702" t="s">
        <v>181</v>
      </c>
      <c r="O58" s="702"/>
    </row>
    <row r="59" spans="2:15" x14ac:dyDescent="0.3">
      <c r="C59" s="208" t="s">
        <v>207</v>
      </c>
      <c r="D59" s="692" t="s">
        <v>208</v>
      </c>
      <c r="E59" s="692"/>
      <c r="F59" s="692"/>
      <c r="G59" s="692"/>
      <c r="H59" s="692"/>
      <c r="I59" s="692"/>
      <c r="J59" s="692"/>
      <c r="K59" s="692"/>
      <c r="L59" s="692"/>
      <c r="M59" s="692"/>
      <c r="N59" s="692"/>
      <c r="O59" s="692"/>
    </row>
    <row r="60" spans="2:15" ht="14.25" customHeight="1" x14ac:dyDescent="0.3">
      <c r="B60" s="185">
        <v>7819</v>
      </c>
      <c r="C60" s="238">
        <v>1</v>
      </c>
      <c r="D60" s="706" t="str">
        <f>+VLOOKUP(B60,'PRECIOS INSUMOS IDU 2025'!$A$1:$E$2794,2,FALSE)</f>
        <v>EXTINTOR POLVO QUIMICO SECO DE 20LB TIPO ABC METALICO CON GANCHO Y AVISO</v>
      </c>
      <c r="E60" s="707"/>
      <c r="F60" s="707"/>
      <c r="G60" s="708"/>
      <c r="H60" s="220" t="str">
        <f>+VLOOKUP(B60,'PRECIOS INSUMOS IDU 2025'!$A$1:$E$2794,3,FALSE)</f>
        <v>UN</v>
      </c>
      <c r="I60" s="685">
        <v>3</v>
      </c>
      <c r="J60" s="685"/>
      <c r="K60" s="686">
        <f>+VLOOKUP(B60,'PRECIOS INSUMOS IDU 2025'!$A$1:$E$2794,4,FALSE)</f>
        <v>93900</v>
      </c>
      <c r="L60" s="687"/>
      <c r="M60" s="688"/>
      <c r="N60" s="709">
        <f>+ROUND(I60*K60,0)</f>
        <v>281700</v>
      </c>
      <c r="O60" s="710"/>
    </row>
    <row r="61" spans="2:15" ht="14.25" customHeight="1" x14ac:dyDescent="0.3">
      <c r="B61" s="185">
        <v>7822</v>
      </c>
      <c r="C61" s="238">
        <v>2</v>
      </c>
      <c r="D61" s="706" t="str">
        <f>+VLOOKUP(B61,'PRECIOS INSUMOS IDU 2025'!$A$1:$E$2794,2,FALSE)</f>
        <v>BOTA CUERO LISA NEGRA SEGURIDAD PUNTERA DE ACERO</v>
      </c>
      <c r="E61" s="707"/>
      <c r="F61" s="707"/>
      <c r="G61" s="708"/>
      <c r="H61" s="220" t="str">
        <f>+VLOOKUP(B61,'PRECIOS INSUMOS IDU 2025'!$A$1:$E$2794,3,FALSE)</f>
        <v>PAR</v>
      </c>
      <c r="I61" s="685">
        <v>15</v>
      </c>
      <c r="J61" s="685"/>
      <c r="K61" s="686">
        <f>+VLOOKUP(B61,'PRECIOS INSUMOS IDU 2025'!$A$1:$E$2794,4,FALSE)</f>
        <v>96900</v>
      </c>
      <c r="L61" s="687"/>
      <c r="M61" s="688"/>
      <c r="N61" s="709">
        <f t="shared" ref="N61:N80" si="1">+ROUND(I61*K61,0)</f>
        <v>1453500</v>
      </c>
      <c r="O61" s="710"/>
    </row>
    <row r="62" spans="2:15" ht="14.25" customHeight="1" x14ac:dyDescent="0.3">
      <c r="B62" s="185">
        <v>7823</v>
      </c>
      <c r="C62" s="238">
        <v>3</v>
      </c>
      <c r="D62" s="706" t="str">
        <f>+VLOOKUP(B62,'PRECIOS INSUMOS IDU 2025'!$A$1:$E$2794,2,FALSE)</f>
        <v>BOTA DE CAUCHO CON PUNTERA Y ENTRESUELA EN ACERO,  CINTA AMARILLA</v>
      </c>
      <c r="E62" s="707"/>
      <c r="F62" s="707"/>
      <c r="G62" s="708"/>
      <c r="H62" s="220" t="str">
        <f>+VLOOKUP(B62,'PRECIOS INSUMOS IDU 2025'!$A$1:$E$2794,3,FALSE)</f>
        <v>PAR</v>
      </c>
      <c r="I62" s="685">
        <v>15</v>
      </c>
      <c r="J62" s="685"/>
      <c r="K62" s="686">
        <f>+VLOOKUP(B62,'PRECIOS INSUMOS IDU 2025'!$A$1:$E$2794,4,FALSE)</f>
        <v>130000</v>
      </c>
      <c r="L62" s="687"/>
      <c r="M62" s="688"/>
      <c r="N62" s="709">
        <f t="shared" si="1"/>
        <v>1950000</v>
      </c>
      <c r="O62" s="710"/>
    </row>
    <row r="63" spans="2:15" ht="14.25" customHeight="1" x14ac:dyDescent="0.3">
      <c r="B63" s="185">
        <v>7827</v>
      </c>
      <c r="C63" s="238">
        <v>4</v>
      </c>
      <c r="D63" s="706" t="str">
        <f>+VLOOKUP(B63,'PRECIOS INSUMOS IDU 2025'!$A$1:$E$2794,2,FALSE)</f>
        <v>PROTECTOR AUDITIVO TIPO TAPON INSERCION EN SILICONA CON CORDEL EN ESTUCHE</v>
      </c>
      <c r="E63" s="707"/>
      <c r="F63" s="707"/>
      <c r="G63" s="708"/>
      <c r="H63" s="220" t="str">
        <f>+VLOOKUP(B63,'PRECIOS INSUMOS IDU 2025'!$A$1:$E$2794,3,FALSE)</f>
        <v>PAR</v>
      </c>
      <c r="I63" s="685">
        <v>15</v>
      </c>
      <c r="J63" s="685"/>
      <c r="K63" s="686">
        <f>+VLOOKUP(B63,'PRECIOS INSUMOS IDU 2025'!$A$1:$E$2794,4,FALSE)</f>
        <v>2142</v>
      </c>
      <c r="L63" s="687"/>
      <c r="M63" s="688"/>
      <c r="N63" s="709">
        <f t="shared" si="1"/>
        <v>32130</v>
      </c>
      <c r="O63" s="710"/>
    </row>
    <row r="64" spans="2:15" ht="14.25" customHeight="1" x14ac:dyDescent="0.3">
      <c r="B64" s="185">
        <v>7583</v>
      </c>
      <c r="C64" s="238">
        <v>5</v>
      </c>
      <c r="D64" s="706" t="str">
        <f>+VLOOKUP(B64,'PRECIOS INSUMOS IDU 2025'!$A$1:$E$2794,2,FALSE)</f>
        <v>PROTECTOR AUDITIVO TIPO COPA</v>
      </c>
      <c r="E64" s="707"/>
      <c r="F64" s="707"/>
      <c r="G64" s="708"/>
      <c r="H64" s="220" t="str">
        <f>+VLOOKUP(B64,'PRECIOS INSUMOS IDU 2025'!$A$1:$E$2794,3,FALSE)</f>
        <v>UN</v>
      </c>
      <c r="I64" s="685">
        <v>8</v>
      </c>
      <c r="J64" s="685"/>
      <c r="K64" s="686">
        <f>+VLOOKUP(B64,'PRECIOS INSUMOS IDU 2025'!$A$1:$E$2794,4,FALSE)</f>
        <v>29750</v>
      </c>
      <c r="L64" s="687"/>
      <c r="M64" s="688"/>
      <c r="N64" s="709">
        <f t="shared" si="1"/>
        <v>238000</v>
      </c>
      <c r="O64" s="710"/>
    </row>
    <row r="65" spans="2:15" ht="14.25" customHeight="1" x14ac:dyDescent="0.3">
      <c r="B65" s="185">
        <v>7825</v>
      </c>
      <c r="C65" s="238">
        <v>6</v>
      </c>
      <c r="D65" s="706" t="str">
        <f>+VLOOKUP(B65,'PRECIOS INSUMOS IDU 2025'!$A$1:$E$2794,2,FALSE)</f>
        <v>MASCARILLA DESECHABLE CONTRA POLVOS Y PARTICULAS NO TOXICAS</v>
      </c>
      <c r="E65" s="707"/>
      <c r="F65" s="707"/>
      <c r="G65" s="708"/>
      <c r="H65" s="220" t="str">
        <f>+VLOOKUP(B65,'PRECIOS INSUMOS IDU 2025'!$A$1:$E$2794,3,FALSE)</f>
        <v>UN</v>
      </c>
      <c r="I65" s="685">
        <v>8</v>
      </c>
      <c r="J65" s="685"/>
      <c r="K65" s="686">
        <f>+VLOOKUP(B65,'PRECIOS INSUMOS IDU 2025'!$A$1:$E$2794,4,FALSE)</f>
        <v>4400</v>
      </c>
      <c r="L65" s="687"/>
      <c r="M65" s="688"/>
      <c r="N65" s="709">
        <f t="shared" si="1"/>
        <v>35200</v>
      </c>
      <c r="O65" s="710"/>
    </row>
    <row r="66" spans="2:15" ht="14.25" customHeight="1" x14ac:dyDescent="0.3">
      <c r="B66" s="185">
        <v>9289</v>
      </c>
      <c r="C66" s="238">
        <v>7</v>
      </c>
      <c r="D66" s="706" t="str">
        <f>+VLOOKUP(B66,'PRECIOS INSUMOS IDU 2025'!$A$1:$E$2794,2,FALSE)</f>
        <v>FILTRO PARTICULAS PARA RESPIRADOR</v>
      </c>
      <c r="E66" s="707"/>
      <c r="F66" s="707"/>
      <c r="G66" s="708"/>
      <c r="H66" s="220" t="str">
        <f>+VLOOKUP(B66,'PRECIOS INSUMOS IDU 2025'!$A$1:$E$2794,3,FALSE)</f>
        <v>UN</v>
      </c>
      <c r="I66" s="685">
        <v>8</v>
      </c>
      <c r="J66" s="685"/>
      <c r="K66" s="686">
        <f>+VLOOKUP(B66,'PRECIOS INSUMOS IDU 2025'!$A$1:$E$2794,4,FALSE)</f>
        <v>12350</v>
      </c>
      <c r="L66" s="687"/>
      <c r="M66" s="688"/>
      <c r="N66" s="709">
        <f t="shared" si="1"/>
        <v>98800</v>
      </c>
      <c r="O66" s="710"/>
    </row>
    <row r="67" spans="2:15" ht="14.25" customHeight="1" x14ac:dyDescent="0.3">
      <c r="B67" s="185">
        <v>7580</v>
      </c>
      <c r="C67" s="238">
        <v>8</v>
      </c>
      <c r="D67" s="706" t="str">
        <f>+VLOOKUP(B67,'PRECIOS INSUMOS IDU 2025'!$A$1:$E$2794,2,FALSE)</f>
        <v>CASCO DE SEGURIDAD DIELECTRICO</v>
      </c>
      <c r="E67" s="707"/>
      <c r="F67" s="707"/>
      <c r="G67" s="708"/>
      <c r="H67" s="220" t="str">
        <f>+VLOOKUP(B67,'PRECIOS INSUMOS IDU 2025'!$A$1:$E$2794,3,FALSE)</f>
        <v>UN</v>
      </c>
      <c r="I67" s="685">
        <v>8</v>
      </c>
      <c r="J67" s="685"/>
      <c r="K67" s="686">
        <f>+VLOOKUP(B67,'PRECIOS INSUMOS IDU 2025'!$A$1:$E$2794,4,FALSE)</f>
        <v>23000</v>
      </c>
      <c r="L67" s="687"/>
      <c r="M67" s="688"/>
      <c r="N67" s="709">
        <f t="shared" si="1"/>
        <v>184000</v>
      </c>
      <c r="O67" s="710"/>
    </row>
    <row r="68" spans="2:15" ht="14.25" customHeight="1" x14ac:dyDescent="0.3">
      <c r="B68" s="185">
        <v>7832</v>
      </c>
      <c r="C68" s="238">
        <v>9</v>
      </c>
      <c r="D68" s="706" t="str">
        <f>+VLOOKUP(B68,'PRECIOS INSUMOS IDU 2025'!$A$1:$E$2794,2,FALSE)</f>
        <v>BARBUQUEJO EN REATA CON MENTONERA CON TRES APOYOS PARA CASCO</v>
      </c>
      <c r="E68" s="707"/>
      <c r="F68" s="707"/>
      <c r="G68" s="708"/>
      <c r="H68" s="220" t="str">
        <f>+VLOOKUP(B68,'PRECIOS INSUMOS IDU 2025'!$A$1:$E$2794,3,FALSE)</f>
        <v>UN</v>
      </c>
      <c r="I68" s="685">
        <v>8</v>
      </c>
      <c r="J68" s="685"/>
      <c r="K68" s="686">
        <f>+VLOOKUP(B68,'PRECIOS INSUMOS IDU 2025'!$A$1:$E$2794,4,FALSE)</f>
        <v>6188</v>
      </c>
      <c r="L68" s="687"/>
      <c r="M68" s="688"/>
      <c r="N68" s="709">
        <f t="shared" si="1"/>
        <v>49504</v>
      </c>
      <c r="O68" s="710"/>
    </row>
    <row r="69" spans="2:15" ht="14.25" customHeight="1" x14ac:dyDescent="0.3">
      <c r="B69" s="185">
        <v>7577</v>
      </c>
      <c r="C69" s="238">
        <v>10</v>
      </c>
      <c r="D69" s="706" t="str">
        <f>+VLOOKUP(B69,'PRECIOS INSUMOS IDU 2025'!$A$1:$E$2794,2,FALSE)</f>
        <v>GAFAS DE SEGURIDAD</v>
      </c>
      <c r="E69" s="707"/>
      <c r="F69" s="707"/>
      <c r="G69" s="708"/>
      <c r="H69" s="220" t="str">
        <f>+VLOOKUP(B69,'PRECIOS INSUMOS IDU 2025'!$A$1:$E$2794,3,FALSE)</f>
        <v>UN</v>
      </c>
      <c r="I69" s="685">
        <v>8</v>
      </c>
      <c r="J69" s="685"/>
      <c r="K69" s="686">
        <f>+VLOOKUP(B69,'PRECIOS INSUMOS IDU 2025'!$A$1:$E$2794,4,FALSE)</f>
        <v>8000</v>
      </c>
      <c r="L69" s="687"/>
      <c r="M69" s="688"/>
      <c r="N69" s="709">
        <f t="shared" si="1"/>
        <v>64000</v>
      </c>
      <c r="O69" s="710"/>
    </row>
    <row r="70" spans="2:15" ht="14.25" customHeight="1" x14ac:dyDescent="0.3">
      <c r="B70" s="185">
        <v>9286</v>
      </c>
      <c r="C70" s="238">
        <v>11</v>
      </c>
      <c r="D70" s="706" t="str">
        <f>+VLOOKUP(B70,'PRECIOS INSUMOS IDU 2025'!$A$1:$E$2794,2,FALSE)</f>
        <v>OVEROL EN DRILL DOS PIEZAS, CAMISA Y PANTALÓN</v>
      </c>
      <c r="E70" s="707"/>
      <c r="F70" s="707"/>
      <c r="G70" s="708"/>
      <c r="H70" s="220" t="str">
        <f>+VLOOKUP(B70,'PRECIOS INSUMOS IDU 2025'!$A$1:$E$2794,3,FALSE)</f>
        <v>UN</v>
      </c>
      <c r="I70" s="685">
        <v>8</v>
      </c>
      <c r="J70" s="685"/>
      <c r="K70" s="686">
        <f>+VLOOKUP(B70,'PRECIOS INSUMOS IDU 2025'!$A$1:$E$2794,4,FALSE)</f>
        <v>71281</v>
      </c>
      <c r="L70" s="687"/>
      <c r="M70" s="688"/>
      <c r="N70" s="709">
        <f t="shared" si="1"/>
        <v>570248</v>
      </c>
      <c r="O70" s="710"/>
    </row>
    <row r="71" spans="2:15" ht="14.25" customHeight="1" x14ac:dyDescent="0.3">
      <c r="B71" s="185">
        <v>7839</v>
      </c>
      <c r="C71" s="238">
        <v>12</v>
      </c>
      <c r="D71" s="706" t="str">
        <f>+VLOOKUP(B71,'PRECIOS INSUMOS IDU 2025'!$A$1:$E$2794,2,FALSE)</f>
        <v>OVEROL IMPERMEABLE INDUSTRIAL AMARILLO 2 PIEZAS CON CAPUCHA</v>
      </c>
      <c r="E71" s="707"/>
      <c r="F71" s="707"/>
      <c r="G71" s="708"/>
      <c r="H71" s="220" t="str">
        <f>+VLOOKUP(B71,'PRECIOS INSUMOS IDU 2025'!$A$1:$E$2794,3,FALSE)</f>
        <v>UN</v>
      </c>
      <c r="I71" s="685">
        <v>8</v>
      </c>
      <c r="J71" s="685"/>
      <c r="K71" s="686">
        <f>+VLOOKUP(B71,'PRECIOS INSUMOS IDU 2025'!$A$1:$E$2794,4,FALSE)</f>
        <v>57715</v>
      </c>
      <c r="L71" s="687"/>
      <c r="M71" s="688"/>
      <c r="N71" s="709">
        <f t="shared" si="1"/>
        <v>461720</v>
      </c>
      <c r="O71" s="710"/>
    </row>
    <row r="72" spans="2:15" ht="14.25" customHeight="1" x14ac:dyDescent="0.3">
      <c r="B72" s="185">
        <v>7846</v>
      </c>
      <c r="C72" s="238">
        <v>13</v>
      </c>
      <c r="D72" s="706" t="str">
        <f>+VLOOKUP(B72,'PRECIOS INSUMOS IDU 2025'!$A$1:$E$2794,2,FALSE)</f>
        <v xml:space="preserve">GUANTE DE CARNAZA LARGO REFORZADO </v>
      </c>
      <c r="E72" s="707"/>
      <c r="F72" s="707"/>
      <c r="G72" s="708"/>
      <c r="H72" s="220" t="str">
        <f>+VLOOKUP(B72,'PRECIOS INSUMOS IDU 2025'!$A$1:$E$2794,3,FALSE)</f>
        <v>PAR</v>
      </c>
      <c r="I72" s="685">
        <v>15</v>
      </c>
      <c r="J72" s="685"/>
      <c r="K72" s="686">
        <f>+VLOOKUP(B72,'PRECIOS INSUMOS IDU 2025'!$A$1:$E$2794,4,FALSE)</f>
        <v>10591</v>
      </c>
      <c r="L72" s="687"/>
      <c r="M72" s="688"/>
      <c r="N72" s="709">
        <f t="shared" si="1"/>
        <v>158865</v>
      </c>
      <c r="O72" s="710"/>
    </row>
    <row r="73" spans="2:15" ht="14.25" customHeight="1" x14ac:dyDescent="0.3">
      <c r="B73" s="185">
        <v>7578</v>
      </c>
      <c r="C73" s="238">
        <v>14</v>
      </c>
      <c r="D73" s="706" t="str">
        <f>+VLOOKUP(B73,'PRECIOS INSUMOS IDU 2025'!$A$1:$E$2794,2,FALSE)</f>
        <v>GUANTES DE VAQUETA</v>
      </c>
      <c r="E73" s="707"/>
      <c r="F73" s="707"/>
      <c r="G73" s="708"/>
      <c r="H73" s="220" t="str">
        <f>+VLOOKUP(B73,'PRECIOS INSUMOS IDU 2025'!$A$1:$E$2794,3,FALSE)</f>
        <v>UN</v>
      </c>
      <c r="I73" s="685">
        <v>8</v>
      </c>
      <c r="J73" s="685"/>
      <c r="K73" s="686">
        <f>+VLOOKUP(B73,'PRECIOS INSUMOS IDU 2025'!$A$1:$E$2794,4,FALSE)</f>
        <v>9055</v>
      </c>
      <c r="L73" s="687"/>
      <c r="M73" s="688"/>
      <c r="N73" s="709">
        <f t="shared" si="1"/>
        <v>72440</v>
      </c>
      <c r="O73" s="710"/>
    </row>
    <row r="74" spans="2:15" ht="14.25" customHeight="1" x14ac:dyDescent="0.3">
      <c r="B74" s="185">
        <v>9283</v>
      </c>
      <c r="C74" s="238">
        <v>15</v>
      </c>
      <c r="D74" s="706" t="str">
        <f>+VLOOKUP(B74,'PRECIOS INSUMOS IDU 2025'!$A$1:$E$2794,2,FALSE)</f>
        <v>GUANTE CAUCHO NEGRO CORRUGADO CALIBRE 35</v>
      </c>
      <c r="E74" s="707"/>
      <c r="F74" s="707"/>
      <c r="G74" s="708"/>
      <c r="H74" s="220" t="str">
        <f>+VLOOKUP(B74,'PRECIOS INSUMOS IDU 2025'!$A$1:$E$2794,3,FALSE)</f>
        <v>PAR</v>
      </c>
      <c r="I74" s="685">
        <v>15</v>
      </c>
      <c r="J74" s="685"/>
      <c r="K74" s="686">
        <f>+VLOOKUP(B74,'PRECIOS INSUMOS IDU 2025'!$A$1:$E$2794,4,FALSE)</f>
        <v>7407</v>
      </c>
      <c r="L74" s="687"/>
      <c r="M74" s="688"/>
      <c r="N74" s="709">
        <f t="shared" si="1"/>
        <v>111105</v>
      </c>
      <c r="O74" s="710"/>
    </row>
    <row r="75" spans="2:15" ht="14.25" customHeight="1" x14ac:dyDescent="0.3">
      <c r="B75" s="185">
        <v>7844</v>
      </c>
      <c r="C75" s="238">
        <v>16</v>
      </c>
      <c r="D75" s="706" t="str">
        <f>+VLOOKUP(B75,'PRECIOS INSUMOS IDU 2025'!$A$1:$E$2794,2,FALSE)</f>
        <v>GUANTE NITRILO 13" RESISTENTE CONTRA QUIMICOS COMBUSTIBLES SOLVENTES GRASAS</v>
      </c>
      <c r="E75" s="707"/>
      <c r="F75" s="707"/>
      <c r="G75" s="708"/>
      <c r="H75" s="220" t="str">
        <f>+VLOOKUP(B75,'PRECIOS INSUMOS IDU 2025'!$A$1:$E$2794,3,FALSE)</f>
        <v>PAR</v>
      </c>
      <c r="I75" s="685">
        <v>15</v>
      </c>
      <c r="J75" s="685"/>
      <c r="K75" s="686">
        <f>+VLOOKUP(B75,'PRECIOS INSUMOS IDU 2025'!$A$1:$E$2794,4,FALSE)</f>
        <v>10591</v>
      </c>
      <c r="L75" s="687"/>
      <c r="M75" s="688"/>
      <c r="N75" s="709">
        <f t="shared" si="1"/>
        <v>158865</v>
      </c>
      <c r="O75" s="710"/>
    </row>
    <row r="76" spans="2:15" x14ac:dyDescent="0.3">
      <c r="C76" s="239"/>
      <c r="D76" s="240" t="s">
        <v>209</v>
      </c>
      <c r="E76" s="241"/>
      <c r="F76" s="242"/>
      <c r="G76" s="243"/>
      <c r="H76" s="244"/>
      <c r="I76" s="245"/>
      <c r="J76" s="246"/>
      <c r="K76" s="711"/>
      <c r="L76" s="712"/>
      <c r="M76" s="713"/>
      <c r="N76" s="714"/>
      <c r="O76" s="715"/>
    </row>
    <row r="77" spans="2:15" ht="14.25" customHeight="1" x14ac:dyDescent="0.3">
      <c r="B77" s="185">
        <v>7904</v>
      </c>
      <c r="C77" s="238">
        <f>C75+0.01</f>
        <v>16.010000000000002</v>
      </c>
      <c r="D77" s="706" t="str">
        <f>+VLOOKUP(B77,'PRECIOS INSUMOS IDU 2025'!$A$1:$E$2794,2,FALSE)</f>
        <v>EXÁMEN MÉDICO OCUPACIONAL DE INGRESO O RETIRO</v>
      </c>
      <c r="E77" s="707"/>
      <c r="F77" s="707"/>
      <c r="G77" s="708"/>
      <c r="H77" s="220" t="str">
        <f>+VLOOKUP(B77,'PRECIOS INSUMOS IDU 2025'!$A$1:$E$2794,3,FALSE)</f>
        <v>UN</v>
      </c>
      <c r="I77" s="685">
        <v>15</v>
      </c>
      <c r="J77" s="685"/>
      <c r="K77" s="686">
        <f>+VLOOKUP(B77,'PRECIOS INSUMOS IDU 2025'!$A$1:$E$2794,4,FALSE)</f>
        <v>33000</v>
      </c>
      <c r="L77" s="687"/>
      <c r="M77" s="688"/>
      <c r="N77" s="709">
        <f t="shared" si="1"/>
        <v>495000</v>
      </c>
      <c r="O77" s="710"/>
    </row>
    <row r="78" spans="2:15" ht="14.25" customHeight="1" x14ac:dyDescent="0.3">
      <c r="B78" s="185">
        <v>7906</v>
      </c>
      <c r="C78" s="238">
        <f>C77+0.01</f>
        <v>16.020000000000003</v>
      </c>
      <c r="D78" s="706" t="str">
        <f>+VLOOKUP(B78,'PRECIOS INSUMOS IDU 2025'!$A$1:$E$2794,2,FALSE)</f>
        <v>EXAMEN DE AUDIOMETRÍA DE INGRESO O EGRESO</v>
      </c>
      <c r="E78" s="707"/>
      <c r="F78" s="707"/>
      <c r="G78" s="708"/>
      <c r="H78" s="220" t="str">
        <f>+VLOOKUP(B78,'PRECIOS INSUMOS IDU 2025'!$A$1:$E$2794,3,FALSE)</f>
        <v>UN</v>
      </c>
      <c r="I78" s="685">
        <v>15</v>
      </c>
      <c r="J78" s="685"/>
      <c r="K78" s="686">
        <f>+VLOOKUP(B78,'PRECIOS INSUMOS IDU 2025'!$A$1:$E$2794,4,FALSE)</f>
        <v>25000</v>
      </c>
      <c r="L78" s="687"/>
      <c r="M78" s="688"/>
      <c r="N78" s="709">
        <f t="shared" si="1"/>
        <v>375000</v>
      </c>
      <c r="O78" s="710"/>
    </row>
    <row r="79" spans="2:15" ht="14.25" customHeight="1" x14ac:dyDescent="0.3">
      <c r="B79" s="185">
        <v>7908</v>
      </c>
      <c r="C79" s="238">
        <f>C78+0.01</f>
        <v>16.030000000000005</v>
      </c>
      <c r="D79" s="706" t="str">
        <f>+VLOOKUP(B79,'PRECIOS INSUMOS IDU 2025'!$A$1:$E$2794,2,FALSE)</f>
        <v>EXAMEN DE OPTOMETRÍA DE INGRESO O EGRESO</v>
      </c>
      <c r="E79" s="707"/>
      <c r="F79" s="707"/>
      <c r="G79" s="708"/>
      <c r="H79" s="220" t="str">
        <f>+VLOOKUP(B79,'PRECIOS INSUMOS IDU 2025'!$A$1:$E$2794,3,FALSE)</f>
        <v>UN</v>
      </c>
      <c r="I79" s="685">
        <v>15</v>
      </c>
      <c r="J79" s="685"/>
      <c r="K79" s="686">
        <f>+VLOOKUP(B79,'PRECIOS INSUMOS IDU 2025'!$A$1:$E$2794,4,FALSE)</f>
        <v>25600</v>
      </c>
      <c r="L79" s="687"/>
      <c r="M79" s="688"/>
      <c r="N79" s="709">
        <f t="shared" si="1"/>
        <v>384000</v>
      </c>
      <c r="O79" s="710"/>
    </row>
    <row r="80" spans="2:15" ht="14.25" customHeight="1" x14ac:dyDescent="0.3">
      <c r="B80" s="185">
        <v>7910</v>
      </c>
      <c r="C80" s="238">
        <f>C79+0.01</f>
        <v>16.040000000000006</v>
      </c>
      <c r="D80" s="706" t="str">
        <f>+VLOOKUP(B80,'PRECIOS INSUMOS IDU 2025'!$A$1:$E$2794,2,FALSE)</f>
        <v>EXAMEN DE ESPIROMETRÍA DE INGRESO O EGRESO</v>
      </c>
      <c r="E80" s="707"/>
      <c r="F80" s="707"/>
      <c r="G80" s="708"/>
      <c r="H80" s="220" t="str">
        <f>+VLOOKUP(B80,'PRECIOS INSUMOS IDU 2025'!$A$1:$E$2794,3,FALSE)</f>
        <v>UN</v>
      </c>
      <c r="I80" s="685">
        <v>15</v>
      </c>
      <c r="J80" s="685"/>
      <c r="K80" s="686">
        <f>+VLOOKUP(B80,'PRECIOS INSUMOS IDU 2025'!$A$1:$E$2794,4,FALSE)</f>
        <v>30000</v>
      </c>
      <c r="L80" s="687"/>
      <c r="M80" s="688"/>
      <c r="N80" s="709">
        <f t="shared" si="1"/>
        <v>450000</v>
      </c>
      <c r="O80" s="710"/>
    </row>
    <row r="81" spans="2:15" ht="15" customHeight="1" x14ac:dyDescent="0.3">
      <c r="D81" s="234"/>
      <c r="E81" s="234"/>
      <c r="F81" s="234"/>
      <c r="G81" s="234"/>
      <c r="H81" s="669" t="s">
        <v>191</v>
      </c>
      <c r="I81" s="669"/>
      <c r="J81" s="669"/>
      <c r="K81" s="669"/>
      <c r="L81" s="669"/>
      <c r="M81" s="669"/>
      <c r="N81" s="703">
        <f>SUM(N60:O80)</f>
        <v>7624077</v>
      </c>
      <c r="O81" s="703"/>
    </row>
    <row r="82" spans="2:15" ht="15" customHeight="1" x14ac:dyDescent="0.3">
      <c r="D82" s="234"/>
      <c r="E82" s="234"/>
      <c r="F82" s="234"/>
      <c r="G82" s="234"/>
      <c r="H82" s="671" t="s">
        <v>210</v>
      </c>
      <c r="I82" s="672"/>
      <c r="J82" s="672"/>
      <c r="K82" s="672"/>
      <c r="L82" s="672"/>
      <c r="M82" s="673"/>
      <c r="N82" s="704">
        <f>N81</f>
        <v>7624077</v>
      </c>
      <c r="O82" s="705"/>
    </row>
    <row r="83" spans="2:15" x14ac:dyDescent="0.3">
      <c r="D83" s="234"/>
      <c r="E83" s="234"/>
      <c r="F83" s="234"/>
      <c r="G83" s="234"/>
      <c r="H83" s="675"/>
      <c r="I83" s="675"/>
      <c r="J83" s="675"/>
      <c r="K83" s="675"/>
      <c r="L83" s="675"/>
      <c r="M83" s="675"/>
      <c r="N83" s="676"/>
      <c r="O83" s="676"/>
    </row>
    <row r="84" spans="2:15" ht="24" hidden="1" customHeight="1" x14ac:dyDescent="0.3">
      <c r="C84" s="699" t="s">
        <v>211</v>
      </c>
      <c r="D84" s="699"/>
      <c r="E84" s="699"/>
      <c r="F84" s="699"/>
      <c r="G84" s="699"/>
      <c r="H84" s="699"/>
      <c r="I84" s="699"/>
      <c r="J84" s="699"/>
      <c r="K84" s="699"/>
      <c r="L84" s="699"/>
      <c r="M84" s="699"/>
      <c r="N84" s="699"/>
      <c r="O84" s="699"/>
    </row>
    <row r="85" spans="2:15" hidden="1" x14ac:dyDescent="0.3"/>
    <row r="86" spans="2:15" x14ac:dyDescent="0.3">
      <c r="C86" s="692" t="s">
        <v>212</v>
      </c>
      <c r="D86" s="692"/>
      <c r="E86" s="692"/>
      <c r="F86" s="692"/>
      <c r="G86" s="692"/>
      <c r="H86" s="692"/>
      <c r="I86" s="692"/>
      <c r="J86" s="692"/>
      <c r="K86" s="692"/>
      <c r="L86" s="692"/>
      <c r="M86" s="692"/>
      <c r="N86" s="692"/>
      <c r="O86" s="692"/>
    </row>
    <row r="87" spans="2:15" x14ac:dyDescent="0.3">
      <c r="C87" s="700" t="s">
        <v>168</v>
      </c>
      <c r="D87" s="700"/>
      <c r="E87" s="700"/>
      <c r="F87" s="700"/>
      <c r="G87" s="202" t="s">
        <v>180</v>
      </c>
      <c r="H87" s="202" t="s">
        <v>169</v>
      </c>
      <c r="I87" s="700" t="s">
        <v>14</v>
      </c>
      <c r="J87" s="700"/>
      <c r="K87" s="701" t="s">
        <v>15</v>
      </c>
      <c r="L87" s="701"/>
      <c r="M87" s="701"/>
      <c r="N87" s="702" t="s">
        <v>181</v>
      </c>
      <c r="O87" s="702"/>
    </row>
    <row r="88" spans="2:15" x14ac:dyDescent="0.3">
      <c r="C88" s="208" t="s">
        <v>213</v>
      </c>
      <c r="D88" s="692" t="s">
        <v>214</v>
      </c>
      <c r="E88" s="692"/>
      <c r="F88" s="692"/>
      <c r="G88" s="692"/>
      <c r="H88" s="692"/>
      <c r="I88" s="692"/>
      <c r="J88" s="692"/>
      <c r="K88" s="692"/>
      <c r="L88" s="692"/>
      <c r="M88" s="692"/>
      <c r="N88" s="692"/>
      <c r="O88" s="692"/>
    </row>
    <row r="89" spans="2:15" x14ac:dyDescent="0.3">
      <c r="B89" s="185">
        <v>7554</v>
      </c>
      <c r="C89" s="677">
        <v>1.1000000000000001</v>
      </c>
      <c r="D89" s="693" t="s">
        <v>215</v>
      </c>
      <c r="E89" s="694"/>
      <c r="F89" s="695"/>
      <c r="G89" s="233" t="str">
        <f>+VLOOKUP(B89,'PRECIOS INSUMOS IDU 2025'!$A$1:$E$2794,2,FALSE)</f>
        <v>SEÑALIZACION TUBULAR COLOMBINA PLASTICA</v>
      </c>
      <c r="H89" s="220" t="str">
        <f>+VLOOKUP(B89,'PRECIOS INSUMOS IDU 2025'!$A$1:$E$2794,3,FALSE)</f>
        <v>UN</v>
      </c>
      <c r="I89" s="685">
        <v>2</v>
      </c>
      <c r="J89" s="685"/>
      <c r="K89" s="686">
        <f>+VLOOKUP(B89,'PRECIOS INSUMOS IDU 2025'!$A$1:$E$2794,4,FALSE)</f>
        <v>46520</v>
      </c>
      <c r="L89" s="687"/>
      <c r="M89" s="688"/>
      <c r="N89" s="691">
        <f>+ROUND(I89*K89,0)</f>
        <v>93040</v>
      </c>
      <c r="O89" s="691"/>
    </row>
    <row r="90" spans="2:15" ht="27.75" customHeight="1" x14ac:dyDescent="0.3">
      <c r="B90" s="185">
        <v>7850</v>
      </c>
      <c r="C90" s="678"/>
      <c r="D90" s="696"/>
      <c r="E90" s="697"/>
      <c r="F90" s="698"/>
      <c r="G90" s="233" t="str">
        <f>+VLOOKUP(B90,'PRECIOS INSUMOS IDU 2025'!$A$1:$E$2794,2,FALSE)</f>
        <v>CINTA PARA SEÑALIZACION DE 500MT X 4" PELIGRO CALIBRE 3.5</v>
      </c>
      <c r="H90" s="220" t="str">
        <f>+VLOOKUP(B90,'PRECIOS INSUMOS IDU 2025'!$A$1:$E$2794,3,FALSE)</f>
        <v>ROLLO</v>
      </c>
      <c r="I90" s="685">
        <v>2</v>
      </c>
      <c r="J90" s="685"/>
      <c r="K90" s="686">
        <f>+VLOOKUP(B90,'PRECIOS INSUMOS IDU 2025'!$A$1:$E$2794,4,FALSE)</f>
        <v>26009</v>
      </c>
      <c r="L90" s="687"/>
      <c r="M90" s="688"/>
      <c r="N90" s="689">
        <f>+ROUND(I90*K90,0)</f>
        <v>52018</v>
      </c>
      <c r="O90" s="690"/>
    </row>
    <row r="91" spans="2:15" ht="27.75" customHeight="1" x14ac:dyDescent="0.3">
      <c r="B91" s="185">
        <v>9985</v>
      </c>
      <c r="C91" s="677">
        <v>1.2</v>
      </c>
      <c r="D91" s="679" t="s">
        <v>216</v>
      </c>
      <c r="E91" s="680"/>
      <c r="F91" s="681"/>
      <c r="G91" s="233" t="str">
        <f>+VLOOKUP(B91,'PRECIOS INSUMOS IDU 2025'!$A$1:$E$2794,2,FALSE)</f>
        <v>SEÑAL EN POLIESTIRENO (30cm x 20cm) FOTOLUMINISCENTE - NORMA NTC - ISO</v>
      </c>
      <c r="H91" s="220" t="str">
        <f>+VLOOKUP(B91,'PRECIOS INSUMOS IDU 2025'!$A$1:$E$2794,3,FALSE)</f>
        <v>UN</v>
      </c>
      <c r="I91" s="685">
        <v>2</v>
      </c>
      <c r="J91" s="685"/>
      <c r="K91" s="686">
        <f>+VLOOKUP(B91,'PRECIOS INSUMOS IDU 2025'!$A$1:$E$2794,4,FALSE)</f>
        <v>70765</v>
      </c>
      <c r="L91" s="687"/>
      <c r="M91" s="688"/>
      <c r="N91" s="689">
        <f>+ROUND(I91*K91,0)</f>
        <v>141530</v>
      </c>
      <c r="O91" s="690"/>
    </row>
    <row r="92" spans="2:15" ht="28.5" customHeight="1" x14ac:dyDescent="0.3">
      <c r="B92" s="185">
        <v>9986</v>
      </c>
      <c r="C92" s="678"/>
      <c r="D92" s="682"/>
      <c r="E92" s="683"/>
      <c r="F92" s="684"/>
      <c r="G92" s="233" t="str">
        <f>+VLOOKUP(B92,'PRECIOS INSUMOS IDU 2025'!$A$1:$E$2794,2,FALSE)</f>
        <v>SEÑAL EN POLIESTRIENO (30cm x 45cm) REFLECTIVO GRADO INGENIERÍA - NORMA ISO</v>
      </c>
      <c r="H92" s="220" t="str">
        <f>+VLOOKUP(B92,'PRECIOS INSUMOS IDU 2025'!$A$1:$E$2794,3,FALSE)</f>
        <v>UN</v>
      </c>
      <c r="I92" s="685">
        <v>2</v>
      </c>
      <c r="J92" s="685"/>
      <c r="K92" s="686">
        <f>+VLOOKUP(B92,'PRECIOS INSUMOS IDU 2025'!$A$1:$E$2794,4,FALSE)</f>
        <v>93902</v>
      </c>
      <c r="L92" s="687"/>
      <c r="M92" s="688"/>
      <c r="N92" s="691">
        <f>+ROUND(I92*K92,0)</f>
        <v>187804</v>
      </c>
      <c r="O92" s="691"/>
    </row>
    <row r="93" spans="2:15" ht="15" customHeight="1" x14ac:dyDescent="0.3">
      <c r="D93" s="234"/>
      <c r="E93" s="234"/>
      <c r="F93" s="234"/>
      <c r="G93" s="234"/>
      <c r="H93" s="669" t="s">
        <v>191</v>
      </c>
      <c r="I93" s="669"/>
      <c r="J93" s="669"/>
      <c r="K93" s="669"/>
      <c r="L93" s="669"/>
      <c r="M93" s="669"/>
      <c r="N93" s="674">
        <f>SUM(N89:O92)</f>
        <v>474392</v>
      </c>
      <c r="O93" s="674"/>
    </row>
    <row r="94" spans="2:15" x14ac:dyDescent="0.3">
      <c r="D94" s="234"/>
      <c r="E94" s="234"/>
      <c r="F94" s="234"/>
      <c r="G94" s="234"/>
      <c r="H94" s="669" t="s">
        <v>217</v>
      </c>
      <c r="I94" s="669"/>
      <c r="J94" s="669"/>
      <c r="K94" s="669"/>
      <c r="L94" s="669"/>
      <c r="M94" s="669"/>
      <c r="N94" s="674">
        <f>+N93</f>
        <v>474392</v>
      </c>
      <c r="O94" s="674"/>
    </row>
    <row r="95" spans="2:15" x14ac:dyDescent="0.3">
      <c r="D95" s="234"/>
      <c r="E95" s="234"/>
      <c r="F95" s="234"/>
      <c r="G95" s="234"/>
      <c r="H95" s="235"/>
      <c r="I95" s="235"/>
      <c r="J95" s="235"/>
      <c r="K95" s="235"/>
      <c r="L95" s="235"/>
      <c r="M95" s="235"/>
      <c r="N95" s="230"/>
      <c r="O95" s="230"/>
    </row>
    <row r="96" spans="2:15" x14ac:dyDescent="0.3">
      <c r="D96" s="234"/>
      <c r="E96" s="234"/>
      <c r="F96" s="234"/>
      <c r="G96" s="234"/>
      <c r="H96" s="675"/>
      <c r="I96" s="675"/>
      <c r="J96" s="675"/>
      <c r="K96" s="675"/>
      <c r="L96" s="675"/>
      <c r="M96" s="675"/>
      <c r="N96" s="676"/>
      <c r="O96" s="676"/>
    </row>
    <row r="97" spans="3:15" x14ac:dyDescent="0.3">
      <c r="C97" s="669" t="s">
        <v>218</v>
      </c>
      <c r="D97" s="669"/>
      <c r="E97" s="669"/>
      <c r="F97" s="669"/>
      <c r="G97" s="669"/>
      <c r="H97" s="669"/>
      <c r="I97" s="669"/>
      <c r="J97" s="669"/>
      <c r="K97" s="669"/>
      <c r="L97" s="669"/>
      <c r="M97" s="669"/>
      <c r="N97" s="670">
        <f>O17+N24+N55+N82+N94</f>
        <v>46818223</v>
      </c>
      <c r="O97" s="670"/>
    </row>
    <row r="98" spans="3:15" x14ac:dyDescent="0.3">
      <c r="C98" s="671" t="s">
        <v>219</v>
      </c>
      <c r="D98" s="672"/>
      <c r="E98" s="672"/>
      <c r="F98" s="672"/>
      <c r="G98" s="672"/>
      <c r="H98" s="672"/>
      <c r="I98" s="672"/>
      <c r="J98" s="672"/>
      <c r="K98" s="672"/>
      <c r="L98" s="673"/>
      <c r="M98" s="247">
        <f>SUM('AIU COMP. AMBIENTAL'!L37)</f>
        <v>0.13252250902389012</v>
      </c>
      <c r="N98" s="670">
        <f>ROUND(N97*M98,0)</f>
        <v>6204468</v>
      </c>
      <c r="O98" s="670"/>
    </row>
    <row r="99" spans="3:15" x14ac:dyDescent="0.3">
      <c r="C99" s="669" t="s">
        <v>220</v>
      </c>
      <c r="D99" s="669"/>
      <c r="E99" s="669"/>
      <c r="F99" s="669"/>
      <c r="G99" s="669"/>
      <c r="H99" s="669"/>
      <c r="I99" s="669"/>
      <c r="J99" s="669"/>
      <c r="K99" s="669"/>
      <c r="L99" s="669"/>
      <c r="M99" s="669"/>
      <c r="N99" s="670">
        <f>+N97+N98</f>
        <v>53022691</v>
      </c>
      <c r="O99" s="670"/>
    </row>
    <row r="101" spans="3:15" ht="15" customHeight="1" x14ac:dyDescent="0.3">
      <c r="C101" s="668" t="s">
        <v>221</v>
      </c>
      <c r="D101" s="668"/>
      <c r="E101" s="668"/>
      <c r="F101" s="668"/>
      <c r="G101" s="668"/>
      <c r="H101" s="668"/>
      <c r="I101" s="668"/>
      <c r="J101" s="668"/>
      <c r="K101" s="668"/>
      <c r="L101" s="668"/>
      <c r="M101" s="668"/>
      <c r="N101" s="668"/>
      <c r="O101" s="668"/>
    </row>
    <row r="102" spans="3:15" x14ac:dyDescent="0.3">
      <c r="C102" s="668"/>
      <c r="D102" s="668"/>
      <c r="E102" s="668"/>
      <c r="F102" s="668"/>
      <c r="G102" s="668"/>
      <c r="H102" s="668"/>
      <c r="I102" s="668"/>
      <c r="J102" s="668"/>
      <c r="K102" s="668"/>
      <c r="L102" s="668"/>
      <c r="M102" s="668"/>
      <c r="N102" s="668"/>
      <c r="O102" s="668"/>
    </row>
  </sheetData>
  <mergeCells count="241">
    <mergeCell ref="D15:F15"/>
    <mergeCell ref="D16:G16"/>
    <mergeCell ref="H17:N17"/>
    <mergeCell ref="C10:O10"/>
    <mergeCell ref="K12:M12"/>
    <mergeCell ref="C13:O13"/>
    <mergeCell ref="C14:G14"/>
    <mergeCell ref="C3:E6"/>
    <mergeCell ref="F3:L6"/>
    <mergeCell ref="M3:O6"/>
    <mergeCell ref="C7:E7"/>
    <mergeCell ref="F7:O7"/>
    <mergeCell ref="C9:O9"/>
    <mergeCell ref="D22:F22"/>
    <mergeCell ref="I22:J22"/>
    <mergeCell ref="K22:M22"/>
    <mergeCell ref="N22:O22"/>
    <mergeCell ref="D23:F23"/>
    <mergeCell ref="I23:J23"/>
    <mergeCell ref="K23:M23"/>
    <mergeCell ref="N23:O23"/>
    <mergeCell ref="C19:O19"/>
    <mergeCell ref="C20:F20"/>
    <mergeCell ref="I20:J20"/>
    <mergeCell ref="K20:M20"/>
    <mergeCell ref="N20:O20"/>
    <mergeCell ref="D21:O21"/>
    <mergeCell ref="D28:O28"/>
    <mergeCell ref="D29:F29"/>
    <mergeCell ref="I29:J29"/>
    <mergeCell ref="K29:M29"/>
    <mergeCell ref="N29:O29"/>
    <mergeCell ref="C30:G30"/>
    <mergeCell ref="H30:M30"/>
    <mergeCell ref="N30:O30"/>
    <mergeCell ref="C24:G24"/>
    <mergeCell ref="H24:M24"/>
    <mergeCell ref="N24:O24"/>
    <mergeCell ref="C25:O25"/>
    <mergeCell ref="C26:O26"/>
    <mergeCell ref="C27:F27"/>
    <mergeCell ref="I27:J27"/>
    <mergeCell ref="K27:M27"/>
    <mergeCell ref="N27:O27"/>
    <mergeCell ref="I35:J35"/>
    <mergeCell ref="K35:M35"/>
    <mergeCell ref="N35:O35"/>
    <mergeCell ref="H36:M36"/>
    <mergeCell ref="N36:O36"/>
    <mergeCell ref="D38:O38"/>
    <mergeCell ref="C31:O31"/>
    <mergeCell ref="D32:O32"/>
    <mergeCell ref="C33:C35"/>
    <mergeCell ref="D33:F35"/>
    <mergeCell ref="I33:J33"/>
    <mergeCell ref="K33:M33"/>
    <mergeCell ref="N33:O33"/>
    <mergeCell ref="I34:J34"/>
    <mergeCell ref="K34:M34"/>
    <mergeCell ref="N34:O34"/>
    <mergeCell ref="D39:F39"/>
    <mergeCell ref="I39:J39"/>
    <mergeCell ref="K39:M39"/>
    <mergeCell ref="N39:O39"/>
    <mergeCell ref="D40:F46"/>
    <mergeCell ref="I40:J40"/>
    <mergeCell ref="K40:M40"/>
    <mergeCell ref="N40:O40"/>
    <mergeCell ref="I41:J41"/>
    <mergeCell ref="I46:J46"/>
    <mergeCell ref="K46:M46"/>
    <mergeCell ref="N46:O46"/>
    <mergeCell ref="C47:G47"/>
    <mergeCell ref="H47:M47"/>
    <mergeCell ref="N47:O47"/>
    <mergeCell ref="I44:J44"/>
    <mergeCell ref="K44:M44"/>
    <mergeCell ref="N44:O44"/>
    <mergeCell ref="I45:J45"/>
    <mergeCell ref="K45:M45"/>
    <mergeCell ref="N45:O45"/>
    <mergeCell ref="C40:C46"/>
    <mergeCell ref="K41:M41"/>
    <mergeCell ref="N41:O41"/>
    <mergeCell ref="I42:J42"/>
    <mergeCell ref="K42:M42"/>
    <mergeCell ref="N42:O42"/>
    <mergeCell ref="I43:J43"/>
    <mergeCell ref="K43:M43"/>
    <mergeCell ref="N43:O43"/>
    <mergeCell ref="K52:M52"/>
    <mergeCell ref="N52:O52"/>
    <mergeCell ref="I53:J53"/>
    <mergeCell ref="K53:M53"/>
    <mergeCell ref="N53:O53"/>
    <mergeCell ref="H54:M54"/>
    <mergeCell ref="N54:O54"/>
    <mergeCell ref="D49:O49"/>
    <mergeCell ref="D50:F50"/>
    <mergeCell ref="I50:J50"/>
    <mergeCell ref="K50:M50"/>
    <mergeCell ref="N50:O50"/>
    <mergeCell ref="D51:F53"/>
    <mergeCell ref="I51:J51"/>
    <mergeCell ref="K51:M51"/>
    <mergeCell ref="N51:O51"/>
    <mergeCell ref="I52:J52"/>
    <mergeCell ref="H55:M55"/>
    <mergeCell ref="N55:O55"/>
    <mergeCell ref="H56:M56"/>
    <mergeCell ref="N56:O56"/>
    <mergeCell ref="C57:O57"/>
    <mergeCell ref="C58:G58"/>
    <mergeCell ref="I58:J58"/>
    <mergeCell ref="K58:M58"/>
    <mergeCell ref="N58:O58"/>
    <mergeCell ref="D60:G60"/>
    <mergeCell ref="I60:J60"/>
    <mergeCell ref="K60:M60"/>
    <mergeCell ref="N60:O60"/>
    <mergeCell ref="D61:G61"/>
    <mergeCell ref="I61:J61"/>
    <mergeCell ref="K61:M61"/>
    <mergeCell ref="N61:O61"/>
    <mergeCell ref="D59:O59"/>
    <mergeCell ref="D64:G64"/>
    <mergeCell ref="I64:J64"/>
    <mergeCell ref="K64:M64"/>
    <mergeCell ref="N64:O64"/>
    <mergeCell ref="D65:G65"/>
    <mergeCell ref="I65:J65"/>
    <mergeCell ref="K65:M65"/>
    <mergeCell ref="N65:O65"/>
    <mergeCell ref="D62:G62"/>
    <mergeCell ref="I62:J62"/>
    <mergeCell ref="K62:M62"/>
    <mergeCell ref="N62:O62"/>
    <mergeCell ref="D63:G63"/>
    <mergeCell ref="I63:J63"/>
    <mergeCell ref="K63:M63"/>
    <mergeCell ref="N63:O63"/>
    <mergeCell ref="D67:G67"/>
    <mergeCell ref="I67:J67"/>
    <mergeCell ref="K67:M67"/>
    <mergeCell ref="N67:O67"/>
    <mergeCell ref="D68:G68"/>
    <mergeCell ref="I68:J68"/>
    <mergeCell ref="K68:M68"/>
    <mergeCell ref="N68:O68"/>
    <mergeCell ref="D66:G66"/>
    <mergeCell ref="I66:J66"/>
    <mergeCell ref="K66:M66"/>
    <mergeCell ref="N66:O66"/>
    <mergeCell ref="D71:G71"/>
    <mergeCell ref="I71:J71"/>
    <mergeCell ref="K71:M71"/>
    <mergeCell ref="N71:O71"/>
    <mergeCell ref="D72:G72"/>
    <mergeCell ref="I72:J72"/>
    <mergeCell ref="K72:M72"/>
    <mergeCell ref="N72:O72"/>
    <mergeCell ref="D69:G69"/>
    <mergeCell ref="I69:J69"/>
    <mergeCell ref="K69:M69"/>
    <mergeCell ref="N69:O69"/>
    <mergeCell ref="D70:G70"/>
    <mergeCell ref="I70:J70"/>
    <mergeCell ref="K70:M70"/>
    <mergeCell ref="N70:O70"/>
    <mergeCell ref="D75:G75"/>
    <mergeCell ref="I75:J75"/>
    <mergeCell ref="K75:M75"/>
    <mergeCell ref="N75:O75"/>
    <mergeCell ref="K76:M76"/>
    <mergeCell ref="N76:O76"/>
    <mergeCell ref="D73:G73"/>
    <mergeCell ref="I73:J73"/>
    <mergeCell ref="K73:M73"/>
    <mergeCell ref="N73:O73"/>
    <mergeCell ref="D74:G74"/>
    <mergeCell ref="I74:J74"/>
    <mergeCell ref="K74:M74"/>
    <mergeCell ref="N74:O74"/>
    <mergeCell ref="D79:G79"/>
    <mergeCell ref="I79:J79"/>
    <mergeCell ref="K79:M79"/>
    <mergeCell ref="N79:O79"/>
    <mergeCell ref="D80:G80"/>
    <mergeCell ref="I80:J80"/>
    <mergeCell ref="K80:M80"/>
    <mergeCell ref="N80:O80"/>
    <mergeCell ref="D77:G77"/>
    <mergeCell ref="I77:J77"/>
    <mergeCell ref="K77:M77"/>
    <mergeCell ref="N77:O77"/>
    <mergeCell ref="D78:G78"/>
    <mergeCell ref="I78:J78"/>
    <mergeCell ref="K78:M78"/>
    <mergeCell ref="N78:O78"/>
    <mergeCell ref="C84:O84"/>
    <mergeCell ref="C86:O86"/>
    <mergeCell ref="C87:F87"/>
    <mergeCell ref="I87:J87"/>
    <mergeCell ref="K87:M87"/>
    <mergeCell ref="N87:O87"/>
    <mergeCell ref="H81:M81"/>
    <mergeCell ref="N81:O81"/>
    <mergeCell ref="H82:M82"/>
    <mergeCell ref="N82:O82"/>
    <mergeCell ref="H83:M83"/>
    <mergeCell ref="N83:O83"/>
    <mergeCell ref="C91:C92"/>
    <mergeCell ref="D91:F92"/>
    <mergeCell ref="I91:J91"/>
    <mergeCell ref="K91:M91"/>
    <mergeCell ref="N91:O91"/>
    <mergeCell ref="I92:J92"/>
    <mergeCell ref="K92:M92"/>
    <mergeCell ref="N92:O92"/>
    <mergeCell ref="D88:O88"/>
    <mergeCell ref="C89:C90"/>
    <mergeCell ref="D89:F90"/>
    <mergeCell ref="I89:J89"/>
    <mergeCell ref="K89:M89"/>
    <mergeCell ref="N89:O89"/>
    <mergeCell ref="I90:J90"/>
    <mergeCell ref="K90:M90"/>
    <mergeCell ref="N90:O90"/>
    <mergeCell ref="C101:O102"/>
    <mergeCell ref="C97:M97"/>
    <mergeCell ref="N97:O97"/>
    <mergeCell ref="C98:L98"/>
    <mergeCell ref="N98:O98"/>
    <mergeCell ref="C99:M99"/>
    <mergeCell ref="N99:O99"/>
    <mergeCell ref="H93:M93"/>
    <mergeCell ref="N93:O93"/>
    <mergeCell ref="H94:M94"/>
    <mergeCell ref="N94:O94"/>
    <mergeCell ref="H96:M96"/>
    <mergeCell ref="N96:O96"/>
  </mergeCells>
  <printOptions horizontalCentered="1"/>
  <pageMargins left="0.51181102362204722" right="0.51181102362204722" top="0.74803149606299213" bottom="0.74803149606299213" header="0.31496062992125984" footer="0.31496062992125984"/>
  <pageSetup scale="29" fitToHeight="2" orientation="landscape" r:id="rId1"/>
  <colBreaks count="1" manualBreakCount="1">
    <brk id="1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605C7-BF89-4DAF-81B7-22B131C97F95}">
  <sheetPr>
    <tabColor rgb="FF92D050"/>
  </sheetPr>
  <dimension ref="A1:P40"/>
  <sheetViews>
    <sheetView showGridLines="0" view="pageBreakPreview" zoomScale="85" zoomScaleNormal="100" zoomScaleSheetLayoutView="85" workbookViewId="0">
      <selection activeCell="N26" sqref="N26"/>
    </sheetView>
  </sheetViews>
  <sheetFormatPr baseColWidth="10" defaultColWidth="11.44140625" defaultRowHeight="13.2" x14ac:dyDescent="0.3"/>
  <cols>
    <col min="1" max="1" width="7.109375" style="182" bestFit="1" customWidth="1"/>
    <col min="2" max="2" width="5.33203125" style="182" bestFit="1" customWidth="1"/>
    <col min="3" max="3" width="43.6640625" style="183" customWidth="1"/>
    <col min="4" max="4" width="13.5546875" style="183" customWidth="1"/>
    <col min="5" max="5" width="10.109375" style="183" customWidth="1"/>
    <col min="6" max="6" width="10" style="183" customWidth="1"/>
    <col min="7" max="7" width="6.109375" style="183" bestFit="1" customWidth="1"/>
    <col min="8" max="8" width="4.6640625" style="183" customWidth="1"/>
    <col min="9" max="9" width="14.88671875" style="183" bestFit="1" customWidth="1"/>
    <col min="10" max="10" width="12.88671875" style="183" bestFit="1" customWidth="1"/>
    <col min="11" max="11" width="7.6640625" style="183" customWidth="1"/>
    <col min="12" max="12" width="18" style="183" customWidth="1"/>
    <col min="13" max="13" width="8.33203125" style="183" customWidth="1"/>
    <col min="14" max="14" width="16" style="183" customWidth="1"/>
    <col min="15" max="15" width="15.109375" style="183" bestFit="1" customWidth="1"/>
    <col min="16" max="16" width="14.109375" style="183" bestFit="1" customWidth="1"/>
    <col min="17" max="256" width="11.44140625" style="183"/>
    <col min="257" max="257" width="7.109375" style="183" bestFit="1" customWidth="1"/>
    <col min="258" max="258" width="5.33203125" style="183" bestFit="1" customWidth="1"/>
    <col min="259" max="259" width="43.6640625" style="183" customWidth="1"/>
    <col min="260" max="260" width="13.5546875" style="183" customWidth="1"/>
    <col min="261" max="261" width="10.109375" style="183" customWidth="1"/>
    <col min="262" max="262" width="10" style="183" customWidth="1"/>
    <col min="263" max="263" width="6.109375" style="183" bestFit="1" customWidth="1"/>
    <col min="264" max="264" width="4.6640625" style="183" customWidth="1"/>
    <col min="265" max="265" width="14.88671875" style="183" bestFit="1" customWidth="1"/>
    <col min="266" max="266" width="12.88671875" style="183" bestFit="1" customWidth="1"/>
    <col min="267" max="267" width="7.6640625" style="183" customWidth="1"/>
    <col min="268" max="268" width="18" style="183" customWidth="1"/>
    <col min="269" max="269" width="8.33203125" style="183" customWidth="1"/>
    <col min="270" max="270" width="16" style="183" customWidth="1"/>
    <col min="271" max="271" width="15.109375" style="183" bestFit="1" customWidth="1"/>
    <col min="272" max="272" width="14.109375" style="183" bestFit="1" customWidth="1"/>
    <col min="273" max="512" width="11.44140625" style="183"/>
    <col min="513" max="513" width="7.109375" style="183" bestFit="1" customWidth="1"/>
    <col min="514" max="514" width="5.33203125" style="183" bestFit="1" customWidth="1"/>
    <col min="515" max="515" width="43.6640625" style="183" customWidth="1"/>
    <col min="516" max="516" width="13.5546875" style="183" customWidth="1"/>
    <col min="517" max="517" width="10.109375" style="183" customWidth="1"/>
    <col min="518" max="518" width="10" style="183" customWidth="1"/>
    <col min="519" max="519" width="6.109375" style="183" bestFit="1" customWidth="1"/>
    <col min="520" max="520" width="4.6640625" style="183" customWidth="1"/>
    <col min="521" max="521" width="14.88671875" style="183" bestFit="1" customWidth="1"/>
    <col min="522" max="522" width="12.88671875" style="183" bestFit="1" customWidth="1"/>
    <col min="523" max="523" width="7.6640625" style="183" customWidth="1"/>
    <col min="524" max="524" width="18" style="183" customWidth="1"/>
    <col min="525" max="525" width="8.33203125" style="183" customWidth="1"/>
    <col min="526" max="526" width="16" style="183" customWidth="1"/>
    <col min="527" max="527" width="15.109375" style="183" bestFit="1" customWidth="1"/>
    <col min="528" max="528" width="14.109375" style="183" bestFit="1" customWidth="1"/>
    <col min="529" max="768" width="11.44140625" style="183"/>
    <col min="769" max="769" width="7.109375" style="183" bestFit="1" customWidth="1"/>
    <col min="770" max="770" width="5.33203125" style="183" bestFit="1" customWidth="1"/>
    <col min="771" max="771" width="43.6640625" style="183" customWidth="1"/>
    <col min="772" max="772" width="13.5546875" style="183" customWidth="1"/>
    <col min="773" max="773" width="10.109375" style="183" customWidth="1"/>
    <col min="774" max="774" width="10" style="183" customWidth="1"/>
    <col min="775" max="775" width="6.109375" style="183" bestFit="1" customWidth="1"/>
    <col min="776" max="776" width="4.6640625" style="183" customWidth="1"/>
    <col min="777" max="777" width="14.88671875" style="183" bestFit="1" customWidth="1"/>
    <col min="778" max="778" width="12.88671875" style="183" bestFit="1" customWidth="1"/>
    <col min="779" max="779" width="7.6640625" style="183" customWidth="1"/>
    <col min="780" max="780" width="18" style="183" customWidth="1"/>
    <col min="781" max="781" width="8.33203125" style="183" customWidth="1"/>
    <col min="782" max="782" width="16" style="183" customWidth="1"/>
    <col min="783" max="783" width="15.109375" style="183" bestFit="1" customWidth="1"/>
    <col min="784" max="784" width="14.109375" style="183" bestFit="1" customWidth="1"/>
    <col min="785" max="1024" width="11.44140625" style="183"/>
    <col min="1025" max="1025" width="7.109375" style="183" bestFit="1" customWidth="1"/>
    <col min="1026" max="1026" width="5.33203125" style="183" bestFit="1" customWidth="1"/>
    <col min="1027" max="1027" width="43.6640625" style="183" customWidth="1"/>
    <col min="1028" max="1028" width="13.5546875" style="183" customWidth="1"/>
    <col min="1029" max="1029" width="10.109375" style="183" customWidth="1"/>
    <col min="1030" max="1030" width="10" style="183" customWidth="1"/>
    <col min="1031" max="1031" width="6.109375" style="183" bestFit="1" customWidth="1"/>
    <col min="1032" max="1032" width="4.6640625" style="183" customWidth="1"/>
    <col min="1033" max="1033" width="14.88671875" style="183" bestFit="1" customWidth="1"/>
    <col min="1034" max="1034" width="12.88671875" style="183" bestFit="1" customWidth="1"/>
    <col min="1035" max="1035" width="7.6640625" style="183" customWidth="1"/>
    <col min="1036" max="1036" width="18" style="183" customWidth="1"/>
    <col min="1037" max="1037" width="8.33203125" style="183" customWidth="1"/>
    <col min="1038" max="1038" width="16" style="183" customWidth="1"/>
    <col min="1039" max="1039" width="15.109375" style="183" bestFit="1" customWidth="1"/>
    <col min="1040" max="1040" width="14.109375" style="183" bestFit="1" customWidth="1"/>
    <col min="1041" max="1280" width="11.44140625" style="183"/>
    <col min="1281" max="1281" width="7.109375" style="183" bestFit="1" customWidth="1"/>
    <col min="1282" max="1282" width="5.33203125" style="183" bestFit="1" customWidth="1"/>
    <col min="1283" max="1283" width="43.6640625" style="183" customWidth="1"/>
    <col min="1284" max="1284" width="13.5546875" style="183" customWidth="1"/>
    <col min="1285" max="1285" width="10.109375" style="183" customWidth="1"/>
    <col min="1286" max="1286" width="10" style="183" customWidth="1"/>
    <col min="1287" max="1287" width="6.109375" style="183" bestFit="1" customWidth="1"/>
    <col min="1288" max="1288" width="4.6640625" style="183" customWidth="1"/>
    <col min="1289" max="1289" width="14.88671875" style="183" bestFit="1" customWidth="1"/>
    <col min="1290" max="1290" width="12.88671875" style="183" bestFit="1" customWidth="1"/>
    <col min="1291" max="1291" width="7.6640625" style="183" customWidth="1"/>
    <col min="1292" max="1292" width="18" style="183" customWidth="1"/>
    <col min="1293" max="1293" width="8.33203125" style="183" customWidth="1"/>
    <col min="1294" max="1294" width="16" style="183" customWidth="1"/>
    <col min="1295" max="1295" width="15.109375" style="183" bestFit="1" customWidth="1"/>
    <col min="1296" max="1296" width="14.109375" style="183" bestFit="1" customWidth="1"/>
    <col min="1297" max="1536" width="11.44140625" style="183"/>
    <col min="1537" max="1537" width="7.109375" style="183" bestFit="1" customWidth="1"/>
    <col min="1538" max="1538" width="5.33203125" style="183" bestFit="1" customWidth="1"/>
    <col min="1539" max="1539" width="43.6640625" style="183" customWidth="1"/>
    <col min="1540" max="1540" width="13.5546875" style="183" customWidth="1"/>
    <col min="1541" max="1541" width="10.109375" style="183" customWidth="1"/>
    <col min="1542" max="1542" width="10" style="183" customWidth="1"/>
    <col min="1543" max="1543" width="6.109375" style="183" bestFit="1" customWidth="1"/>
    <col min="1544" max="1544" width="4.6640625" style="183" customWidth="1"/>
    <col min="1545" max="1545" width="14.88671875" style="183" bestFit="1" customWidth="1"/>
    <col min="1546" max="1546" width="12.88671875" style="183" bestFit="1" customWidth="1"/>
    <col min="1547" max="1547" width="7.6640625" style="183" customWidth="1"/>
    <col min="1548" max="1548" width="18" style="183" customWidth="1"/>
    <col min="1549" max="1549" width="8.33203125" style="183" customWidth="1"/>
    <col min="1550" max="1550" width="16" style="183" customWidth="1"/>
    <col min="1551" max="1551" width="15.109375" style="183" bestFit="1" customWidth="1"/>
    <col min="1552" max="1552" width="14.109375" style="183" bestFit="1" customWidth="1"/>
    <col min="1553" max="1792" width="11.44140625" style="183"/>
    <col min="1793" max="1793" width="7.109375" style="183" bestFit="1" customWidth="1"/>
    <col min="1794" max="1794" width="5.33203125" style="183" bestFit="1" customWidth="1"/>
    <col min="1795" max="1795" width="43.6640625" style="183" customWidth="1"/>
    <col min="1796" max="1796" width="13.5546875" style="183" customWidth="1"/>
    <col min="1797" max="1797" width="10.109375" style="183" customWidth="1"/>
    <col min="1798" max="1798" width="10" style="183" customWidth="1"/>
    <col min="1799" max="1799" width="6.109375" style="183" bestFit="1" customWidth="1"/>
    <col min="1800" max="1800" width="4.6640625" style="183" customWidth="1"/>
    <col min="1801" max="1801" width="14.88671875" style="183" bestFit="1" customWidth="1"/>
    <col min="1802" max="1802" width="12.88671875" style="183" bestFit="1" customWidth="1"/>
    <col min="1803" max="1803" width="7.6640625" style="183" customWidth="1"/>
    <col min="1804" max="1804" width="18" style="183" customWidth="1"/>
    <col min="1805" max="1805" width="8.33203125" style="183" customWidth="1"/>
    <col min="1806" max="1806" width="16" style="183" customWidth="1"/>
    <col min="1807" max="1807" width="15.109375" style="183" bestFit="1" customWidth="1"/>
    <col min="1808" max="1808" width="14.109375" style="183" bestFit="1" customWidth="1"/>
    <col min="1809" max="2048" width="11.44140625" style="183"/>
    <col min="2049" max="2049" width="7.109375" style="183" bestFit="1" customWidth="1"/>
    <col min="2050" max="2050" width="5.33203125" style="183" bestFit="1" customWidth="1"/>
    <col min="2051" max="2051" width="43.6640625" style="183" customWidth="1"/>
    <col min="2052" max="2052" width="13.5546875" style="183" customWidth="1"/>
    <col min="2053" max="2053" width="10.109375" style="183" customWidth="1"/>
    <col min="2054" max="2054" width="10" style="183" customWidth="1"/>
    <col min="2055" max="2055" width="6.109375" style="183" bestFit="1" customWidth="1"/>
    <col min="2056" max="2056" width="4.6640625" style="183" customWidth="1"/>
    <col min="2057" max="2057" width="14.88671875" style="183" bestFit="1" customWidth="1"/>
    <col min="2058" max="2058" width="12.88671875" style="183" bestFit="1" customWidth="1"/>
    <col min="2059" max="2059" width="7.6640625" style="183" customWidth="1"/>
    <col min="2060" max="2060" width="18" style="183" customWidth="1"/>
    <col min="2061" max="2061" width="8.33203125" style="183" customWidth="1"/>
    <col min="2062" max="2062" width="16" style="183" customWidth="1"/>
    <col min="2063" max="2063" width="15.109375" style="183" bestFit="1" customWidth="1"/>
    <col min="2064" max="2064" width="14.109375" style="183" bestFit="1" customWidth="1"/>
    <col min="2065" max="2304" width="11.44140625" style="183"/>
    <col min="2305" max="2305" width="7.109375" style="183" bestFit="1" customWidth="1"/>
    <col min="2306" max="2306" width="5.33203125" style="183" bestFit="1" customWidth="1"/>
    <col min="2307" max="2307" width="43.6640625" style="183" customWidth="1"/>
    <col min="2308" max="2308" width="13.5546875" style="183" customWidth="1"/>
    <col min="2309" max="2309" width="10.109375" style="183" customWidth="1"/>
    <col min="2310" max="2310" width="10" style="183" customWidth="1"/>
    <col min="2311" max="2311" width="6.109375" style="183" bestFit="1" customWidth="1"/>
    <col min="2312" max="2312" width="4.6640625" style="183" customWidth="1"/>
    <col min="2313" max="2313" width="14.88671875" style="183" bestFit="1" customWidth="1"/>
    <col min="2314" max="2314" width="12.88671875" style="183" bestFit="1" customWidth="1"/>
    <col min="2315" max="2315" width="7.6640625" style="183" customWidth="1"/>
    <col min="2316" max="2316" width="18" style="183" customWidth="1"/>
    <col min="2317" max="2317" width="8.33203125" style="183" customWidth="1"/>
    <col min="2318" max="2318" width="16" style="183" customWidth="1"/>
    <col min="2319" max="2319" width="15.109375" style="183" bestFit="1" customWidth="1"/>
    <col min="2320" max="2320" width="14.109375" style="183" bestFit="1" customWidth="1"/>
    <col min="2321" max="2560" width="11.44140625" style="183"/>
    <col min="2561" max="2561" width="7.109375" style="183" bestFit="1" customWidth="1"/>
    <col min="2562" max="2562" width="5.33203125" style="183" bestFit="1" customWidth="1"/>
    <col min="2563" max="2563" width="43.6640625" style="183" customWidth="1"/>
    <col min="2564" max="2564" width="13.5546875" style="183" customWidth="1"/>
    <col min="2565" max="2565" width="10.109375" style="183" customWidth="1"/>
    <col min="2566" max="2566" width="10" style="183" customWidth="1"/>
    <col min="2567" max="2567" width="6.109375" style="183" bestFit="1" customWidth="1"/>
    <col min="2568" max="2568" width="4.6640625" style="183" customWidth="1"/>
    <col min="2569" max="2569" width="14.88671875" style="183" bestFit="1" customWidth="1"/>
    <col min="2570" max="2570" width="12.88671875" style="183" bestFit="1" customWidth="1"/>
    <col min="2571" max="2571" width="7.6640625" style="183" customWidth="1"/>
    <col min="2572" max="2572" width="18" style="183" customWidth="1"/>
    <col min="2573" max="2573" width="8.33203125" style="183" customWidth="1"/>
    <col min="2574" max="2574" width="16" style="183" customWidth="1"/>
    <col min="2575" max="2575" width="15.109375" style="183" bestFit="1" customWidth="1"/>
    <col min="2576" max="2576" width="14.109375" style="183" bestFit="1" customWidth="1"/>
    <col min="2577" max="2816" width="11.44140625" style="183"/>
    <col min="2817" max="2817" width="7.109375" style="183" bestFit="1" customWidth="1"/>
    <col min="2818" max="2818" width="5.33203125" style="183" bestFit="1" customWidth="1"/>
    <col min="2819" max="2819" width="43.6640625" style="183" customWidth="1"/>
    <col min="2820" max="2820" width="13.5546875" style="183" customWidth="1"/>
    <col min="2821" max="2821" width="10.109375" style="183" customWidth="1"/>
    <col min="2822" max="2822" width="10" style="183" customWidth="1"/>
    <col min="2823" max="2823" width="6.109375" style="183" bestFit="1" customWidth="1"/>
    <col min="2824" max="2824" width="4.6640625" style="183" customWidth="1"/>
    <col min="2825" max="2825" width="14.88671875" style="183" bestFit="1" customWidth="1"/>
    <col min="2826" max="2826" width="12.88671875" style="183" bestFit="1" customWidth="1"/>
    <col min="2827" max="2827" width="7.6640625" style="183" customWidth="1"/>
    <col min="2828" max="2828" width="18" style="183" customWidth="1"/>
    <col min="2829" max="2829" width="8.33203125" style="183" customWidth="1"/>
    <col min="2830" max="2830" width="16" style="183" customWidth="1"/>
    <col min="2831" max="2831" width="15.109375" style="183" bestFit="1" customWidth="1"/>
    <col min="2832" max="2832" width="14.109375" style="183" bestFit="1" customWidth="1"/>
    <col min="2833" max="3072" width="11.44140625" style="183"/>
    <col min="3073" max="3073" width="7.109375" style="183" bestFit="1" customWidth="1"/>
    <col min="3074" max="3074" width="5.33203125" style="183" bestFit="1" customWidth="1"/>
    <col min="3075" max="3075" width="43.6640625" style="183" customWidth="1"/>
    <col min="3076" max="3076" width="13.5546875" style="183" customWidth="1"/>
    <col min="3077" max="3077" width="10.109375" style="183" customWidth="1"/>
    <col min="3078" max="3078" width="10" style="183" customWidth="1"/>
    <col min="3079" max="3079" width="6.109375" style="183" bestFit="1" customWidth="1"/>
    <col min="3080" max="3080" width="4.6640625" style="183" customWidth="1"/>
    <col min="3081" max="3081" width="14.88671875" style="183" bestFit="1" customWidth="1"/>
    <col min="3082" max="3082" width="12.88671875" style="183" bestFit="1" customWidth="1"/>
    <col min="3083" max="3083" width="7.6640625" style="183" customWidth="1"/>
    <col min="3084" max="3084" width="18" style="183" customWidth="1"/>
    <col min="3085" max="3085" width="8.33203125" style="183" customWidth="1"/>
    <col min="3086" max="3086" width="16" style="183" customWidth="1"/>
    <col min="3087" max="3087" width="15.109375" style="183" bestFit="1" customWidth="1"/>
    <col min="3088" max="3088" width="14.109375" style="183" bestFit="1" customWidth="1"/>
    <col min="3089" max="3328" width="11.44140625" style="183"/>
    <col min="3329" max="3329" width="7.109375" style="183" bestFit="1" customWidth="1"/>
    <col min="3330" max="3330" width="5.33203125" style="183" bestFit="1" customWidth="1"/>
    <col min="3331" max="3331" width="43.6640625" style="183" customWidth="1"/>
    <col min="3332" max="3332" width="13.5546875" style="183" customWidth="1"/>
    <col min="3333" max="3333" width="10.109375" style="183" customWidth="1"/>
    <col min="3334" max="3334" width="10" style="183" customWidth="1"/>
    <col min="3335" max="3335" width="6.109375" style="183" bestFit="1" customWidth="1"/>
    <col min="3336" max="3336" width="4.6640625" style="183" customWidth="1"/>
    <col min="3337" max="3337" width="14.88671875" style="183" bestFit="1" customWidth="1"/>
    <col min="3338" max="3338" width="12.88671875" style="183" bestFit="1" customWidth="1"/>
    <col min="3339" max="3339" width="7.6640625" style="183" customWidth="1"/>
    <col min="3340" max="3340" width="18" style="183" customWidth="1"/>
    <col min="3341" max="3341" width="8.33203125" style="183" customWidth="1"/>
    <col min="3342" max="3342" width="16" style="183" customWidth="1"/>
    <col min="3343" max="3343" width="15.109375" style="183" bestFit="1" customWidth="1"/>
    <col min="3344" max="3344" width="14.109375" style="183" bestFit="1" customWidth="1"/>
    <col min="3345" max="3584" width="11.44140625" style="183"/>
    <col min="3585" max="3585" width="7.109375" style="183" bestFit="1" customWidth="1"/>
    <col min="3586" max="3586" width="5.33203125" style="183" bestFit="1" customWidth="1"/>
    <col min="3587" max="3587" width="43.6640625" style="183" customWidth="1"/>
    <col min="3588" max="3588" width="13.5546875" style="183" customWidth="1"/>
    <col min="3589" max="3589" width="10.109375" style="183" customWidth="1"/>
    <col min="3590" max="3590" width="10" style="183" customWidth="1"/>
    <col min="3591" max="3591" width="6.109375" style="183" bestFit="1" customWidth="1"/>
    <col min="3592" max="3592" width="4.6640625" style="183" customWidth="1"/>
    <col min="3593" max="3593" width="14.88671875" style="183" bestFit="1" customWidth="1"/>
    <col min="3594" max="3594" width="12.88671875" style="183" bestFit="1" customWidth="1"/>
    <col min="3595" max="3595" width="7.6640625" style="183" customWidth="1"/>
    <col min="3596" max="3596" width="18" style="183" customWidth="1"/>
    <col min="3597" max="3597" width="8.33203125" style="183" customWidth="1"/>
    <col min="3598" max="3598" width="16" style="183" customWidth="1"/>
    <col min="3599" max="3599" width="15.109375" style="183" bestFit="1" customWidth="1"/>
    <col min="3600" max="3600" width="14.109375" style="183" bestFit="1" customWidth="1"/>
    <col min="3601" max="3840" width="11.44140625" style="183"/>
    <col min="3841" max="3841" width="7.109375" style="183" bestFit="1" customWidth="1"/>
    <col min="3842" max="3842" width="5.33203125" style="183" bestFit="1" customWidth="1"/>
    <col min="3843" max="3843" width="43.6640625" style="183" customWidth="1"/>
    <col min="3844" max="3844" width="13.5546875" style="183" customWidth="1"/>
    <col min="3845" max="3845" width="10.109375" style="183" customWidth="1"/>
    <col min="3846" max="3846" width="10" style="183" customWidth="1"/>
    <col min="3847" max="3847" width="6.109375" style="183" bestFit="1" customWidth="1"/>
    <col min="3848" max="3848" width="4.6640625" style="183" customWidth="1"/>
    <col min="3849" max="3849" width="14.88671875" style="183" bestFit="1" customWidth="1"/>
    <col min="3850" max="3850" width="12.88671875" style="183" bestFit="1" customWidth="1"/>
    <col min="3851" max="3851" width="7.6640625" style="183" customWidth="1"/>
    <col min="3852" max="3852" width="18" style="183" customWidth="1"/>
    <col min="3853" max="3853" width="8.33203125" style="183" customWidth="1"/>
    <col min="3854" max="3854" width="16" style="183" customWidth="1"/>
    <col min="3855" max="3855" width="15.109375" style="183" bestFit="1" customWidth="1"/>
    <col min="3856" max="3856" width="14.109375" style="183" bestFit="1" customWidth="1"/>
    <col min="3857" max="4096" width="11.44140625" style="183"/>
    <col min="4097" max="4097" width="7.109375" style="183" bestFit="1" customWidth="1"/>
    <col min="4098" max="4098" width="5.33203125" style="183" bestFit="1" customWidth="1"/>
    <col min="4099" max="4099" width="43.6640625" style="183" customWidth="1"/>
    <col min="4100" max="4100" width="13.5546875" style="183" customWidth="1"/>
    <col min="4101" max="4101" width="10.109375" style="183" customWidth="1"/>
    <col min="4102" max="4102" width="10" style="183" customWidth="1"/>
    <col min="4103" max="4103" width="6.109375" style="183" bestFit="1" customWidth="1"/>
    <col min="4104" max="4104" width="4.6640625" style="183" customWidth="1"/>
    <col min="4105" max="4105" width="14.88671875" style="183" bestFit="1" customWidth="1"/>
    <col min="4106" max="4106" width="12.88671875" style="183" bestFit="1" customWidth="1"/>
    <col min="4107" max="4107" width="7.6640625" style="183" customWidth="1"/>
    <col min="4108" max="4108" width="18" style="183" customWidth="1"/>
    <col min="4109" max="4109" width="8.33203125" style="183" customWidth="1"/>
    <col min="4110" max="4110" width="16" style="183" customWidth="1"/>
    <col min="4111" max="4111" width="15.109375" style="183" bestFit="1" customWidth="1"/>
    <col min="4112" max="4112" width="14.109375" style="183" bestFit="1" customWidth="1"/>
    <col min="4113" max="4352" width="11.44140625" style="183"/>
    <col min="4353" max="4353" width="7.109375" style="183" bestFit="1" customWidth="1"/>
    <col min="4354" max="4354" width="5.33203125" style="183" bestFit="1" customWidth="1"/>
    <col min="4355" max="4355" width="43.6640625" style="183" customWidth="1"/>
    <col min="4356" max="4356" width="13.5546875" style="183" customWidth="1"/>
    <col min="4357" max="4357" width="10.109375" style="183" customWidth="1"/>
    <col min="4358" max="4358" width="10" style="183" customWidth="1"/>
    <col min="4359" max="4359" width="6.109375" style="183" bestFit="1" customWidth="1"/>
    <col min="4360" max="4360" width="4.6640625" style="183" customWidth="1"/>
    <col min="4361" max="4361" width="14.88671875" style="183" bestFit="1" customWidth="1"/>
    <col min="4362" max="4362" width="12.88671875" style="183" bestFit="1" customWidth="1"/>
    <col min="4363" max="4363" width="7.6640625" style="183" customWidth="1"/>
    <col min="4364" max="4364" width="18" style="183" customWidth="1"/>
    <col min="4365" max="4365" width="8.33203125" style="183" customWidth="1"/>
    <col min="4366" max="4366" width="16" style="183" customWidth="1"/>
    <col min="4367" max="4367" width="15.109375" style="183" bestFit="1" customWidth="1"/>
    <col min="4368" max="4368" width="14.109375" style="183" bestFit="1" customWidth="1"/>
    <col min="4369" max="4608" width="11.44140625" style="183"/>
    <col min="4609" max="4609" width="7.109375" style="183" bestFit="1" customWidth="1"/>
    <col min="4610" max="4610" width="5.33203125" style="183" bestFit="1" customWidth="1"/>
    <col min="4611" max="4611" width="43.6640625" style="183" customWidth="1"/>
    <col min="4612" max="4612" width="13.5546875" style="183" customWidth="1"/>
    <col min="4613" max="4613" width="10.109375" style="183" customWidth="1"/>
    <col min="4614" max="4614" width="10" style="183" customWidth="1"/>
    <col min="4615" max="4615" width="6.109375" style="183" bestFit="1" customWidth="1"/>
    <col min="4616" max="4616" width="4.6640625" style="183" customWidth="1"/>
    <col min="4617" max="4617" width="14.88671875" style="183" bestFit="1" customWidth="1"/>
    <col min="4618" max="4618" width="12.88671875" style="183" bestFit="1" customWidth="1"/>
    <col min="4619" max="4619" width="7.6640625" style="183" customWidth="1"/>
    <col min="4620" max="4620" width="18" style="183" customWidth="1"/>
    <col min="4621" max="4621" width="8.33203125" style="183" customWidth="1"/>
    <col min="4622" max="4622" width="16" style="183" customWidth="1"/>
    <col min="4623" max="4623" width="15.109375" style="183" bestFit="1" customWidth="1"/>
    <col min="4624" max="4624" width="14.109375" style="183" bestFit="1" customWidth="1"/>
    <col min="4625" max="4864" width="11.44140625" style="183"/>
    <col min="4865" max="4865" width="7.109375" style="183" bestFit="1" customWidth="1"/>
    <col min="4866" max="4866" width="5.33203125" style="183" bestFit="1" customWidth="1"/>
    <col min="4867" max="4867" width="43.6640625" style="183" customWidth="1"/>
    <col min="4868" max="4868" width="13.5546875" style="183" customWidth="1"/>
    <col min="4869" max="4869" width="10.109375" style="183" customWidth="1"/>
    <col min="4870" max="4870" width="10" style="183" customWidth="1"/>
    <col min="4871" max="4871" width="6.109375" style="183" bestFit="1" customWidth="1"/>
    <col min="4872" max="4872" width="4.6640625" style="183" customWidth="1"/>
    <col min="4873" max="4873" width="14.88671875" style="183" bestFit="1" customWidth="1"/>
    <col min="4874" max="4874" width="12.88671875" style="183" bestFit="1" customWidth="1"/>
    <col min="4875" max="4875" width="7.6640625" style="183" customWidth="1"/>
    <col min="4876" max="4876" width="18" style="183" customWidth="1"/>
    <col min="4877" max="4877" width="8.33203125" style="183" customWidth="1"/>
    <col min="4878" max="4878" width="16" style="183" customWidth="1"/>
    <col min="4879" max="4879" width="15.109375" style="183" bestFit="1" customWidth="1"/>
    <col min="4880" max="4880" width="14.109375" style="183" bestFit="1" customWidth="1"/>
    <col min="4881" max="5120" width="11.44140625" style="183"/>
    <col min="5121" max="5121" width="7.109375" style="183" bestFit="1" customWidth="1"/>
    <col min="5122" max="5122" width="5.33203125" style="183" bestFit="1" customWidth="1"/>
    <col min="5123" max="5123" width="43.6640625" style="183" customWidth="1"/>
    <col min="5124" max="5124" width="13.5546875" style="183" customWidth="1"/>
    <col min="5125" max="5125" width="10.109375" style="183" customWidth="1"/>
    <col min="5126" max="5126" width="10" style="183" customWidth="1"/>
    <col min="5127" max="5127" width="6.109375" style="183" bestFit="1" customWidth="1"/>
    <col min="5128" max="5128" width="4.6640625" style="183" customWidth="1"/>
    <col min="5129" max="5129" width="14.88671875" style="183" bestFit="1" customWidth="1"/>
    <col min="5130" max="5130" width="12.88671875" style="183" bestFit="1" customWidth="1"/>
    <col min="5131" max="5131" width="7.6640625" style="183" customWidth="1"/>
    <col min="5132" max="5132" width="18" style="183" customWidth="1"/>
    <col min="5133" max="5133" width="8.33203125" style="183" customWidth="1"/>
    <col min="5134" max="5134" width="16" style="183" customWidth="1"/>
    <col min="5135" max="5135" width="15.109375" style="183" bestFit="1" customWidth="1"/>
    <col min="5136" max="5136" width="14.109375" style="183" bestFit="1" customWidth="1"/>
    <col min="5137" max="5376" width="11.44140625" style="183"/>
    <col min="5377" max="5377" width="7.109375" style="183" bestFit="1" customWidth="1"/>
    <col min="5378" max="5378" width="5.33203125" style="183" bestFit="1" customWidth="1"/>
    <col min="5379" max="5379" width="43.6640625" style="183" customWidth="1"/>
    <col min="5380" max="5380" width="13.5546875" style="183" customWidth="1"/>
    <col min="5381" max="5381" width="10.109375" style="183" customWidth="1"/>
    <col min="5382" max="5382" width="10" style="183" customWidth="1"/>
    <col min="5383" max="5383" width="6.109375" style="183" bestFit="1" customWidth="1"/>
    <col min="5384" max="5384" width="4.6640625" style="183" customWidth="1"/>
    <col min="5385" max="5385" width="14.88671875" style="183" bestFit="1" customWidth="1"/>
    <col min="5386" max="5386" width="12.88671875" style="183" bestFit="1" customWidth="1"/>
    <col min="5387" max="5387" width="7.6640625" style="183" customWidth="1"/>
    <col min="5388" max="5388" width="18" style="183" customWidth="1"/>
    <col min="5389" max="5389" width="8.33203125" style="183" customWidth="1"/>
    <col min="5390" max="5390" width="16" style="183" customWidth="1"/>
    <col min="5391" max="5391" width="15.109375" style="183" bestFit="1" customWidth="1"/>
    <col min="5392" max="5392" width="14.109375" style="183" bestFit="1" customWidth="1"/>
    <col min="5393" max="5632" width="11.44140625" style="183"/>
    <col min="5633" max="5633" width="7.109375" style="183" bestFit="1" customWidth="1"/>
    <col min="5634" max="5634" width="5.33203125" style="183" bestFit="1" customWidth="1"/>
    <col min="5635" max="5635" width="43.6640625" style="183" customWidth="1"/>
    <col min="5636" max="5636" width="13.5546875" style="183" customWidth="1"/>
    <col min="5637" max="5637" width="10.109375" style="183" customWidth="1"/>
    <col min="5638" max="5638" width="10" style="183" customWidth="1"/>
    <col min="5639" max="5639" width="6.109375" style="183" bestFit="1" customWidth="1"/>
    <col min="5640" max="5640" width="4.6640625" style="183" customWidth="1"/>
    <col min="5641" max="5641" width="14.88671875" style="183" bestFit="1" customWidth="1"/>
    <col min="5642" max="5642" width="12.88671875" style="183" bestFit="1" customWidth="1"/>
    <col min="5643" max="5643" width="7.6640625" style="183" customWidth="1"/>
    <col min="5644" max="5644" width="18" style="183" customWidth="1"/>
    <col min="5645" max="5645" width="8.33203125" style="183" customWidth="1"/>
    <col min="5646" max="5646" width="16" style="183" customWidth="1"/>
    <col min="5647" max="5647" width="15.109375" style="183" bestFit="1" customWidth="1"/>
    <col min="5648" max="5648" width="14.109375" style="183" bestFit="1" customWidth="1"/>
    <col min="5649" max="5888" width="11.44140625" style="183"/>
    <col min="5889" max="5889" width="7.109375" style="183" bestFit="1" customWidth="1"/>
    <col min="5890" max="5890" width="5.33203125" style="183" bestFit="1" customWidth="1"/>
    <col min="5891" max="5891" width="43.6640625" style="183" customWidth="1"/>
    <col min="5892" max="5892" width="13.5546875" style="183" customWidth="1"/>
    <col min="5893" max="5893" width="10.109375" style="183" customWidth="1"/>
    <col min="5894" max="5894" width="10" style="183" customWidth="1"/>
    <col min="5895" max="5895" width="6.109375" style="183" bestFit="1" customWidth="1"/>
    <col min="5896" max="5896" width="4.6640625" style="183" customWidth="1"/>
    <col min="5897" max="5897" width="14.88671875" style="183" bestFit="1" customWidth="1"/>
    <col min="5898" max="5898" width="12.88671875" style="183" bestFit="1" customWidth="1"/>
    <col min="5899" max="5899" width="7.6640625" style="183" customWidth="1"/>
    <col min="5900" max="5900" width="18" style="183" customWidth="1"/>
    <col min="5901" max="5901" width="8.33203125" style="183" customWidth="1"/>
    <col min="5902" max="5902" width="16" style="183" customWidth="1"/>
    <col min="5903" max="5903" width="15.109375" style="183" bestFit="1" customWidth="1"/>
    <col min="5904" max="5904" width="14.109375" style="183" bestFit="1" customWidth="1"/>
    <col min="5905" max="6144" width="11.44140625" style="183"/>
    <col min="6145" max="6145" width="7.109375" style="183" bestFit="1" customWidth="1"/>
    <col min="6146" max="6146" width="5.33203125" style="183" bestFit="1" customWidth="1"/>
    <col min="6147" max="6147" width="43.6640625" style="183" customWidth="1"/>
    <col min="6148" max="6148" width="13.5546875" style="183" customWidth="1"/>
    <col min="6149" max="6149" width="10.109375" style="183" customWidth="1"/>
    <col min="6150" max="6150" width="10" style="183" customWidth="1"/>
    <col min="6151" max="6151" width="6.109375" style="183" bestFit="1" customWidth="1"/>
    <col min="6152" max="6152" width="4.6640625" style="183" customWidth="1"/>
    <col min="6153" max="6153" width="14.88671875" style="183" bestFit="1" customWidth="1"/>
    <col min="6154" max="6154" width="12.88671875" style="183" bestFit="1" customWidth="1"/>
    <col min="6155" max="6155" width="7.6640625" style="183" customWidth="1"/>
    <col min="6156" max="6156" width="18" style="183" customWidth="1"/>
    <col min="6157" max="6157" width="8.33203125" style="183" customWidth="1"/>
    <col min="6158" max="6158" width="16" style="183" customWidth="1"/>
    <col min="6159" max="6159" width="15.109375" style="183" bestFit="1" customWidth="1"/>
    <col min="6160" max="6160" width="14.109375" style="183" bestFit="1" customWidth="1"/>
    <col min="6161" max="6400" width="11.44140625" style="183"/>
    <col min="6401" max="6401" width="7.109375" style="183" bestFit="1" customWidth="1"/>
    <col min="6402" max="6402" width="5.33203125" style="183" bestFit="1" customWidth="1"/>
    <col min="6403" max="6403" width="43.6640625" style="183" customWidth="1"/>
    <col min="6404" max="6404" width="13.5546875" style="183" customWidth="1"/>
    <col min="6405" max="6405" width="10.109375" style="183" customWidth="1"/>
    <col min="6406" max="6406" width="10" style="183" customWidth="1"/>
    <col min="6407" max="6407" width="6.109375" style="183" bestFit="1" customWidth="1"/>
    <col min="6408" max="6408" width="4.6640625" style="183" customWidth="1"/>
    <col min="6409" max="6409" width="14.88671875" style="183" bestFit="1" customWidth="1"/>
    <col min="6410" max="6410" width="12.88671875" style="183" bestFit="1" customWidth="1"/>
    <col min="6411" max="6411" width="7.6640625" style="183" customWidth="1"/>
    <col min="6412" max="6412" width="18" style="183" customWidth="1"/>
    <col min="6413" max="6413" width="8.33203125" style="183" customWidth="1"/>
    <col min="6414" max="6414" width="16" style="183" customWidth="1"/>
    <col min="6415" max="6415" width="15.109375" style="183" bestFit="1" customWidth="1"/>
    <col min="6416" max="6416" width="14.109375" style="183" bestFit="1" customWidth="1"/>
    <col min="6417" max="6656" width="11.44140625" style="183"/>
    <col min="6657" max="6657" width="7.109375" style="183" bestFit="1" customWidth="1"/>
    <col min="6658" max="6658" width="5.33203125" style="183" bestFit="1" customWidth="1"/>
    <col min="6659" max="6659" width="43.6640625" style="183" customWidth="1"/>
    <col min="6660" max="6660" width="13.5546875" style="183" customWidth="1"/>
    <col min="6661" max="6661" width="10.109375" style="183" customWidth="1"/>
    <col min="6662" max="6662" width="10" style="183" customWidth="1"/>
    <col min="6663" max="6663" width="6.109375" style="183" bestFit="1" customWidth="1"/>
    <col min="6664" max="6664" width="4.6640625" style="183" customWidth="1"/>
    <col min="6665" max="6665" width="14.88671875" style="183" bestFit="1" customWidth="1"/>
    <col min="6666" max="6666" width="12.88671875" style="183" bestFit="1" customWidth="1"/>
    <col min="6667" max="6667" width="7.6640625" style="183" customWidth="1"/>
    <col min="6668" max="6668" width="18" style="183" customWidth="1"/>
    <col min="6669" max="6669" width="8.33203125" style="183" customWidth="1"/>
    <col min="6670" max="6670" width="16" style="183" customWidth="1"/>
    <col min="6671" max="6671" width="15.109375" style="183" bestFit="1" customWidth="1"/>
    <col min="6672" max="6672" width="14.109375" style="183" bestFit="1" customWidth="1"/>
    <col min="6673" max="6912" width="11.44140625" style="183"/>
    <col min="6913" max="6913" width="7.109375" style="183" bestFit="1" customWidth="1"/>
    <col min="6914" max="6914" width="5.33203125" style="183" bestFit="1" customWidth="1"/>
    <col min="6915" max="6915" width="43.6640625" style="183" customWidth="1"/>
    <col min="6916" max="6916" width="13.5546875" style="183" customWidth="1"/>
    <col min="6917" max="6917" width="10.109375" style="183" customWidth="1"/>
    <col min="6918" max="6918" width="10" style="183" customWidth="1"/>
    <col min="6919" max="6919" width="6.109375" style="183" bestFit="1" customWidth="1"/>
    <col min="6920" max="6920" width="4.6640625" style="183" customWidth="1"/>
    <col min="6921" max="6921" width="14.88671875" style="183" bestFit="1" customWidth="1"/>
    <col min="6922" max="6922" width="12.88671875" style="183" bestFit="1" customWidth="1"/>
    <col min="6923" max="6923" width="7.6640625" style="183" customWidth="1"/>
    <col min="6924" max="6924" width="18" style="183" customWidth="1"/>
    <col min="6925" max="6925" width="8.33203125" style="183" customWidth="1"/>
    <col min="6926" max="6926" width="16" style="183" customWidth="1"/>
    <col min="6927" max="6927" width="15.109375" style="183" bestFit="1" customWidth="1"/>
    <col min="6928" max="6928" width="14.109375" style="183" bestFit="1" customWidth="1"/>
    <col min="6929" max="7168" width="11.44140625" style="183"/>
    <col min="7169" max="7169" width="7.109375" style="183" bestFit="1" customWidth="1"/>
    <col min="7170" max="7170" width="5.33203125" style="183" bestFit="1" customWidth="1"/>
    <col min="7171" max="7171" width="43.6640625" style="183" customWidth="1"/>
    <col min="7172" max="7172" width="13.5546875" style="183" customWidth="1"/>
    <col min="7173" max="7173" width="10.109375" style="183" customWidth="1"/>
    <col min="7174" max="7174" width="10" style="183" customWidth="1"/>
    <col min="7175" max="7175" width="6.109375" style="183" bestFit="1" customWidth="1"/>
    <col min="7176" max="7176" width="4.6640625" style="183" customWidth="1"/>
    <col min="7177" max="7177" width="14.88671875" style="183" bestFit="1" customWidth="1"/>
    <col min="7178" max="7178" width="12.88671875" style="183" bestFit="1" customWidth="1"/>
    <col min="7179" max="7179" width="7.6640625" style="183" customWidth="1"/>
    <col min="7180" max="7180" width="18" style="183" customWidth="1"/>
    <col min="7181" max="7181" width="8.33203125" style="183" customWidth="1"/>
    <col min="7182" max="7182" width="16" style="183" customWidth="1"/>
    <col min="7183" max="7183" width="15.109375" style="183" bestFit="1" customWidth="1"/>
    <col min="7184" max="7184" width="14.109375" style="183" bestFit="1" customWidth="1"/>
    <col min="7185" max="7424" width="11.44140625" style="183"/>
    <col min="7425" max="7425" width="7.109375" style="183" bestFit="1" customWidth="1"/>
    <col min="7426" max="7426" width="5.33203125" style="183" bestFit="1" customWidth="1"/>
    <col min="7427" max="7427" width="43.6640625" style="183" customWidth="1"/>
    <col min="7428" max="7428" width="13.5546875" style="183" customWidth="1"/>
    <col min="7429" max="7429" width="10.109375" style="183" customWidth="1"/>
    <col min="7430" max="7430" width="10" style="183" customWidth="1"/>
    <col min="7431" max="7431" width="6.109375" style="183" bestFit="1" customWidth="1"/>
    <col min="7432" max="7432" width="4.6640625" style="183" customWidth="1"/>
    <col min="7433" max="7433" width="14.88671875" style="183" bestFit="1" customWidth="1"/>
    <col min="7434" max="7434" width="12.88671875" style="183" bestFit="1" customWidth="1"/>
    <col min="7435" max="7435" width="7.6640625" style="183" customWidth="1"/>
    <col min="7436" max="7436" width="18" style="183" customWidth="1"/>
    <col min="7437" max="7437" width="8.33203125" style="183" customWidth="1"/>
    <col min="7438" max="7438" width="16" style="183" customWidth="1"/>
    <col min="7439" max="7439" width="15.109375" style="183" bestFit="1" customWidth="1"/>
    <col min="7440" max="7440" width="14.109375" style="183" bestFit="1" customWidth="1"/>
    <col min="7441" max="7680" width="11.44140625" style="183"/>
    <col min="7681" max="7681" width="7.109375" style="183" bestFit="1" customWidth="1"/>
    <col min="7682" max="7682" width="5.33203125" style="183" bestFit="1" customWidth="1"/>
    <col min="7683" max="7683" width="43.6640625" style="183" customWidth="1"/>
    <col min="7684" max="7684" width="13.5546875" style="183" customWidth="1"/>
    <col min="7685" max="7685" width="10.109375" style="183" customWidth="1"/>
    <col min="7686" max="7686" width="10" style="183" customWidth="1"/>
    <col min="7687" max="7687" width="6.109375" style="183" bestFit="1" customWidth="1"/>
    <col min="7688" max="7688" width="4.6640625" style="183" customWidth="1"/>
    <col min="7689" max="7689" width="14.88671875" style="183" bestFit="1" customWidth="1"/>
    <col min="7690" max="7690" width="12.88671875" style="183" bestFit="1" customWidth="1"/>
    <col min="7691" max="7691" width="7.6640625" style="183" customWidth="1"/>
    <col min="7692" max="7692" width="18" style="183" customWidth="1"/>
    <col min="7693" max="7693" width="8.33203125" style="183" customWidth="1"/>
    <col min="7694" max="7694" width="16" style="183" customWidth="1"/>
    <col min="7695" max="7695" width="15.109375" style="183" bestFit="1" customWidth="1"/>
    <col min="7696" max="7696" width="14.109375" style="183" bestFit="1" customWidth="1"/>
    <col min="7697" max="7936" width="11.44140625" style="183"/>
    <col min="7937" max="7937" width="7.109375" style="183" bestFit="1" customWidth="1"/>
    <col min="7938" max="7938" width="5.33203125" style="183" bestFit="1" customWidth="1"/>
    <col min="7939" max="7939" width="43.6640625" style="183" customWidth="1"/>
    <col min="7940" max="7940" width="13.5546875" style="183" customWidth="1"/>
    <col min="7941" max="7941" width="10.109375" style="183" customWidth="1"/>
    <col min="7942" max="7942" width="10" style="183" customWidth="1"/>
    <col min="7943" max="7943" width="6.109375" style="183" bestFit="1" customWidth="1"/>
    <col min="7944" max="7944" width="4.6640625" style="183" customWidth="1"/>
    <col min="7945" max="7945" width="14.88671875" style="183" bestFit="1" customWidth="1"/>
    <col min="7946" max="7946" width="12.88671875" style="183" bestFit="1" customWidth="1"/>
    <col min="7947" max="7947" width="7.6640625" style="183" customWidth="1"/>
    <col min="7948" max="7948" width="18" style="183" customWidth="1"/>
    <col min="7949" max="7949" width="8.33203125" style="183" customWidth="1"/>
    <col min="7950" max="7950" width="16" style="183" customWidth="1"/>
    <col min="7951" max="7951" width="15.109375" style="183" bestFit="1" customWidth="1"/>
    <col min="7952" max="7952" width="14.109375" style="183" bestFit="1" customWidth="1"/>
    <col min="7953" max="8192" width="11.44140625" style="183"/>
    <col min="8193" max="8193" width="7.109375" style="183" bestFit="1" customWidth="1"/>
    <col min="8194" max="8194" width="5.33203125" style="183" bestFit="1" customWidth="1"/>
    <col min="8195" max="8195" width="43.6640625" style="183" customWidth="1"/>
    <col min="8196" max="8196" width="13.5546875" style="183" customWidth="1"/>
    <col min="8197" max="8197" width="10.109375" style="183" customWidth="1"/>
    <col min="8198" max="8198" width="10" style="183" customWidth="1"/>
    <col min="8199" max="8199" width="6.109375" style="183" bestFit="1" customWidth="1"/>
    <col min="8200" max="8200" width="4.6640625" style="183" customWidth="1"/>
    <col min="8201" max="8201" width="14.88671875" style="183" bestFit="1" customWidth="1"/>
    <col min="8202" max="8202" width="12.88671875" style="183" bestFit="1" customWidth="1"/>
    <col min="8203" max="8203" width="7.6640625" style="183" customWidth="1"/>
    <col min="8204" max="8204" width="18" style="183" customWidth="1"/>
    <col min="8205" max="8205" width="8.33203125" style="183" customWidth="1"/>
    <col min="8206" max="8206" width="16" style="183" customWidth="1"/>
    <col min="8207" max="8207" width="15.109375" style="183" bestFit="1" customWidth="1"/>
    <col min="8208" max="8208" width="14.109375" style="183" bestFit="1" customWidth="1"/>
    <col min="8209" max="8448" width="11.44140625" style="183"/>
    <col min="8449" max="8449" width="7.109375" style="183" bestFit="1" customWidth="1"/>
    <col min="8450" max="8450" width="5.33203125" style="183" bestFit="1" customWidth="1"/>
    <col min="8451" max="8451" width="43.6640625" style="183" customWidth="1"/>
    <col min="8452" max="8452" width="13.5546875" style="183" customWidth="1"/>
    <col min="8453" max="8453" width="10.109375" style="183" customWidth="1"/>
    <col min="8454" max="8454" width="10" style="183" customWidth="1"/>
    <col min="8455" max="8455" width="6.109375" style="183" bestFit="1" customWidth="1"/>
    <col min="8456" max="8456" width="4.6640625" style="183" customWidth="1"/>
    <col min="8457" max="8457" width="14.88671875" style="183" bestFit="1" customWidth="1"/>
    <col min="8458" max="8458" width="12.88671875" style="183" bestFit="1" customWidth="1"/>
    <col min="8459" max="8459" width="7.6640625" style="183" customWidth="1"/>
    <col min="8460" max="8460" width="18" style="183" customWidth="1"/>
    <col min="8461" max="8461" width="8.33203125" style="183" customWidth="1"/>
    <col min="8462" max="8462" width="16" style="183" customWidth="1"/>
    <col min="8463" max="8463" width="15.109375" style="183" bestFit="1" customWidth="1"/>
    <col min="8464" max="8464" width="14.109375" style="183" bestFit="1" customWidth="1"/>
    <col min="8465" max="8704" width="11.44140625" style="183"/>
    <col min="8705" max="8705" width="7.109375" style="183" bestFit="1" customWidth="1"/>
    <col min="8706" max="8706" width="5.33203125" style="183" bestFit="1" customWidth="1"/>
    <col min="8707" max="8707" width="43.6640625" style="183" customWidth="1"/>
    <col min="8708" max="8708" width="13.5546875" style="183" customWidth="1"/>
    <col min="8709" max="8709" width="10.109375" style="183" customWidth="1"/>
    <col min="8710" max="8710" width="10" style="183" customWidth="1"/>
    <col min="8711" max="8711" width="6.109375" style="183" bestFit="1" customWidth="1"/>
    <col min="8712" max="8712" width="4.6640625" style="183" customWidth="1"/>
    <col min="8713" max="8713" width="14.88671875" style="183" bestFit="1" customWidth="1"/>
    <col min="8714" max="8714" width="12.88671875" style="183" bestFit="1" customWidth="1"/>
    <col min="8715" max="8715" width="7.6640625" style="183" customWidth="1"/>
    <col min="8716" max="8716" width="18" style="183" customWidth="1"/>
    <col min="8717" max="8717" width="8.33203125" style="183" customWidth="1"/>
    <col min="8718" max="8718" width="16" style="183" customWidth="1"/>
    <col min="8719" max="8719" width="15.109375" style="183" bestFit="1" customWidth="1"/>
    <col min="8720" max="8720" width="14.109375" style="183" bestFit="1" customWidth="1"/>
    <col min="8721" max="8960" width="11.44140625" style="183"/>
    <col min="8961" max="8961" width="7.109375" style="183" bestFit="1" customWidth="1"/>
    <col min="8962" max="8962" width="5.33203125" style="183" bestFit="1" customWidth="1"/>
    <col min="8963" max="8963" width="43.6640625" style="183" customWidth="1"/>
    <col min="8964" max="8964" width="13.5546875" style="183" customWidth="1"/>
    <col min="8965" max="8965" width="10.109375" style="183" customWidth="1"/>
    <col min="8966" max="8966" width="10" style="183" customWidth="1"/>
    <col min="8967" max="8967" width="6.109375" style="183" bestFit="1" customWidth="1"/>
    <col min="8968" max="8968" width="4.6640625" style="183" customWidth="1"/>
    <col min="8969" max="8969" width="14.88671875" style="183" bestFit="1" customWidth="1"/>
    <col min="8970" max="8970" width="12.88671875" style="183" bestFit="1" customWidth="1"/>
    <col min="8971" max="8971" width="7.6640625" style="183" customWidth="1"/>
    <col min="8972" max="8972" width="18" style="183" customWidth="1"/>
    <col min="8973" max="8973" width="8.33203125" style="183" customWidth="1"/>
    <col min="8974" max="8974" width="16" style="183" customWidth="1"/>
    <col min="8975" max="8975" width="15.109375" style="183" bestFit="1" customWidth="1"/>
    <col min="8976" max="8976" width="14.109375" style="183" bestFit="1" customWidth="1"/>
    <col min="8977" max="9216" width="11.44140625" style="183"/>
    <col min="9217" max="9217" width="7.109375" style="183" bestFit="1" customWidth="1"/>
    <col min="9218" max="9218" width="5.33203125" style="183" bestFit="1" customWidth="1"/>
    <col min="9219" max="9219" width="43.6640625" style="183" customWidth="1"/>
    <col min="9220" max="9220" width="13.5546875" style="183" customWidth="1"/>
    <col min="9221" max="9221" width="10.109375" style="183" customWidth="1"/>
    <col min="9222" max="9222" width="10" style="183" customWidth="1"/>
    <col min="9223" max="9223" width="6.109375" style="183" bestFit="1" customWidth="1"/>
    <col min="9224" max="9224" width="4.6640625" style="183" customWidth="1"/>
    <col min="9225" max="9225" width="14.88671875" style="183" bestFit="1" customWidth="1"/>
    <col min="9226" max="9226" width="12.88671875" style="183" bestFit="1" customWidth="1"/>
    <col min="9227" max="9227" width="7.6640625" style="183" customWidth="1"/>
    <col min="9228" max="9228" width="18" style="183" customWidth="1"/>
    <col min="9229" max="9229" width="8.33203125" style="183" customWidth="1"/>
    <col min="9230" max="9230" width="16" style="183" customWidth="1"/>
    <col min="9231" max="9231" width="15.109375" style="183" bestFit="1" customWidth="1"/>
    <col min="9232" max="9232" width="14.109375" style="183" bestFit="1" customWidth="1"/>
    <col min="9233" max="9472" width="11.44140625" style="183"/>
    <col min="9473" max="9473" width="7.109375" style="183" bestFit="1" customWidth="1"/>
    <col min="9474" max="9474" width="5.33203125" style="183" bestFit="1" customWidth="1"/>
    <col min="9475" max="9475" width="43.6640625" style="183" customWidth="1"/>
    <col min="9476" max="9476" width="13.5546875" style="183" customWidth="1"/>
    <col min="9477" max="9477" width="10.109375" style="183" customWidth="1"/>
    <col min="9478" max="9478" width="10" style="183" customWidth="1"/>
    <col min="9479" max="9479" width="6.109375" style="183" bestFit="1" customWidth="1"/>
    <col min="9480" max="9480" width="4.6640625" style="183" customWidth="1"/>
    <col min="9481" max="9481" width="14.88671875" style="183" bestFit="1" customWidth="1"/>
    <col min="9482" max="9482" width="12.88671875" style="183" bestFit="1" customWidth="1"/>
    <col min="9483" max="9483" width="7.6640625" style="183" customWidth="1"/>
    <col min="9484" max="9484" width="18" style="183" customWidth="1"/>
    <col min="9485" max="9485" width="8.33203125" style="183" customWidth="1"/>
    <col min="9486" max="9486" width="16" style="183" customWidth="1"/>
    <col min="9487" max="9487" width="15.109375" style="183" bestFit="1" customWidth="1"/>
    <col min="9488" max="9488" width="14.109375" style="183" bestFit="1" customWidth="1"/>
    <col min="9489" max="9728" width="11.44140625" style="183"/>
    <col min="9729" max="9729" width="7.109375" style="183" bestFit="1" customWidth="1"/>
    <col min="9730" max="9730" width="5.33203125" style="183" bestFit="1" customWidth="1"/>
    <col min="9731" max="9731" width="43.6640625" style="183" customWidth="1"/>
    <col min="9732" max="9732" width="13.5546875" style="183" customWidth="1"/>
    <col min="9733" max="9733" width="10.109375" style="183" customWidth="1"/>
    <col min="9734" max="9734" width="10" style="183" customWidth="1"/>
    <col min="9735" max="9735" width="6.109375" style="183" bestFit="1" customWidth="1"/>
    <col min="9736" max="9736" width="4.6640625" style="183" customWidth="1"/>
    <col min="9737" max="9737" width="14.88671875" style="183" bestFit="1" customWidth="1"/>
    <col min="9738" max="9738" width="12.88671875" style="183" bestFit="1" customWidth="1"/>
    <col min="9739" max="9739" width="7.6640625" style="183" customWidth="1"/>
    <col min="9740" max="9740" width="18" style="183" customWidth="1"/>
    <col min="9741" max="9741" width="8.33203125" style="183" customWidth="1"/>
    <col min="9742" max="9742" width="16" style="183" customWidth="1"/>
    <col min="9743" max="9743" width="15.109375" style="183" bestFit="1" customWidth="1"/>
    <col min="9744" max="9744" width="14.109375" style="183" bestFit="1" customWidth="1"/>
    <col min="9745" max="9984" width="11.44140625" style="183"/>
    <col min="9985" max="9985" width="7.109375" style="183" bestFit="1" customWidth="1"/>
    <col min="9986" max="9986" width="5.33203125" style="183" bestFit="1" customWidth="1"/>
    <col min="9987" max="9987" width="43.6640625" style="183" customWidth="1"/>
    <col min="9988" max="9988" width="13.5546875" style="183" customWidth="1"/>
    <col min="9989" max="9989" width="10.109375" style="183" customWidth="1"/>
    <col min="9990" max="9990" width="10" style="183" customWidth="1"/>
    <col min="9991" max="9991" width="6.109375" style="183" bestFit="1" customWidth="1"/>
    <col min="9992" max="9992" width="4.6640625" style="183" customWidth="1"/>
    <col min="9993" max="9993" width="14.88671875" style="183" bestFit="1" customWidth="1"/>
    <col min="9994" max="9994" width="12.88671875" style="183" bestFit="1" customWidth="1"/>
    <col min="9995" max="9995" width="7.6640625" style="183" customWidth="1"/>
    <col min="9996" max="9996" width="18" style="183" customWidth="1"/>
    <col min="9997" max="9997" width="8.33203125" style="183" customWidth="1"/>
    <col min="9998" max="9998" width="16" style="183" customWidth="1"/>
    <col min="9999" max="9999" width="15.109375" style="183" bestFit="1" customWidth="1"/>
    <col min="10000" max="10000" width="14.109375" style="183" bestFit="1" customWidth="1"/>
    <col min="10001" max="10240" width="11.44140625" style="183"/>
    <col min="10241" max="10241" width="7.109375" style="183" bestFit="1" customWidth="1"/>
    <col min="10242" max="10242" width="5.33203125" style="183" bestFit="1" customWidth="1"/>
    <col min="10243" max="10243" width="43.6640625" style="183" customWidth="1"/>
    <col min="10244" max="10244" width="13.5546875" style="183" customWidth="1"/>
    <col min="10245" max="10245" width="10.109375" style="183" customWidth="1"/>
    <col min="10246" max="10246" width="10" style="183" customWidth="1"/>
    <col min="10247" max="10247" width="6.109375" style="183" bestFit="1" customWidth="1"/>
    <col min="10248" max="10248" width="4.6640625" style="183" customWidth="1"/>
    <col min="10249" max="10249" width="14.88671875" style="183" bestFit="1" customWidth="1"/>
    <col min="10250" max="10250" width="12.88671875" style="183" bestFit="1" customWidth="1"/>
    <col min="10251" max="10251" width="7.6640625" style="183" customWidth="1"/>
    <col min="10252" max="10252" width="18" style="183" customWidth="1"/>
    <col min="10253" max="10253" width="8.33203125" style="183" customWidth="1"/>
    <col min="10254" max="10254" width="16" style="183" customWidth="1"/>
    <col min="10255" max="10255" width="15.109375" style="183" bestFit="1" customWidth="1"/>
    <col min="10256" max="10256" width="14.109375" style="183" bestFit="1" customWidth="1"/>
    <col min="10257" max="10496" width="11.44140625" style="183"/>
    <col min="10497" max="10497" width="7.109375" style="183" bestFit="1" customWidth="1"/>
    <col min="10498" max="10498" width="5.33203125" style="183" bestFit="1" customWidth="1"/>
    <col min="10499" max="10499" width="43.6640625" style="183" customWidth="1"/>
    <col min="10500" max="10500" width="13.5546875" style="183" customWidth="1"/>
    <col min="10501" max="10501" width="10.109375" style="183" customWidth="1"/>
    <col min="10502" max="10502" width="10" style="183" customWidth="1"/>
    <col min="10503" max="10503" width="6.109375" style="183" bestFit="1" customWidth="1"/>
    <col min="10504" max="10504" width="4.6640625" style="183" customWidth="1"/>
    <col min="10505" max="10505" width="14.88671875" style="183" bestFit="1" customWidth="1"/>
    <col min="10506" max="10506" width="12.88671875" style="183" bestFit="1" customWidth="1"/>
    <col min="10507" max="10507" width="7.6640625" style="183" customWidth="1"/>
    <col min="10508" max="10508" width="18" style="183" customWidth="1"/>
    <col min="10509" max="10509" width="8.33203125" style="183" customWidth="1"/>
    <col min="10510" max="10510" width="16" style="183" customWidth="1"/>
    <col min="10511" max="10511" width="15.109375" style="183" bestFit="1" customWidth="1"/>
    <col min="10512" max="10512" width="14.109375" style="183" bestFit="1" customWidth="1"/>
    <col min="10513" max="10752" width="11.44140625" style="183"/>
    <col min="10753" max="10753" width="7.109375" style="183" bestFit="1" customWidth="1"/>
    <col min="10754" max="10754" width="5.33203125" style="183" bestFit="1" customWidth="1"/>
    <col min="10755" max="10755" width="43.6640625" style="183" customWidth="1"/>
    <col min="10756" max="10756" width="13.5546875" style="183" customWidth="1"/>
    <col min="10757" max="10757" width="10.109375" style="183" customWidth="1"/>
    <col min="10758" max="10758" width="10" style="183" customWidth="1"/>
    <col min="10759" max="10759" width="6.109375" style="183" bestFit="1" customWidth="1"/>
    <col min="10760" max="10760" width="4.6640625" style="183" customWidth="1"/>
    <col min="10761" max="10761" width="14.88671875" style="183" bestFit="1" customWidth="1"/>
    <col min="10762" max="10762" width="12.88671875" style="183" bestFit="1" customWidth="1"/>
    <col min="10763" max="10763" width="7.6640625" style="183" customWidth="1"/>
    <col min="10764" max="10764" width="18" style="183" customWidth="1"/>
    <col min="10765" max="10765" width="8.33203125" style="183" customWidth="1"/>
    <col min="10766" max="10766" width="16" style="183" customWidth="1"/>
    <col min="10767" max="10767" width="15.109375" style="183" bestFit="1" customWidth="1"/>
    <col min="10768" max="10768" width="14.109375" style="183" bestFit="1" customWidth="1"/>
    <col min="10769" max="11008" width="11.44140625" style="183"/>
    <col min="11009" max="11009" width="7.109375" style="183" bestFit="1" customWidth="1"/>
    <col min="11010" max="11010" width="5.33203125" style="183" bestFit="1" customWidth="1"/>
    <col min="11011" max="11011" width="43.6640625" style="183" customWidth="1"/>
    <col min="11012" max="11012" width="13.5546875" style="183" customWidth="1"/>
    <col min="11013" max="11013" width="10.109375" style="183" customWidth="1"/>
    <col min="11014" max="11014" width="10" style="183" customWidth="1"/>
    <col min="11015" max="11015" width="6.109375" style="183" bestFit="1" customWidth="1"/>
    <col min="11016" max="11016" width="4.6640625" style="183" customWidth="1"/>
    <col min="11017" max="11017" width="14.88671875" style="183" bestFit="1" customWidth="1"/>
    <col min="11018" max="11018" width="12.88671875" style="183" bestFit="1" customWidth="1"/>
    <col min="11019" max="11019" width="7.6640625" style="183" customWidth="1"/>
    <col min="11020" max="11020" width="18" style="183" customWidth="1"/>
    <col min="11021" max="11021" width="8.33203125" style="183" customWidth="1"/>
    <col min="11022" max="11022" width="16" style="183" customWidth="1"/>
    <col min="11023" max="11023" width="15.109375" style="183" bestFit="1" customWidth="1"/>
    <col min="11024" max="11024" width="14.109375" style="183" bestFit="1" customWidth="1"/>
    <col min="11025" max="11264" width="11.44140625" style="183"/>
    <col min="11265" max="11265" width="7.109375" style="183" bestFit="1" customWidth="1"/>
    <col min="11266" max="11266" width="5.33203125" style="183" bestFit="1" customWidth="1"/>
    <col min="11267" max="11267" width="43.6640625" style="183" customWidth="1"/>
    <col min="11268" max="11268" width="13.5546875" style="183" customWidth="1"/>
    <col min="11269" max="11269" width="10.109375" style="183" customWidth="1"/>
    <col min="11270" max="11270" width="10" style="183" customWidth="1"/>
    <col min="11271" max="11271" width="6.109375" style="183" bestFit="1" customWidth="1"/>
    <col min="11272" max="11272" width="4.6640625" style="183" customWidth="1"/>
    <col min="11273" max="11273" width="14.88671875" style="183" bestFit="1" customWidth="1"/>
    <col min="11274" max="11274" width="12.88671875" style="183" bestFit="1" customWidth="1"/>
    <col min="11275" max="11275" width="7.6640625" style="183" customWidth="1"/>
    <col min="11276" max="11276" width="18" style="183" customWidth="1"/>
    <col min="11277" max="11277" width="8.33203125" style="183" customWidth="1"/>
    <col min="11278" max="11278" width="16" style="183" customWidth="1"/>
    <col min="11279" max="11279" width="15.109375" style="183" bestFit="1" customWidth="1"/>
    <col min="11280" max="11280" width="14.109375" style="183" bestFit="1" customWidth="1"/>
    <col min="11281" max="11520" width="11.44140625" style="183"/>
    <col min="11521" max="11521" width="7.109375" style="183" bestFit="1" customWidth="1"/>
    <col min="11522" max="11522" width="5.33203125" style="183" bestFit="1" customWidth="1"/>
    <col min="11523" max="11523" width="43.6640625" style="183" customWidth="1"/>
    <col min="11524" max="11524" width="13.5546875" style="183" customWidth="1"/>
    <col min="11525" max="11525" width="10.109375" style="183" customWidth="1"/>
    <col min="11526" max="11526" width="10" style="183" customWidth="1"/>
    <col min="11527" max="11527" width="6.109375" style="183" bestFit="1" customWidth="1"/>
    <col min="11528" max="11528" width="4.6640625" style="183" customWidth="1"/>
    <col min="11529" max="11529" width="14.88671875" style="183" bestFit="1" customWidth="1"/>
    <col min="11530" max="11530" width="12.88671875" style="183" bestFit="1" customWidth="1"/>
    <col min="11531" max="11531" width="7.6640625" style="183" customWidth="1"/>
    <col min="11532" max="11532" width="18" style="183" customWidth="1"/>
    <col min="11533" max="11533" width="8.33203125" style="183" customWidth="1"/>
    <col min="11534" max="11534" width="16" style="183" customWidth="1"/>
    <col min="11535" max="11535" width="15.109375" style="183" bestFit="1" customWidth="1"/>
    <col min="11536" max="11536" width="14.109375" style="183" bestFit="1" customWidth="1"/>
    <col min="11537" max="11776" width="11.44140625" style="183"/>
    <col min="11777" max="11777" width="7.109375" style="183" bestFit="1" customWidth="1"/>
    <col min="11778" max="11778" width="5.33203125" style="183" bestFit="1" customWidth="1"/>
    <col min="11779" max="11779" width="43.6640625" style="183" customWidth="1"/>
    <col min="11780" max="11780" width="13.5546875" style="183" customWidth="1"/>
    <col min="11781" max="11781" width="10.109375" style="183" customWidth="1"/>
    <col min="11782" max="11782" width="10" style="183" customWidth="1"/>
    <col min="11783" max="11783" width="6.109375" style="183" bestFit="1" customWidth="1"/>
    <col min="11784" max="11784" width="4.6640625" style="183" customWidth="1"/>
    <col min="11785" max="11785" width="14.88671875" style="183" bestFit="1" customWidth="1"/>
    <col min="11786" max="11786" width="12.88671875" style="183" bestFit="1" customWidth="1"/>
    <col min="11787" max="11787" width="7.6640625" style="183" customWidth="1"/>
    <col min="11788" max="11788" width="18" style="183" customWidth="1"/>
    <col min="11789" max="11789" width="8.33203125" style="183" customWidth="1"/>
    <col min="11790" max="11790" width="16" style="183" customWidth="1"/>
    <col min="11791" max="11791" width="15.109375" style="183" bestFit="1" customWidth="1"/>
    <col min="11792" max="11792" width="14.109375" style="183" bestFit="1" customWidth="1"/>
    <col min="11793" max="12032" width="11.44140625" style="183"/>
    <col min="12033" max="12033" width="7.109375" style="183" bestFit="1" customWidth="1"/>
    <col min="12034" max="12034" width="5.33203125" style="183" bestFit="1" customWidth="1"/>
    <col min="12035" max="12035" width="43.6640625" style="183" customWidth="1"/>
    <col min="12036" max="12036" width="13.5546875" style="183" customWidth="1"/>
    <col min="12037" max="12037" width="10.109375" style="183" customWidth="1"/>
    <col min="12038" max="12038" width="10" style="183" customWidth="1"/>
    <col min="12039" max="12039" width="6.109375" style="183" bestFit="1" customWidth="1"/>
    <col min="12040" max="12040" width="4.6640625" style="183" customWidth="1"/>
    <col min="12041" max="12041" width="14.88671875" style="183" bestFit="1" customWidth="1"/>
    <col min="12042" max="12042" width="12.88671875" style="183" bestFit="1" customWidth="1"/>
    <col min="12043" max="12043" width="7.6640625" style="183" customWidth="1"/>
    <col min="12044" max="12044" width="18" style="183" customWidth="1"/>
    <col min="12045" max="12045" width="8.33203125" style="183" customWidth="1"/>
    <col min="12046" max="12046" width="16" style="183" customWidth="1"/>
    <col min="12047" max="12047" width="15.109375" style="183" bestFit="1" customWidth="1"/>
    <col min="12048" max="12048" width="14.109375" style="183" bestFit="1" customWidth="1"/>
    <col min="12049" max="12288" width="11.44140625" style="183"/>
    <col min="12289" max="12289" width="7.109375" style="183" bestFit="1" customWidth="1"/>
    <col min="12290" max="12290" width="5.33203125" style="183" bestFit="1" customWidth="1"/>
    <col min="12291" max="12291" width="43.6640625" style="183" customWidth="1"/>
    <col min="12292" max="12292" width="13.5546875" style="183" customWidth="1"/>
    <col min="12293" max="12293" width="10.109375" style="183" customWidth="1"/>
    <col min="12294" max="12294" width="10" style="183" customWidth="1"/>
    <col min="12295" max="12295" width="6.109375" style="183" bestFit="1" customWidth="1"/>
    <col min="12296" max="12296" width="4.6640625" style="183" customWidth="1"/>
    <col min="12297" max="12297" width="14.88671875" style="183" bestFit="1" customWidth="1"/>
    <col min="12298" max="12298" width="12.88671875" style="183" bestFit="1" customWidth="1"/>
    <col min="12299" max="12299" width="7.6640625" style="183" customWidth="1"/>
    <col min="12300" max="12300" width="18" style="183" customWidth="1"/>
    <col min="12301" max="12301" width="8.33203125" style="183" customWidth="1"/>
    <col min="12302" max="12302" width="16" style="183" customWidth="1"/>
    <col min="12303" max="12303" width="15.109375" style="183" bestFit="1" customWidth="1"/>
    <col min="12304" max="12304" width="14.109375" style="183" bestFit="1" customWidth="1"/>
    <col min="12305" max="12544" width="11.44140625" style="183"/>
    <col min="12545" max="12545" width="7.109375" style="183" bestFit="1" customWidth="1"/>
    <col min="12546" max="12546" width="5.33203125" style="183" bestFit="1" customWidth="1"/>
    <col min="12547" max="12547" width="43.6640625" style="183" customWidth="1"/>
    <col min="12548" max="12548" width="13.5546875" style="183" customWidth="1"/>
    <col min="12549" max="12549" width="10.109375" style="183" customWidth="1"/>
    <col min="12550" max="12550" width="10" style="183" customWidth="1"/>
    <col min="12551" max="12551" width="6.109375" style="183" bestFit="1" customWidth="1"/>
    <col min="12552" max="12552" width="4.6640625" style="183" customWidth="1"/>
    <col min="12553" max="12553" width="14.88671875" style="183" bestFit="1" customWidth="1"/>
    <col min="12554" max="12554" width="12.88671875" style="183" bestFit="1" customWidth="1"/>
    <col min="12555" max="12555" width="7.6640625" style="183" customWidth="1"/>
    <col min="12556" max="12556" width="18" style="183" customWidth="1"/>
    <col min="12557" max="12557" width="8.33203125" style="183" customWidth="1"/>
    <col min="12558" max="12558" width="16" style="183" customWidth="1"/>
    <col min="12559" max="12559" width="15.109375" style="183" bestFit="1" customWidth="1"/>
    <col min="12560" max="12560" width="14.109375" style="183" bestFit="1" customWidth="1"/>
    <col min="12561" max="12800" width="11.44140625" style="183"/>
    <col min="12801" max="12801" width="7.109375" style="183" bestFit="1" customWidth="1"/>
    <col min="12802" max="12802" width="5.33203125" style="183" bestFit="1" customWidth="1"/>
    <col min="12803" max="12803" width="43.6640625" style="183" customWidth="1"/>
    <col min="12804" max="12804" width="13.5546875" style="183" customWidth="1"/>
    <col min="12805" max="12805" width="10.109375" style="183" customWidth="1"/>
    <col min="12806" max="12806" width="10" style="183" customWidth="1"/>
    <col min="12807" max="12807" width="6.109375" style="183" bestFit="1" customWidth="1"/>
    <col min="12808" max="12808" width="4.6640625" style="183" customWidth="1"/>
    <col min="12809" max="12809" width="14.88671875" style="183" bestFit="1" customWidth="1"/>
    <col min="12810" max="12810" width="12.88671875" style="183" bestFit="1" customWidth="1"/>
    <col min="12811" max="12811" width="7.6640625" style="183" customWidth="1"/>
    <col min="12812" max="12812" width="18" style="183" customWidth="1"/>
    <col min="12813" max="12813" width="8.33203125" style="183" customWidth="1"/>
    <col min="12814" max="12814" width="16" style="183" customWidth="1"/>
    <col min="12815" max="12815" width="15.109375" style="183" bestFit="1" customWidth="1"/>
    <col min="12816" max="12816" width="14.109375" style="183" bestFit="1" customWidth="1"/>
    <col min="12817" max="13056" width="11.44140625" style="183"/>
    <col min="13057" max="13057" width="7.109375" style="183" bestFit="1" customWidth="1"/>
    <col min="13058" max="13058" width="5.33203125" style="183" bestFit="1" customWidth="1"/>
    <col min="13059" max="13059" width="43.6640625" style="183" customWidth="1"/>
    <col min="13060" max="13060" width="13.5546875" style="183" customWidth="1"/>
    <col min="13061" max="13061" width="10.109375" style="183" customWidth="1"/>
    <col min="13062" max="13062" width="10" style="183" customWidth="1"/>
    <col min="13063" max="13063" width="6.109375" style="183" bestFit="1" customWidth="1"/>
    <col min="13064" max="13064" width="4.6640625" style="183" customWidth="1"/>
    <col min="13065" max="13065" width="14.88671875" style="183" bestFit="1" customWidth="1"/>
    <col min="13066" max="13066" width="12.88671875" style="183" bestFit="1" customWidth="1"/>
    <col min="13067" max="13067" width="7.6640625" style="183" customWidth="1"/>
    <col min="13068" max="13068" width="18" style="183" customWidth="1"/>
    <col min="13069" max="13069" width="8.33203125" style="183" customWidth="1"/>
    <col min="13070" max="13070" width="16" style="183" customWidth="1"/>
    <col min="13071" max="13071" width="15.109375" style="183" bestFit="1" customWidth="1"/>
    <col min="13072" max="13072" width="14.109375" style="183" bestFit="1" customWidth="1"/>
    <col min="13073" max="13312" width="11.44140625" style="183"/>
    <col min="13313" max="13313" width="7.109375" style="183" bestFit="1" customWidth="1"/>
    <col min="13314" max="13314" width="5.33203125" style="183" bestFit="1" customWidth="1"/>
    <col min="13315" max="13315" width="43.6640625" style="183" customWidth="1"/>
    <col min="13316" max="13316" width="13.5546875" style="183" customWidth="1"/>
    <col min="13317" max="13317" width="10.109375" style="183" customWidth="1"/>
    <col min="13318" max="13318" width="10" style="183" customWidth="1"/>
    <col min="13319" max="13319" width="6.109375" style="183" bestFit="1" customWidth="1"/>
    <col min="13320" max="13320" width="4.6640625" style="183" customWidth="1"/>
    <col min="13321" max="13321" width="14.88671875" style="183" bestFit="1" customWidth="1"/>
    <col min="13322" max="13322" width="12.88671875" style="183" bestFit="1" customWidth="1"/>
    <col min="13323" max="13323" width="7.6640625" style="183" customWidth="1"/>
    <col min="13324" max="13324" width="18" style="183" customWidth="1"/>
    <col min="13325" max="13325" width="8.33203125" style="183" customWidth="1"/>
    <col min="13326" max="13326" width="16" style="183" customWidth="1"/>
    <col min="13327" max="13327" width="15.109375" style="183" bestFit="1" customWidth="1"/>
    <col min="13328" max="13328" width="14.109375" style="183" bestFit="1" customWidth="1"/>
    <col min="13329" max="13568" width="11.44140625" style="183"/>
    <col min="13569" max="13569" width="7.109375" style="183" bestFit="1" customWidth="1"/>
    <col min="13570" max="13570" width="5.33203125" style="183" bestFit="1" customWidth="1"/>
    <col min="13571" max="13571" width="43.6640625" style="183" customWidth="1"/>
    <col min="13572" max="13572" width="13.5546875" style="183" customWidth="1"/>
    <col min="13573" max="13573" width="10.109375" style="183" customWidth="1"/>
    <col min="13574" max="13574" width="10" style="183" customWidth="1"/>
    <col min="13575" max="13575" width="6.109375" style="183" bestFit="1" customWidth="1"/>
    <col min="13576" max="13576" width="4.6640625" style="183" customWidth="1"/>
    <col min="13577" max="13577" width="14.88671875" style="183" bestFit="1" customWidth="1"/>
    <col min="13578" max="13578" width="12.88671875" style="183" bestFit="1" customWidth="1"/>
    <col min="13579" max="13579" width="7.6640625" style="183" customWidth="1"/>
    <col min="13580" max="13580" width="18" style="183" customWidth="1"/>
    <col min="13581" max="13581" width="8.33203125" style="183" customWidth="1"/>
    <col min="13582" max="13582" width="16" style="183" customWidth="1"/>
    <col min="13583" max="13583" width="15.109375" style="183" bestFit="1" customWidth="1"/>
    <col min="13584" max="13584" width="14.109375" style="183" bestFit="1" customWidth="1"/>
    <col min="13585" max="13824" width="11.44140625" style="183"/>
    <col min="13825" max="13825" width="7.109375" style="183" bestFit="1" customWidth="1"/>
    <col min="13826" max="13826" width="5.33203125" style="183" bestFit="1" customWidth="1"/>
    <col min="13827" max="13827" width="43.6640625" style="183" customWidth="1"/>
    <col min="13828" max="13828" width="13.5546875" style="183" customWidth="1"/>
    <col min="13829" max="13829" width="10.109375" style="183" customWidth="1"/>
    <col min="13830" max="13830" width="10" style="183" customWidth="1"/>
    <col min="13831" max="13831" width="6.109375" style="183" bestFit="1" customWidth="1"/>
    <col min="13832" max="13832" width="4.6640625" style="183" customWidth="1"/>
    <col min="13833" max="13833" width="14.88671875" style="183" bestFit="1" customWidth="1"/>
    <col min="13834" max="13834" width="12.88671875" style="183" bestFit="1" customWidth="1"/>
    <col min="13835" max="13835" width="7.6640625" style="183" customWidth="1"/>
    <col min="13836" max="13836" width="18" style="183" customWidth="1"/>
    <col min="13837" max="13837" width="8.33203125" style="183" customWidth="1"/>
    <col min="13838" max="13838" width="16" style="183" customWidth="1"/>
    <col min="13839" max="13839" width="15.109375" style="183" bestFit="1" customWidth="1"/>
    <col min="13840" max="13840" width="14.109375" style="183" bestFit="1" customWidth="1"/>
    <col min="13841" max="14080" width="11.44140625" style="183"/>
    <col min="14081" max="14081" width="7.109375" style="183" bestFit="1" customWidth="1"/>
    <col min="14082" max="14082" width="5.33203125" style="183" bestFit="1" customWidth="1"/>
    <col min="14083" max="14083" width="43.6640625" style="183" customWidth="1"/>
    <col min="14084" max="14084" width="13.5546875" style="183" customWidth="1"/>
    <col min="14085" max="14085" width="10.109375" style="183" customWidth="1"/>
    <col min="14086" max="14086" width="10" style="183" customWidth="1"/>
    <col min="14087" max="14087" width="6.109375" style="183" bestFit="1" customWidth="1"/>
    <col min="14088" max="14088" width="4.6640625" style="183" customWidth="1"/>
    <col min="14089" max="14089" width="14.88671875" style="183" bestFit="1" customWidth="1"/>
    <col min="14090" max="14090" width="12.88671875" style="183" bestFit="1" customWidth="1"/>
    <col min="14091" max="14091" width="7.6640625" style="183" customWidth="1"/>
    <col min="14092" max="14092" width="18" style="183" customWidth="1"/>
    <col min="14093" max="14093" width="8.33203125" style="183" customWidth="1"/>
    <col min="14094" max="14094" width="16" style="183" customWidth="1"/>
    <col min="14095" max="14095" width="15.109375" style="183" bestFit="1" customWidth="1"/>
    <col min="14096" max="14096" width="14.109375" style="183" bestFit="1" customWidth="1"/>
    <col min="14097" max="14336" width="11.44140625" style="183"/>
    <col min="14337" max="14337" width="7.109375" style="183" bestFit="1" customWidth="1"/>
    <col min="14338" max="14338" width="5.33203125" style="183" bestFit="1" customWidth="1"/>
    <col min="14339" max="14339" width="43.6640625" style="183" customWidth="1"/>
    <col min="14340" max="14340" width="13.5546875" style="183" customWidth="1"/>
    <col min="14341" max="14341" width="10.109375" style="183" customWidth="1"/>
    <col min="14342" max="14342" width="10" style="183" customWidth="1"/>
    <col min="14343" max="14343" width="6.109375" style="183" bestFit="1" customWidth="1"/>
    <col min="14344" max="14344" width="4.6640625" style="183" customWidth="1"/>
    <col min="14345" max="14345" width="14.88671875" style="183" bestFit="1" customWidth="1"/>
    <col min="14346" max="14346" width="12.88671875" style="183" bestFit="1" customWidth="1"/>
    <col min="14347" max="14347" width="7.6640625" style="183" customWidth="1"/>
    <col min="14348" max="14348" width="18" style="183" customWidth="1"/>
    <col min="14349" max="14349" width="8.33203125" style="183" customWidth="1"/>
    <col min="14350" max="14350" width="16" style="183" customWidth="1"/>
    <col min="14351" max="14351" width="15.109375" style="183" bestFit="1" customWidth="1"/>
    <col min="14352" max="14352" width="14.109375" style="183" bestFit="1" customWidth="1"/>
    <col min="14353" max="14592" width="11.44140625" style="183"/>
    <col min="14593" max="14593" width="7.109375" style="183" bestFit="1" customWidth="1"/>
    <col min="14594" max="14594" width="5.33203125" style="183" bestFit="1" customWidth="1"/>
    <col min="14595" max="14595" width="43.6640625" style="183" customWidth="1"/>
    <col min="14596" max="14596" width="13.5546875" style="183" customWidth="1"/>
    <col min="14597" max="14597" width="10.109375" style="183" customWidth="1"/>
    <col min="14598" max="14598" width="10" style="183" customWidth="1"/>
    <col min="14599" max="14599" width="6.109375" style="183" bestFit="1" customWidth="1"/>
    <col min="14600" max="14600" width="4.6640625" style="183" customWidth="1"/>
    <col min="14601" max="14601" width="14.88671875" style="183" bestFit="1" customWidth="1"/>
    <col min="14602" max="14602" width="12.88671875" style="183" bestFit="1" customWidth="1"/>
    <col min="14603" max="14603" width="7.6640625" style="183" customWidth="1"/>
    <col min="14604" max="14604" width="18" style="183" customWidth="1"/>
    <col min="14605" max="14605" width="8.33203125" style="183" customWidth="1"/>
    <col min="14606" max="14606" width="16" style="183" customWidth="1"/>
    <col min="14607" max="14607" width="15.109375" style="183" bestFit="1" customWidth="1"/>
    <col min="14608" max="14608" width="14.109375" style="183" bestFit="1" customWidth="1"/>
    <col min="14609" max="14848" width="11.44140625" style="183"/>
    <col min="14849" max="14849" width="7.109375" style="183" bestFit="1" customWidth="1"/>
    <col min="14850" max="14850" width="5.33203125" style="183" bestFit="1" customWidth="1"/>
    <col min="14851" max="14851" width="43.6640625" style="183" customWidth="1"/>
    <col min="14852" max="14852" width="13.5546875" style="183" customWidth="1"/>
    <col min="14853" max="14853" width="10.109375" style="183" customWidth="1"/>
    <col min="14854" max="14854" width="10" style="183" customWidth="1"/>
    <col min="14855" max="14855" width="6.109375" style="183" bestFit="1" customWidth="1"/>
    <col min="14856" max="14856" width="4.6640625" style="183" customWidth="1"/>
    <col min="14857" max="14857" width="14.88671875" style="183" bestFit="1" customWidth="1"/>
    <col min="14858" max="14858" width="12.88671875" style="183" bestFit="1" customWidth="1"/>
    <col min="14859" max="14859" width="7.6640625" style="183" customWidth="1"/>
    <col min="14860" max="14860" width="18" style="183" customWidth="1"/>
    <col min="14861" max="14861" width="8.33203125" style="183" customWidth="1"/>
    <col min="14862" max="14862" width="16" style="183" customWidth="1"/>
    <col min="14863" max="14863" width="15.109375" style="183" bestFit="1" customWidth="1"/>
    <col min="14864" max="14864" width="14.109375" style="183" bestFit="1" customWidth="1"/>
    <col min="14865" max="15104" width="11.44140625" style="183"/>
    <col min="15105" max="15105" width="7.109375" style="183" bestFit="1" customWidth="1"/>
    <col min="15106" max="15106" width="5.33203125" style="183" bestFit="1" customWidth="1"/>
    <col min="15107" max="15107" width="43.6640625" style="183" customWidth="1"/>
    <col min="15108" max="15108" width="13.5546875" style="183" customWidth="1"/>
    <col min="15109" max="15109" width="10.109375" style="183" customWidth="1"/>
    <col min="15110" max="15110" width="10" style="183" customWidth="1"/>
    <col min="15111" max="15111" width="6.109375" style="183" bestFit="1" customWidth="1"/>
    <col min="15112" max="15112" width="4.6640625" style="183" customWidth="1"/>
    <col min="15113" max="15113" width="14.88671875" style="183" bestFit="1" customWidth="1"/>
    <col min="15114" max="15114" width="12.88671875" style="183" bestFit="1" customWidth="1"/>
    <col min="15115" max="15115" width="7.6640625" style="183" customWidth="1"/>
    <col min="15116" max="15116" width="18" style="183" customWidth="1"/>
    <col min="15117" max="15117" width="8.33203125" style="183" customWidth="1"/>
    <col min="15118" max="15118" width="16" style="183" customWidth="1"/>
    <col min="15119" max="15119" width="15.109375" style="183" bestFit="1" customWidth="1"/>
    <col min="15120" max="15120" width="14.109375" style="183" bestFit="1" customWidth="1"/>
    <col min="15121" max="15360" width="11.44140625" style="183"/>
    <col min="15361" max="15361" width="7.109375" style="183" bestFit="1" customWidth="1"/>
    <col min="15362" max="15362" width="5.33203125" style="183" bestFit="1" customWidth="1"/>
    <col min="15363" max="15363" width="43.6640625" style="183" customWidth="1"/>
    <col min="15364" max="15364" width="13.5546875" style="183" customWidth="1"/>
    <col min="15365" max="15365" width="10.109375" style="183" customWidth="1"/>
    <col min="15366" max="15366" width="10" style="183" customWidth="1"/>
    <col min="15367" max="15367" width="6.109375" style="183" bestFit="1" customWidth="1"/>
    <col min="15368" max="15368" width="4.6640625" style="183" customWidth="1"/>
    <col min="15369" max="15369" width="14.88671875" style="183" bestFit="1" customWidth="1"/>
    <col min="15370" max="15370" width="12.88671875" style="183" bestFit="1" customWidth="1"/>
    <col min="15371" max="15371" width="7.6640625" style="183" customWidth="1"/>
    <col min="15372" max="15372" width="18" style="183" customWidth="1"/>
    <col min="15373" max="15373" width="8.33203125" style="183" customWidth="1"/>
    <col min="15374" max="15374" width="16" style="183" customWidth="1"/>
    <col min="15375" max="15375" width="15.109375" style="183" bestFit="1" customWidth="1"/>
    <col min="15376" max="15376" width="14.109375" style="183" bestFit="1" customWidth="1"/>
    <col min="15377" max="15616" width="11.44140625" style="183"/>
    <col min="15617" max="15617" width="7.109375" style="183" bestFit="1" customWidth="1"/>
    <col min="15618" max="15618" width="5.33203125" style="183" bestFit="1" customWidth="1"/>
    <col min="15619" max="15619" width="43.6640625" style="183" customWidth="1"/>
    <col min="15620" max="15620" width="13.5546875" style="183" customWidth="1"/>
    <col min="15621" max="15621" width="10.109375" style="183" customWidth="1"/>
    <col min="15622" max="15622" width="10" style="183" customWidth="1"/>
    <col min="15623" max="15623" width="6.109375" style="183" bestFit="1" customWidth="1"/>
    <col min="15624" max="15624" width="4.6640625" style="183" customWidth="1"/>
    <col min="15625" max="15625" width="14.88671875" style="183" bestFit="1" customWidth="1"/>
    <col min="15626" max="15626" width="12.88671875" style="183" bestFit="1" customWidth="1"/>
    <col min="15627" max="15627" width="7.6640625" style="183" customWidth="1"/>
    <col min="15628" max="15628" width="18" style="183" customWidth="1"/>
    <col min="15629" max="15629" width="8.33203125" style="183" customWidth="1"/>
    <col min="15630" max="15630" width="16" style="183" customWidth="1"/>
    <col min="15631" max="15631" width="15.109375" style="183" bestFit="1" customWidth="1"/>
    <col min="15632" max="15632" width="14.109375" style="183" bestFit="1" customWidth="1"/>
    <col min="15633" max="15872" width="11.44140625" style="183"/>
    <col min="15873" max="15873" width="7.109375" style="183" bestFit="1" customWidth="1"/>
    <col min="15874" max="15874" width="5.33203125" style="183" bestFit="1" customWidth="1"/>
    <col min="15875" max="15875" width="43.6640625" style="183" customWidth="1"/>
    <col min="15876" max="15876" width="13.5546875" style="183" customWidth="1"/>
    <col min="15877" max="15877" width="10.109375" style="183" customWidth="1"/>
    <col min="15878" max="15878" width="10" style="183" customWidth="1"/>
    <col min="15879" max="15879" width="6.109375" style="183" bestFit="1" customWidth="1"/>
    <col min="15880" max="15880" width="4.6640625" style="183" customWidth="1"/>
    <col min="15881" max="15881" width="14.88671875" style="183" bestFit="1" customWidth="1"/>
    <col min="15882" max="15882" width="12.88671875" style="183" bestFit="1" customWidth="1"/>
    <col min="15883" max="15883" width="7.6640625" style="183" customWidth="1"/>
    <col min="15884" max="15884" width="18" style="183" customWidth="1"/>
    <col min="15885" max="15885" width="8.33203125" style="183" customWidth="1"/>
    <col min="15886" max="15886" width="16" style="183" customWidth="1"/>
    <col min="15887" max="15887" width="15.109375" style="183" bestFit="1" customWidth="1"/>
    <col min="15888" max="15888" width="14.109375" style="183" bestFit="1" customWidth="1"/>
    <col min="15889" max="16128" width="11.44140625" style="183"/>
    <col min="16129" max="16129" width="7.109375" style="183" bestFit="1" customWidth="1"/>
    <col min="16130" max="16130" width="5.33203125" style="183" bestFit="1" customWidth="1"/>
    <col min="16131" max="16131" width="43.6640625" style="183" customWidth="1"/>
    <col min="16132" max="16132" width="13.5546875" style="183" customWidth="1"/>
    <col min="16133" max="16133" width="10.109375" style="183" customWidth="1"/>
    <col min="16134" max="16134" width="10" style="183" customWidth="1"/>
    <col min="16135" max="16135" width="6.109375" style="183" bestFit="1" customWidth="1"/>
    <col min="16136" max="16136" width="4.6640625" style="183" customWidth="1"/>
    <col min="16137" max="16137" width="14.88671875" style="183" bestFit="1" customWidth="1"/>
    <col min="16138" max="16138" width="12.88671875" style="183" bestFit="1" customWidth="1"/>
    <col min="16139" max="16139" width="7.6640625" style="183" customWidth="1"/>
    <col min="16140" max="16140" width="18" style="183" customWidth="1"/>
    <col min="16141" max="16141" width="8.33203125" style="183" customWidth="1"/>
    <col min="16142" max="16142" width="16" style="183" customWidth="1"/>
    <col min="16143" max="16143" width="15.109375" style="183" bestFit="1" customWidth="1"/>
    <col min="16144" max="16144" width="14.109375" style="183" bestFit="1" customWidth="1"/>
    <col min="16145" max="16384" width="11.44140625" style="183"/>
  </cols>
  <sheetData>
    <row r="1" spans="1:15" ht="7.5" customHeight="1" thickBot="1" x14ac:dyDescent="0.35"/>
    <row r="2" spans="1:15" ht="15" customHeight="1" x14ac:dyDescent="0.3">
      <c r="B2" s="821" t="s">
        <v>162</v>
      </c>
      <c r="C2" s="822"/>
      <c r="D2" s="822"/>
      <c r="E2" s="822"/>
      <c r="F2" s="822"/>
      <c r="G2" s="822"/>
      <c r="H2" s="822"/>
      <c r="I2" s="823"/>
      <c r="J2" s="830"/>
      <c r="K2" s="831"/>
      <c r="L2" s="832"/>
    </row>
    <row r="3" spans="1:15" ht="15" customHeight="1" x14ac:dyDescent="0.3">
      <c r="B3" s="824"/>
      <c r="C3" s="825"/>
      <c r="D3" s="825"/>
      <c r="E3" s="825"/>
      <c r="F3" s="825"/>
      <c r="G3" s="825"/>
      <c r="H3" s="825"/>
      <c r="I3" s="826"/>
      <c r="J3" s="833"/>
      <c r="K3" s="834"/>
      <c r="L3" s="835"/>
    </row>
    <row r="4" spans="1:15" ht="15" customHeight="1" x14ac:dyDescent="0.3">
      <c r="B4" s="824"/>
      <c r="C4" s="825"/>
      <c r="D4" s="825"/>
      <c r="E4" s="825"/>
      <c r="F4" s="825"/>
      <c r="G4" s="825"/>
      <c r="H4" s="825"/>
      <c r="I4" s="826"/>
      <c r="J4" s="833"/>
      <c r="K4" s="834"/>
      <c r="L4" s="835"/>
    </row>
    <row r="5" spans="1:15" ht="15.75" customHeight="1" thickBot="1" x14ac:dyDescent="0.35">
      <c r="B5" s="827"/>
      <c r="C5" s="828"/>
      <c r="D5" s="828"/>
      <c r="E5" s="828"/>
      <c r="F5" s="828"/>
      <c r="G5" s="828"/>
      <c r="H5" s="828"/>
      <c r="I5" s="829"/>
      <c r="J5" s="836"/>
      <c r="K5" s="837"/>
      <c r="L5" s="838"/>
    </row>
    <row r="6" spans="1:15" ht="50.25" customHeight="1" thickBot="1" x14ac:dyDescent="0.35">
      <c r="B6" s="839" t="s">
        <v>163</v>
      </c>
      <c r="C6" s="840"/>
      <c r="D6" s="841" t="s">
        <v>9</v>
      </c>
      <c r="E6" s="842"/>
      <c r="F6" s="842"/>
      <c r="G6" s="842"/>
      <c r="H6" s="842"/>
      <c r="I6" s="842"/>
      <c r="J6" s="842"/>
      <c r="K6" s="842"/>
      <c r="L6" s="843"/>
    </row>
    <row r="7" spans="1:15" ht="13.8" thickBot="1" x14ac:dyDescent="0.35">
      <c r="A7" s="183"/>
      <c r="B7" s="248"/>
      <c r="C7" s="248"/>
      <c r="D7" s="248"/>
      <c r="E7" s="248"/>
      <c r="F7" s="248"/>
      <c r="G7" s="248"/>
      <c r="H7" s="248"/>
      <c r="I7" s="248"/>
      <c r="J7" s="248"/>
      <c r="K7" s="248"/>
      <c r="L7" s="249"/>
    </row>
    <row r="8" spans="1:15" ht="13.8" thickBot="1" x14ac:dyDescent="0.35">
      <c r="A8" s="183"/>
      <c r="B8" s="844" t="s">
        <v>222</v>
      </c>
      <c r="C8" s="845"/>
      <c r="D8" s="845"/>
      <c r="E8" s="845"/>
      <c r="F8" s="845"/>
      <c r="G8" s="845"/>
      <c r="H8" s="845"/>
      <c r="I8" s="845"/>
      <c r="J8" s="845"/>
      <c r="K8" s="845"/>
      <c r="L8" s="846"/>
    </row>
    <row r="9" spans="1:15" x14ac:dyDescent="0.3">
      <c r="B9" s="815" t="s">
        <v>218</v>
      </c>
      <c r="C9" s="816"/>
      <c r="D9" s="816"/>
      <c r="E9" s="817">
        <f>SUM('COMPONENTE AMBIENTAL'!N97:O97)</f>
        <v>46818223</v>
      </c>
      <c r="F9" s="817"/>
      <c r="G9" s="818"/>
      <c r="H9" s="250"/>
      <c r="I9" s="251" t="s">
        <v>72</v>
      </c>
      <c r="J9" s="819">
        <f>'AIU FLDT'!H7</f>
        <v>46236</v>
      </c>
      <c r="K9" s="819"/>
      <c r="L9" s="820"/>
    </row>
    <row r="10" spans="1:15" ht="13.8" thickBot="1" x14ac:dyDescent="0.35">
      <c r="B10" s="806" t="s">
        <v>73</v>
      </c>
      <c r="C10" s="807"/>
      <c r="D10" s="807"/>
      <c r="E10" s="252">
        <f>+'COMPONENTE AMBIENTAL'!N12</f>
        <v>4</v>
      </c>
      <c r="F10" s="807" t="s">
        <v>74</v>
      </c>
      <c r="G10" s="808"/>
      <c r="H10" s="253"/>
      <c r="I10" s="254" t="s">
        <v>75</v>
      </c>
      <c r="J10" s="780"/>
      <c r="K10" s="780"/>
      <c r="L10" s="781"/>
    </row>
    <row r="12" spans="1:15" s="256" customFormat="1" ht="12.75" customHeight="1" x14ac:dyDescent="0.3">
      <c r="A12" s="255"/>
      <c r="B12" s="809" t="s">
        <v>223</v>
      </c>
      <c r="C12" s="809"/>
      <c r="D12" s="809"/>
      <c r="E12" s="809"/>
      <c r="F12" s="809"/>
      <c r="G12" s="809"/>
      <c r="H12" s="809"/>
      <c r="I12" s="809"/>
      <c r="J12" s="809"/>
      <c r="K12" s="809"/>
      <c r="L12" s="809"/>
    </row>
    <row r="13" spans="1:15" s="259" customFormat="1" ht="10.199999999999999" x14ac:dyDescent="0.3">
      <c r="A13" s="257"/>
      <c r="B13" s="258">
        <v>3.1</v>
      </c>
      <c r="C13" s="810" t="s">
        <v>114</v>
      </c>
      <c r="D13" s="810"/>
      <c r="E13" s="810"/>
      <c r="F13" s="810"/>
      <c r="G13" s="810"/>
      <c r="H13" s="810"/>
      <c r="I13" s="810"/>
      <c r="J13" s="810"/>
      <c r="K13" s="810"/>
      <c r="L13" s="810"/>
    </row>
    <row r="14" spans="1:15" s="259" customFormat="1" ht="10.199999999999999" x14ac:dyDescent="0.3">
      <c r="A14" s="257"/>
      <c r="B14" s="260" t="s">
        <v>224</v>
      </c>
      <c r="C14" s="801" t="s">
        <v>12</v>
      </c>
      <c r="D14" s="811"/>
      <c r="E14" s="261"/>
      <c r="F14" s="262"/>
      <c r="G14" s="812"/>
      <c r="H14" s="812"/>
      <c r="I14" s="263"/>
      <c r="J14" s="801" t="s">
        <v>115</v>
      </c>
      <c r="K14" s="802"/>
      <c r="L14" s="258" t="s">
        <v>110</v>
      </c>
    </row>
    <row r="15" spans="1:15" s="256" customFormat="1" ht="10.199999999999999" x14ac:dyDescent="0.3">
      <c r="A15" s="257"/>
      <c r="B15" s="264">
        <f>B13+0.001</f>
        <v>3.101</v>
      </c>
      <c r="C15" s="265" t="s">
        <v>116</v>
      </c>
      <c r="D15" s="266"/>
      <c r="E15" s="266"/>
      <c r="F15" s="266"/>
      <c r="G15" s="266"/>
      <c r="H15" s="266"/>
      <c r="I15" s="267"/>
      <c r="J15" s="813">
        <v>0.05</v>
      </c>
      <c r="K15" s="814"/>
      <c r="L15" s="268">
        <f>ROUND((($E$9*ROUND((1+$M$37),4)))*J15,0)</f>
        <v>2340911</v>
      </c>
      <c r="O15" s="269"/>
    </row>
    <row r="16" spans="1:15" s="256" customFormat="1" ht="10.199999999999999" x14ac:dyDescent="0.3">
      <c r="A16" s="257"/>
      <c r="B16" s="264">
        <f>B15+0.001</f>
        <v>3.1019999999999999</v>
      </c>
      <c r="C16" s="265" t="s">
        <v>225</v>
      </c>
      <c r="D16" s="266"/>
      <c r="E16" s="266"/>
      <c r="F16" s="266"/>
      <c r="G16" s="266"/>
      <c r="H16" s="266"/>
      <c r="I16" s="267"/>
      <c r="J16" s="813">
        <f>7.12/1000</f>
        <v>7.1200000000000005E-3</v>
      </c>
      <c r="K16" s="814"/>
      <c r="L16" s="268">
        <f>ROUND((($E$9*ROUND((1+$M$37),4)))*J16,0)</f>
        <v>333346</v>
      </c>
      <c r="O16" s="269"/>
    </row>
    <row r="17" spans="1:16" s="256" customFormat="1" ht="10.199999999999999" x14ac:dyDescent="0.3">
      <c r="A17" s="257"/>
      <c r="B17" s="264">
        <f>B16+0.001</f>
        <v>3.1029999999999998</v>
      </c>
      <c r="C17" s="265" t="s">
        <v>119</v>
      </c>
      <c r="D17" s="266"/>
      <c r="E17" s="266"/>
      <c r="F17" s="266"/>
      <c r="G17" s="266"/>
      <c r="H17" s="266"/>
      <c r="I17" s="267"/>
      <c r="J17" s="813">
        <v>4.0000000000000001E-3</v>
      </c>
      <c r="K17" s="814"/>
      <c r="L17" s="268">
        <f>ROUND((($E$9*ROUND((1+$M$37),4)))*J17,0)</f>
        <v>187273</v>
      </c>
      <c r="O17" s="269"/>
    </row>
    <row r="18" spans="1:16" s="256" customFormat="1" ht="10.199999999999999" x14ac:dyDescent="0.3">
      <c r="A18" s="257"/>
      <c r="B18" s="264">
        <f>B17+0.001</f>
        <v>3.1039999999999996</v>
      </c>
      <c r="C18" s="265" t="s">
        <v>226</v>
      </c>
      <c r="D18" s="266"/>
      <c r="E18" s="266"/>
      <c r="F18" s="266"/>
      <c r="G18" s="266"/>
      <c r="H18" s="266"/>
      <c r="I18" s="267"/>
      <c r="J18" s="813">
        <v>5.0000000000000001E-3</v>
      </c>
      <c r="K18" s="814"/>
      <c r="L18" s="268">
        <f>ROUND((($E$9*ROUND((1+$M$37),4)))*J18,0)</f>
        <v>234091</v>
      </c>
      <c r="O18" s="269"/>
    </row>
    <row r="19" spans="1:16" s="256" customFormat="1" ht="10.199999999999999" x14ac:dyDescent="0.3">
      <c r="A19" s="257"/>
      <c r="B19" s="257"/>
      <c r="C19" s="789" t="s">
        <v>122</v>
      </c>
      <c r="D19" s="790"/>
      <c r="E19" s="790"/>
      <c r="F19" s="790"/>
      <c r="G19" s="790"/>
      <c r="H19" s="790"/>
      <c r="I19" s="790"/>
      <c r="J19" s="790"/>
      <c r="K19" s="791"/>
      <c r="L19" s="270">
        <f>SUM(L15:L18)</f>
        <v>3095621</v>
      </c>
      <c r="O19" s="269"/>
    </row>
    <row r="20" spans="1:16" s="256" customFormat="1" ht="10.199999999999999" x14ac:dyDescent="0.3">
      <c r="A20" s="257"/>
      <c r="B20" s="257"/>
      <c r="C20" s="271"/>
      <c r="D20" s="271"/>
      <c r="E20" s="271"/>
      <c r="F20" s="271"/>
      <c r="G20" s="271"/>
      <c r="H20" s="271"/>
      <c r="I20" s="271"/>
      <c r="J20" s="271"/>
      <c r="K20" s="271"/>
      <c r="L20" s="271"/>
    </row>
    <row r="21" spans="1:16" s="256" customFormat="1" ht="10.199999999999999" x14ac:dyDescent="0.3">
      <c r="A21" s="257"/>
      <c r="B21" s="258">
        <f>B13+0.1</f>
        <v>3.2</v>
      </c>
      <c r="C21" s="805" t="s">
        <v>227</v>
      </c>
      <c r="D21" s="805"/>
      <c r="E21" s="805"/>
      <c r="F21" s="805"/>
      <c r="G21" s="805"/>
      <c r="H21" s="805"/>
      <c r="I21" s="805"/>
      <c r="J21" s="805"/>
      <c r="K21" s="805"/>
      <c r="L21" s="805"/>
    </row>
    <row r="22" spans="1:16" s="272" customFormat="1" ht="20.399999999999999" x14ac:dyDescent="0.3">
      <c r="A22" s="257"/>
      <c r="B22" s="260" t="s">
        <v>224</v>
      </c>
      <c r="C22" s="798" t="s">
        <v>12</v>
      </c>
      <c r="D22" s="798"/>
      <c r="E22" s="799" t="s">
        <v>228</v>
      </c>
      <c r="F22" s="800"/>
      <c r="G22" s="801" t="s">
        <v>125</v>
      </c>
      <c r="H22" s="802"/>
      <c r="I22" s="260" t="s">
        <v>126</v>
      </c>
      <c r="J22" s="801" t="s">
        <v>127</v>
      </c>
      <c r="K22" s="802"/>
      <c r="L22" s="258" t="s">
        <v>110</v>
      </c>
    </row>
    <row r="23" spans="1:16" s="256" customFormat="1" ht="12.75" customHeight="1" x14ac:dyDescent="0.3">
      <c r="A23" s="257"/>
      <c r="B23" s="264">
        <f>B21+0.001</f>
        <v>3.2010000000000001</v>
      </c>
      <c r="C23" s="273" t="s">
        <v>229</v>
      </c>
      <c r="D23" s="803" t="s">
        <v>230</v>
      </c>
      <c r="E23" s="795">
        <f>ROUND(($E$9*ROUND((1+$M$37),4)),0)</f>
        <v>46818223</v>
      </c>
      <c r="F23" s="796"/>
      <c r="G23" s="797">
        <v>0.3</v>
      </c>
      <c r="H23" s="797"/>
      <c r="I23" s="274">
        <f>$E$10+6</f>
        <v>10</v>
      </c>
      <c r="J23" s="793">
        <v>2E-3</v>
      </c>
      <c r="K23" s="794"/>
      <c r="L23" s="268">
        <f>ROUND((((((E23*G23)*J23)/12)*I23)+2500)*1.19,0)</f>
        <v>30832</v>
      </c>
    </row>
    <row r="24" spans="1:16" s="256" customFormat="1" ht="12.75" customHeight="1" x14ac:dyDescent="0.25">
      <c r="A24" s="257"/>
      <c r="B24" s="264">
        <f>B23+0.001</f>
        <v>3.202</v>
      </c>
      <c r="C24" s="273" t="s">
        <v>231</v>
      </c>
      <c r="D24" s="804"/>
      <c r="E24" s="795">
        <f>$E$23</f>
        <v>46818223</v>
      </c>
      <c r="F24" s="796"/>
      <c r="G24" s="797">
        <v>0.1</v>
      </c>
      <c r="H24" s="797"/>
      <c r="I24" s="274">
        <f>$E$10+36</f>
        <v>40</v>
      </c>
      <c r="J24" s="793">
        <v>2E-3</v>
      </c>
      <c r="K24" s="794"/>
      <c r="L24" s="268">
        <f>ROUND((((((E24*G24)*J24)/12)*I24)+2500)*1.19,0)</f>
        <v>40117</v>
      </c>
      <c r="O24" s="275"/>
      <c r="P24" s="275"/>
    </row>
    <row r="25" spans="1:16" s="256" customFormat="1" ht="12" x14ac:dyDescent="0.25">
      <c r="A25" s="257"/>
      <c r="B25" s="264">
        <f>B24+0.001</f>
        <v>3.2029999999999998</v>
      </c>
      <c r="C25" s="273" t="s">
        <v>232</v>
      </c>
      <c r="D25" s="804"/>
      <c r="E25" s="795">
        <f>E23</f>
        <v>46818223</v>
      </c>
      <c r="F25" s="796"/>
      <c r="G25" s="797">
        <v>0.3</v>
      </c>
      <c r="H25" s="797"/>
      <c r="I25" s="274">
        <v>60</v>
      </c>
      <c r="J25" s="793">
        <v>2E-3</v>
      </c>
      <c r="K25" s="794"/>
      <c r="L25" s="268">
        <f>ROUND((((((E25*G25)*J25)/12)*I25)+2500)*1.19,0)</f>
        <v>170116</v>
      </c>
      <c r="N25" s="276"/>
      <c r="O25" s="277"/>
      <c r="P25" s="275"/>
    </row>
    <row r="26" spans="1:16" s="256" customFormat="1" ht="30.75" customHeight="1" x14ac:dyDescent="0.3">
      <c r="A26" s="257"/>
      <c r="B26" s="264">
        <f>B25+0.001</f>
        <v>3.2039999999999997</v>
      </c>
      <c r="C26" s="273" t="s">
        <v>132</v>
      </c>
      <c r="D26" s="278" t="s">
        <v>133</v>
      </c>
      <c r="E26" s="795">
        <f>E23</f>
        <v>46818223</v>
      </c>
      <c r="F26" s="796"/>
      <c r="G26" s="797">
        <v>1</v>
      </c>
      <c r="H26" s="797"/>
      <c r="I26" s="274">
        <f>$E$10</f>
        <v>4</v>
      </c>
      <c r="J26" s="793">
        <v>3.0000000000000001E-3</v>
      </c>
      <c r="K26" s="794"/>
      <c r="L26" s="268">
        <f>ROUND((((((E26*G26)*J26)/12)*I26)+2500)*1.19,0)</f>
        <v>58689</v>
      </c>
      <c r="N26" s="276"/>
      <c r="O26" s="276"/>
      <c r="P26" s="279"/>
    </row>
    <row r="28" spans="1:16" s="256" customFormat="1" ht="10.199999999999999" x14ac:dyDescent="0.3">
      <c r="A28" s="257"/>
      <c r="B28" s="257"/>
      <c r="C28" s="789" t="s">
        <v>135</v>
      </c>
      <c r="D28" s="790"/>
      <c r="E28" s="790"/>
      <c r="F28" s="790"/>
      <c r="G28" s="790"/>
      <c r="H28" s="790"/>
      <c r="I28" s="790"/>
      <c r="J28" s="790"/>
      <c r="K28" s="791"/>
      <c r="L28" s="270">
        <f>ROUND(SUM(L23:L26),0)</f>
        <v>299754</v>
      </c>
    </row>
    <row r="29" spans="1:16" s="256" customFormat="1" ht="10.199999999999999" x14ac:dyDescent="0.3">
      <c r="A29" s="257"/>
      <c r="B29" s="257"/>
      <c r="C29" s="792"/>
      <c r="D29" s="792"/>
      <c r="E29" s="792"/>
      <c r="F29" s="792"/>
      <c r="G29" s="792"/>
      <c r="H29" s="792"/>
      <c r="I29" s="792"/>
      <c r="J29" s="792"/>
      <c r="K29" s="792"/>
      <c r="L29" s="792"/>
      <c r="N29" s="280"/>
    </row>
    <row r="30" spans="1:16" s="256" customFormat="1" ht="10.199999999999999" x14ac:dyDescent="0.3">
      <c r="A30" s="257"/>
      <c r="B30" s="257"/>
      <c r="C30" s="281" t="s">
        <v>136</v>
      </c>
      <c r="D30" s="282"/>
      <c r="E30" s="282"/>
      <c r="F30" s="282"/>
      <c r="G30" s="282"/>
      <c r="H30" s="282"/>
      <c r="I30" s="282"/>
      <c r="J30" s="282"/>
      <c r="K30" s="283"/>
      <c r="L30" s="270">
        <f>ROUND(L19+L28,0)</f>
        <v>3395375</v>
      </c>
    </row>
    <row r="31" spans="1:16" s="256" customFormat="1" x14ac:dyDescent="0.3">
      <c r="A31" s="257"/>
      <c r="B31" s="257"/>
      <c r="C31" s="281" t="s">
        <v>137</v>
      </c>
      <c r="D31" s="282"/>
      <c r="E31" s="282"/>
      <c r="F31" s="282"/>
      <c r="G31" s="282"/>
      <c r="H31" s="282"/>
      <c r="I31" s="282"/>
      <c r="J31" s="282"/>
      <c r="K31" s="283"/>
      <c r="L31" s="284">
        <f>+L30/E9</f>
        <v>7.2522509023890125E-2</v>
      </c>
    </row>
    <row r="32" spans="1:16" s="256" customFormat="1" ht="10.199999999999999" x14ac:dyDescent="0.3">
      <c r="A32" s="257"/>
      <c r="B32" s="257"/>
      <c r="C32" s="792"/>
      <c r="D32" s="792"/>
      <c r="E32" s="792"/>
      <c r="F32" s="792"/>
      <c r="G32" s="792"/>
      <c r="H32" s="792"/>
      <c r="I32" s="792"/>
      <c r="J32" s="792"/>
      <c r="K32" s="792"/>
      <c r="L32" s="792"/>
    </row>
    <row r="33" spans="1:16" s="256" customFormat="1" ht="10.199999999999999" x14ac:dyDescent="0.3">
      <c r="A33" s="257"/>
      <c r="B33" s="257"/>
      <c r="C33" s="281" t="s">
        <v>233</v>
      </c>
      <c r="D33" s="282"/>
      <c r="E33" s="282"/>
      <c r="F33" s="282"/>
      <c r="G33" s="282"/>
      <c r="H33" s="282"/>
      <c r="I33" s="282"/>
      <c r="J33" s="282"/>
      <c r="K33" s="283"/>
      <c r="L33" s="285">
        <f>L31</f>
        <v>7.2522509023890125E-2</v>
      </c>
    </row>
    <row r="34" spans="1:16" s="272" customFormat="1" ht="10.199999999999999" x14ac:dyDescent="0.3">
      <c r="A34" s="259"/>
      <c r="B34" s="259"/>
      <c r="C34" s="281" t="s">
        <v>234</v>
      </c>
      <c r="D34" s="282"/>
      <c r="E34" s="282"/>
      <c r="F34" s="282"/>
      <c r="G34" s="282"/>
      <c r="H34" s="282"/>
      <c r="I34" s="282"/>
      <c r="J34" s="282"/>
      <c r="K34" s="283"/>
      <c r="L34" s="285">
        <v>0.01</v>
      </c>
      <c r="O34" s="286"/>
      <c r="P34" s="287"/>
    </row>
    <row r="35" spans="1:16" s="272" customFormat="1" ht="10.199999999999999" x14ac:dyDescent="0.3">
      <c r="A35" s="259"/>
      <c r="B35" s="259"/>
      <c r="C35" s="281" t="s">
        <v>235</v>
      </c>
      <c r="D35" s="282"/>
      <c r="E35" s="282"/>
      <c r="F35" s="282"/>
      <c r="G35" s="282"/>
      <c r="H35" s="282"/>
      <c r="I35" s="282"/>
      <c r="J35" s="282"/>
      <c r="K35" s="283"/>
      <c r="L35" s="285">
        <v>0.05</v>
      </c>
    </row>
    <row r="36" spans="1:16" s="256" customFormat="1" ht="10.199999999999999" x14ac:dyDescent="0.3">
      <c r="A36" s="257"/>
      <c r="B36" s="257"/>
      <c r="C36" s="792"/>
      <c r="D36" s="792"/>
      <c r="E36" s="792"/>
      <c r="F36" s="792"/>
      <c r="G36" s="792"/>
      <c r="H36" s="792"/>
      <c r="I36" s="792"/>
      <c r="J36" s="792"/>
      <c r="K36" s="792"/>
      <c r="L36" s="792"/>
      <c r="M36" s="288"/>
    </row>
    <row r="37" spans="1:16" s="256" customFormat="1" x14ac:dyDescent="0.3">
      <c r="A37" s="257"/>
      <c r="B37" s="257"/>
      <c r="C37" s="281" t="s">
        <v>236</v>
      </c>
      <c r="D37" s="282"/>
      <c r="E37" s="282"/>
      <c r="F37" s="282"/>
      <c r="G37" s="282"/>
      <c r="H37" s="282"/>
      <c r="I37" s="282"/>
      <c r="J37" s="282"/>
      <c r="K37" s="289"/>
      <c r="L37" s="290">
        <f>SUM(L33:L35)</f>
        <v>0.13252250902389012</v>
      </c>
      <c r="M37" s="291"/>
    </row>
    <row r="38" spans="1:16" s="256" customFormat="1" x14ac:dyDescent="0.3">
      <c r="A38" s="257"/>
      <c r="B38" s="257"/>
      <c r="C38" s="292"/>
      <c r="D38" s="292"/>
      <c r="E38" s="292"/>
      <c r="F38" s="292"/>
      <c r="G38" s="293"/>
      <c r="H38" s="293"/>
      <c r="I38" s="293"/>
      <c r="J38" s="293"/>
      <c r="K38" s="293"/>
      <c r="L38" s="294"/>
    </row>
    <row r="40" spans="1:16" x14ac:dyDescent="0.3">
      <c r="K40" s="183">
        <v>210100</v>
      </c>
    </row>
  </sheetData>
  <mergeCells count="43">
    <mergeCell ref="B9:D9"/>
    <mergeCell ref="E9:G9"/>
    <mergeCell ref="J9:L9"/>
    <mergeCell ref="B2:I5"/>
    <mergeCell ref="J2:L5"/>
    <mergeCell ref="B6:C6"/>
    <mergeCell ref="D6:L6"/>
    <mergeCell ref="B8:L8"/>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5"/>
    <mergeCell ref="E23:F23"/>
    <mergeCell ref="G23:H23"/>
    <mergeCell ref="J23:K23"/>
    <mergeCell ref="E24:F24"/>
    <mergeCell ref="G24:H24"/>
    <mergeCell ref="C28:K28"/>
    <mergeCell ref="C29:L29"/>
    <mergeCell ref="C32:L32"/>
    <mergeCell ref="C36:L36"/>
    <mergeCell ref="J24:K24"/>
    <mergeCell ref="E25:F25"/>
    <mergeCell ref="G25:H25"/>
    <mergeCell ref="J25:K25"/>
    <mergeCell ref="E26:F26"/>
    <mergeCell ref="G26:H26"/>
    <mergeCell ref="J26:K26"/>
  </mergeCells>
  <pageMargins left="0.70866141732283472" right="0.70866141732283472" top="0.74803149606299213" bottom="0.74803149606299213" header="0.31496062992125984" footer="0.31496062992125984"/>
  <pageSetup scale="83" fitToHeight="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33852-047B-4C4C-84EB-F4C9866C9E05}">
  <sheetPr>
    <tabColor rgb="FF92D050"/>
    <pageSetUpPr fitToPage="1"/>
  </sheetPr>
  <dimension ref="B2:P48"/>
  <sheetViews>
    <sheetView view="pageBreakPreview" topLeftCell="A24" zoomScale="85" zoomScaleNormal="80" zoomScaleSheetLayoutView="85" workbookViewId="0">
      <selection activeCell="J38" sqref="J38"/>
    </sheetView>
  </sheetViews>
  <sheetFormatPr baseColWidth="10" defaultColWidth="11.44140625" defaultRowHeight="13.8" x14ac:dyDescent="0.25"/>
  <cols>
    <col min="1" max="1" width="1.6640625" style="296" customWidth="1"/>
    <col min="2" max="2" width="6" style="295" bestFit="1" customWidth="1"/>
    <col min="3" max="3" width="8.6640625" style="296" customWidth="1"/>
    <col min="4" max="4" width="48.44140625" style="296" customWidth="1"/>
    <col min="5" max="5" width="14.33203125" style="341" customWidth="1"/>
    <col min="6" max="6" width="12.88671875" style="296" customWidth="1"/>
    <col min="7" max="7" width="14" style="296" hidden="1" customWidth="1"/>
    <col min="8" max="8" width="9.6640625" style="296" customWidth="1"/>
    <col min="9" max="9" width="11.5546875" style="296" customWidth="1"/>
    <col min="10" max="10" width="10.33203125" style="296" customWidth="1"/>
    <col min="11" max="11" width="9.44140625" style="296" bestFit="1" customWidth="1"/>
    <col min="12" max="12" width="19.88671875" style="296" bestFit="1" customWidth="1"/>
    <col min="13" max="13" width="0" style="296" hidden="1" customWidth="1"/>
    <col min="14" max="14" width="14.109375" style="296" hidden="1" customWidth="1"/>
    <col min="15" max="17" width="0" style="296" hidden="1" customWidth="1"/>
    <col min="18" max="248" width="11.44140625" style="296"/>
    <col min="249" max="249" width="1.6640625" style="296" customWidth="1"/>
    <col min="250" max="250" width="6" style="296" bestFit="1" customWidth="1"/>
    <col min="251" max="251" width="8.6640625" style="296" customWidth="1"/>
    <col min="252" max="252" width="48.44140625" style="296" customWidth="1"/>
    <col min="253" max="253" width="14.33203125" style="296" customWidth="1"/>
    <col min="254" max="254" width="12.88671875" style="296" customWidth="1"/>
    <col min="255" max="255" width="0" style="296" hidden="1" customWidth="1"/>
    <col min="256" max="256" width="9.6640625" style="296" customWidth="1"/>
    <col min="257" max="257" width="11.5546875" style="296" customWidth="1"/>
    <col min="258" max="258" width="10.33203125" style="296" customWidth="1"/>
    <col min="259" max="259" width="9.44140625" style="296" bestFit="1" customWidth="1"/>
    <col min="260" max="260" width="18.44140625" style="296" customWidth="1"/>
    <col min="261" max="261" width="11.44140625" style="296"/>
    <col min="262" max="262" width="14.109375" style="296" bestFit="1" customWidth="1"/>
    <col min="263" max="504" width="11.44140625" style="296"/>
    <col min="505" max="505" width="1.6640625" style="296" customWidth="1"/>
    <col min="506" max="506" width="6" style="296" bestFit="1" customWidth="1"/>
    <col min="507" max="507" width="8.6640625" style="296" customWidth="1"/>
    <col min="508" max="508" width="48.44140625" style="296" customWidth="1"/>
    <col min="509" max="509" width="14.33203125" style="296" customWidth="1"/>
    <col min="510" max="510" width="12.88671875" style="296" customWidth="1"/>
    <col min="511" max="511" width="0" style="296" hidden="1" customWidth="1"/>
    <col min="512" max="512" width="9.6640625" style="296" customWidth="1"/>
    <col min="513" max="513" width="11.5546875" style="296" customWidth="1"/>
    <col min="514" max="514" width="10.33203125" style="296" customWidth="1"/>
    <col min="515" max="515" width="9.44140625" style="296" bestFit="1" customWidth="1"/>
    <col min="516" max="516" width="18.44140625" style="296" customWidth="1"/>
    <col min="517" max="517" width="11.44140625" style="296"/>
    <col min="518" max="518" width="14.109375" style="296" bestFit="1" customWidth="1"/>
    <col min="519" max="760" width="11.44140625" style="296"/>
    <col min="761" max="761" width="1.6640625" style="296" customWidth="1"/>
    <col min="762" max="762" width="6" style="296" bestFit="1" customWidth="1"/>
    <col min="763" max="763" width="8.6640625" style="296" customWidth="1"/>
    <col min="764" max="764" width="48.44140625" style="296" customWidth="1"/>
    <col min="765" max="765" width="14.33203125" style="296" customWidth="1"/>
    <col min="766" max="766" width="12.88671875" style="296" customWidth="1"/>
    <col min="767" max="767" width="0" style="296" hidden="1" customWidth="1"/>
    <col min="768" max="768" width="9.6640625" style="296" customWidth="1"/>
    <col min="769" max="769" width="11.5546875" style="296" customWidth="1"/>
    <col min="770" max="770" width="10.33203125" style="296" customWidth="1"/>
    <col min="771" max="771" width="9.44140625" style="296" bestFit="1" customWidth="1"/>
    <col min="772" max="772" width="18.44140625" style="296" customWidth="1"/>
    <col min="773" max="773" width="11.44140625" style="296"/>
    <col min="774" max="774" width="14.109375" style="296" bestFit="1" customWidth="1"/>
    <col min="775" max="1016" width="11.44140625" style="296"/>
    <col min="1017" max="1017" width="1.6640625" style="296" customWidth="1"/>
    <col min="1018" max="1018" width="6" style="296" bestFit="1" customWidth="1"/>
    <col min="1019" max="1019" width="8.6640625" style="296" customWidth="1"/>
    <col min="1020" max="1020" width="48.44140625" style="296" customWidth="1"/>
    <col min="1021" max="1021" width="14.33203125" style="296" customWidth="1"/>
    <col min="1022" max="1022" width="12.88671875" style="296" customWidth="1"/>
    <col min="1023" max="1023" width="0" style="296" hidden="1" customWidth="1"/>
    <col min="1024" max="1024" width="9.6640625" style="296" customWidth="1"/>
    <col min="1025" max="1025" width="11.5546875" style="296" customWidth="1"/>
    <col min="1026" max="1026" width="10.33203125" style="296" customWidth="1"/>
    <col min="1027" max="1027" width="9.44140625" style="296" bestFit="1" customWidth="1"/>
    <col min="1028" max="1028" width="18.44140625" style="296" customWidth="1"/>
    <col min="1029" max="1029" width="11.44140625" style="296"/>
    <col min="1030" max="1030" width="14.109375" style="296" bestFit="1" customWidth="1"/>
    <col min="1031" max="1272" width="11.44140625" style="296"/>
    <col min="1273" max="1273" width="1.6640625" style="296" customWidth="1"/>
    <col min="1274" max="1274" width="6" style="296" bestFit="1" customWidth="1"/>
    <col min="1275" max="1275" width="8.6640625" style="296" customWidth="1"/>
    <col min="1276" max="1276" width="48.44140625" style="296" customWidth="1"/>
    <col min="1277" max="1277" width="14.33203125" style="296" customWidth="1"/>
    <col min="1278" max="1278" width="12.88671875" style="296" customWidth="1"/>
    <col min="1279" max="1279" width="0" style="296" hidden="1" customWidth="1"/>
    <col min="1280" max="1280" width="9.6640625" style="296" customWidth="1"/>
    <col min="1281" max="1281" width="11.5546875" style="296" customWidth="1"/>
    <col min="1282" max="1282" width="10.33203125" style="296" customWidth="1"/>
    <col min="1283" max="1283" width="9.44140625" style="296" bestFit="1" customWidth="1"/>
    <col min="1284" max="1284" width="18.44140625" style="296" customWidth="1"/>
    <col min="1285" max="1285" width="11.44140625" style="296"/>
    <col min="1286" max="1286" width="14.109375" style="296" bestFit="1" customWidth="1"/>
    <col min="1287" max="1528" width="11.44140625" style="296"/>
    <col min="1529" max="1529" width="1.6640625" style="296" customWidth="1"/>
    <col min="1530" max="1530" width="6" style="296" bestFit="1" customWidth="1"/>
    <col min="1531" max="1531" width="8.6640625" style="296" customWidth="1"/>
    <col min="1532" max="1532" width="48.44140625" style="296" customWidth="1"/>
    <col min="1533" max="1533" width="14.33203125" style="296" customWidth="1"/>
    <col min="1534" max="1534" width="12.88671875" style="296" customWidth="1"/>
    <col min="1535" max="1535" width="0" style="296" hidden="1" customWidth="1"/>
    <col min="1536" max="1536" width="9.6640625" style="296" customWidth="1"/>
    <col min="1537" max="1537" width="11.5546875" style="296" customWidth="1"/>
    <col min="1538" max="1538" width="10.33203125" style="296" customWidth="1"/>
    <col min="1539" max="1539" width="9.44140625" style="296" bestFit="1" customWidth="1"/>
    <col min="1540" max="1540" width="18.44140625" style="296" customWidth="1"/>
    <col min="1541" max="1541" width="11.44140625" style="296"/>
    <col min="1542" max="1542" width="14.109375" style="296" bestFit="1" customWidth="1"/>
    <col min="1543" max="1784" width="11.44140625" style="296"/>
    <col min="1785" max="1785" width="1.6640625" style="296" customWidth="1"/>
    <col min="1786" max="1786" width="6" style="296" bestFit="1" customWidth="1"/>
    <col min="1787" max="1787" width="8.6640625" style="296" customWidth="1"/>
    <col min="1788" max="1788" width="48.44140625" style="296" customWidth="1"/>
    <col min="1789" max="1789" width="14.33203125" style="296" customWidth="1"/>
    <col min="1790" max="1790" width="12.88671875" style="296" customWidth="1"/>
    <col min="1791" max="1791" width="0" style="296" hidden="1" customWidth="1"/>
    <col min="1792" max="1792" width="9.6640625" style="296" customWidth="1"/>
    <col min="1793" max="1793" width="11.5546875" style="296" customWidth="1"/>
    <col min="1794" max="1794" width="10.33203125" style="296" customWidth="1"/>
    <col min="1795" max="1795" width="9.44140625" style="296" bestFit="1" customWidth="1"/>
    <col min="1796" max="1796" width="18.44140625" style="296" customWidth="1"/>
    <col min="1797" max="1797" width="11.44140625" style="296"/>
    <col min="1798" max="1798" width="14.109375" style="296" bestFit="1" customWidth="1"/>
    <col min="1799" max="2040" width="11.44140625" style="296"/>
    <col min="2041" max="2041" width="1.6640625" style="296" customWidth="1"/>
    <col min="2042" max="2042" width="6" style="296" bestFit="1" customWidth="1"/>
    <col min="2043" max="2043" width="8.6640625" style="296" customWidth="1"/>
    <col min="2044" max="2044" width="48.44140625" style="296" customWidth="1"/>
    <col min="2045" max="2045" width="14.33203125" style="296" customWidth="1"/>
    <col min="2046" max="2046" width="12.88671875" style="296" customWidth="1"/>
    <col min="2047" max="2047" width="0" style="296" hidden="1" customWidth="1"/>
    <col min="2048" max="2048" width="9.6640625" style="296" customWidth="1"/>
    <col min="2049" max="2049" width="11.5546875" style="296" customWidth="1"/>
    <col min="2050" max="2050" width="10.33203125" style="296" customWidth="1"/>
    <col min="2051" max="2051" width="9.44140625" style="296" bestFit="1" customWidth="1"/>
    <col min="2052" max="2052" width="18.44140625" style="296" customWidth="1"/>
    <col min="2053" max="2053" width="11.44140625" style="296"/>
    <col min="2054" max="2054" width="14.109375" style="296" bestFit="1" customWidth="1"/>
    <col min="2055" max="2296" width="11.44140625" style="296"/>
    <col min="2297" max="2297" width="1.6640625" style="296" customWidth="1"/>
    <col min="2298" max="2298" width="6" style="296" bestFit="1" customWidth="1"/>
    <col min="2299" max="2299" width="8.6640625" style="296" customWidth="1"/>
    <col min="2300" max="2300" width="48.44140625" style="296" customWidth="1"/>
    <col min="2301" max="2301" width="14.33203125" style="296" customWidth="1"/>
    <col min="2302" max="2302" width="12.88671875" style="296" customWidth="1"/>
    <col min="2303" max="2303" width="0" style="296" hidden="1" customWidth="1"/>
    <col min="2304" max="2304" width="9.6640625" style="296" customWidth="1"/>
    <col min="2305" max="2305" width="11.5546875" style="296" customWidth="1"/>
    <col min="2306" max="2306" width="10.33203125" style="296" customWidth="1"/>
    <col min="2307" max="2307" width="9.44140625" style="296" bestFit="1" customWidth="1"/>
    <col min="2308" max="2308" width="18.44140625" style="296" customWidth="1"/>
    <col min="2309" max="2309" width="11.44140625" style="296"/>
    <col min="2310" max="2310" width="14.109375" style="296" bestFit="1" customWidth="1"/>
    <col min="2311" max="2552" width="11.44140625" style="296"/>
    <col min="2553" max="2553" width="1.6640625" style="296" customWidth="1"/>
    <col min="2554" max="2554" width="6" style="296" bestFit="1" customWidth="1"/>
    <col min="2555" max="2555" width="8.6640625" style="296" customWidth="1"/>
    <col min="2556" max="2556" width="48.44140625" style="296" customWidth="1"/>
    <col min="2557" max="2557" width="14.33203125" style="296" customWidth="1"/>
    <col min="2558" max="2558" width="12.88671875" style="296" customWidth="1"/>
    <col min="2559" max="2559" width="0" style="296" hidden="1" customWidth="1"/>
    <col min="2560" max="2560" width="9.6640625" style="296" customWidth="1"/>
    <col min="2561" max="2561" width="11.5546875" style="296" customWidth="1"/>
    <col min="2562" max="2562" width="10.33203125" style="296" customWidth="1"/>
    <col min="2563" max="2563" width="9.44140625" style="296" bestFit="1" customWidth="1"/>
    <col min="2564" max="2564" width="18.44140625" style="296" customWidth="1"/>
    <col min="2565" max="2565" width="11.44140625" style="296"/>
    <col min="2566" max="2566" width="14.109375" style="296" bestFit="1" customWidth="1"/>
    <col min="2567" max="2808" width="11.44140625" style="296"/>
    <col min="2809" max="2809" width="1.6640625" style="296" customWidth="1"/>
    <col min="2810" max="2810" width="6" style="296" bestFit="1" customWidth="1"/>
    <col min="2811" max="2811" width="8.6640625" style="296" customWidth="1"/>
    <col min="2812" max="2812" width="48.44140625" style="296" customWidth="1"/>
    <col min="2813" max="2813" width="14.33203125" style="296" customWidth="1"/>
    <col min="2814" max="2814" width="12.88671875" style="296" customWidth="1"/>
    <col min="2815" max="2815" width="0" style="296" hidden="1" customWidth="1"/>
    <col min="2816" max="2816" width="9.6640625" style="296" customWidth="1"/>
    <col min="2817" max="2817" width="11.5546875" style="296" customWidth="1"/>
    <col min="2818" max="2818" width="10.33203125" style="296" customWidth="1"/>
    <col min="2819" max="2819" width="9.44140625" style="296" bestFit="1" customWidth="1"/>
    <col min="2820" max="2820" width="18.44140625" style="296" customWidth="1"/>
    <col min="2821" max="2821" width="11.44140625" style="296"/>
    <col min="2822" max="2822" width="14.109375" style="296" bestFit="1" customWidth="1"/>
    <col min="2823" max="3064" width="11.44140625" style="296"/>
    <col min="3065" max="3065" width="1.6640625" style="296" customWidth="1"/>
    <col min="3066" max="3066" width="6" style="296" bestFit="1" customWidth="1"/>
    <col min="3067" max="3067" width="8.6640625" style="296" customWidth="1"/>
    <col min="3068" max="3068" width="48.44140625" style="296" customWidth="1"/>
    <col min="3069" max="3069" width="14.33203125" style="296" customWidth="1"/>
    <col min="3070" max="3070" width="12.88671875" style="296" customWidth="1"/>
    <col min="3071" max="3071" width="0" style="296" hidden="1" customWidth="1"/>
    <col min="3072" max="3072" width="9.6640625" style="296" customWidth="1"/>
    <col min="3073" max="3073" width="11.5546875" style="296" customWidth="1"/>
    <col min="3074" max="3074" width="10.33203125" style="296" customWidth="1"/>
    <col min="3075" max="3075" width="9.44140625" style="296" bestFit="1" customWidth="1"/>
    <col min="3076" max="3076" width="18.44140625" style="296" customWidth="1"/>
    <col min="3077" max="3077" width="11.44140625" style="296"/>
    <col min="3078" max="3078" width="14.109375" style="296" bestFit="1" customWidth="1"/>
    <col min="3079" max="3320" width="11.44140625" style="296"/>
    <col min="3321" max="3321" width="1.6640625" style="296" customWidth="1"/>
    <col min="3322" max="3322" width="6" style="296" bestFit="1" customWidth="1"/>
    <col min="3323" max="3323" width="8.6640625" style="296" customWidth="1"/>
    <col min="3324" max="3324" width="48.44140625" style="296" customWidth="1"/>
    <col min="3325" max="3325" width="14.33203125" style="296" customWidth="1"/>
    <col min="3326" max="3326" width="12.88671875" style="296" customWidth="1"/>
    <col min="3327" max="3327" width="0" style="296" hidden="1" customWidth="1"/>
    <col min="3328" max="3328" width="9.6640625" style="296" customWidth="1"/>
    <col min="3329" max="3329" width="11.5546875" style="296" customWidth="1"/>
    <col min="3330" max="3330" width="10.33203125" style="296" customWidth="1"/>
    <col min="3331" max="3331" width="9.44140625" style="296" bestFit="1" customWidth="1"/>
    <col min="3332" max="3332" width="18.44140625" style="296" customWidth="1"/>
    <col min="3333" max="3333" width="11.44140625" style="296"/>
    <col min="3334" max="3334" width="14.109375" style="296" bestFit="1" customWidth="1"/>
    <col min="3335" max="3576" width="11.44140625" style="296"/>
    <col min="3577" max="3577" width="1.6640625" style="296" customWidth="1"/>
    <col min="3578" max="3578" width="6" style="296" bestFit="1" customWidth="1"/>
    <col min="3579" max="3579" width="8.6640625" style="296" customWidth="1"/>
    <col min="3580" max="3580" width="48.44140625" style="296" customWidth="1"/>
    <col min="3581" max="3581" width="14.33203125" style="296" customWidth="1"/>
    <col min="3582" max="3582" width="12.88671875" style="296" customWidth="1"/>
    <col min="3583" max="3583" width="0" style="296" hidden="1" customWidth="1"/>
    <col min="3584" max="3584" width="9.6640625" style="296" customWidth="1"/>
    <col min="3585" max="3585" width="11.5546875" style="296" customWidth="1"/>
    <col min="3586" max="3586" width="10.33203125" style="296" customWidth="1"/>
    <col min="3587" max="3587" width="9.44140625" style="296" bestFit="1" customWidth="1"/>
    <col min="3588" max="3588" width="18.44140625" style="296" customWidth="1"/>
    <col min="3589" max="3589" width="11.44140625" style="296"/>
    <col min="3590" max="3590" width="14.109375" style="296" bestFit="1" customWidth="1"/>
    <col min="3591" max="3832" width="11.44140625" style="296"/>
    <col min="3833" max="3833" width="1.6640625" style="296" customWidth="1"/>
    <col min="3834" max="3834" width="6" style="296" bestFit="1" customWidth="1"/>
    <col min="3835" max="3835" width="8.6640625" style="296" customWidth="1"/>
    <col min="3836" max="3836" width="48.44140625" style="296" customWidth="1"/>
    <col min="3837" max="3837" width="14.33203125" style="296" customWidth="1"/>
    <col min="3838" max="3838" width="12.88671875" style="296" customWidth="1"/>
    <col min="3839" max="3839" width="0" style="296" hidden="1" customWidth="1"/>
    <col min="3840" max="3840" width="9.6640625" style="296" customWidth="1"/>
    <col min="3841" max="3841" width="11.5546875" style="296" customWidth="1"/>
    <col min="3842" max="3842" width="10.33203125" style="296" customWidth="1"/>
    <col min="3843" max="3843" width="9.44140625" style="296" bestFit="1" customWidth="1"/>
    <col min="3844" max="3844" width="18.44140625" style="296" customWidth="1"/>
    <col min="3845" max="3845" width="11.44140625" style="296"/>
    <col min="3846" max="3846" width="14.109375" style="296" bestFit="1" customWidth="1"/>
    <col min="3847" max="4088" width="11.44140625" style="296"/>
    <col min="4089" max="4089" width="1.6640625" style="296" customWidth="1"/>
    <col min="4090" max="4090" width="6" style="296" bestFit="1" customWidth="1"/>
    <col min="4091" max="4091" width="8.6640625" style="296" customWidth="1"/>
    <col min="4092" max="4092" width="48.44140625" style="296" customWidth="1"/>
    <col min="4093" max="4093" width="14.33203125" style="296" customWidth="1"/>
    <col min="4094" max="4094" width="12.88671875" style="296" customWidth="1"/>
    <col min="4095" max="4095" width="0" style="296" hidden="1" customWidth="1"/>
    <col min="4096" max="4096" width="9.6640625" style="296" customWidth="1"/>
    <col min="4097" max="4097" width="11.5546875" style="296" customWidth="1"/>
    <col min="4098" max="4098" width="10.33203125" style="296" customWidth="1"/>
    <col min="4099" max="4099" width="9.44140625" style="296" bestFit="1" customWidth="1"/>
    <col min="4100" max="4100" width="18.44140625" style="296" customWidth="1"/>
    <col min="4101" max="4101" width="11.44140625" style="296"/>
    <col min="4102" max="4102" width="14.109375" style="296" bestFit="1" customWidth="1"/>
    <col min="4103" max="4344" width="11.44140625" style="296"/>
    <col min="4345" max="4345" width="1.6640625" style="296" customWidth="1"/>
    <col min="4346" max="4346" width="6" style="296" bestFit="1" customWidth="1"/>
    <col min="4347" max="4347" width="8.6640625" style="296" customWidth="1"/>
    <col min="4348" max="4348" width="48.44140625" style="296" customWidth="1"/>
    <col min="4349" max="4349" width="14.33203125" style="296" customWidth="1"/>
    <col min="4350" max="4350" width="12.88671875" style="296" customWidth="1"/>
    <col min="4351" max="4351" width="0" style="296" hidden="1" customWidth="1"/>
    <col min="4352" max="4352" width="9.6640625" style="296" customWidth="1"/>
    <col min="4353" max="4353" width="11.5546875" style="296" customWidth="1"/>
    <col min="4354" max="4354" width="10.33203125" style="296" customWidth="1"/>
    <col min="4355" max="4355" width="9.44140625" style="296" bestFit="1" customWidth="1"/>
    <col min="4356" max="4356" width="18.44140625" style="296" customWidth="1"/>
    <col min="4357" max="4357" width="11.44140625" style="296"/>
    <col min="4358" max="4358" width="14.109375" style="296" bestFit="1" customWidth="1"/>
    <col min="4359" max="4600" width="11.44140625" style="296"/>
    <col min="4601" max="4601" width="1.6640625" style="296" customWidth="1"/>
    <col min="4602" max="4602" width="6" style="296" bestFit="1" customWidth="1"/>
    <col min="4603" max="4603" width="8.6640625" style="296" customWidth="1"/>
    <col min="4604" max="4604" width="48.44140625" style="296" customWidth="1"/>
    <col min="4605" max="4605" width="14.33203125" style="296" customWidth="1"/>
    <col min="4606" max="4606" width="12.88671875" style="296" customWidth="1"/>
    <col min="4607" max="4607" width="0" style="296" hidden="1" customWidth="1"/>
    <col min="4608" max="4608" width="9.6640625" style="296" customWidth="1"/>
    <col min="4609" max="4609" width="11.5546875" style="296" customWidth="1"/>
    <col min="4610" max="4610" width="10.33203125" style="296" customWidth="1"/>
    <col min="4611" max="4611" width="9.44140625" style="296" bestFit="1" customWidth="1"/>
    <col min="4612" max="4612" width="18.44140625" style="296" customWidth="1"/>
    <col min="4613" max="4613" width="11.44140625" style="296"/>
    <col min="4614" max="4614" width="14.109375" style="296" bestFit="1" customWidth="1"/>
    <col min="4615" max="4856" width="11.44140625" style="296"/>
    <col min="4857" max="4857" width="1.6640625" style="296" customWidth="1"/>
    <col min="4858" max="4858" width="6" style="296" bestFit="1" customWidth="1"/>
    <col min="4859" max="4859" width="8.6640625" style="296" customWidth="1"/>
    <col min="4860" max="4860" width="48.44140625" style="296" customWidth="1"/>
    <col min="4861" max="4861" width="14.33203125" style="296" customWidth="1"/>
    <col min="4862" max="4862" width="12.88671875" style="296" customWidth="1"/>
    <col min="4863" max="4863" width="0" style="296" hidden="1" customWidth="1"/>
    <col min="4864" max="4864" width="9.6640625" style="296" customWidth="1"/>
    <col min="4865" max="4865" width="11.5546875" style="296" customWidth="1"/>
    <col min="4866" max="4866" width="10.33203125" style="296" customWidth="1"/>
    <col min="4867" max="4867" width="9.44140625" style="296" bestFit="1" customWidth="1"/>
    <col min="4868" max="4868" width="18.44140625" style="296" customWidth="1"/>
    <col min="4869" max="4869" width="11.44140625" style="296"/>
    <col min="4870" max="4870" width="14.109375" style="296" bestFit="1" customWidth="1"/>
    <col min="4871" max="5112" width="11.44140625" style="296"/>
    <col min="5113" max="5113" width="1.6640625" style="296" customWidth="1"/>
    <col min="5114" max="5114" width="6" style="296" bestFit="1" customWidth="1"/>
    <col min="5115" max="5115" width="8.6640625" style="296" customWidth="1"/>
    <col min="5116" max="5116" width="48.44140625" style="296" customWidth="1"/>
    <col min="5117" max="5117" width="14.33203125" style="296" customWidth="1"/>
    <col min="5118" max="5118" width="12.88671875" style="296" customWidth="1"/>
    <col min="5119" max="5119" width="0" style="296" hidden="1" customWidth="1"/>
    <col min="5120" max="5120" width="9.6640625" style="296" customWidth="1"/>
    <col min="5121" max="5121" width="11.5546875" style="296" customWidth="1"/>
    <col min="5122" max="5122" width="10.33203125" style="296" customWidth="1"/>
    <col min="5123" max="5123" width="9.44140625" style="296" bestFit="1" customWidth="1"/>
    <col min="5124" max="5124" width="18.44140625" style="296" customWidth="1"/>
    <col min="5125" max="5125" width="11.44140625" style="296"/>
    <col min="5126" max="5126" width="14.109375" style="296" bestFit="1" customWidth="1"/>
    <col min="5127" max="5368" width="11.44140625" style="296"/>
    <col min="5369" max="5369" width="1.6640625" style="296" customWidth="1"/>
    <col min="5370" max="5370" width="6" style="296" bestFit="1" customWidth="1"/>
    <col min="5371" max="5371" width="8.6640625" style="296" customWidth="1"/>
    <col min="5372" max="5372" width="48.44140625" style="296" customWidth="1"/>
    <col min="5373" max="5373" width="14.33203125" style="296" customWidth="1"/>
    <col min="5374" max="5374" width="12.88671875" style="296" customWidth="1"/>
    <col min="5375" max="5375" width="0" style="296" hidden="1" customWidth="1"/>
    <col min="5376" max="5376" width="9.6640625" style="296" customWidth="1"/>
    <col min="5377" max="5377" width="11.5546875" style="296" customWidth="1"/>
    <col min="5378" max="5378" width="10.33203125" style="296" customWidth="1"/>
    <col min="5379" max="5379" width="9.44140625" style="296" bestFit="1" customWidth="1"/>
    <col min="5380" max="5380" width="18.44140625" style="296" customWidth="1"/>
    <col min="5381" max="5381" width="11.44140625" style="296"/>
    <col min="5382" max="5382" width="14.109375" style="296" bestFit="1" customWidth="1"/>
    <col min="5383" max="5624" width="11.44140625" style="296"/>
    <col min="5625" max="5625" width="1.6640625" style="296" customWidth="1"/>
    <col min="5626" max="5626" width="6" style="296" bestFit="1" customWidth="1"/>
    <col min="5627" max="5627" width="8.6640625" style="296" customWidth="1"/>
    <col min="5628" max="5628" width="48.44140625" style="296" customWidth="1"/>
    <col min="5629" max="5629" width="14.33203125" style="296" customWidth="1"/>
    <col min="5630" max="5630" width="12.88671875" style="296" customWidth="1"/>
    <col min="5631" max="5631" width="0" style="296" hidden="1" customWidth="1"/>
    <col min="5632" max="5632" width="9.6640625" style="296" customWidth="1"/>
    <col min="5633" max="5633" width="11.5546875" style="296" customWidth="1"/>
    <col min="5634" max="5634" width="10.33203125" style="296" customWidth="1"/>
    <col min="5635" max="5635" width="9.44140625" style="296" bestFit="1" customWidth="1"/>
    <col min="5636" max="5636" width="18.44140625" style="296" customWidth="1"/>
    <col min="5637" max="5637" width="11.44140625" style="296"/>
    <col min="5638" max="5638" width="14.109375" style="296" bestFit="1" customWidth="1"/>
    <col min="5639" max="5880" width="11.44140625" style="296"/>
    <col min="5881" max="5881" width="1.6640625" style="296" customWidth="1"/>
    <col min="5882" max="5882" width="6" style="296" bestFit="1" customWidth="1"/>
    <col min="5883" max="5883" width="8.6640625" style="296" customWidth="1"/>
    <col min="5884" max="5884" width="48.44140625" style="296" customWidth="1"/>
    <col min="5885" max="5885" width="14.33203125" style="296" customWidth="1"/>
    <col min="5886" max="5886" width="12.88671875" style="296" customWidth="1"/>
    <col min="5887" max="5887" width="0" style="296" hidden="1" customWidth="1"/>
    <col min="5888" max="5888" width="9.6640625" style="296" customWidth="1"/>
    <col min="5889" max="5889" width="11.5546875" style="296" customWidth="1"/>
    <col min="5890" max="5890" width="10.33203125" style="296" customWidth="1"/>
    <col min="5891" max="5891" width="9.44140625" style="296" bestFit="1" customWidth="1"/>
    <col min="5892" max="5892" width="18.44140625" style="296" customWidth="1"/>
    <col min="5893" max="5893" width="11.44140625" style="296"/>
    <col min="5894" max="5894" width="14.109375" style="296" bestFit="1" customWidth="1"/>
    <col min="5895" max="6136" width="11.44140625" style="296"/>
    <col min="6137" max="6137" width="1.6640625" style="296" customWidth="1"/>
    <col min="6138" max="6138" width="6" style="296" bestFit="1" customWidth="1"/>
    <col min="6139" max="6139" width="8.6640625" style="296" customWidth="1"/>
    <col min="6140" max="6140" width="48.44140625" style="296" customWidth="1"/>
    <col min="6141" max="6141" width="14.33203125" style="296" customWidth="1"/>
    <col min="6142" max="6142" width="12.88671875" style="296" customWidth="1"/>
    <col min="6143" max="6143" width="0" style="296" hidden="1" customWidth="1"/>
    <col min="6144" max="6144" width="9.6640625" style="296" customWidth="1"/>
    <col min="6145" max="6145" width="11.5546875" style="296" customWidth="1"/>
    <col min="6146" max="6146" width="10.33203125" style="296" customWidth="1"/>
    <col min="6147" max="6147" width="9.44140625" style="296" bestFit="1" customWidth="1"/>
    <col min="6148" max="6148" width="18.44140625" style="296" customWidth="1"/>
    <col min="6149" max="6149" width="11.44140625" style="296"/>
    <col min="6150" max="6150" width="14.109375" style="296" bestFit="1" customWidth="1"/>
    <col min="6151" max="6392" width="11.44140625" style="296"/>
    <col min="6393" max="6393" width="1.6640625" style="296" customWidth="1"/>
    <col min="6394" max="6394" width="6" style="296" bestFit="1" customWidth="1"/>
    <col min="6395" max="6395" width="8.6640625" style="296" customWidth="1"/>
    <col min="6396" max="6396" width="48.44140625" style="296" customWidth="1"/>
    <col min="6397" max="6397" width="14.33203125" style="296" customWidth="1"/>
    <col min="6398" max="6398" width="12.88671875" style="296" customWidth="1"/>
    <col min="6399" max="6399" width="0" style="296" hidden="1" customWidth="1"/>
    <col min="6400" max="6400" width="9.6640625" style="296" customWidth="1"/>
    <col min="6401" max="6401" width="11.5546875" style="296" customWidth="1"/>
    <col min="6402" max="6402" width="10.33203125" style="296" customWidth="1"/>
    <col min="6403" max="6403" width="9.44140625" style="296" bestFit="1" customWidth="1"/>
    <col min="6404" max="6404" width="18.44140625" style="296" customWidth="1"/>
    <col min="6405" max="6405" width="11.44140625" style="296"/>
    <col min="6406" max="6406" width="14.109375" style="296" bestFit="1" customWidth="1"/>
    <col min="6407" max="6648" width="11.44140625" style="296"/>
    <col min="6649" max="6649" width="1.6640625" style="296" customWidth="1"/>
    <col min="6650" max="6650" width="6" style="296" bestFit="1" customWidth="1"/>
    <col min="6651" max="6651" width="8.6640625" style="296" customWidth="1"/>
    <col min="6652" max="6652" width="48.44140625" style="296" customWidth="1"/>
    <col min="6653" max="6653" width="14.33203125" style="296" customWidth="1"/>
    <col min="6654" max="6654" width="12.88671875" style="296" customWidth="1"/>
    <col min="6655" max="6655" width="0" style="296" hidden="1" customWidth="1"/>
    <col min="6656" max="6656" width="9.6640625" style="296" customWidth="1"/>
    <col min="6657" max="6657" width="11.5546875" style="296" customWidth="1"/>
    <col min="6658" max="6658" width="10.33203125" style="296" customWidth="1"/>
    <col min="6659" max="6659" width="9.44140625" style="296" bestFit="1" customWidth="1"/>
    <col min="6660" max="6660" width="18.44140625" style="296" customWidth="1"/>
    <col min="6661" max="6661" width="11.44140625" style="296"/>
    <col min="6662" max="6662" width="14.109375" style="296" bestFit="1" customWidth="1"/>
    <col min="6663" max="6904" width="11.44140625" style="296"/>
    <col min="6905" max="6905" width="1.6640625" style="296" customWidth="1"/>
    <col min="6906" max="6906" width="6" style="296" bestFit="1" customWidth="1"/>
    <col min="6907" max="6907" width="8.6640625" style="296" customWidth="1"/>
    <col min="6908" max="6908" width="48.44140625" style="296" customWidth="1"/>
    <col min="6909" max="6909" width="14.33203125" style="296" customWidth="1"/>
    <col min="6910" max="6910" width="12.88671875" style="296" customWidth="1"/>
    <col min="6911" max="6911" width="0" style="296" hidden="1" customWidth="1"/>
    <col min="6912" max="6912" width="9.6640625" style="296" customWidth="1"/>
    <col min="6913" max="6913" width="11.5546875" style="296" customWidth="1"/>
    <col min="6914" max="6914" width="10.33203125" style="296" customWidth="1"/>
    <col min="6915" max="6915" width="9.44140625" style="296" bestFit="1" customWidth="1"/>
    <col min="6916" max="6916" width="18.44140625" style="296" customWidth="1"/>
    <col min="6917" max="6917" width="11.44140625" style="296"/>
    <col min="6918" max="6918" width="14.109375" style="296" bestFit="1" customWidth="1"/>
    <col min="6919" max="7160" width="11.44140625" style="296"/>
    <col min="7161" max="7161" width="1.6640625" style="296" customWidth="1"/>
    <col min="7162" max="7162" width="6" style="296" bestFit="1" customWidth="1"/>
    <col min="7163" max="7163" width="8.6640625" style="296" customWidth="1"/>
    <col min="7164" max="7164" width="48.44140625" style="296" customWidth="1"/>
    <col min="7165" max="7165" width="14.33203125" style="296" customWidth="1"/>
    <col min="7166" max="7166" width="12.88671875" style="296" customWidth="1"/>
    <col min="7167" max="7167" width="0" style="296" hidden="1" customWidth="1"/>
    <col min="7168" max="7168" width="9.6640625" style="296" customWidth="1"/>
    <col min="7169" max="7169" width="11.5546875" style="296" customWidth="1"/>
    <col min="7170" max="7170" width="10.33203125" style="296" customWidth="1"/>
    <col min="7171" max="7171" width="9.44140625" style="296" bestFit="1" customWidth="1"/>
    <col min="7172" max="7172" width="18.44140625" style="296" customWidth="1"/>
    <col min="7173" max="7173" width="11.44140625" style="296"/>
    <col min="7174" max="7174" width="14.109375" style="296" bestFit="1" customWidth="1"/>
    <col min="7175" max="7416" width="11.44140625" style="296"/>
    <col min="7417" max="7417" width="1.6640625" style="296" customWidth="1"/>
    <col min="7418" max="7418" width="6" style="296" bestFit="1" customWidth="1"/>
    <col min="7419" max="7419" width="8.6640625" style="296" customWidth="1"/>
    <col min="7420" max="7420" width="48.44140625" style="296" customWidth="1"/>
    <col min="7421" max="7421" width="14.33203125" style="296" customWidth="1"/>
    <col min="7422" max="7422" width="12.88671875" style="296" customWidth="1"/>
    <col min="7423" max="7423" width="0" style="296" hidden="1" customWidth="1"/>
    <col min="7424" max="7424" width="9.6640625" style="296" customWidth="1"/>
    <col min="7425" max="7425" width="11.5546875" style="296" customWidth="1"/>
    <col min="7426" max="7426" width="10.33203125" style="296" customWidth="1"/>
    <col min="7427" max="7427" width="9.44140625" style="296" bestFit="1" customWidth="1"/>
    <col min="7428" max="7428" width="18.44140625" style="296" customWidth="1"/>
    <col min="7429" max="7429" width="11.44140625" style="296"/>
    <col min="7430" max="7430" width="14.109375" style="296" bestFit="1" customWidth="1"/>
    <col min="7431" max="7672" width="11.44140625" style="296"/>
    <col min="7673" max="7673" width="1.6640625" style="296" customWidth="1"/>
    <col min="7674" max="7674" width="6" style="296" bestFit="1" customWidth="1"/>
    <col min="7675" max="7675" width="8.6640625" style="296" customWidth="1"/>
    <col min="7676" max="7676" width="48.44140625" style="296" customWidth="1"/>
    <col min="7677" max="7677" width="14.33203125" style="296" customWidth="1"/>
    <col min="7678" max="7678" width="12.88671875" style="296" customWidth="1"/>
    <col min="7679" max="7679" width="0" style="296" hidden="1" customWidth="1"/>
    <col min="7680" max="7680" width="9.6640625" style="296" customWidth="1"/>
    <col min="7681" max="7681" width="11.5546875" style="296" customWidth="1"/>
    <col min="7682" max="7682" width="10.33203125" style="296" customWidth="1"/>
    <col min="7683" max="7683" width="9.44140625" style="296" bestFit="1" customWidth="1"/>
    <col min="7684" max="7684" width="18.44140625" style="296" customWidth="1"/>
    <col min="7685" max="7685" width="11.44140625" style="296"/>
    <col min="7686" max="7686" width="14.109375" style="296" bestFit="1" customWidth="1"/>
    <col min="7687" max="7928" width="11.44140625" style="296"/>
    <col min="7929" max="7929" width="1.6640625" style="296" customWidth="1"/>
    <col min="7930" max="7930" width="6" style="296" bestFit="1" customWidth="1"/>
    <col min="7931" max="7931" width="8.6640625" style="296" customWidth="1"/>
    <col min="7932" max="7932" width="48.44140625" style="296" customWidth="1"/>
    <col min="7933" max="7933" width="14.33203125" style="296" customWidth="1"/>
    <col min="7934" max="7934" width="12.88671875" style="296" customWidth="1"/>
    <col min="7935" max="7935" width="0" style="296" hidden="1" customWidth="1"/>
    <col min="7936" max="7936" width="9.6640625" style="296" customWidth="1"/>
    <col min="7937" max="7937" width="11.5546875" style="296" customWidth="1"/>
    <col min="7938" max="7938" width="10.33203125" style="296" customWidth="1"/>
    <col min="7939" max="7939" width="9.44140625" style="296" bestFit="1" customWidth="1"/>
    <col min="7940" max="7940" width="18.44140625" style="296" customWidth="1"/>
    <col min="7941" max="7941" width="11.44140625" style="296"/>
    <col min="7942" max="7942" width="14.109375" style="296" bestFit="1" customWidth="1"/>
    <col min="7943" max="8184" width="11.44140625" style="296"/>
    <col min="8185" max="8185" width="1.6640625" style="296" customWidth="1"/>
    <col min="8186" max="8186" width="6" style="296" bestFit="1" customWidth="1"/>
    <col min="8187" max="8187" width="8.6640625" style="296" customWidth="1"/>
    <col min="8188" max="8188" width="48.44140625" style="296" customWidth="1"/>
    <col min="8189" max="8189" width="14.33203125" style="296" customWidth="1"/>
    <col min="8190" max="8190" width="12.88671875" style="296" customWidth="1"/>
    <col min="8191" max="8191" width="0" style="296" hidden="1" customWidth="1"/>
    <col min="8192" max="8192" width="9.6640625" style="296" customWidth="1"/>
    <col min="8193" max="8193" width="11.5546875" style="296" customWidth="1"/>
    <col min="8194" max="8194" width="10.33203125" style="296" customWidth="1"/>
    <col min="8195" max="8195" width="9.44140625" style="296" bestFit="1" customWidth="1"/>
    <col min="8196" max="8196" width="18.44140625" style="296" customWidth="1"/>
    <col min="8197" max="8197" width="11.44140625" style="296"/>
    <col min="8198" max="8198" width="14.109375" style="296" bestFit="1" customWidth="1"/>
    <col min="8199" max="8440" width="11.44140625" style="296"/>
    <col min="8441" max="8441" width="1.6640625" style="296" customWidth="1"/>
    <col min="8442" max="8442" width="6" style="296" bestFit="1" customWidth="1"/>
    <col min="8443" max="8443" width="8.6640625" style="296" customWidth="1"/>
    <col min="8444" max="8444" width="48.44140625" style="296" customWidth="1"/>
    <col min="8445" max="8445" width="14.33203125" style="296" customWidth="1"/>
    <col min="8446" max="8446" width="12.88671875" style="296" customWidth="1"/>
    <col min="8447" max="8447" width="0" style="296" hidden="1" customWidth="1"/>
    <col min="8448" max="8448" width="9.6640625" style="296" customWidth="1"/>
    <col min="8449" max="8449" width="11.5546875" style="296" customWidth="1"/>
    <col min="8450" max="8450" width="10.33203125" style="296" customWidth="1"/>
    <col min="8451" max="8451" width="9.44140625" style="296" bestFit="1" customWidth="1"/>
    <col min="8452" max="8452" width="18.44140625" style="296" customWidth="1"/>
    <col min="8453" max="8453" width="11.44140625" style="296"/>
    <col min="8454" max="8454" width="14.109375" style="296" bestFit="1" customWidth="1"/>
    <col min="8455" max="8696" width="11.44140625" style="296"/>
    <col min="8697" max="8697" width="1.6640625" style="296" customWidth="1"/>
    <col min="8698" max="8698" width="6" style="296" bestFit="1" customWidth="1"/>
    <col min="8699" max="8699" width="8.6640625" style="296" customWidth="1"/>
    <col min="8700" max="8700" width="48.44140625" style="296" customWidth="1"/>
    <col min="8701" max="8701" width="14.33203125" style="296" customWidth="1"/>
    <col min="8702" max="8702" width="12.88671875" style="296" customWidth="1"/>
    <col min="8703" max="8703" width="0" style="296" hidden="1" customWidth="1"/>
    <col min="8704" max="8704" width="9.6640625" style="296" customWidth="1"/>
    <col min="8705" max="8705" width="11.5546875" style="296" customWidth="1"/>
    <col min="8706" max="8706" width="10.33203125" style="296" customWidth="1"/>
    <col min="8707" max="8707" width="9.44140625" style="296" bestFit="1" customWidth="1"/>
    <col min="8708" max="8708" width="18.44140625" style="296" customWidth="1"/>
    <col min="8709" max="8709" width="11.44140625" style="296"/>
    <col min="8710" max="8710" width="14.109375" style="296" bestFit="1" customWidth="1"/>
    <col min="8711" max="8952" width="11.44140625" style="296"/>
    <col min="8953" max="8953" width="1.6640625" style="296" customWidth="1"/>
    <col min="8954" max="8954" width="6" style="296" bestFit="1" customWidth="1"/>
    <col min="8955" max="8955" width="8.6640625" style="296" customWidth="1"/>
    <col min="8956" max="8956" width="48.44140625" style="296" customWidth="1"/>
    <col min="8957" max="8957" width="14.33203125" style="296" customWidth="1"/>
    <col min="8958" max="8958" width="12.88671875" style="296" customWidth="1"/>
    <col min="8959" max="8959" width="0" style="296" hidden="1" customWidth="1"/>
    <col min="8960" max="8960" width="9.6640625" style="296" customWidth="1"/>
    <col min="8961" max="8961" width="11.5546875" style="296" customWidth="1"/>
    <col min="8962" max="8962" width="10.33203125" style="296" customWidth="1"/>
    <col min="8963" max="8963" width="9.44140625" style="296" bestFit="1" customWidth="1"/>
    <col min="8964" max="8964" width="18.44140625" style="296" customWidth="1"/>
    <col min="8965" max="8965" width="11.44140625" style="296"/>
    <col min="8966" max="8966" width="14.109375" style="296" bestFit="1" customWidth="1"/>
    <col min="8967" max="9208" width="11.44140625" style="296"/>
    <col min="9209" max="9209" width="1.6640625" style="296" customWidth="1"/>
    <col min="9210" max="9210" width="6" style="296" bestFit="1" customWidth="1"/>
    <col min="9211" max="9211" width="8.6640625" style="296" customWidth="1"/>
    <col min="9212" max="9212" width="48.44140625" style="296" customWidth="1"/>
    <col min="9213" max="9213" width="14.33203125" style="296" customWidth="1"/>
    <col min="9214" max="9214" width="12.88671875" style="296" customWidth="1"/>
    <col min="9215" max="9215" width="0" style="296" hidden="1" customWidth="1"/>
    <col min="9216" max="9216" width="9.6640625" style="296" customWidth="1"/>
    <col min="9217" max="9217" width="11.5546875" style="296" customWidth="1"/>
    <col min="9218" max="9218" width="10.33203125" style="296" customWidth="1"/>
    <col min="9219" max="9219" width="9.44140625" style="296" bestFit="1" customWidth="1"/>
    <col min="9220" max="9220" width="18.44140625" style="296" customWidth="1"/>
    <col min="9221" max="9221" width="11.44140625" style="296"/>
    <col min="9222" max="9222" width="14.109375" style="296" bestFit="1" customWidth="1"/>
    <col min="9223" max="9464" width="11.44140625" style="296"/>
    <col min="9465" max="9465" width="1.6640625" style="296" customWidth="1"/>
    <col min="9466" max="9466" width="6" style="296" bestFit="1" customWidth="1"/>
    <col min="9467" max="9467" width="8.6640625" style="296" customWidth="1"/>
    <col min="9468" max="9468" width="48.44140625" style="296" customWidth="1"/>
    <col min="9469" max="9469" width="14.33203125" style="296" customWidth="1"/>
    <col min="9470" max="9470" width="12.88671875" style="296" customWidth="1"/>
    <col min="9471" max="9471" width="0" style="296" hidden="1" customWidth="1"/>
    <col min="9472" max="9472" width="9.6640625" style="296" customWidth="1"/>
    <col min="9473" max="9473" width="11.5546875" style="296" customWidth="1"/>
    <col min="9474" max="9474" width="10.33203125" style="296" customWidth="1"/>
    <col min="9475" max="9475" width="9.44140625" style="296" bestFit="1" customWidth="1"/>
    <col min="9476" max="9476" width="18.44140625" style="296" customWidth="1"/>
    <col min="9477" max="9477" width="11.44140625" style="296"/>
    <col min="9478" max="9478" width="14.109375" style="296" bestFit="1" customWidth="1"/>
    <col min="9479" max="9720" width="11.44140625" style="296"/>
    <col min="9721" max="9721" width="1.6640625" style="296" customWidth="1"/>
    <col min="9722" max="9722" width="6" style="296" bestFit="1" customWidth="1"/>
    <col min="9723" max="9723" width="8.6640625" style="296" customWidth="1"/>
    <col min="9724" max="9724" width="48.44140625" style="296" customWidth="1"/>
    <col min="9725" max="9725" width="14.33203125" style="296" customWidth="1"/>
    <col min="9726" max="9726" width="12.88671875" style="296" customWidth="1"/>
    <col min="9727" max="9727" width="0" style="296" hidden="1" customWidth="1"/>
    <col min="9728" max="9728" width="9.6640625" style="296" customWidth="1"/>
    <col min="9729" max="9729" width="11.5546875" style="296" customWidth="1"/>
    <col min="9730" max="9730" width="10.33203125" style="296" customWidth="1"/>
    <col min="9731" max="9731" width="9.44140625" style="296" bestFit="1" customWidth="1"/>
    <col min="9732" max="9732" width="18.44140625" style="296" customWidth="1"/>
    <col min="9733" max="9733" width="11.44140625" style="296"/>
    <col min="9734" max="9734" width="14.109375" style="296" bestFit="1" customWidth="1"/>
    <col min="9735" max="9976" width="11.44140625" style="296"/>
    <col min="9977" max="9977" width="1.6640625" style="296" customWidth="1"/>
    <col min="9978" max="9978" width="6" style="296" bestFit="1" customWidth="1"/>
    <col min="9979" max="9979" width="8.6640625" style="296" customWidth="1"/>
    <col min="9980" max="9980" width="48.44140625" style="296" customWidth="1"/>
    <col min="9981" max="9981" width="14.33203125" style="296" customWidth="1"/>
    <col min="9982" max="9982" width="12.88671875" style="296" customWidth="1"/>
    <col min="9983" max="9983" width="0" style="296" hidden="1" customWidth="1"/>
    <col min="9984" max="9984" width="9.6640625" style="296" customWidth="1"/>
    <col min="9985" max="9985" width="11.5546875" style="296" customWidth="1"/>
    <col min="9986" max="9986" width="10.33203125" style="296" customWidth="1"/>
    <col min="9987" max="9987" width="9.44140625" style="296" bestFit="1" customWidth="1"/>
    <col min="9988" max="9988" width="18.44140625" style="296" customWidth="1"/>
    <col min="9989" max="9989" width="11.44140625" style="296"/>
    <col min="9990" max="9990" width="14.109375" style="296" bestFit="1" customWidth="1"/>
    <col min="9991" max="10232" width="11.44140625" style="296"/>
    <col min="10233" max="10233" width="1.6640625" style="296" customWidth="1"/>
    <col min="10234" max="10234" width="6" style="296" bestFit="1" customWidth="1"/>
    <col min="10235" max="10235" width="8.6640625" style="296" customWidth="1"/>
    <col min="10236" max="10236" width="48.44140625" style="296" customWidth="1"/>
    <col min="10237" max="10237" width="14.33203125" style="296" customWidth="1"/>
    <col min="10238" max="10238" width="12.88671875" style="296" customWidth="1"/>
    <col min="10239" max="10239" width="0" style="296" hidden="1" customWidth="1"/>
    <col min="10240" max="10240" width="9.6640625" style="296" customWidth="1"/>
    <col min="10241" max="10241" width="11.5546875" style="296" customWidth="1"/>
    <col min="10242" max="10242" width="10.33203125" style="296" customWidth="1"/>
    <col min="10243" max="10243" width="9.44140625" style="296" bestFit="1" customWidth="1"/>
    <col min="10244" max="10244" width="18.44140625" style="296" customWidth="1"/>
    <col min="10245" max="10245" width="11.44140625" style="296"/>
    <col min="10246" max="10246" width="14.109375" style="296" bestFit="1" customWidth="1"/>
    <col min="10247" max="10488" width="11.44140625" style="296"/>
    <col min="10489" max="10489" width="1.6640625" style="296" customWidth="1"/>
    <col min="10490" max="10490" width="6" style="296" bestFit="1" customWidth="1"/>
    <col min="10491" max="10491" width="8.6640625" style="296" customWidth="1"/>
    <col min="10492" max="10492" width="48.44140625" style="296" customWidth="1"/>
    <col min="10493" max="10493" width="14.33203125" style="296" customWidth="1"/>
    <col min="10494" max="10494" width="12.88671875" style="296" customWidth="1"/>
    <col min="10495" max="10495" width="0" style="296" hidden="1" customWidth="1"/>
    <col min="10496" max="10496" width="9.6640625" style="296" customWidth="1"/>
    <col min="10497" max="10497" width="11.5546875" style="296" customWidth="1"/>
    <col min="10498" max="10498" width="10.33203125" style="296" customWidth="1"/>
    <col min="10499" max="10499" width="9.44140625" style="296" bestFit="1" customWidth="1"/>
    <col min="10500" max="10500" width="18.44140625" style="296" customWidth="1"/>
    <col min="10501" max="10501" width="11.44140625" style="296"/>
    <col min="10502" max="10502" width="14.109375" style="296" bestFit="1" customWidth="1"/>
    <col min="10503" max="10744" width="11.44140625" style="296"/>
    <col min="10745" max="10745" width="1.6640625" style="296" customWidth="1"/>
    <col min="10746" max="10746" width="6" style="296" bestFit="1" customWidth="1"/>
    <col min="10747" max="10747" width="8.6640625" style="296" customWidth="1"/>
    <col min="10748" max="10748" width="48.44140625" style="296" customWidth="1"/>
    <col min="10749" max="10749" width="14.33203125" style="296" customWidth="1"/>
    <col min="10750" max="10750" width="12.88671875" style="296" customWidth="1"/>
    <col min="10751" max="10751" width="0" style="296" hidden="1" customWidth="1"/>
    <col min="10752" max="10752" width="9.6640625" style="296" customWidth="1"/>
    <col min="10753" max="10753" width="11.5546875" style="296" customWidth="1"/>
    <col min="10754" max="10754" width="10.33203125" style="296" customWidth="1"/>
    <col min="10755" max="10755" width="9.44140625" style="296" bestFit="1" customWidth="1"/>
    <col min="10756" max="10756" width="18.44140625" style="296" customWidth="1"/>
    <col min="10757" max="10757" width="11.44140625" style="296"/>
    <col min="10758" max="10758" width="14.109375" style="296" bestFit="1" customWidth="1"/>
    <col min="10759" max="11000" width="11.44140625" style="296"/>
    <col min="11001" max="11001" width="1.6640625" style="296" customWidth="1"/>
    <col min="11002" max="11002" width="6" style="296" bestFit="1" customWidth="1"/>
    <col min="11003" max="11003" width="8.6640625" style="296" customWidth="1"/>
    <col min="11004" max="11004" width="48.44140625" style="296" customWidth="1"/>
    <col min="11005" max="11005" width="14.33203125" style="296" customWidth="1"/>
    <col min="11006" max="11006" width="12.88671875" style="296" customWidth="1"/>
    <col min="11007" max="11007" width="0" style="296" hidden="1" customWidth="1"/>
    <col min="11008" max="11008" width="9.6640625" style="296" customWidth="1"/>
    <col min="11009" max="11009" width="11.5546875" style="296" customWidth="1"/>
    <col min="11010" max="11010" width="10.33203125" style="296" customWidth="1"/>
    <col min="11011" max="11011" width="9.44140625" style="296" bestFit="1" customWidth="1"/>
    <col min="11012" max="11012" width="18.44140625" style="296" customWidth="1"/>
    <col min="11013" max="11013" width="11.44140625" style="296"/>
    <col min="11014" max="11014" width="14.109375" style="296" bestFit="1" customWidth="1"/>
    <col min="11015" max="11256" width="11.44140625" style="296"/>
    <col min="11257" max="11257" width="1.6640625" style="296" customWidth="1"/>
    <col min="11258" max="11258" width="6" style="296" bestFit="1" customWidth="1"/>
    <col min="11259" max="11259" width="8.6640625" style="296" customWidth="1"/>
    <col min="11260" max="11260" width="48.44140625" style="296" customWidth="1"/>
    <col min="11261" max="11261" width="14.33203125" style="296" customWidth="1"/>
    <col min="11262" max="11262" width="12.88671875" style="296" customWidth="1"/>
    <col min="11263" max="11263" width="0" style="296" hidden="1" customWidth="1"/>
    <col min="11264" max="11264" width="9.6640625" style="296" customWidth="1"/>
    <col min="11265" max="11265" width="11.5546875" style="296" customWidth="1"/>
    <col min="11266" max="11266" width="10.33203125" style="296" customWidth="1"/>
    <col min="11267" max="11267" width="9.44140625" style="296" bestFit="1" customWidth="1"/>
    <col min="11268" max="11268" width="18.44140625" style="296" customWidth="1"/>
    <col min="11269" max="11269" width="11.44140625" style="296"/>
    <col min="11270" max="11270" width="14.109375" style="296" bestFit="1" customWidth="1"/>
    <col min="11271" max="11512" width="11.44140625" style="296"/>
    <col min="11513" max="11513" width="1.6640625" style="296" customWidth="1"/>
    <col min="11514" max="11514" width="6" style="296" bestFit="1" customWidth="1"/>
    <col min="11515" max="11515" width="8.6640625" style="296" customWidth="1"/>
    <col min="11516" max="11516" width="48.44140625" style="296" customWidth="1"/>
    <col min="11517" max="11517" width="14.33203125" style="296" customWidth="1"/>
    <col min="11518" max="11518" width="12.88671875" style="296" customWidth="1"/>
    <col min="11519" max="11519" width="0" style="296" hidden="1" customWidth="1"/>
    <col min="11520" max="11520" width="9.6640625" style="296" customWidth="1"/>
    <col min="11521" max="11521" width="11.5546875" style="296" customWidth="1"/>
    <col min="11522" max="11522" width="10.33203125" style="296" customWidth="1"/>
    <col min="11523" max="11523" width="9.44140625" style="296" bestFit="1" customWidth="1"/>
    <col min="11524" max="11524" width="18.44140625" style="296" customWidth="1"/>
    <col min="11525" max="11525" width="11.44140625" style="296"/>
    <col min="11526" max="11526" width="14.109375" style="296" bestFit="1" customWidth="1"/>
    <col min="11527" max="11768" width="11.44140625" style="296"/>
    <col min="11769" max="11769" width="1.6640625" style="296" customWidth="1"/>
    <col min="11770" max="11770" width="6" style="296" bestFit="1" customWidth="1"/>
    <col min="11771" max="11771" width="8.6640625" style="296" customWidth="1"/>
    <col min="11772" max="11772" width="48.44140625" style="296" customWidth="1"/>
    <col min="11773" max="11773" width="14.33203125" style="296" customWidth="1"/>
    <col min="11774" max="11774" width="12.88671875" style="296" customWidth="1"/>
    <col min="11775" max="11775" width="0" style="296" hidden="1" customWidth="1"/>
    <col min="11776" max="11776" width="9.6640625" style="296" customWidth="1"/>
    <col min="11777" max="11777" width="11.5546875" style="296" customWidth="1"/>
    <col min="11778" max="11778" width="10.33203125" style="296" customWidth="1"/>
    <col min="11779" max="11779" width="9.44140625" style="296" bestFit="1" customWidth="1"/>
    <col min="11780" max="11780" width="18.44140625" style="296" customWidth="1"/>
    <col min="11781" max="11781" width="11.44140625" style="296"/>
    <col min="11782" max="11782" width="14.109375" style="296" bestFit="1" customWidth="1"/>
    <col min="11783" max="12024" width="11.44140625" style="296"/>
    <col min="12025" max="12025" width="1.6640625" style="296" customWidth="1"/>
    <col min="12026" max="12026" width="6" style="296" bestFit="1" customWidth="1"/>
    <col min="12027" max="12027" width="8.6640625" style="296" customWidth="1"/>
    <col min="12028" max="12028" width="48.44140625" style="296" customWidth="1"/>
    <col min="12029" max="12029" width="14.33203125" style="296" customWidth="1"/>
    <col min="12030" max="12030" width="12.88671875" style="296" customWidth="1"/>
    <col min="12031" max="12031" width="0" style="296" hidden="1" customWidth="1"/>
    <col min="12032" max="12032" width="9.6640625" style="296" customWidth="1"/>
    <col min="12033" max="12033" width="11.5546875" style="296" customWidth="1"/>
    <col min="12034" max="12034" width="10.33203125" style="296" customWidth="1"/>
    <col min="12035" max="12035" width="9.44140625" style="296" bestFit="1" customWidth="1"/>
    <col min="12036" max="12036" width="18.44140625" style="296" customWidth="1"/>
    <col min="12037" max="12037" width="11.44140625" style="296"/>
    <col min="12038" max="12038" width="14.109375" style="296" bestFit="1" customWidth="1"/>
    <col min="12039" max="12280" width="11.44140625" style="296"/>
    <col min="12281" max="12281" width="1.6640625" style="296" customWidth="1"/>
    <col min="12282" max="12282" width="6" style="296" bestFit="1" customWidth="1"/>
    <col min="12283" max="12283" width="8.6640625" style="296" customWidth="1"/>
    <col min="12284" max="12284" width="48.44140625" style="296" customWidth="1"/>
    <col min="12285" max="12285" width="14.33203125" style="296" customWidth="1"/>
    <col min="12286" max="12286" width="12.88671875" style="296" customWidth="1"/>
    <col min="12287" max="12287" width="0" style="296" hidden="1" customWidth="1"/>
    <col min="12288" max="12288" width="9.6640625" style="296" customWidth="1"/>
    <col min="12289" max="12289" width="11.5546875" style="296" customWidth="1"/>
    <col min="12290" max="12290" width="10.33203125" style="296" customWidth="1"/>
    <col min="12291" max="12291" width="9.44140625" style="296" bestFit="1" customWidth="1"/>
    <col min="12292" max="12292" width="18.44140625" style="296" customWidth="1"/>
    <col min="12293" max="12293" width="11.44140625" style="296"/>
    <col min="12294" max="12294" width="14.109375" style="296" bestFit="1" customWidth="1"/>
    <col min="12295" max="12536" width="11.44140625" style="296"/>
    <col min="12537" max="12537" width="1.6640625" style="296" customWidth="1"/>
    <col min="12538" max="12538" width="6" style="296" bestFit="1" customWidth="1"/>
    <col min="12539" max="12539" width="8.6640625" style="296" customWidth="1"/>
    <col min="12540" max="12540" width="48.44140625" style="296" customWidth="1"/>
    <col min="12541" max="12541" width="14.33203125" style="296" customWidth="1"/>
    <col min="12542" max="12542" width="12.88671875" style="296" customWidth="1"/>
    <col min="12543" max="12543" width="0" style="296" hidden="1" customWidth="1"/>
    <col min="12544" max="12544" width="9.6640625" style="296" customWidth="1"/>
    <col min="12545" max="12545" width="11.5546875" style="296" customWidth="1"/>
    <col min="12546" max="12546" width="10.33203125" style="296" customWidth="1"/>
    <col min="12547" max="12547" width="9.44140625" style="296" bestFit="1" customWidth="1"/>
    <col min="12548" max="12548" width="18.44140625" style="296" customWidth="1"/>
    <col min="12549" max="12549" width="11.44140625" style="296"/>
    <col min="12550" max="12550" width="14.109375" style="296" bestFit="1" customWidth="1"/>
    <col min="12551" max="12792" width="11.44140625" style="296"/>
    <col min="12793" max="12793" width="1.6640625" style="296" customWidth="1"/>
    <col min="12794" max="12794" width="6" style="296" bestFit="1" customWidth="1"/>
    <col min="12795" max="12795" width="8.6640625" style="296" customWidth="1"/>
    <col min="12796" max="12796" width="48.44140625" style="296" customWidth="1"/>
    <col min="12797" max="12797" width="14.33203125" style="296" customWidth="1"/>
    <col min="12798" max="12798" width="12.88671875" style="296" customWidth="1"/>
    <col min="12799" max="12799" width="0" style="296" hidden="1" customWidth="1"/>
    <col min="12800" max="12800" width="9.6640625" style="296" customWidth="1"/>
    <col min="12801" max="12801" width="11.5546875" style="296" customWidth="1"/>
    <col min="12802" max="12802" width="10.33203125" style="296" customWidth="1"/>
    <col min="12803" max="12803" width="9.44140625" style="296" bestFit="1" customWidth="1"/>
    <col min="12804" max="12804" width="18.44140625" style="296" customWidth="1"/>
    <col min="12805" max="12805" width="11.44140625" style="296"/>
    <col min="12806" max="12806" width="14.109375" style="296" bestFit="1" customWidth="1"/>
    <col min="12807" max="13048" width="11.44140625" style="296"/>
    <col min="13049" max="13049" width="1.6640625" style="296" customWidth="1"/>
    <col min="13050" max="13050" width="6" style="296" bestFit="1" customWidth="1"/>
    <col min="13051" max="13051" width="8.6640625" style="296" customWidth="1"/>
    <col min="13052" max="13052" width="48.44140625" style="296" customWidth="1"/>
    <col min="13053" max="13053" width="14.33203125" style="296" customWidth="1"/>
    <col min="13054" max="13054" width="12.88671875" style="296" customWidth="1"/>
    <col min="13055" max="13055" width="0" style="296" hidden="1" customWidth="1"/>
    <col min="13056" max="13056" width="9.6640625" style="296" customWidth="1"/>
    <col min="13057" max="13057" width="11.5546875" style="296" customWidth="1"/>
    <col min="13058" max="13058" width="10.33203125" style="296" customWidth="1"/>
    <col min="13059" max="13059" width="9.44140625" style="296" bestFit="1" customWidth="1"/>
    <col min="13060" max="13060" width="18.44140625" style="296" customWidth="1"/>
    <col min="13061" max="13061" width="11.44140625" style="296"/>
    <col min="13062" max="13062" width="14.109375" style="296" bestFit="1" customWidth="1"/>
    <col min="13063" max="13304" width="11.44140625" style="296"/>
    <col min="13305" max="13305" width="1.6640625" style="296" customWidth="1"/>
    <col min="13306" max="13306" width="6" style="296" bestFit="1" customWidth="1"/>
    <col min="13307" max="13307" width="8.6640625" style="296" customWidth="1"/>
    <col min="13308" max="13308" width="48.44140625" style="296" customWidth="1"/>
    <col min="13309" max="13309" width="14.33203125" style="296" customWidth="1"/>
    <col min="13310" max="13310" width="12.88671875" style="296" customWidth="1"/>
    <col min="13311" max="13311" width="0" style="296" hidden="1" customWidth="1"/>
    <col min="13312" max="13312" width="9.6640625" style="296" customWidth="1"/>
    <col min="13313" max="13313" width="11.5546875" style="296" customWidth="1"/>
    <col min="13314" max="13314" width="10.33203125" style="296" customWidth="1"/>
    <col min="13315" max="13315" width="9.44140625" style="296" bestFit="1" customWidth="1"/>
    <col min="13316" max="13316" width="18.44140625" style="296" customWidth="1"/>
    <col min="13317" max="13317" width="11.44140625" style="296"/>
    <col min="13318" max="13318" width="14.109375" style="296" bestFit="1" customWidth="1"/>
    <col min="13319" max="13560" width="11.44140625" style="296"/>
    <col min="13561" max="13561" width="1.6640625" style="296" customWidth="1"/>
    <col min="13562" max="13562" width="6" style="296" bestFit="1" customWidth="1"/>
    <col min="13563" max="13563" width="8.6640625" style="296" customWidth="1"/>
    <col min="13564" max="13564" width="48.44140625" style="296" customWidth="1"/>
    <col min="13565" max="13565" width="14.33203125" style="296" customWidth="1"/>
    <col min="13566" max="13566" width="12.88671875" style="296" customWidth="1"/>
    <col min="13567" max="13567" width="0" style="296" hidden="1" customWidth="1"/>
    <col min="13568" max="13568" width="9.6640625" style="296" customWidth="1"/>
    <col min="13569" max="13569" width="11.5546875" style="296" customWidth="1"/>
    <col min="13570" max="13570" width="10.33203125" style="296" customWidth="1"/>
    <col min="13571" max="13571" width="9.44140625" style="296" bestFit="1" customWidth="1"/>
    <col min="13572" max="13572" width="18.44140625" style="296" customWidth="1"/>
    <col min="13573" max="13573" width="11.44140625" style="296"/>
    <col min="13574" max="13574" width="14.109375" style="296" bestFit="1" customWidth="1"/>
    <col min="13575" max="13816" width="11.44140625" style="296"/>
    <col min="13817" max="13817" width="1.6640625" style="296" customWidth="1"/>
    <col min="13818" max="13818" width="6" style="296" bestFit="1" customWidth="1"/>
    <col min="13819" max="13819" width="8.6640625" style="296" customWidth="1"/>
    <col min="13820" max="13820" width="48.44140625" style="296" customWidth="1"/>
    <col min="13821" max="13821" width="14.33203125" style="296" customWidth="1"/>
    <col min="13822" max="13822" width="12.88671875" style="296" customWidth="1"/>
    <col min="13823" max="13823" width="0" style="296" hidden="1" customWidth="1"/>
    <col min="13824" max="13824" width="9.6640625" style="296" customWidth="1"/>
    <col min="13825" max="13825" width="11.5546875" style="296" customWidth="1"/>
    <col min="13826" max="13826" width="10.33203125" style="296" customWidth="1"/>
    <col min="13827" max="13827" width="9.44140625" style="296" bestFit="1" customWidth="1"/>
    <col min="13828" max="13828" width="18.44140625" style="296" customWidth="1"/>
    <col min="13829" max="13829" width="11.44140625" style="296"/>
    <col min="13830" max="13830" width="14.109375" style="296" bestFit="1" customWidth="1"/>
    <col min="13831" max="14072" width="11.44140625" style="296"/>
    <col min="14073" max="14073" width="1.6640625" style="296" customWidth="1"/>
    <col min="14074" max="14074" width="6" style="296" bestFit="1" customWidth="1"/>
    <col min="14075" max="14075" width="8.6640625" style="296" customWidth="1"/>
    <col min="14076" max="14076" width="48.44140625" style="296" customWidth="1"/>
    <col min="14077" max="14077" width="14.33203125" style="296" customWidth="1"/>
    <col min="14078" max="14078" width="12.88671875" style="296" customWidth="1"/>
    <col min="14079" max="14079" width="0" style="296" hidden="1" customWidth="1"/>
    <col min="14080" max="14080" width="9.6640625" style="296" customWidth="1"/>
    <col min="14081" max="14081" width="11.5546875" style="296" customWidth="1"/>
    <col min="14082" max="14082" width="10.33203125" style="296" customWidth="1"/>
    <col min="14083" max="14083" width="9.44140625" style="296" bestFit="1" customWidth="1"/>
    <col min="14084" max="14084" width="18.44140625" style="296" customWidth="1"/>
    <col min="14085" max="14085" width="11.44140625" style="296"/>
    <col min="14086" max="14086" width="14.109375" style="296" bestFit="1" customWidth="1"/>
    <col min="14087" max="14328" width="11.44140625" style="296"/>
    <col min="14329" max="14329" width="1.6640625" style="296" customWidth="1"/>
    <col min="14330" max="14330" width="6" style="296" bestFit="1" customWidth="1"/>
    <col min="14331" max="14331" width="8.6640625" style="296" customWidth="1"/>
    <col min="14332" max="14332" width="48.44140625" style="296" customWidth="1"/>
    <col min="14333" max="14333" width="14.33203125" style="296" customWidth="1"/>
    <col min="14334" max="14334" width="12.88671875" style="296" customWidth="1"/>
    <col min="14335" max="14335" width="0" style="296" hidden="1" customWidth="1"/>
    <col min="14336" max="14336" width="9.6640625" style="296" customWidth="1"/>
    <col min="14337" max="14337" width="11.5546875" style="296" customWidth="1"/>
    <col min="14338" max="14338" width="10.33203125" style="296" customWidth="1"/>
    <col min="14339" max="14339" width="9.44140625" style="296" bestFit="1" customWidth="1"/>
    <col min="14340" max="14340" width="18.44140625" style="296" customWidth="1"/>
    <col min="14341" max="14341" width="11.44140625" style="296"/>
    <col min="14342" max="14342" width="14.109375" style="296" bestFit="1" customWidth="1"/>
    <col min="14343" max="14584" width="11.44140625" style="296"/>
    <col min="14585" max="14585" width="1.6640625" style="296" customWidth="1"/>
    <col min="14586" max="14586" width="6" style="296" bestFit="1" customWidth="1"/>
    <col min="14587" max="14587" width="8.6640625" style="296" customWidth="1"/>
    <col min="14588" max="14588" width="48.44140625" style="296" customWidth="1"/>
    <col min="14589" max="14589" width="14.33203125" style="296" customWidth="1"/>
    <col min="14590" max="14590" width="12.88671875" style="296" customWidth="1"/>
    <col min="14591" max="14591" width="0" style="296" hidden="1" customWidth="1"/>
    <col min="14592" max="14592" width="9.6640625" style="296" customWidth="1"/>
    <col min="14593" max="14593" width="11.5546875" style="296" customWidth="1"/>
    <col min="14594" max="14594" width="10.33203125" style="296" customWidth="1"/>
    <col min="14595" max="14595" width="9.44140625" style="296" bestFit="1" customWidth="1"/>
    <col min="14596" max="14596" width="18.44140625" style="296" customWidth="1"/>
    <col min="14597" max="14597" width="11.44140625" style="296"/>
    <col min="14598" max="14598" width="14.109375" style="296" bestFit="1" customWidth="1"/>
    <col min="14599" max="14840" width="11.44140625" style="296"/>
    <col min="14841" max="14841" width="1.6640625" style="296" customWidth="1"/>
    <col min="14842" max="14842" width="6" style="296" bestFit="1" customWidth="1"/>
    <col min="14843" max="14843" width="8.6640625" style="296" customWidth="1"/>
    <col min="14844" max="14844" width="48.44140625" style="296" customWidth="1"/>
    <col min="14845" max="14845" width="14.33203125" style="296" customWidth="1"/>
    <col min="14846" max="14846" width="12.88671875" style="296" customWidth="1"/>
    <col min="14847" max="14847" width="0" style="296" hidden="1" customWidth="1"/>
    <col min="14848" max="14848" width="9.6640625" style="296" customWidth="1"/>
    <col min="14849" max="14849" width="11.5546875" style="296" customWidth="1"/>
    <col min="14850" max="14850" width="10.33203125" style="296" customWidth="1"/>
    <col min="14851" max="14851" width="9.44140625" style="296" bestFit="1" customWidth="1"/>
    <col min="14852" max="14852" width="18.44140625" style="296" customWidth="1"/>
    <col min="14853" max="14853" width="11.44140625" style="296"/>
    <col min="14854" max="14854" width="14.109375" style="296" bestFit="1" customWidth="1"/>
    <col min="14855" max="15096" width="11.44140625" style="296"/>
    <col min="15097" max="15097" width="1.6640625" style="296" customWidth="1"/>
    <col min="15098" max="15098" width="6" style="296" bestFit="1" customWidth="1"/>
    <col min="15099" max="15099" width="8.6640625" style="296" customWidth="1"/>
    <col min="15100" max="15100" width="48.44140625" style="296" customWidth="1"/>
    <col min="15101" max="15101" width="14.33203125" style="296" customWidth="1"/>
    <col min="15102" max="15102" width="12.88671875" style="296" customWidth="1"/>
    <col min="15103" max="15103" width="0" style="296" hidden="1" customWidth="1"/>
    <col min="15104" max="15104" width="9.6640625" style="296" customWidth="1"/>
    <col min="15105" max="15105" width="11.5546875" style="296" customWidth="1"/>
    <col min="15106" max="15106" width="10.33203125" style="296" customWidth="1"/>
    <col min="15107" max="15107" width="9.44140625" style="296" bestFit="1" customWidth="1"/>
    <col min="15108" max="15108" width="18.44140625" style="296" customWidth="1"/>
    <col min="15109" max="15109" width="11.44140625" style="296"/>
    <col min="15110" max="15110" width="14.109375" style="296" bestFit="1" customWidth="1"/>
    <col min="15111" max="15352" width="11.44140625" style="296"/>
    <col min="15353" max="15353" width="1.6640625" style="296" customWidth="1"/>
    <col min="15354" max="15354" width="6" style="296" bestFit="1" customWidth="1"/>
    <col min="15355" max="15355" width="8.6640625" style="296" customWidth="1"/>
    <col min="15356" max="15356" width="48.44140625" style="296" customWidth="1"/>
    <col min="15357" max="15357" width="14.33203125" style="296" customWidth="1"/>
    <col min="15358" max="15358" width="12.88671875" style="296" customWidth="1"/>
    <col min="15359" max="15359" width="0" style="296" hidden="1" customWidth="1"/>
    <col min="15360" max="15360" width="9.6640625" style="296" customWidth="1"/>
    <col min="15361" max="15361" width="11.5546875" style="296" customWidth="1"/>
    <col min="15362" max="15362" width="10.33203125" style="296" customWidth="1"/>
    <col min="15363" max="15363" width="9.44140625" style="296" bestFit="1" customWidth="1"/>
    <col min="15364" max="15364" width="18.44140625" style="296" customWidth="1"/>
    <col min="15365" max="15365" width="11.44140625" style="296"/>
    <col min="15366" max="15366" width="14.109375" style="296" bestFit="1" customWidth="1"/>
    <col min="15367" max="15608" width="11.44140625" style="296"/>
    <col min="15609" max="15609" width="1.6640625" style="296" customWidth="1"/>
    <col min="15610" max="15610" width="6" style="296" bestFit="1" customWidth="1"/>
    <col min="15611" max="15611" width="8.6640625" style="296" customWidth="1"/>
    <col min="15612" max="15612" width="48.44140625" style="296" customWidth="1"/>
    <col min="15613" max="15613" width="14.33203125" style="296" customWidth="1"/>
    <col min="15614" max="15614" width="12.88671875" style="296" customWidth="1"/>
    <col min="15615" max="15615" width="0" style="296" hidden="1" customWidth="1"/>
    <col min="15616" max="15616" width="9.6640625" style="296" customWidth="1"/>
    <col min="15617" max="15617" width="11.5546875" style="296" customWidth="1"/>
    <col min="15618" max="15618" width="10.33203125" style="296" customWidth="1"/>
    <col min="15619" max="15619" width="9.44140625" style="296" bestFit="1" customWidth="1"/>
    <col min="15620" max="15620" width="18.44140625" style="296" customWidth="1"/>
    <col min="15621" max="15621" width="11.44140625" style="296"/>
    <col min="15622" max="15622" width="14.109375" style="296" bestFit="1" customWidth="1"/>
    <col min="15623" max="15864" width="11.44140625" style="296"/>
    <col min="15865" max="15865" width="1.6640625" style="296" customWidth="1"/>
    <col min="15866" max="15866" width="6" style="296" bestFit="1" customWidth="1"/>
    <col min="15867" max="15867" width="8.6640625" style="296" customWidth="1"/>
    <col min="15868" max="15868" width="48.44140625" style="296" customWidth="1"/>
    <col min="15869" max="15869" width="14.33203125" style="296" customWidth="1"/>
    <col min="15870" max="15870" width="12.88671875" style="296" customWidth="1"/>
    <col min="15871" max="15871" width="0" style="296" hidden="1" customWidth="1"/>
    <col min="15872" max="15872" width="9.6640625" style="296" customWidth="1"/>
    <col min="15873" max="15873" width="11.5546875" style="296" customWidth="1"/>
    <col min="15874" max="15874" width="10.33203125" style="296" customWidth="1"/>
    <col min="15875" max="15875" width="9.44140625" style="296" bestFit="1" customWidth="1"/>
    <col min="15876" max="15876" width="18.44140625" style="296" customWidth="1"/>
    <col min="15877" max="15877" width="11.44140625" style="296"/>
    <col min="15878" max="15878" width="14.109375" style="296" bestFit="1" customWidth="1"/>
    <col min="15879" max="16120" width="11.44140625" style="296"/>
    <col min="16121" max="16121" width="1.6640625" style="296" customWidth="1"/>
    <col min="16122" max="16122" width="6" style="296" bestFit="1" customWidth="1"/>
    <col min="16123" max="16123" width="8.6640625" style="296" customWidth="1"/>
    <col min="16124" max="16124" width="48.44140625" style="296" customWidth="1"/>
    <col min="16125" max="16125" width="14.33203125" style="296" customWidth="1"/>
    <col min="16126" max="16126" width="12.88671875" style="296" customWidth="1"/>
    <col min="16127" max="16127" width="0" style="296" hidden="1" customWidth="1"/>
    <col min="16128" max="16128" width="9.6640625" style="296" customWidth="1"/>
    <col min="16129" max="16129" width="11.5546875" style="296" customWidth="1"/>
    <col min="16130" max="16130" width="10.33203125" style="296" customWidth="1"/>
    <col min="16131" max="16131" width="9.44140625" style="296" bestFit="1" customWidth="1"/>
    <col min="16132" max="16132" width="18.44140625" style="296" customWidth="1"/>
    <col min="16133" max="16133" width="11.44140625" style="296"/>
    <col min="16134" max="16134" width="14.109375" style="296" bestFit="1" customWidth="1"/>
    <col min="16135" max="16384" width="11.44140625" style="296"/>
  </cols>
  <sheetData>
    <row r="2" spans="2:16" ht="14.4" thickBot="1" x14ac:dyDescent="0.3">
      <c r="C2" s="182"/>
      <c r="D2" s="183"/>
      <c r="E2" s="183"/>
      <c r="F2" s="183"/>
      <c r="G2" s="183"/>
      <c r="H2" s="183"/>
      <c r="I2" s="183"/>
      <c r="J2" s="183"/>
      <c r="K2" s="183"/>
      <c r="L2" s="183"/>
      <c r="M2" s="183"/>
      <c r="N2" s="183"/>
      <c r="O2" s="184"/>
      <c r="P2" s="184"/>
    </row>
    <row r="3" spans="2:16" ht="14.4" customHeight="1" x14ac:dyDescent="0.25">
      <c r="C3" s="297"/>
      <c r="D3" s="822" t="s">
        <v>162</v>
      </c>
      <c r="E3" s="822"/>
      <c r="F3" s="822"/>
      <c r="G3" s="822"/>
      <c r="H3" s="822"/>
      <c r="I3" s="822"/>
      <c r="J3" s="823"/>
      <c r="K3" s="862"/>
      <c r="L3" s="863"/>
      <c r="M3" s="298"/>
      <c r="N3" s="834"/>
      <c r="O3" s="834"/>
      <c r="P3" s="834"/>
    </row>
    <row r="4" spans="2:16" x14ac:dyDescent="0.25">
      <c r="C4" s="299"/>
      <c r="D4" s="825"/>
      <c r="E4" s="825"/>
      <c r="F4" s="825"/>
      <c r="G4" s="825"/>
      <c r="H4" s="825"/>
      <c r="I4" s="825"/>
      <c r="J4" s="826"/>
      <c r="K4" s="864"/>
      <c r="L4" s="865"/>
      <c r="M4" s="183"/>
      <c r="N4" s="834"/>
      <c r="O4" s="834"/>
      <c r="P4" s="834"/>
    </row>
    <row r="5" spans="2:16" x14ac:dyDescent="0.25">
      <c r="C5" s="299"/>
      <c r="D5" s="825"/>
      <c r="E5" s="825"/>
      <c r="F5" s="825"/>
      <c r="G5" s="825"/>
      <c r="H5" s="825"/>
      <c r="I5" s="825"/>
      <c r="J5" s="826"/>
      <c r="K5" s="864"/>
      <c r="L5" s="865"/>
      <c r="M5" s="298"/>
      <c r="N5" s="834"/>
      <c r="O5" s="834"/>
      <c r="P5" s="834"/>
    </row>
    <row r="6" spans="2:16" x14ac:dyDescent="0.25">
      <c r="C6" s="299"/>
      <c r="D6" s="825"/>
      <c r="E6" s="825"/>
      <c r="F6" s="825"/>
      <c r="G6" s="825"/>
      <c r="H6" s="825"/>
      <c r="I6" s="825"/>
      <c r="J6" s="826"/>
      <c r="K6" s="864"/>
      <c r="L6" s="865"/>
      <c r="M6" s="298"/>
      <c r="N6" s="834"/>
      <c r="O6" s="834"/>
      <c r="P6" s="834"/>
    </row>
    <row r="7" spans="2:16" x14ac:dyDescent="0.25">
      <c r="C7" s="299"/>
      <c r="D7" s="825"/>
      <c r="E7" s="825"/>
      <c r="F7" s="825"/>
      <c r="G7" s="825"/>
      <c r="H7" s="825"/>
      <c r="I7" s="825"/>
      <c r="J7" s="826"/>
      <c r="K7" s="864"/>
      <c r="L7" s="865"/>
      <c r="M7" s="298"/>
      <c r="N7" s="834"/>
      <c r="O7" s="834"/>
      <c r="P7" s="834"/>
    </row>
    <row r="8" spans="2:16" ht="15" customHeight="1" thickBot="1" x14ac:dyDescent="0.3">
      <c r="C8" s="300"/>
      <c r="D8" s="828" t="s">
        <v>237</v>
      </c>
      <c r="E8" s="828"/>
      <c r="F8" s="828"/>
      <c r="G8" s="828"/>
      <c r="H8" s="828"/>
      <c r="I8" s="828"/>
      <c r="J8" s="829"/>
      <c r="K8" s="866"/>
      <c r="L8" s="867"/>
      <c r="M8" s="298"/>
      <c r="N8" s="834"/>
      <c r="O8" s="834"/>
      <c r="P8" s="834"/>
    </row>
    <row r="9" spans="2:16" ht="57.75" customHeight="1" thickBot="1" x14ac:dyDescent="0.3">
      <c r="C9" s="827" t="s">
        <v>163</v>
      </c>
      <c r="D9" s="829"/>
      <c r="E9" s="868" t="s">
        <v>9</v>
      </c>
      <c r="F9" s="869"/>
      <c r="G9" s="869"/>
      <c r="H9" s="869"/>
      <c r="I9" s="869"/>
      <c r="J9" s="869"/>
      <c r="K9" s="786"/>
      <c r="L9" s="870"/>
      <c r="M9" s="301"/>
      <c r="N9" s="301"/>
      <c r="O9" s="301"/>
      <c r="P9" s="301"/>
    </row>
    <row r="10" spans="2:16" x14ac:dyDescent="0.25">
      <c r="D10" s="302"/>
      <c r="E10" s="302"/>
      <c r="F10" s="302"/>
      <c r="G10" s="302"/>
      <c r="H10" s="302"/>
      <c r="I10" s="302"/>
      <c r="J10" s="302"/>
      <c r="K10" s="302"/>
      <c r="L10" s="302"/>
      <c r="M10" s="248"/>
      <c r="N10" s="248"/>
      <c r="O10" s="248"/>
      <c r="P10" s="248"/>
    </row>
    <row r="11" spans="2:16" ht="15.75" customHeight="1" x14ac:dyDescent="0.25">
      <c r="C11" s="854" t="s">
        <v>238</v>
      </c>
      <c r="D11" s="855"/>
      <c r="E11" s="855"/>
      <c r="F11" s="855"/>
      <c r="G11" s="855"/>
      <c r="H11" s="855"/>
      <c r="I11" s="855"/>
      <c r="J11" s="855"/>
      <c r="K11" s="855"/>
      <c r="L11" s="304"/>
    </row>
    <row r="12" spans="2:16" ht="30.6" x14ac:dyDescent="0.25">
      <c r="C12" s="856" t="s">
        <v>239</v>
      </c>
      <c r="D12" s="856"/>
      <c r="E12" s="305" t="s">
        <v>240</v>
      </c>
      <c r="F12" s="305" t="s">
        <v>241</v>
      </c>
      <c r="G12" s="306" t="s">
        <v>242</v>
      </c>
      <c r="H12" s="306" t="s">
        <v>243</v>
      </c>
      <c r="I12" s="306" t="s">
        <v>244</v>
      </c>
      <c r="J12" s="306" t="s">
        <v>245</v>
      </c>
      <c r="K12" s="306" t="s">
        <v>246</v>
      </c>
      <c r="L12" s="305" t="s">
        <v>247</v>
      </c>
    </row>
    <row r="13" spans="2:16" ht="15" customHeight="1" x14ac:dyDescent="0.25">
      <c r="C13" s="857" t="s">
        <v>248</v>
      </c>
      <c r="D13" s="858"/>
      <c r="E13" s="309"/>
      <c r="F13" s="310"/>
      <c r="G13" s="310"/>
      <c r="H13" s="310"/>
      <c r="I13" s="310"/>
      <c r="J13" s="310"/>
      <c r="K13" s="310"/>
      <c r="L13" s="311"/>
    </row>
    <row r="14" spans="2:16" x14ac:dyDescent="0.25">
      <c r="C14" s="312"/>
      <c r="D14" s="318" t="s">
        <v>249</v>
      </c>
      <c r="E14" s="312"/>
      <c r="F14" s="314"/>
      <c r="G14" s="315"/>
      <c r="H14" s="315"/>
      <c r="I14" s="319"/>
      <c r="J14" s="316"/>
      <c r="K14" s="316"/>
      <c r="L14" s="317"/>
    </row>
    <row r="15" spans="2:16" ht="22.8" x14ac:dyDescent="0.25">
      <c r="B15" s="295">
        <v>9455</v>
      </c>
      <c r="C15" s="312" t="s">
        <v>250</v>
      </c>
      <c r="D15" s="320" t="str">
        <f>+VLOOKUP(B15,'PRECIOS INSUMOS IDU 2025'!$A$1:$E$2794,2,FALSE)</f>
        <v>TARIFA MES - PERSONAL DE OBRA - AYUDANTE (NO INCLUYE FACTOR DE PRESTACIONES)</v>
      </c>
      <c r="E15" s="312" t="str">
        <f>+VLOOKUP(B15,'PRECIOS INSUMOS IDU 2025'!$A$1:$E$2794,3,FALSE)</f>
        <v>MES</v>
      </c>
      <c r="F15" s="314">
        <v>1750905</v>
      </c>
      <c r="G15" s="315">
        <v>1.6478735374543354</v>
      </c>
      <c r="H15" s="316">
        <v>1</v>
      </c>
      <c r="I15" s="478">
        <v>0.5</v>
      </c>
      <c r="J15" s="316">
        <v>4</v>
      </c>
      <c r="K15" s="316">
        <f>H15*I15*J15</f>
        <v>2</v>
      </c>
      <c r="L15" s="317">
        <f>ROUND(F15*K15*G15,0)</f>
        <v>5770540</v>
      </c>
    </row>
    <row r="16" spans="2:16" x14ac:dyDescent="0.25">
      <c r="C16" s="312"/>
      <c r="D16" s="318" t="s">
        <v>251</v>
      </c>
      <c r="E16" s="312"/>
      <c r="F16" s="314"/>
      <c r="G16" s="315"/>
      <c r="H16" s="315"/>
      <c r="I16" s="479"/>
      <c r="J16" s="316"/>
      <c r="K16" s="316"/>
      <c r="L16" s="317"/>
    </row>
    <row r="17" spans="2:16" x14ac:dyDescent="0.25">
      <c r="B17" s="295">
        <v>9113</v>
      </c>
      <c r="C17" s="312" t="s">
        <v>252</v>
      </c>
      <c r="D17" s="313" t="s">
        <v>253</v>
      </c>
      <c r="E17" s="312" t="s">
        <v>254</v>
      </c>
      <c r="F17" s="314">
        <f>+VLOOKUP(B17,'PRECIOS INSUMOS IDU 2025'!$A$1:$E$2794,4,FALSE)</f>
        <v>5791000</v>
      </c>
      <c r="G17" s="315">
        <v>1.4532</v>
      </c>
      <c r="H17" s="316">
        <v>1</v>
      </c>
      <c r="I17" s="478">
        <v>0.5</v>
      </c>
      <c r="J17" s="316">
        <f>+J15</f>
        <v>4</v>
      </c>
      <c r="K17" s="316">
        <f>H17*I17*J17</f>
        <v>2</v>
      </c>
      <c r="L17" s="317">
        <f>ROUND(F17*K17*G17,0)</f>
        <v>16830962</v>
      </c>
    </row>
    <row r="18" spans="2:16" x14ac:dyDescent="0.25">
      <c r="C18" s="321"/>
      <c r="D18" s="322"/>
      <c r="E18" s="309"/>
      <c r="F18" s="323"/>
      <c r="G18" s="323"/>
      <c r="H18" s="323"/>
      <c r="I18" s="324"/>
      <c r="J18" s="324"/>
      <c r="K18" s="325" t="s">
        <v>255</v>
      </c>
      <c r="L18" s="326">
        <f>SUM(L14:L17)</f>
        <v>22601502</v>
      </c>
    </row>
    <row r="19" spans="2:16" x14ac:dyDescent="0.25">
      <c r="C19" s="321"/>
      <c r="D19" s="327"/>
      <c r="E19" s="328"/>
      <c r="F19" s="329"/>
      <c r="G19" s="329"/>
      <c r="H19" s="329"/>
      <c r="I19" s="330"/>
      <c r="J19" s="330"/>
      <c r="K19" s="331"/>
      <c r="L19" s="332"/>
    </row>
    <row r="20" spans="2:16" ht="15" customHeight="1" x14ac:dyDescent="0.25">
      <c r="C20" s="857" t="s">
        <v>256</v>
      </c>
      <c r="D20" s="859"/>
      <c r="E20" s="328"/>
      <c r="F20" s="333"/>
      <c r="G20" s="333"/>
      <c r="H20" s="333"/>
      <c r="I20" s="333"/>
      <c r="J20" s="333"/>
      <c r="K20" s="333"/>
      <c r="L20" s="334"/>
    </row>
    <row r="21" spans="2:16" ht="20.399999999999999" x14ac:dyDescent="0.25">
      <c r="C21" s="853" t="s">
        <v>239</v>
      </c>
      <c r="D21" s="853"/>
      <c r="E21" s="335" t="s">
        <v>240</v>
      </c>
      <c r="F21" s="860" t="s">
        <v>241</v>
      </c>
      <c r="G21" s="861"/>
      <c r="H21" s="336"/>
      <c r="I21" s="337"/>
      <c r="J21" s="337" t="s">
        <v>257</v>
      </c>
      <c r="K21" s="337"/>
      <c r="L21" s="335" t="s">
        <v>247</v>
      </c>
      <c r="O21" s="338"/>
      <c r="P21" s="338"/>
    </row>
    <row r="22" spans="2:16" x14ac:dyDescent="0.25">
      <c r="C22" s="339" t="s">
        <v>258</v>
      </c>
      <c r="D22" s="340" t="s">
        <v>259</v>
      </c>
    </row>
    <row r="23" spans="2:16" x14ac:dyDescent="0.25">
      <c r="B23" s="295">
        <v>7870</v>
      </c>
      <c r="C23" s="312" t="s">
        <v>260</v>
      </c>
      <c r="D23" s="320" t="str">
        <f>+VLOOKUP(B23,'PRECIOS INSUMOS IDU 2025'!$A$1:$E$2794,2,FALSE)</f>
        <v>VÍDEO BEAM - ALQUILER POR DIA</v>
      </c>
      <c r="E23" s="312" t="str">
        <f>+VLOOKUP(B23,'PRECIOS INSUMOS IDU 2025'!$A$1:$E$2794,3,FALSE)</f>
        <v>DIA</v>
      </c>
      <c r="F23" s="850">
        <f>+VLOOKUP(B23,'PRECIOS INSUMOS IDU 2025'!$A$1:$E$2794,4,FALSE)</f>
        <v>100862</v>
      </c>
      <c r="G23" s="851"/>
      <c r="H23" s="342"/>
      <c r="I23" s="343"/>
      <c r="J23" s="344">
        <v>3</v>
      </c>
      <c r="K23" s="343"/>
      <c r="L23" s="317">
        <f>ROUND(F23*J23,0)</f>
        <v>302586</v>
      </c>
      <c r="O23" s="345"/>
      <c r="P23" s="345"/>
    </row>
    <row r="24" spans="2:16" x14ac:dyDescent="0.25">
      <c r="C24" s="321"/>
      <c r="D24" s="322"/>
      <c r="E24" s="309"/>
      <c r="F24" s="323"/>
      <c r="G24" s="323"/>
      <c r="H24" s="323"/>
      <c r="I24" s="324"/>
      <c r="J24" s="324"/>
      <c r="K24" s="325" t="s">
        <v>261</v>
      </c>
      <c r="L24" s="326">
        <f>SUM(L23:L23)</f>
        <v>302586</v>
      </c>
    </row>
    <row r="25" spans="2:16" x14ac:dyDescent="0.25">
      <c r="C25" s="346" t="s">
        <v>262</v>
      </c>
      <c r="D25" s="307" t="s">
        <v>263</v>
      </c>
      <c r="E25" s="303"/>
      <c r="F25" s="303"/>
      <c r="G25" s="303"/>
      <c r="H25" s="303"/>
      <c r="I25" s="303"/>
      <c r="J25" s="303"/>
      <c r="K25" s="303"/>
      <c r="L25" s="347"/>
    </row>
    <row r="26" spans="2:16" ht="24" customHeight="1" x14ac:dyDescent="0.25">
      <c r="B26" s="295">
        <v>7897</v>
      </c>
      <c r="C26" s="312" t="s">
        <v>264</v>
      </c>
      <c r="D26" s="320" t="str">
        <f>+VLOOKUP(B26,'PRECIOS INSUMOS IDU 2025'!$A$1:$E$2794,2,FALSE)</f>
        <v>AFICHE TAMAÑO MEDIO PLIEGO A 4X0 TINTAS EN PROPALCOTE DE 115 GR.</v>
      </c>
      <c r="E26" s="312" t="str">
        <f>+VLOOKUP(B26,'PRECIOS INSUMOS IDU 2025'!$A$1:$E$2794,3,FALSE)</f>
        <v>UN</v>
      </c>
      <c r="F26" s="850">
        <f>+VLOOKUP(B26,'PRECIOS INSUMOS IDU 2025'!$A$1:$E$2794,4,FALSE)</f>
        <v>1345</v>
      </c>
      <c r="G26" s="851"/>
      <c r="H26" s="342"/>
      <c r="I26" s="343"/>
      <c r="J26" s="344">
        <v>2</v>
      </c>
      <c r="K26" s="348"/>
      <c r="L26" s="317">
        <f>ROUND(F26*J26,0)</f>
        <v>2690</v>
      </c>
      <c r="O26" s="345"/>
      <c r="P26" s="345"/>
    </row>
    <row r="27" spans="2:16" ht="22.8" x14ac:dyDescent="0.25">
      <c r="B27" s="295">
        <v>7898</v>
      </c>
      <c r="C27" s="312" t="s">
        <v>265</v>
      </c>
      <c r="D27" s="320" t="str">
        <f>+VLOOKUP(B27,'PRECIOS INSUMOS IDU 2025'!$A$1:$E$2794,2,FALSE)</f>
        <v>PLEGABLES DE SOSTENIBILIDAD EN TRES CUERPOS TAMAÑO CARTA A 4X4 TINTAS EN PROPALCOTE.</v>
      </c>
      <c r="E27" s="312" t="str">
        <f>+VLOOKUP(B27,'PRECIOS INSUMOS IDU 2025'!$A$1:$E$2794,3,FALSE)</f>
        <v>UN</v>
      </c>
      <c r="F27" s="850">
        <f>+VLOOKUP(B27,'PRECIOS INSUMOS IDU 2025'!$A$1:$E$2794,4,FALSE)</f>
        <v>719</v>
      </c>
      <c r="G27" s="851"/>
      <c r="H27" s="342"/>
      <c r="I27" s="343"/>
      <c r="J27" s="344">
        <v>2</v>
      </c>
      <c r="K27" s="348"/>
      <c r="L27" s="317">
        <f>+ROUND(F27*J27,0)</f>
        <v>1438</v>
      </c>
      <c r="O27" s="345"/>
      <c r="P27" s="345"/>
    </row>
    <row r="28" spans="2:16" ht="31.5" customHeight="1" x14ac:dyDescent="0.25">
      <c r="B28" s="295">
        <v>7896</v>
      </c>
      <c r="C28" s="312" t="s">
        <v>266</v>
      </c>
      <c r="D28" s="320" t="str">
        <f>+VLOOKUP(B28,'PRECIOS INSUMOS IDU 2025'!$A$1:$E$2794,2,FALSE)</f>
        <v>IMPRESIÓN HOJA CARTA, A 1X0 TINTAS EN PAPEL BOND DE 75 GR.</v>
      </c>
      <c r="E28" s="312" t="str">
        <f>+VLOOKUP(B28,'PRECIOS INSUMOS IDU 2025'!$A$1:$E$2794,3,FALSE)</f>
        <v>UN</v>
      </c>
      <c r="F28" s="850">
        <f>+VLOOKUP(B28,'PRECIOS INSUMOS IDU 2025'!$A$1:$E$2794,4,FALSE)</f>
        <v>161</v>
      </c>
      <c r="G28" s="851"/>
      <c r="H28" s="342"/>
      <c r="I28" s="343"/>
      <c r="J28" s="344">
        <v>100</v>
      </c>
      <c r="K28" s="348"/>
      <c r="L28" s="317">
        <f>+ROUND(F28*J28,0)</f>
        <v>16100</v>
      </c>
      <c r="O28" s="345"/>
      <c r="P28" s="345"/>
    </row>
    <row r="29" spans="2:16" x14ac:dyDescent="0.25">
      <c r="C29" s="321"/>
      <c r="D29" s="322"/>
      <c r="E29" s="309"/>
      <c r="F29" s="323"/>
      <c r="G29" s="323"/>
      <c r="H29" s="323"/>
      <c r="I29" s="324"/>
      <c r="J29" s="324"/>
      <c r="K29" s="325" t="s">
        <v>267</v>
      </c>
      <c r="L29" s="349">
        <f>SUM(L26:L28)</f>
        <v>20228</v>
      </c>
    </row>
    <row r="31" spans="2:16" x14ac:dyDescent="0.25">
      <c r="C31" s="312" t="s">
        <v>268</v>
      </c>
      <c r="D31" s="307" t="s">
        <v>269</v>
      </c>
      <c r="E31" s="350"/>
      <c r="F31" s="322"/>
      <c r="G31" s="322"/>
      <c r="H31" s="322"/>
      <c r="I31" s="322"/>
      <c r="J31" s="322"/>
      <c r="K31" s="322"/>
      <c r="L31" s="322"/>
    </row>
    <row r="32" spans="2:16" ht="30.6" x14ac:dyDescent="0.25">
      <c r="C32" s="853" t="s">
        <v>239</v>
      </c>
      <c r="D32" s="853"/>
      <c r="E32" s="335" t="s">
        <v>240</v>
      </c>
      <c r="F32" s="335" t="s">
        <v>241</v>
      </c>
      <c r="G32" s="335" t="s">
        <v>243</v>
      </c>
      <c r="H32" s="305"/>
      <c r="I32" s="306" t="s">
        <v>270</v>
      </c>
      <c r="J32" s="306" t="s">
        <v>245</v>
      </c>
      <c r="K32" s="306" t="s">
        <v>246</v>
      </c>
      <c r="L32" s="335" t="s">
        <v>247</v>
      </c>
    </row>
    <row r="33" spans="2:12" s="353" customFormat="1" ht="29.25" customHeight="1" x14ac:dyDescent="0.25">
      <c r="B33" s="351"/>
      <c r="C33" s="346" t="s">
        <v>271</v>
      </c>
      <c r="D33" s="307" t="s">
        <v>272</v>
      </c>
      <c r="E33" s="303"/>
      <c r="F33" s="303"/>
      <c r="G33" s="303"/>
      <c r="H33" s="303"/>
      <c r="I33" s="303"/>
      <c r="J33" s="303"/>
      <c r="K33" s="303"/>
      <c r="L33" s="352"/>
    </row>
    <row r="34" spans="2:12" x14ac:dyDescent="0.25">
      <c r="B34" s="295">
        <v>9409</v>
      </c>
      <c r="C34" s="312" t="s">
        <v>273</v>
      </c>
      <c r="D34" s="320" t="str">
        <f>+VLOOKUP(B34,'PRECIOS INSUMOS IDU 2025'!$A$1:$E$2794,2,FALSE)</f>
        <v>SILLA ESCRITORIO GIRATORIA CON BRAZOS</v>
      </c>
      <c r="E34" s="312" t="str">
        <f>+VLOOKUP(B34,'PRECIOS INSUMOS IDU 2025'!$A$1:$E$2794,3,FALSE)</f>
        <v>UN</v>
      </c>
      <c r="F34" s="850">
        <f>+VLOOKUP(B34,'PRECIOS INSUMOS IDU 2025'!$A$1:$E$2794,4,FALSE)</f>
        <v>191249</v>
      </c>
      <c r="G34" s="851"/>
      <c r="H34" s="354"/>
      <c r="I34" s="480"/>
      <c r="J34" s="355">
        <v>4</v>
      </c>
      <c r="K34" s="316">
        <v>4</v>
      </c>
      <c r="L34" s="356">
        <f t="shared" ref="L34:L38" si="0">+ROUND(F34*K34,0)</f>
        <v>764996</v>
      </c>
    </row>
    <row r="35" spans="2:12" x14ac:dyDescent="0.25">
      <c r="B35" s="295">
        <v>9408</v>
      </c>
      <c r="C35" s="312" t="s">
        <v>274</v>
      </c>
      <c r="D35" s="320" t="str">
        <f>+VLOOKUP(B35,'PRECIOS INSUMOS IDU 2025'!$A$1:$E$2794,2,FALSE)</f>
        <v>PUESTO DE TRABAJO - ESCRITORIO 75x120x50</v>
      </c>
      <c r="E35" s="312" t="str">
        <f>+VLOOKUP(B35,'PRECIOS INSUMOS IDU 2025'!$A$1:$E$2794,3,FALSE)</f>
        <v>UN</v>
      </c>
      <c r="F35" s="850">
        <f>+VLOOKUP(B35,'PRECIOS INSUMOS IDU 2025'!$A$1:$E$2794,4,FALSE)</f>
        <v>211607</v>
      </c>
      <c r="G35" s="851"/>
      <c r="H35" s="354"/>
      <c r="I35" s="480"/>
      <c r="J35" s="355">
        <v>4</v>
      </c>
      <c r="K35" s="316">
        <v>4</v>
      </c>
      <c r="L35" s="356">
        <f t="shared" si="0"/>
        <v>846428</v>
      </c>
    </row>
    <row r="36" spans="2:12" ht="41.25" customHeight="1" x14ac:dyDescent="0.25">
      <c r="B36" s="295">
        <v>9414</v>
      </c>
      <c r="C36" s="312" t="s">
        <v>275</v>
      </c>
      <c r="D36" s="320" t="str">
        <f>+VLOOKUP(B36,'PRECIOS INSUMOS IDU 2025'!$A$1:$E$2794,2,FALSE)</f>
        <v>SILLA PLÁSTICA SIN BRAZOS</v>
      </c>
      <c r="E36" s="312" t="str">
        <f>+VLOOKUP(B36,'PRECIOS INSUMOS IDU 2025'!$A$1:$E$2794,3,FALSE)</f>
        <v>UN</v>
      </c>
      <c r="F36" s="850">
        <f>+VLOOKUP(B36,'PRECIOS INSUMOS IDU 2025'!$A$1:$E$2794,4,FALSE)</f>
        <v>36607</v>
      </c>
      <c r="G36" s="851"/>
      <c r="H36" s="354"/>
      <c r="I36" s="480"/>
      <c r="J36" s="355">
        <v>4</v>
      </c>
      <c r="K36" s="316">
        <v>4</v>
      </c>
      <c r="L36" s="356">
        <f t="shared" si="0"/>
        <v>146428</v>
      </c>
    </row>
    <row r="37" spans="2:12" ht="22.95" customHeight="1" x14ac:dyDescent="0.25">
      <c r="B37" s="295">
        <v>9048</v>
      </c>
      <c r="C37" s="312" t="s">
        <v>276</v>
      </c>
      <c r="D37" s="320" t="str">
        <f>+VLOOKUP(B37,'PRECIOS INSUMOS IDU 2025'!$A$1:$E$2794,2,FALSE)</f>
        <v>CARTELERA CON MARCO EN ALUMINIO ANODIZADO, PAÑO COLOR GRIS CON CENEFA SUPERIOR, PUERTAS CORREDIZAS. Incl. transporte</v>
      </c>
      <c r="E37" s="312" t="str">
        <f>+VLOOKUP(B37,'PRECIOS INSUMOS IDU 2025'!$A$1:$E$2794,3,FALSE)</f>
        <v>UN</v>
      </c>
      <c r="F37" s="850">
        <f>+VLOOKUP(B37,'PRECIOS INSUMOS IDU 2025'!$A$1:$E$2794,4,FALSE)</f>
        <v>568502</v>
      </c>
      <c r="G37" s="851"/>
      <c r="H37" s="354"/>
      <c r="I37" s="480"/>
      <c r="J37" s="355">
        <v>1</v>
      </c>
      <c r="K37" s="316">
        <v>1</v>
      </c>
      <c r="L37" s="356">
        <f t="shared" si="0"/>
        <v>568502</v>
      </c>
    </row>
    <row r="38" spans="2:12" ht="22.8" x14ac:dyDescent="0.25">
      <c r="B38" s="295">
        <v>11834</v>
      </c>
      <c r="C38" s="312" t="s">
        <v>277</v>
      </c>
      <c r="D38" s="320" t="str">
        <f>+VLOOKUP(B38,'PRECIOS INSUMOS IDU 2025'!$A$1:$E$2794,2,FALSE)</f>
        <v>AVISO PUNTO IDU 1.50m x 0.90m EN LÁMINA GALVANIZADA CAL. 24. INCLUYE SUMINISTRO E INSTALACIÓN</v>
      </c>
      <c r="E38" s="312" t="str">
        <f>+VLOOKUP(B38,'PRECIOS INSUMOS IDU 2025'!$A$1:$E$2794,3,FALSE)</f>
        <v>UN</v>
      </c>
      <c r="F38" s="850">
        <f>+VLOOKUP(B38,'PRECIOS INSUMOS IDU 2025'!$A$1:$E$2794,4,FALSE)</f>
        <v>799680</v>
      </c>
      <c r="G38" s="851"/>
      <c r="H38" s="354"/>
      <c r="I38" s="480"/>
      <c r="J38" s="355">
        <v>1</v>
      </c>
      <c r="K38" s="316">
        <v>1</v>
      </c>
      <c r="L38" s="356">
        <f t="shared" si="0"/>
        <v>799680</v>
      </c>
    </row>
    <row r="39" spans="2:12" ht="18.75" customHeight="1" x14ac:dyDescent="0.25">
      <c r="C39" s="321"/>
      <c r="D39" s="322"/>
      <c r="E39" s="309"/>
      <c r="F39" s="323"/>
      <c r="G39" s="323"/>
      <c r="H39" s="323"/>
      <c r="I39" s="324"/>
      <c r="J39" s="324"/>
      <c r="K39" s="325" t="s">
        <v>278</v>
      </c>
      <c r="L39" s="326">
        <f>SUM(L34:L38)</f>
        <v>3126034</v>
      </c>
    </row>
    <row r="40" spans="2:12" x14ac:dyDescent="0.25">
      <c r="C40" s="357"/>
      <c r="D40" s="358"/>
      <c r="E40" s="359"/>
      <c r="F40" s="358"/>
      <c r="G40" s="358"/>
      <c r="H40" s="358"/>
      <c r="I40" s="360"/>
      <c r="J40" s="360"/>
      <c r="K40" s="357"/>
      <c r="L40" s="361"/>
    </row>
    <row r="41" spans="2:12" ht="15.75" customHeight="1" x14ac:dyDescent="0.25">
      <c r="C41" s="362"/>
      <c r="D41" s="847" t="s">
        <v>279</v>
      </c>
      <c r="E41" s="848"/>
      <c r="F41" s="848"/>
      <c r="G41" s="848"/>
      <c r="H41" s="848"/>
      <c r="I41" s="848"/>
      <c r="J41" s="848"/>
      <c r="K41" s="308"/>
      <c r="L41" s="326">
        <f>L18</f>
        <v>22601502</v>
      </c>
    </row>
    <row r="42" spans="2:12" ht="15.75" customHeight="1" x14ac:dyDescent="0.25">
      <c r="C42" s="362"/>
      <c r="D42" s="847" t="s">
        <v>280</v>
      </c>
      <c r="E42" s="848"/>
      <c r="F42" s="848"/>
      <c r="G42" s="848"/>
      <c r="H42" s="848"/>
      <c r="I42" s="848"/>
      <c r="J42" s="848"/>
      <c r="K42" s="308"/>
      <c r="L42" s="326">
        <f>L24+L29+L39</f>
        <v>3448848</v>
      </c>
    </row>
    <row r="43" spans="2:12" ht="9" customHeight="1" x14ac:dyDescent="0.25">
      <c r="C43" s="360"/>
      <c r="D43" s="363"/>
      <c r="E43" s="852"/>
      <c r="F43" s="852"/>
      <c r="G43" s="852"/>
      <c r="H43" s="852"/>
      <c r="I43" s="852"/>
      <c r="J43" s="852"/>
      <c r="K43" s="364"/>
      <c r="L43" s="361"/>
    </row>
    <row r="44" spans="2:12" x14ac:dyDescent="0.25">
      <c r="C44" s="360"/>
      <c r="D44" s="847" t="s">
        <v>281</v>
      </c>
      <c r="E44" s="848"/>
      <c r="F44" s="848"/>
      <c r="G44" s="848"/>
      <c r="H44" s="848"/>
      <c r="I44" s="848"/>
      <c r="J44" s="848"/>
      <c r="K44" s="308"/>
      <c r="L44" s="326">
        <f>+L41+L42</f>
        <v>26050350</v>
      </c>
    </row>
    <row r="45" spans="2:12" ht="7.5" customHeight="1" x14ac:dyDescent="0.25">
      <c r="C45" s="362"/>
      <c r="D45" s="363"/>
      <c r="E45" s="849"/>
      <c r="F45" s="849"/>
      <c r="G45" s="849"/>
      <c r="H45" s="849"/>
      <c r="I45" s="849"/>
      <c r="J45" s="849"/>
      <c r="K45" s="362"/>
      <c r="L45" s="365"/>
    </row>
    <row r="46" spans="2:12" x14ac:dyDescent="0.25">
      <c r="C46" s="357"/>
      <c r="D46" s="847" t="s">
        <v>282</v>
      </c>
      <c r="E46" s="848"/>
      <c r="F46" s="848"/>
      <c r="G46" s="848"/>
      <c r="H46" s="848"/>
      <c r="I46" s="848"/>
      <c r="J46" s="848"/>
      <c r="K46" s="366">
        <f>+'[116]AIU COMP. SOCIAL'!L37</f>
        <v>0.13326834404890256</v>
      </c>
      <c r="L46" s="326">
        <f>ROUND(L44*K46,0)</f>
        <v>3471687</v>
      </c>
    </row>
    <row r="47" spans="2:12" x14ac:dyDescent="0.25">
      <c r="C47" s="357"/>
      <c r="D47" s="367"/>
      <c r="E47" s="357"/>
      <c r="F47" s="367"/>
      <c r="G47" s="367"/>
      <c r="H47" s="367"/>
      <c r="I47" s="367"/>
      <c r="J47" s="367"/>
      <c r="K47" s="368"/>
      <c r="L47" s="369"/>
    </row>
    <row r="48" spans="2:12" ht="21.75" customHeight="1" x14ac:dyDescent="0.25">
      <c r="C48" s="362"/>
      <c r="D48" s="847" t="s">
        <v>283</v>
      </c>
      <c r="E48" s="848"/>
      <c r="F48" s="848"/>
      <c r="G48" s="848"/>
      <c r="H48" s="848"/>
      <c r="I48" s="848"/>
      <c r="J48" s="848"/>
      <c r="K48" s="308"/>
      <c r="L48" s="370">
        <f>ROUND(L44+L46,0)</f>
        <v>29522037</v>
      </c>
    </row>
  </sheetData>
  <mergeCells count="29">
    <mergeCell ref="D3:J7"/>
    <mergeCell ref="K3:L8"/>
    <mergeCell ref="N3:P8"/>
    <mergeCell ref="D8:J8"/>
    <mergeCell ref="C9:D9"/>
    <mergeCell ref="E9:L9"/>
    <mergeCell ref="C11:K11"/>
    <mergeCell ref="C12:D12"/>
    <mergeCell ref="C13:D13"/>
    <mergeCell ref="C20:D20"/>
    <mergeCell ref="C21:D21"/>
    <mergeCell ref="F21:G21"/>
    <mergeCell ref="F23:G23"/>
    <mergeCell ref="F26:G26"/>
    <mergeCell ref="F27:G27"/>
    <mergeCell ref="F28:G28"/>
    <mergeCell ref="C32:D32"/>
    <mergeCell ref="D44:J44"/>
    <mergeCell ref="E45:J45"/>
    <mergeCell ref="D46:J46"/>
    <mergeCell ref="D48:J48"/>
    <mergeCell ref="F34:G34"/>
    <mergeCell ref="F35:G35"/>
    <mergeCell ref="F36:G36"/>
    <mergeCell ref="F38:G38"/>
    <mergeCell ref="D41:J41"/>
    <mergeCell ref="D42:J42"/>
    <mergeCell ref="E43:J43"/>
    <mergeCell ref="F37:G37"/>
  </mergeCells>
  <printOptions horizontalCentered="1"/>
  <pageMargins left="0.51181102362204722" right="0.51181102362204722" top="0.74803149606299213" bottom="0.55118110236220474" header="0.31496062992125984" footer="0.31496062992125984"/>
  <pageSetup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841C-E6BD-443A-9F48-0CEF7BF32E35}">
  <sheetPr>
    <tabColor rgb="FF92D050"/>
  </sheetPr>
  <dimension ref="A1:P41"/>
  <sheetViews>
    <sheetView showGridLines="0" view="pageBreakPreview" topLeftCell="C1" zoomScaleNormal="100" zoomScaleSheetLayoutView="100" workbookViewId="0">
      <selection activeCell="I27" sqref="I27"/>
    </sheetView>
  </sheetViews>
  <sheetFormatPr baseColWidth="10" defaultColWidth="11.44140625" defaultRowHeight="13.2" x14ac:dyDescent="0.3"/>
  <cols>
    <col min="1" max="1" width="7.109375" style="182" bestFit="1" customWidth="1"/>
    <col min="2" max="2" width="5.33203125" style="182" bestFit="1" customWidth="1"/>
    <col min="3" max="3" width="43.6640625" style="183" customWidth="1"/>
    <col min="4" max="4" width="13.5546875" style="183" customWidth="1"/>
    <col min="5" max="5" width="10.109375" style="183" customWidth="1"/>
    <col min="6" max="6" width="10" style="183" customWidth="1"/>
    <col min="7" max="7" width="6.109375" style="183" bestFit="1" customWidth="1"/>
    <col min="8" max="8" width="4.6640625" style="183" customWidth="1"/>
    <col min="9" max="9" width="14.88671875" style="183" bestFit="1" customWidth="1"/>
    <col min="10" max="10" width="12.88671875" style="183" bestFit="1" customWidth="1"/>
    <col min="11" max="11" width="7.6640625" style="183" customWidth="1"/>
    <col min="12" max="12" width="18" style="183" customWidth="1"/>
    <col min="13" max="13" width="8.33203125" style="183" customWidth="1"/>
    <col min="14" max="14" width="16" style="183" customWidth="1"/>
    <col min="15" max="15" width="15.109375" style="183" bestFit="1" customWidth="1"/>
    <col min="16" max="16" width="14.109375" style="183" bestFit="1" customWidth="1"/>
    <col min="17" max="256" width="11.44140625" style="183"/>
    <col min="257" max="257" width="7.109375" style="183" bestFit="1" customWidth="1"/>
    <col min="258" max="258" width="5.33203125" style="183" bestFit="1" customWidth="1"/>
    <col min="259" max="259" width="43.6640625" style="183" customWidth="1"/>
    <col min="260" max="260" width="13.5546875" style="183" customWidth="1"/>
    <col min="261" max="261" width="10.109375" style="183" customWidth="1"/>
    <col min="262" max="262" width="10" style="183" customWidth="1"/>
    <col min="263" max="263" width="6.109375" style="183" bestFit="1" customWidth="1"/>
    <col min="264" max="264" width="4.6640625" style="183" customWidth="1"/>
    <col min="265" max="265" width="14.88671875" style="183" bestFit="1" customWidth="1"/>
    <col min="266" max="266" width="12.88671875" style="183" bestFit="1" customWidth="1"/>
    <col min="267" max="267" width="7.6640625" style="183" customWidth="1"/>
    <col min="268" max="268" width="18" style="183" customWidth="1"/>
    <col min="269" max="269" width="8.33203125" style="183" customWidth="1"/>
    <col min="270" max="270" width="16" style="183" customWidth="1"/>
    <col min="271" max="271" width="15.109375" style="183" bestFit="1" customWidth="1"/>
    <col min="272" max="272" width="14.109375" style="183" bestFit="1" customWidth="1"/>
    <col min="273" max="512" width="11.44140625" style="183"/>
    <col min="513" max="513" width="7.109375" style="183" bestFit="1" customWidth="1"/>
    <col min="514" max="514" width="5.33203125" style="183" bestFit="1" customWidth="1"/>
    <col min="515" max="515" width="43.6640625" style="183" customWidth="1"/>
    <col min="516" max="516" width="13.5546875" style="183" customWidth="1"/>
    <col min="517" max="517" width="10.109375" style="183" customWidth="1"/>
    <col min="518" max="518" width="10" style="183" customWidth="1"/>
    <col min="519" max="519" width="6.109375" style="183" bestFit="1" customWidth="1"/>
    <col min="520" max="520" width="4.6640625" style="183" customWidth="1"/>
    <col min="521" max="521" width="14.88671875" style="183" bestFit="1" customWidth="1"/>
    <col min="522" max="522" width="12.88671875" style="183" bestFit="1" customWidth="1"/>
    <col min="523" max="523" width="7.6640625" style="183" customWidth="1"/>
    <col min="524" max="524" width="18" style="183" customWidth="1"/>
    <col min="525" max="525" width="8.33203125" style="183" customWidth="1"/>
    <col min="526" max="526" width="16" style="183" customWidth="1"/>
    <col min="527" max="527" width="15.109375" style="183" bestFit="1" customWidth="1"/>
    <col min="528" max="528" width="14.109375" style="183" bestFit="1" customWidth="1"/>
    <col min="529" max="768" width="11.44140625" style="183"/>
    <col min="769" max="769" width="7.109375" style="183" bestFit="1" customWidth="1"/>
    <col min="770" max="770" width="5.33203125" style="183" bestFit="1" customWidth="1"/>
    <col min="771" max="771" width="43.6640625" style="183" customWidth="1"/>
    <col min="772" max="772" width="13.5546875" style="183" customWidth="1"/>
    <col min="773" max="773" width="10.109375" style="183" customWidth="1"/>
    <col min="774" max="774" width="10" style="183" customWidth="1"/>
    <col min="775" max="775" width="6.109375" style="183" bestFit="1" customWidth="1"/>
    <col min="776" max="776" width="4.6640625" style="183" customWidth="1"/>
    <col min="777" max="777" width="14.88671875" style="183" bestFit="1" customWidth="1"/>
    <col min="778" max="778" width="12.88671875" style="183" bestFit="1" customWidth="1"/>
    <col min="779" max="779" width="7.6640625" style="183" customWidth="1"/>
    <col min="780" max="780" width="18" style="183" customWidth="1"/>
    <col min="781" max="781" width="8.33203125" style="183" customWidth="1"/>
    <col min="782" max="782" width="16" style="183" customWidth="1"/>
    <col min="783" max="783" width="15.109375" style="183" bestFit="1" customWidth="1"/>
    <col min="784" max="784" width="14.109375" style="183" bestFit="1" customWidth="1"/>
    <col min="785" max="1024" width="11.44140625" style="183"/>
    <col min="1025" max="1025" width="7.109375" style="183" bestFit="1" customWidth="1"/>
    <col min="1026" max="1026" width="5.33203125" style="183" bestFit="1" customWidth="1"/>
    <col min="1027" max="1027" width="43.6640625" style="183" customWidth="1"/>
    <col min="1028" max="1028" width="13.5546875" style="183" customWidth="1"/>
    <col min="1029" max="1029" width="10.109375" style="183" customWidth="1"/>
    <col min="1030" max="1030" width="10" style="183" customWidth="1"/>
    <col min="1031" max="1031" width="6.109375" style="183" bestFit="1" customWidth="1"/>
    <col min="1032" max="1032" width="4.6640625" style="183" customWidth="1"/>
    <col min="1033" max="1033" width="14.88671875" style="183" bestFit="1" customWidth="1"/>
    <col min="1034" max="1034" width="12.88671875" style="183" bestFit="1" customWidth="1"/>
    <col min="1035" max="1035" width="7.6640625" style="183" customWidth="1"/>
    <col min="1036" max="1036" width="18" style="183" customWidth="1"/>
    <col min="1037" max="1037" width="8.33203125" style="183" customWidth="1"/>
    <col min="1038" max="1038" width="16" style="183" customWidth="1"/>
    <col min="1039" max="1039" width="15.109375" style="183" bestFit="1" customWidth="1"/>
    <col min="1040" max="1040" width="14.109375" style="183" bestFit="1" customWidth="1"/>
    <col min="1041" max="1280" width="11.44140625" style="183"/>
    <col min="1281" max="1281" width="7.109375" style="183" bestFit="1" customWidth="1"/>
    <col min="1282" max="1282" width="5.33203125" style="183" bestFit="1" customWidth="1"/>
    <col min="1283" max="1283" width="43.6640625" style="183" customWidth="1"/>
    <col min="1284" max="1284" width="13.5546875" style="183" customWidth="1"/>
    <col min="1285" max="1285" width="10.109375" style="183" customWidth="1"/>
    <col min="1286" max="1286" width="10" style="183" customWidth="1"/>
    <col min="1287" max="1287" width="6.109375" style="183" bestFit="1" customWidth="1"/>
    <col min="1288" max="1288" width="4.6640625" style="183" customWidth="1"/>
    <col min="1289" max="1289" width="14.88671875" style="183" bestFit="1" customWidth="1"/>
    <col min="1290" max="1290" width="12.88671875" style="183" bestFit="1" customWidth="1"/>
    <col min="1291" max="1291" width="7.6640625" style="183" customWidth="1"/>
    <col min="1292" max="1292" width="18" style="183" customWidth="1"/>
    <col min="1293" max="1293" width="8.33203125" style="183" customWidth="1"/>
    <col min="1294" max="1294" width="16" style="183" customWidth="1"/>
    <col min="1295" max="1295" width="15.109375" style="183" bestFit="1" customWidth="1"/>
    <col min="1296" max="1296" width="14.109375" style="183" bestFit="1" customWidth="1"/>
    <col min="1297" max="1536" width="11.44140625" style="183"/>
    <col min="1537" max="1537" width="7.109375" style="183" bestFit="1" customWidth="1"/>
    <col min="1538" max="1538" width="5.33203125" style="183" bestFit="1" customWidth="1"/>
    <col min="1539" max="1539" width="43.6640625" style="183" customWidth="1"/>
    <col min="1540" max="1540" width="13.5546875" style="183" customWidth="1"/>
    <col min="1541" max="1541" width="10.109375" style="183" customWidth="1"/>
    <col min="1542" max="1542" width="10" style="183" customWidth="1"/>
    <col min="1543" max="1543" width="6.109375" style="183" bestFit="1" customWidth="1"/>
    <col min="1544" max="1544" width="4.6640625" style="183" customWidth="1"/>
    <col min="1545" max="1545" width="14.88671875" style="183" bestFit="1" customWidth="1"/>
    <col min="1546" max="1546" width="12.88671875" style="183" bestFit="1" customWidth="1"/>
    <col min="1547" max="1547" width="7.6640625" style="183" customWidth="1"/>
    <col min="1548" max="1548" width="18" style="183" customWidth="1"/>
    <col min="1549" max="1549" width="8.33203125" style="183" customWidth="1"/>
    <col min="1550" max="1550" width="16" style="183" customWidth="1"/>
    <col min="1551" max="1551" width="15.109375" style="183" bestFit="1" customWidth="1"/>
    <col min="1552" max="1552" width="14.109375" style="183" bestFit="1" customWidth="1"/>
    <col min="1553" max="1792" width="11.44140625" style="183"/>
    <col min="1793" max="1793" width="7.109375" style="183" bestFit="1" customWidth="1"/>
    <col min="1794" max="1794" width="5.33203125" style="183" bestFit="1" customWidth="1"/>
    <col min="1795" max="1795" width="43.6640625" style="183" customWidth="1"/>
    <col min="1796" max="1796" width="13.5546875" style="183" customWidth="1"/>
    <col min="1797" max="1797" width="10.109375" style="183" customWidth="1"/>
    <col min="1798" max="1798" width="10" style="183" customWidth="1"/>
    <col min="1799" max="1799" width="6.109375" style="183" bestFit="1" customWidth="1"/>
    <col min="1800" max="1800" width="4.6640625" style="183" customWidth="1"/>
    <col min="1801" max="1801" width="14.88671875" style="183" bestFit="1" customWidth="1"/>
    <col min="1802" max="1802" width="12.88671875" style="183" bestFit="1" customWidth="1"/>
    <col min="1803" max="1803" width="7.6640625" style="183" customWidth="1"/>
    <col min="1804" max="1804" width="18" style="183" customWidth="1"/>
    <col min="1805" max="1805" width="8.33203125" style="183" customWidth="1"/>
    <col min="1806" max="1806" width="16" style="183" customWidth="1"/>
    <col min="1807" max="1807" width="15.109375" style="183" bestFit="1" customWidth="1"/>
    <col min="1808" max="1808" width="14.109375" style="183" bestFit="1" customWidth="1"/>
    <col min="1809" max="2048" width="11.44140625" style="183"/>
    <col min="2049" max="2049" width="7.109375" style="183" bestFit="1" customWidth="1"/>
    <col min="2050" max="2050" width="5.33203125" style="183" bestFit="1" customWidth="1"/>
    <col min="2051" max="2051" width="43.6640625" style="183" customWidth="1"/>
    <col min="2052" max="2052" width="13.5546875" style="183" customWidth="1"/>
    <col min="2053" max="2053" width="10.109375" style="183" customWidth="1"/>
    <col min="2054" max="2054" width="10" style="183" customWidth="1"/>
    <col min="2055" max="2055" width="6.109375" style="183" bestFit="1" customWidth="1"/>
    <col min="2056" max="2056" width="4.6640625" style="183" customWidth="1"/>
    <col min="2057" max="2057" width="14.88671875" style="183" bestFit="1" customWidth="1"/>
    <col min="2058" max="2058" width="12.88671875" style="183" bestFit="1" customWidth="1"/>
    <col min="2059" max="2059" width="7.6640625" style="183" customWidth="1"/>
    <col min="2060" max="2060" width="18" style="183" customWidth="1"/>
    <col min="2061" max="2061" width="8.33203125" style="183" customWidth="1"/>
    <col min="2062" max="2062" width="16" style="183" customWidth="1"/>
    <col min="2063" max="2063" width="15.109375" style="183" bestFit="1" customWidth="1"/>
    <col min="2064" max="2064" width="14.109375" style="183" bestFit="1" customWidth="1"/>
    <col min="2065" max="2304" width="11.44140625" style="183"/>
    <col min="2305" max="2305" width="7.109375" style="183" bestFit="1" customWidth="1"/>
    <col min="2306" max="2306" width="5.33203125" style="183" bestFit="1" customWidth="1"/>
    <col min="2307" max="2307" width="43.6640625" style="183" customWidth="1"/>
    <col min="2308" max="2308" width="13.5546875" style="183" customWidth="1"/>
    <col min="2309" max="2309" width="10.109375" style="183" customWidth="1"/>
    <col min="2310" max="2310" width="10" style="183" customWidth="1"/>
    <col min="2311" max="2311" width="6.109375" style="183" bestFit="1" customWidth="1"/>
    <col min="2312" max="2312" width="4.6640625" style="183" customWidth="1"/>
    <col min="2313" max="2313" width="14.88671875" style="183" bestFit="1" customWidth="1"/>
    <col min="2314" max="2314" width="12.88671875" style="183" bestFit="1" customWidth="1"/>
    <col min="2315" max="2315" width="7.6640625" style="183" customWidth="1"/>
    <col min="2316" max="2316" width="18" style="183" customWidth="1"/>
    <col min="2317" max="2317" width="8.33203125" style="183" customWidth="1"/>
    <col min="2318" max="2318" width="16" style="183" customWidth="1"/>
    <col min="2319" max="2319" width="15.109375" style="183" bestFit="1" customWidth="1"/>
    <col min="2320" max="2320" width="14.109375" style="183" bestFit="1" customWidth="1"/>
    <col min="2321" max="2560" width="11.44140625" style="183"/>
    <col min="2561" max="2561" width="7.109375" style="183" bestFit="1" customWidth="1"/>
    <col min="2562" max="2562" width="5.33203125" style="183" bestFit="1" customWidth="1"/>
    <col min="2563" max="2563" width="43.6640625" style="183" customWidth="1"/>
    <col min="2564" max="2564" width="13.5546875" style="183" customWidth="1"/>
    <col min="2565" max="2565" width="10.109375" style="183" customWidth="1"/>
    <col min="2566" max="2566" width="10" style="183" customWidth="1"/>
    <col min="2567" max="2567" width="6.109375" style="183" bestFit="1" customWidth="1"/>
    <col min="2568" max="2568" width="4.6640625" style="183" customWidth="1"/>
    <col min="2569" max="2569" width="14.88671875" style="183" bestFit="1" customWidth="1"/>
    <col min="2570" max="2570" width="12.88671875" style="183" bestFit="1" customWidth="1"/>
    <col min="2571" max="2571" width="7.6640625" style="183" customWidth="1"/>
    <col min="2572" max="2572" width="18" style="183" customWidth="1"/>
    <col min="2573" max="2573" width="8.33203125" style="183" customWidth="1"/>
    <col min="2574" max="2574" width="16" style="183" customWidth="1"/>
    <col min="2575" max="2575" width="15.109375" style="183" bestFit="1" customWidth="1"/>
    <col min="2576" max="2576" width="14.109375" style="183" bestFit="1" customWidth="1"/>
    <col min="2577" max="2816" width="11.44140625" style="183"/>
    <col min="2817" max="2817" width="7.109375" style="183" bestFit="1" customWidth="1"/>
    <col min="2818" max="2818" width="5.33203125" style="183" bestFit="1" customWidth="1"/>
    <col min="2819" max="2819" width="43.6640625" style="183" customWidth="1"/>
    <col min="2820" max="2820" width="13.5546875" style="183" customWidth="1"/>
    <col min="2821" max="2821" width="10.109375" style="183" customWidth="1"/>
    <col min="2822" max="2822" width="10" style="183" customWidth="1"/>
    <col min="2823" max="2823" width="6.109375" style="183" bestFit="1" customWidth="1"/>
    <col min="2824" max="2824" width="4.6640625" style="183" customWidth="1"/>
    <col min="2825" max="2825" width="14.88671875" style="183" bestFit="1" customWidth="1"/>
    <col min="2826" max="2826" width="12.88671875" style="183" bestFit="1" customWidth="1"/>
    <col min="2827" max="2827" width="7.6640625" style="183" customWidth="1"/>
    <col min="2828" max="2828" width="18" style="183" customWidth="1"/>
    <col min="2829" max="2829" width="8.33203125" style="183" customWidth="1"/>
    <col min="2830" max="2830" width="16" style="183" customWidth="1"/>
    <col min="2831" max="2831" width="15.109375" style="183" bestFit="1" customWidth="1"/>
    <col min="2832" max="2832" width="14.109375" style="183" bestFit="1" customWidth="1"/>
    <col min="2833" max="3072" width="11.44140625" style="183"/>
    <col min="3073" max="3073" width="7.109375" style="183" bestFit="1" customWidth="1"/>
    <col min="3074" max="3074" width="5.33203125" style="183" bestFit="1" customWidth="1"/>
    <col min="3075" max="3075" width="43.6640625" style="183" customWidth="1"/>
    <col min="3076" max="3076" width="13.5546875" style="183" customWidth="1"/>
    <col min="3077" max="3077" width="10.109375" style="183" customWidth="1"/>
    <col min="3078" max="3078" width="10" style="183" customWidth="1"/>
    <col min="3079" max="3079" width="6.109375" style="183" bestFit="1" customWidth="1"/>
    <col min="3080" max="3080" width="4.6640625" style="183" customWidth="1"/>
    <col min="3081" max="3081" width="14.88671875" style="183" bestFit="1" customWidth="1"/>
    <col min="3082" max="3082" width="12.88671875" style="183" bestFit="1" customWidth="1"/>
    <col min="3083" max="3083" width="7.6640625" style="183" customWidth="1"/>
    <col min="3084" max="3084" width="18" style="183" customWidth="1"/>
    <col min="3085" max="3085" width="8.33203125" style="183" customWidth="1"/>
    <col min="3086" max="3086" width="16" style="183" customWidth="1"/>
    <col min="3087" max="3087" width="15.109375" style="183" bestFit="1" customWidth="1"/>
    <col min="3088" max="3088" width="14.109375" style="183" bestFit="1" customWidth="1"/>
    <col min="3089" max="3328" width="11.44140625" style="183"/>
    <col min="3329" max="3329" width="7.109375" style="183" bestFit="1" customWidth="1"/>
    <col min="3330" max="3330" width="5.33203125" style="183" bestFit="1" customWidth="1"/>
    <col min="3331" max="3331" width="43.6640625" style="183" customWidth="1"/>
    <col min="3332" max="3332" width="13.5546875" style="183" customWidth="1"/>
    <col min="3333" max="3333" width="10.109375" style="183" customWidth="1"/>
    <col min="3334" max="3334" width="10" style="183" customWidth="1"/>
    <col min="3335" max="3335" width="6.109375" style="183" bestFit="1" customWidth="1"/>
    <col min="3336" max="3336" width="4.6640625" style="183" customWidth="1"/>
    <col min="3337" max="3337" width="14.88671875" style="183" bestFit="1" customWidth="1"/>
    <col min="3338" max="3338" width="12.88671875" style="183" bestFit="1" customWidth="1"/>
    <col min="3339" max="3339" width="7.6640625" style="183" customWidth="1"/>
    <col min="3340" max="3340" width="18" style="183" customWidth="1"/>
    <col min="3341" max="3341" width="8.33203125" style="183" customWidth="1"/>
    <col min="3342" max="3342" width="16" style="183" customWidth="1"/>
    <col min="3343" max="3343" width="15.109375" style="183" bestFit="1" customWidth="1"/>
    <col min="3344" max="3344" width="14.109375" style="183" bestFit="1" customWidth="1"/>
    <col min="3345" max="3584" width="11.44140625" style="183"/>
    <col min="3585" max="3585" width="7.109375" style="183" bestFit="1" customWidth="1"/>
    <col min="3586" max="3586" width="5.33203125" style="183" bestFit="1" customWidth="1"/>
    <col min="3587" max="3587" width="43.6640625" style="183" customWidth="1"/>
    <col min="3588" max="3588" width="13.5546875" style="183" customWidth="1"/>
    <col min="3589" max="3589" width="10.109375" style="183" customWidth="1"/>
    <col min="3590" max="3590" width="10" style="183" customWidth="1"/>
    <col min="3591" max="3591" width="6.109375" style="183" bestFit="1" customWidth="1"/>
    <col min="3592" max="3592" width="4.6640625" style="183" customWidth="1"/>
    <col min="3593" max="3593" width="14.88671875" style="183" bestFit="1" customWidth="1"/>
    <col min="3594" max="3594" width="12.88671875" style="183" bestFit="1" customWidth="1"/>
    <col min="3595" max="3595" width="7.6640625" style="183" customWidth="1"/>
    <col min="3596" max="3596" width="18" style="183" customWidth="1"/>
    <col min="3597" max="3597" width="8.33203125" style="183" customWidth="1"/>
    <col min="3598" max="3598" width="16" style="183" customWidth="1"/>
    <col min="3599" max="3599" width="15.109375" style="183" bestFit="1" customWidth="1"/>
    <col min="3600" max="3600" width="14.109375" style="183" bestFit="1" customWidth="1"/>
    <col min="3601" max="3840" width="11.44140625" style="183"/>
    <col min="3841" max="3841" width="7.109375" style="183" bestFit="1" customWidth="1"/>
    <col min="3842" max="3842" width="5.33203125" style="183" bestFit="1" customWidth="1"/>
    <col min="3843" max="3843" width="43.6640625" style="183" customWidth="1"/>
    <col min="3844" max="3844" width="13.5546875" style="183" customWidth="1"/>
    <col min="3845" max="3845" width="10.109375" style="183" customWidth="1"/>
    <col min="3846" max="3846" width="10" style="183" customWidth="1"/>
    <col min="3847" max="3847" width="6.109375" style="183" bestFit="1" customWidth="1"/>
    <col min="3848" max="3848" width="4.6640625" style="183" customWidth="1"/>
    <col min="3849" max="3849" width="14.88671875" style="183" bestFit="1" customWidth="1"/>
    <col min="3850" max="3850" width="12.88671875" style="183" bestFit="1" customWidth="1"/>
    <col min="3851" max="3851" width="7.6640625" style="183" customWidth="1"/>
    <col min="3852" max="3852" width="18" style="183" customWidth="1"/>
    <col min="3853" max="3853" width="8.33203125" style="183" customWidth="1"/>
    <col min="3854" max="3854" width="16" style="183" customWidth="1"/>
    <col min="3855" max="3855" width="15.109375" style="183" bestFit="1" customWidth="1"/>
    <col min="3856" max="3856" width="14.109375" style="183" bestFit="1" customWidth="1"/>
    <col min="3857" max="4096" width="11.44140625" style="183"/>
    <col min="4097" max="4097" width="7.109375" style="183" bestFit="1" customWidth="1"/>
    <col min="4098" max="4098" width="5.33203125" style="183" bestFit="1" customWidth="1"/>
    <col min="4099" max="4099" width="43.6640625" style="183" customWidth="1"/>
    <col min="4100" max="4100" width="13.5546875" style="183" customWidth="1"/>
    <col min="4101" max="4101" width="10.109375" style="183" customWidth="1"/>
    <col min="4102" max="4102" width="10" style="183" customWidth="1"/>
    <col min="4103" max="4103" width="6.109375" style="183" bestFit="1" customWidth="1"/>
    <col min="4104" max="4104" width="4.6640625" style="183" customWidth="1"/>
    <col min="4105" max="4105" width="14.88671875" style="183" bestFit="1" customWidth="1"/>
    <col min="4106" max="4106" width="12.88671875" style="183" bestFit="1" customWidth="1"/>
    <col min="4107" max="4107" width="7.6640625" style="183" customWidth="1"/>
    <col min="4108" max="4108" width="18" style="183" customWidth="1"/>
    <col min="4109" max="4109" width="8.33203125" style="183" customWidth="1"/>
    <col min="4110" max="4110" width="16" style="183" customWidth="1"/>
    <col min="4111" max="4111" width="15.109375" style="183" bestFit="1" customWidth="1"/>
    <col min="4112" max="4112" width="14.109375" style="183" bestFit="1" customWidth="1"/>
    <col min="4113" max="4352" width="11.44140625" style="183"/>
    <col min="4353" max="4353" width="7.109375" style="183" bestFit="1" customWidth="1"/>
    <col min="4354" max="4354" width="5.33203125" style="183" bestFit="1" customWidth="1"/>
    <col min="4355" max="4355" width="43.6640625" style="183" customWidth="1"/>
    <col min="4356" max="4356" width="13.5546875" style="183" customWidth="1"/>
    <col min="4357" max="4357" width="10.109375" style="183" customWidth="1"/>
    <col min="4358" max="4358" width="10" style="183" customWidth="1"/>
    <col min="4359" max="4359" width="6.109375" style="183" bestFit="1" customWidth="1"/>
    <col min="4360" max="4360" width="4.6640625" style="183" customWidth="1"/>
    <col min="4361" max="4361" width="14.88671875" style="183" bestFit="1" customWidth="1"/>
    <col min="4362" max="4362" width="12.88671875" style="183" bestFit="1" customWidth="1"/>
    <col min="4363" max="4363" width="7.6640625" style="183" customWidth="1"/>
    <col min="4364" max="4364" width="18" style="183" customWidth="1"/>
    <col min="4365" max="4365" width="8.33203125" style="183" customWidth="1"/>
    <col min="4366" max="4366" width="16" style="183" customWidth="1"/>
    <col min="4367" max="4367" width="15.109375" style="183" bestFit="1" customWidth="1"/>
    <col min="4368" max="4368" width="14.109375" style="183" bestFit="1" customWidth="1"/>
    <col min="4369" max="4608" width="11.44140625" style="183"/>
    <col min="4609" max="4609" width="7.109375" style="183" bestFit="1" customWidth="1"/>
    <col min="4610" max="4610" width="5.33203125" style="183" bestFit="1" customWidth="1"/>
    <col min="4611" max="4611" width="43.6640625" style="183" customWidth="1"/>
    <col min="4612" max="4612" width="13.5546875" style="183" customWidth="1"/>
    <col min="4613" max="4613" width="10.109375" style="183" customWidth="1"/>
    <col min="4614" max="4614" width="10" style="183" customWidth="1"/>
    <col min="4615" max="4615" width="6.109375" style="183" bestFit="1" customWidth="1"/>
    <col min="4616" max="4616" width="4.6640625" style="183" customWidth="1"/>
    <col min="4617" max="4617" width="14.88671875" style="183" bestFit="1" customWidth="1"/>
    <col min="4618" max="4618" width="12.88671875" style="183" bestFit="1" customWidth="1"/>
    <col min="4619" max="4619" width="7.6640625" style="183" customWidth="1"/>
    <col min="4620" max="4620" width="18" style="183" customWidth="1"/>
    <col min="4621" max="4621" width="8.33203125" style="183" customWidth="1"/>
    <col min="4622" max="4622" width="16" style="183" customWidth="1"/>
    <col min="4623" max="4623" width="15.109375" style="183" bestFit="1" customWidth="1"/>
    <col min="4624" max="4624" width="14.109375" style="183" bestFit="1" customWidth="1"/>
    <col min="4625" max="4864" width="11.44140625" style="183"/>
    <col min="4865" max="4865" width="7.109375" style="183" bestFit="1" customWidth="1"/>
    <col min="4866" max="4866" width="5.33203125" style="183" bestFit="1" customWidth="1"/>
    <col min="4867" max="4867" width="43.6640625" style="183" customWidth="1"/>
    <col min="4868" max="4868" width="13.5546875" style="183" customWidth="1"/>
    <col min="4869" max="4869" width="10.109375" style="183" customWidth="1"/>
    <col min="4870" max="4870" width="10" style="183" customWidth="1"/>
    <col min="4871" max="4871" width="6.109375" style="183" bestFit="1" customWidth="1"/>
    <col min="4872" max="4872" width="4.6640625" style="183" customWidth="1"/>
    <col min="4873" max="4873" width="14.88671875" style="183" bestFit="1" customWidth="1"/>
    <col min="4874" max="4874" width="12.88671875" style="183" bestFit="1" customWidth="1"/>
    <col min="4875" max="4875" width="7.6640625" style="183" customWidth="1"/>
    <col min="4876" max="4876" width="18" style="183" customWidth="1"/>
    <col min="4877" max="4877" width="8.33203125" style="183" customWidth="1"/>
    <col min="4878" max="4878" width="16" style="183" customWidth="1"/>
    <col min="4879" max="4879" width="15.109375" style="183" bestFit="1" customWidth="1"/>
    <col min="4880" max="4880" width="14.109375" style="183" bestFit="1" customWidth="1"/>
    <col min="4881" max="5120" width="11.44140625" style="183"/>
    <col min="5121" max="5121" width="7.109375" style="183" bestFit="1" customWidth="1"/>
    <col min="5122" max="5122" width="5.33203125" style="183" bestFit="1" customWidth="1"/>
    <col min="5123" max="5123" width="43.6640625" style="183" customWidth="1"/>
    <col min="5124" max="5124" width="13.5546875" style="183" customWidth="1"/>
    <col min="5125" max="5125" width="10.109375" style="183" customWidth="1"/>
    <col min="5126" max="5126" width="10" style="183" customWidth="1"/>
    <col min="5127" max="5127" width="6.109375" style="183" bestFit="1" customWidth="1"/>
    <col min="5128" max="5128" width="4.6640625" style="183" customWidth="1"/>
    <col min="5129" max="5129" width="14.88671875" style="183" bestFit="1" customWidth="1"/>
    <col min="5130" max="5130" width="12.88671875" style="183" bestFit="1" customWidth="1"/>
    <col min="5131" max="5131" width="7.6640625" style="183" customWidth="1"/>
    <col min="5132" max="5132" width="18" style="183" customWidth="1"/>
    <col min="5133" max="5133" width="8.33203125" style="183" customWidth="1"/>
    <col min="5134" max="5134" width="16" style="183" customWidth="1"/>
    <col min="5135" max="5135" width="15.109375" style="183" bestFit="1" customWidth="1"/>
    <col min="5136" max="5136" width="14.109375" style="183" bestFit="1" customWidth="1"/>
    <col min="5137" max="5376" width="11.44140625" style="183"/>
    <col min="5377" max="5377" width="7.109375" style="183" bestFit="1" customWidth="1"/>
    <col min="5378" max="5378" width="5.33203125" style="183" bestFit="1" customWidth="1"/>
    <col min="5379" max="5379" width="43.6640625" style="183" customWidth="1"/>
    <col min="5380" max="5380" width="13.5546875" style="183" customWidth="1"/>
    <col min="5381" max="5381" width="10.109375" style="183" customWidth="1"/>
    <col min="5382" max="5382" width="10" style="183" customWidth="1"/>
    <col min="5383" max="5383" width="6.109375" style="183" bestFit="1" customWidth="1"/>
    <col min="5384" max="5384" width="4.6640625" style="183" customWidth="1"/>
    <col min="5385" max="5385" width="14.88671875" style="183" bestFit="1" customWidth="1"/>
    <col min="5386" max="5386" width="12.88671875" style="183" bestFit="1" customWidth="1"/>
    <col min="5387" max="5387" width="7.6640625" style="183" customWidth="1"/>
    <col min="5388" max="5388" width="18" style="183" customWidth="1"/>
    <col min="5389" max="5389" width="8.33203125" style="183" customWidth="1"/>
    <col min="5390" max="5390" width="16" style="183" customWidth="1"/>
    <col min="5391" max="5391" width="15.109375" style="183" bestFit="1" customWidth="1"/>
    <col min="5392" max="5392" width="14.109375" style="183" bestFit="1" customWidth="1"/>
    <col min="5393" max="5632" width="11.44140625" style="183"/>
    <col min="5633" max="5633" width="7.109375" style="183" bestFit="1" customWidth="1"/>
    <col min="5634" max="5634" width="5.33203125" style="183" bestFit="1" customWidth="1"/>
    <col min="5635" max="5635" width="43.6640625" style="183" customWidth="1"/>
    <col min="5636" max="5636" width="13.5546875" style="183" customWidth="1"/>
    <col min="5637" max="5637" width="10.109375" style="183" customWidth="1"/>
    <col min="5638" max="5638" width="10" style="183" customWidth="1"/>
    <col min="5639" max="5639" width="6.109375" style="183" bestFit="1" customWidth="1"/>
    <col min="5640" max="5640" width="4.6640625" style="183" customWidth="1"/>
    <col min="5641" max="5641" width="14.88671875" style="183" bestFit="1" customWidth="1"/>
    <col min="5642" max="5642" width="12.88671875" style="183" bestFit="1" customWidth="1"/>
    <col min="5643" max="5643" width="7.6640625" style="183" customWidth="1"/>
    <col min="5644" max="5644" width="18" style="183" customWidth="1"/>
    <col min="5645" max="5645" width="8.33203125" style="183" customWidth="1"/>
    <col min="5646" max="5646" width="16" style="183" customWidth="1"/>
    <col min="5647" max="5647" width="15.109375" style="183" bestFit="1" customWidth="1"/>
    <col min="5648" max="5648" width="14.109375" style="183" bestFit="1" customWidth="1"/>
    <col min="5649" max="5888" width="11.44140625" style="183"/>
    <col min="5889" max="5889" width="7.109375" style="183" bestFit="1" customWidth="1"/>
    <col min="5890" max="5890" width="5.33203125" style="183" bestFit="1" customWidth="1"/>
    <col min="5891" max="5891" width="43.6640625" style="183" customWidth="1"/>
    <col min="5892" max="5892" width="13.5546875" style="183" customWidth="1"/>
    <col min="5893" max="5893" width="10.109375" style="183" customWidth="1"/>
    <col min="5894" max="5894" width="10" style="183" customWidth="1"/>
    <col min="5895" max="5895" width="6.109375" style="183" bestFit="1" customWidth="1"/>
    <col min="5896" max="5896" width="4.6640625" style="183" customWidth="1"/>
    <col min="5897" max="5897" width="14.88671875" style="183" bestFit="1" customWidth="1"/>
    <col min="5898" max="5898" width="12.88671875" style="183" bestFit="1" customWidth="1"/>
    <col min="5899" max="5899" width="7.6640625" style="183" customWidth="1"/>
    <col min="5900" max="5900" width="18" style="183" customWidth="1"/>
    <col min="5901" max="5901" width="8.33203125" style="183" customWidth="1"/>
    <col min="5902" max="5902" width="16" style="183" customWidth="1"/>
    <col min="5903" max="5903" width="15.109375" style="183" bestFit="1" customWidth="1"/>
    <col min="5904" max="5904" width="14.109375" style="183" bestFit="1" customWidth="1"/>
    <col min="5905" max="6144" width="11.44140625" style="183"/>
    <col min="6145" max="6145" width="7.109375" style="183" bestFit="1" customWidth="1"/>
    <col min="6146" max="6146" width="5.33203125" style="183" bestFit="1" customWidth="1"/>
    <col min="6147" max="6147" width="43.6640625" style="183" customWidth="1"/>
    <col min="6148" max="6148" width="13.5546875" style="183" customWidth="1"/>
    <col min="6149" max="6149" width="10.109375" style="183" customWidth="1"/>
    <col min="6150" max="6150" width="10" style="183" customWidth="1"/>
    <col min="6151" max="6151" width="6.109375" style="183" bestFit="1" customWidth="1"/>
    <col min="6152" max="6152" width="4.6640625" style="183" customWidth="1"/>
    <col min="6153" max="6153" width="14.88671875" style="183" bestFit="1" customWidth="1"/>
    <col min="6154" max="6154" width="12.88671875" style="183" bestFit="1" customWidth="1"/>
    <col min="6155" max="6155" width="7.6640625" style="183" customWidth="1"/>
    <col min="6156" max="6156" width="18" style="183" customWidth="1"/>
    <col min="6157" max="6157" width="8.33203125" style="183" customWidth="1"/>
    <col min="6158" max="6158" width="16" style="183" customWidth="1"/>
    <col min="6159" max="6159" width="15.109375" style="183" bestFit="1" customWidth="1"/>
    <col min="6160" max="6160" width="14.109375" style="183" bestFit="1" customWidth="1"/>
    <col min="6161" max="6400" width="11.44140625" style="183"/>
    <col min="6401" max="6401" width="7.109375" style="183" bestFit="1" customWidth="1"/>
    <col min="6402" max="6402" width="5.33203125" style="183" bestFit="1" customWidth="1"/>
    <col min="6403" max="6403" width="43.6640625" style="183" customWidth="1"/>
    <col min="6404" max="6404" width="13.5546875" style="183" customWidth="1"/>
    <col min="6405" max="6405" width="10.109375" style="183" customWidth="1"/>
    <col min="6406" max="6406" width="10" style="183" customWidth="1"/>
    <col min="6407" max="6407" width="6.109375" style="183" bestFit="1" customWidth="1"/>
    <col min="6408" max="6408" width="4.6640625" style="183" customWidth="1"/>
    <col min="6409" max="6409" width="14.88671875" style="183" bestFit="1" customWidth="1"/>
    <col min="6410" max="6410" width="12.88671875" style="183" bestFit="1" customWidth="1"/>
    <col min="6411" max="6411" width="7.6640625" style="183" customWidth="1"/>
    <col min="6412" max="6412" width="18" style="183" customWidth="1"/>
    <col min="6413" max="6413" width="8.33203125" style="183" customWidth="1"/>
    <col min="6414" max="6414" width="16" style="183" customWidth="1"/>
    <col min="6415" max="6415" width="15.109375" style="183" bestFit="1" customWidth="1"/>
    <col min="6416" max="6416" width="14.109375" style="183" bestFit="1" customWidth="1"/>
    <col min="6417" max="6656" width="11.44140625" style="183"/>
    <col min="6657" max="6657" width="7.109375" style="183" bestFit="1" customWidth="1"/>
    <col min="6658" max="6658" width="5.33203125" style="183" bestFit="1" customWidth="1"/>
    <col min="6659" max="6659" width="43.6640625" style="183" customWidth="1"/>
    <col min="6660" max="6660" width="13.5546875" style="183" customWidth="1"/>
    <col min="6661" max="6661" width="10.109375" style="183" customWidth="1"/>
    <col min="6662" max="6662" width="10" style="183" customWidth="1"/>
    <col min="6663" max="6663" width="6.109375" style="183" bestFit="1" customWidth="1"/>
    <col min="6664" max="6664" width="4.6640625" style="183" customWidth="1"/>
    <col min="6665" max="6665" width="14.88671875" style="183" bestFit="1" customWidth="1"/>
    <col min="6666" max="6666" width="12.88671875" style="183" bestFit="1" customWidth="1"/>
    <col min="6667" max="6667" width="7.6640625" style="183" customWidth="1"/>
    <col min="6668" max="6668" width="18" style="183" customWidth="1"/>
    <col min="6669" max="6669" width="8.33203125" style="183" customWidth="1"/>
    <col min="6670" max="6670" width="16" style="183" customWidth="1"/>
    <col min="6671" max="6671" width="15.109375" style="183" bestFit="1" customWidth="1"/>
    <col min="6672" max="6672" width="14.109375" style="183" bestFit="1" customWidth="1"/>
    <col min="6673" max="6912" width="11.44140625" style="183"/>
    <col min="6913" max="6913" width="7.109375" style="183" bestFit="1" customWidth="1"/>
    <col min="6914" max="6914" width="5.33203125" style="183" bestFit="1" customWidth="1"/>
    <col min="6915" max="6915" width="43.6640625" style="183" customWidth="1"/>
    <col min="6916" max="6916" width="13.5546875" style="183" customWidth="1"/>
    <col min="6917" max="6917" width="10.109375" style="183" customWidth="1"/>
    <col min="6918" max="6918" width="10" style="183" customWidth="1"/>
    <col min="6919" max="6919" width="6.109375" style="183" bestFit="1" customWidth="1"/>
    <col min="6920" max="6920" width="4.6640625" style="183" customWidth="1"/>
    <col min="6921" max="6921" width="14.88671875" style="183" bestFit="1" customWidth="1"/>
    <col min="6922" max="6922" width="12.88671875" style="183" bestFit="1" customWidth="1"/>
    <col min="6923" max="6923" width="7.6640625" style="183" customWidth="1"/>
    <col min="6924" max="6924" width="18" style="183" customWidth="1"/>
    <col min="6925" max="6925" width="8.33203125" style="183" customWidth="1"/>
    <col min="6926" max="6926" width="16" style="183" customWidth="1"/>
    <col min="6927" max="6927" width="15.109375" style="183" bestFit="1" customWidth="1"/>
    <col min="6928" max="6928" width="14.109375" style="183" bestFit="1" customWidth="1"/>
    <col min="6929" max="7168" width="11.44140625" style="183"/>
    <col min="7169" max="7169" width="7.109375" style="183" bestFit="1" customWidth="1"/>
    <col min="7170" max="7170" width="5.33203125" style="183" bestFit="1" customWidth="1"/>
    <col min="7171" max="7171" width="43.6640625" style="183" customWidth="1"/>
    <col min="7172" max="7172" width="13.5546875" style="183" customWidth="1"/>
    <col min="7173" max="7173" width="10.109375" style="183" customWidth="1"/>
    <col min="7174" max="7174" width="10" style="183" customWidth="1"/>
    <col min="7175" max="7175" width="6.109375" style="183" bestFit="1" customWidth="1"/>
    <col min="7176" max="7176" width="4.6640625" style="183" customWidth="1"/>
    <col min="7177" max="7177" width="14.88671875" style="183" bestFit="1" customWidth="1"/>
    <col min="7178" max="7178" width="12.88671875" style="183" bestFit="1" customWidth="1"/>
    <col min="7179" max="7179" width="7.6640625" style="183" customWidth="1"/>
    <col min="7180" max="7180" width="18" style="183" customWidth="1"/>
    <col min="7181" max="7181" width="8.33203125" style="183" customWidth="1"/>
    <col min="7182" max="7182" width="16" style="183" customWidth="1"/>
    <col min="7183" max="7183" width="15.109375" style="183" bestFit="1" customWidth="1"/>
    <col min="7184" max="7184" width="14.109375" style="183" bestFit="1" customWidth="1"/>
    <col min="7185" max="7424" width="11.44140625" style="183"/>
    <col min="7425" max="7425" width="7.109375" style="183" bestFit="1" customWidth="1"/>
    <col min="7426" max="7426" width="5.33203125" style="183" bestFit="1" customWidth="1"/>
    <col min="7427" max="7427" width="43.6640625" style="183" customWidth="1"/>
    <col min="7428" max="7428" width="13.5546875" style="183" customWidth="1"/>
    <col min="7429" max="7429" width="10.109375" style="183" customWidth="1"/>
    <col min="7430" max="7430" width="10" style="183" customWidth="1"/>
    <col min="7431" max="7431" width="6.109375" style="183" bestFit="1" customWidth="1"/>
    <col min="7432" max="7432" width="4.6640625" style="183" customWidth="1"/>
    <col min="7433" max="7433" width="14.88671875" style="183" bestFit="1" customWidth="1"/>
    <col min="7434" max="7434" width="12.88671875" style="183" bestFit="1" customWidth="1"/>
    <col min="7435" max="7435" width="7.6640625" style="183" customWidth="1"/>
    <col min="7436" max="7436" width="18" style="183" customWidth="1"/>
    <col min="7437" max="7437" width="8.33203125" style="183" customWidth="1"/>
    <col min="7438" max="7438" width="16" style="183" customWidth="1"/>
    <col min="7439" max="7439" width="15.109375" style="183" bestFit="1" customWidth="1"/>
    <col min="7440" max="7440" width="14.109375" style="183" bestFit="1" customWidth="1"/>
    <col min="7441" max="7680" width="11.44140625" style="183"/>
    <col min="7681" max="7681" width="7.109375" style="183" bestFit="1" customWidth="1"/>
    <col min="7682" max="7682" width="5.33203125" style="183" bestFit="1" customWidth="1"/>
    <col min="7683" max="7683" width="43.6640625" style="183" customWidth="1"/>
    <col min="7684" max="7684" width="13.5546875" style="183" customWidth="1"/>
    <col min="7685" max="7685" width="10.109375" style="183" customWidth="1"/>
    <col min="7686" max="7686" width="10" style="183" customWidth="1"/>
    <col min="7687" max="7687" width="6.109375" style="183" bestFit="1" customWidth="1"/>
    <col min="7688" max="7688" width="4.6640625" style="183" customWidth="1"/>
    <col min="7689" max="7689" width="14.88671875" style="183" bestFit="1" customWidth="1"/>
    <col min="7690" max="7690" width="12.88671875" style="183" bestFit="1" customWidth="1"/>
    <col min="7691" max="7691" width="7.6640625" style="183" customWidth="1"/>
    <col min="7692" max="7692" width="18" style="183" customWidth="1"/>
    <col min="7693" max="7693" width="8.33203125" style="183" customWidth="1"/>
    <col min="7694" max="7694" width="16" style="183" customWidth="1"/>
    <col min="7695" max="7695" width="15.109375" style="183" bestFit="1" customWidth="1"/>
    <col min="7696" max="7696" width="14.109375" style="183" bestFit="1" customWidth="1"/>
    <col min="7697" max="7936" width="11.44140625" style="183"/>
    <col min="7937" max="7937" width="7.109375" style="183" bestFit="1" customWidth="1"/>
    <col min="7938" max="7938" width="5.33203125" style="183" bestFit="1" customWidth="1"/>
    <col min="7939" max="7939" width="43.6640625" style="183" customWidth="1"/>
    <col min="7940" max="7940" width="13.5546875" style="183" customWidth="1"/>
    <col min="7941" max="7941" width="10.109375" style="183" customWidth="1"/>
    <col min="7942" max="7942" width="10" style="183" customWidth="1"/>
    <col min="7943" max="7943" width="6.109375" style="183" bestFit="1" customWidth="1"/>
    <col min="7944" max="7944" width="4.6640625" style="183" customWidth="1"/>
    <col min="7945" max="7945" width="14.88671875" style="183" bestFit="1" customWidth="1"/>
    <col min="7946" max="7946" width="12.88671875" style="183" bestFit="1" customWidth="1"/>
    <col min="7947" max="7947" width="7.6640625" style="183" customWidth="1"/>
    <col min="7948" max="7948" width="18" style="183" customWidth="1"/>
    <col min="7949" max="7949" width="8.33203125" style="183" customWidth="1"/>
    <col min="7950" max="7950" width="16" style="183" customWidth="1"/>
    <col min="7951" max="7951" width="15.109375" style="183" bestFit="1" customWidth="1"/>
    <col min="7952" max="7952" width="14.109375" style="183" bestFit="1" customWidth="1"/>
    <col min="7953" max="8192" width="11.44140625" style="183"/>
    <col min="8193" max="8193" width="7.109375" style="183" bestFit="1" customWidth="1"/>
    <col min="8194" max="8194" width="5.33203125" style="183" bestFit="1" customWidth="1"/>
    <col min="8195" max="8195" width="43.6640625" style="183" customWidth="1"/>
    <col min="8196" max="8196" width="13.5546875" style="183" customWidth="1"/>
    <col min="8197" max="8197" width="10.109375" style="183" customWidth="1"/>
    <col min="8198" max="8198" width="10" style="183" customWidth="1"/>
    <col min="8199" max="8199" width="6.109375" style="183" bestFit="1" customWidth="1"/>
    <col min="8200" max="8200" width="4.6640625" style="183" customWidth="1"/>
    <col min="8201" max="8201" width="14.88671875" style="183" bestFit="1" customWidth="1"/>
    <col min="8202" max="8202" width="12.88671875" style="183" bestFit="1" customWidth="1"/>
    <col min="8203" max="8203" width="7.6640625" style="183" customWidth="1"/>
    <col min="8204" max="8204" width="18" style="183" customWidth="1"/>
    <col min="8205" max="8205" width="8.33203125" style="183" customWidth="1"/>
    <col min="8206" max="8206" width="16" style="183" customWidth="1"/>
    <col min="8207" max="8207" width="15.109375" style="183" bestFit="1" customWidth="1"/>
    <col min="8208" max="8208" width="14.109375" style="183" bestFit="1" customWidth="1"/>
    <col min="8209" max="8448" width="11.44140625" style="183"/>
    <col min="8449" max="8449" width="7.109375" style="183" bestFit="1" customWidth="1"/>
    <col min="8450" max="8450" width="5.33203125" style="183" bestFit="1" customWidth="1"/>
    <col min="8451" max="8451" width="43.6640625" style="183" customWidth="1"/>
    <col min="8452" max="8452" width="13.5546875" style="183" customWidth="1"/>
    <col min="8453" max="8453" width="10.109375" style="183" customWidth="1"/>
    <col min="8454" max="8454" width="10" style="183" customWidth="1"/>
    <col min="8455" max="8455" width="6.109375" style="183" bestFit="1" customWidth="1"/>
    <col min="8456" max="8456" width="4.6640625" style="183" customWidth="1"/>
    <col min="8457" max="8457" width="14.88671875" style="183" bestFit="1" customWidth="1"/>
    <col min="8458" max="8458" width="12.88671875" style="183" bestFit="1" customWidth="1"/>
    <col min="8459" max="8459" width="7.6640625" style="183" customWidth="1"/>
    <col min="8460" max="8460" width="18" style="183" customWidth="1"/>
    <col min="8461" max="8461" width="8.33203125" style="183" customWidth="1"/>
    <col min="8462" max="8462" width="16" style="183" customWidth="1"/>
    <col min="8463" max="8463" width="15.109375" style="183" bestFit="1" customWidth="1"/>
    <col min="8464" max="8464" width="14.109375" style="183" bestFit="1" customWidth="1"/>
    <col min="8465" max="8704" width="11.44140625" style="183"/>
    <col min="8705" max="8705" width="7.109375" style="183" bestFit="1" customWidth="1"/>
    <col min="8706" max="8706" width="5.33203125" style="183" bestFit="1" customWidth="1"/>
    <col min="8707" max="8707" width="43.6640625" style="183" customWidth="1"/>
    <col min="8708" max="8708" width="13.5546875" style="183" customWidth="1"/>
    <col min="8709" max="8709" width="10.109375" style="183" customWidth="1"/>
    <col min="8710" max="8710" width="10" style="183" customWidth="1"/>
    <col min="8711" max="8711" width="6.109375" style="183" bestFit="1" customWidth="1"/>
    <col min="8712" max="8712" width="4.6640625" style="183" customWidth="1"/>
    <col min="8713" max="8713" width="14.88671875" style="183" bestFit="1" customWidth="1"/>
    <col min="8714" max="8714" width="12.88671875" style="183" bestFit="1" customWidth="1"/>
    <col min="8715" max="8715" width="7.6640625" style="183" customWidth="1"/>
    <col min="8716" max="8716" width="18" style="183" customWidth="1"/>
    <col min="8717" max="8717" width="8.33203125" style="183" customWidth="1"/>
    <col min="8718" max="8718" width="16" style="183" customWidth="1"/>
    <col min="8719" max="8719" width="15.109375" style="183" bestFit="1" customWidth="1"/>
    <col min="8720" max="8720" width="14.109375" style="183" bestFit="1" customWidth="1"/>
    <col min="8721" max="8960" width="11.44140625" style="183"/>
    <col min="8961" max="8961" width="7.109375" style="183" bestFit="1" customWidth="1"/>
    <col min="8962" max="8962" width="5.33203125" style="183" bestFit="1" customWidth="1"/>
    <col min="8963" max="8963" width="43.6640625" style="183" customWidth="1"/>
    <col min="8964" max="8964" width="13.5546875" style="183" customWidth="1"/>
    <col min="8965" max="8965" width="10.109375" style="183" customWidth="1"/>
    <col min="8966" max="8966" width="10" style="183" customWidth="1"/>
    <col min="8967" max="8967" width="6.109375" style="183" bestFit="1" customWidth="1"/>
    <col min="8968" max="8968" width="4.6640625" style="183" customWidth="1"/>
    <col min="8969" max="8969" width="14.88671875" style="183" bestFit="1" customWidth="1"/>
    <col min="8970" max="8970" width="12.88671875" style="183" bestFit="1" customWidth="1"/>
    <col min="8971" max="8971" width="7.6640625" style="183" customWidth="1"/>
    <col min="8972" max="8972" width="18" style="183" customWidth="1"/>
    <col min="8973" max="8973" width="8.33203125" style="183" customWidth="1"/>
    <col min="8974" max="8974" width="16" style="183" customWidth="1"/>
    <col min="8975" max="8975" width="15.109375" style="183" bestFit="1" customWidth="1"/>
    <col min="8976" max="8976" width="14.109375" style="183" bestFit="1" customWidth="1"/>
    <col min="8977" max="9216" width="11.44140625" style="183"/>
    <col min="9217" max="9217" width="7.109375" style="183" bestFit="1" customWidth="1"/>
    <col min="9218" max="9218" width="5.33203125" style="183" bestFit="1" customWidth="1"/>
    <col min="9219" max="9219" width="43.6640625" style="183" customWidth="1"/>
    <col min="9220" max="9220" width="13.5546875" style="183" customWidth="1"/>
    <col min="9221" max="9221" width="10.109375" style="183" customWidth="1"/>
    <col min="9222" max="9222" width="10" style="183" customWidth="1"/>
    <col min="9223" max="9223" width="6.109375" style="183" bestFit="1" customWidth="1"/>
    <col min="9224" max="9224" width="4.6640625" style="183" customWidth="1"/>
    <col min="9225" max="9225" width="14.88671875" style="183" bestFit="1" customWidth="1"/>
    <col min="9226" max="9226" width="12.88671875" style="183" bestFit="1" customWidth="1"/>
    <col min="9227" max="9227" width="7.6640625" style="183" customWidth="1"/>
    <col min="9228" max="9228" width="18" style="183" customWidth="1"/>
    <col min="9229" max="9229" width="8.33203125" style="183" customWidth="1"/>
    <col min="9230" max="9230" width="16" style="183" customWidth="1"/>
    <col min="9231" max="9231" width="15.109375" style="183" bestFit="1" customWidth="1"/>
    <col min="9232" max="9232" width="14.109375" style="183" bestFit="1" customWidth="1"/>
    <col min="9233" max="9472" width="11.44140625" style="183"/>
    <col min="9473" max="9473" width="7.109375" style="183" bestFit="1" customWidth="1"/>
    <col min="9474" max="9474" width="5.33203125" style="183" bestFit="1" customWidth="1"/>
    <col min="9475" max="9475" width="43.6640625" style="183" customWidth="1"/>
    <col min="9476" max="9476" width="13.5546875" style="183" customWidth="1"/>
    <col min="9477" max="9477" width="10.109375" style="183" customWidth="1"/>
    <col min="9478" max="9478" width="10" style="183" customWidth="1"/>
    <col min="9479" max="9479" width="6.109375" style="183" bestFit="1" customWidth="1"/>
    <col min="9480" max="9480" width="4.6640625" style="183" customWidth="1"/>
    <col min="9481" max="9481" width="14.88671875" style="183" bestFit="1" customWidth="1"/>
    <col min="9482" max="9482" width="12.88671875" style="183" bestFit="1" customWidth="1"/>
    <col min="9483" max="9483" width="7.6640625" style="183" customWidth="1"/>
    <col min="9484" max="9484" width="18" style="183" customWidth="1"/>
    <col min="9485" max="9485" width="8.33203125" style="183" customWidth="1"/>
    <col min="9486" max="9486" width="16" style="183" customWidth="1"/>
    <col min="9487" max="9487" width="15.109375" style="183" bestFit="1" customWidth="1"/>
    <col min="9488" max="9488" width="14.109375" style="183" bestFit="1" customWidth="1"/>
    <col min="9489" max="9728" width="11.44140625" style="183"/>
    <col min="9729" max="9729" width="7.109375" style="183" bestFit="1" customWidth="1"/>
    <col min="9730" max="9730" width="5.33203125" style="183" bestFit="1" customWidth="1"/>
    <col min="9731" max="9731" width="43.6640625" style="183" customWidth="1"/>
    <col min="9732" max="9732" width="13.5546875" style="183" customWidth="1"/>
    <col min="9733" max="9733" width="10.109375" style="183" customWidth="1"/>
    <col min="9734" max="9734" width="10" style="183" customWidth="1"/>
    <col min="9735" max="9735" width="6.109375" style="183" bestFit="1" customWidth="1"/>
    <col min="9736" max="9736" width="4.6640625" style="183" customWidth="1"/>
    <col min="9737" max="9737" width="14.88671875" style="183" bestFit="1" customWidth="1"/>
    <col min="9738" max="9738" width="12.88671875" style="183" bestFit="1" customWidth="1"/>
    <col min="9739" max="9739" width="7.6640625" style="183" customWidth="1"/>
    <col min="9740" max="9740" width="18" style="183" customWidth="1"/>
    <col min="9741" max="9741" width="8.33203125" style="183" customWidth="1"/>
    <col min="9742" max="9742" width="16" style="183" customWidth="1"/>
    <col min="9743" max="9743" width="15.109375" style="183" bestFit="1" customWidth="1"/>
    <col min="9744" max="9744" width="14.109375" style="183" bestFit="1" customWidth="1"/>
    <col min="9745" max="9984" width="11.44140625" style="183"/>
    <col min="9985" max="9985" width="7.109375" style="183" bestFit="1" customWidth="1"/>
    <col min="9986" max="9986" width="5.33203125" style="183" bestFit="1" customWidth="1"/>
    <col min="9987" max="9987" width="43.6640625" style="183" customWidth="1"/>
    <col min="9988" max="9988" width="13.5546875" style="183" customWidth="1"/>
    <col min="9989" max="9989" width="10.109375" style="183" customWidth="1"/>
    <col min="9990" max="9990" width="10" style="183" customWidth="1"/>
    <col min="9991" max="9991" width="6.109375" style="183" bestFit="1" customWidth="1"/>
    <col min="9992" max="9992" width="4.6640625" style="183" customWidth="1"/>
    <col min="9993" max="9993" width="14.88671875" style="183" bestFit="1" customWidth="1"/>
    <col min="9994" max="9994" width="12.88671875" style="183" bestFit="1" customWidth="1"/>
    <col min="9995" max="9995" width="7.6640625" style="183" customWidth="1"/>
    <col min="9996" max="9996" width="18" style="183" customWidth="1"/>
    <col min="9997" max="9997" width="8.33203125" style="183" customWidth="1"/>
    <col min="9998" max="9998" width="16" style="183" customWidth="1"/>
    <col min="9999" max="9999" width="15.109375" style="183" bestFit="1" customWidth="1"/>
    <col min="10000" max="10000" width="14.109375" style="183" bestFit="1" customWidth="1"/>
    <col min="10001" max="10240" width="11.44140625" style="183"/>
    <col min="10241" max="10241" width="7.109375" style="183" bestFit="1" customWidth="1"/>
    <col min="10242" max="10242" width="5.33203125" style="183" bestFit="1" customWidth="1"/>
    <col min="10243" max="10243" width="43.6640625" style="183" customWidth="1"/>
    <col min="10244" max="10244" width="13.5546875" style="183" customWidth="1"/>
    <col min="10245" max="10245" width="10.109375" style="183" customWidth="1"/>
    <col min="10246" max="10246" width="10" style="183" customWidth="1"/>
    <col min="10247" max="10247" width="6.109375" style="183" bestFit="1" customWidth="1"/>
    <col min="10248" max="10248" width="4.6640625" style="183" customWidth="1"/>
    <col min="10249" max="10249" width="14.88671875" style="183" bestFit="1" customWidth="1"/>
    <col min="10250" max="10250" width="12.88671875" style="183" bestFit="1" customWidth="1"/>
    <col min="10251" max="10251" width="7.6640625" style="183" customWidth="1"/>
    <col min="10252" max="10252" width="18" style="183" customWidth="1"/>
    <col min="10253" max="10253" width="8.33203125" style="183" customWidth="1"/>
    <col min="10254" max="10254" width="16" style="183" customWidth="1"/>
    <col min="10255" max="10255" width="15.109375" style="183" bestFit="1" customWidth="1"/>
    <col min="10256" max="10256" width="14.109375" style="183" bestFit="1" customWidth="1"/>
    <col min="10257" max="10496" width="11.44140625" style="183"/>
    <col min="10497" max="10497" width="7.109375" style="183" bestFit="1" customWidth="1"/>
    <col min="10498" max="10498" width="5.33203125" style="183" bestFit="1" customWidth="1"/>
    <col min="10499" max="10499" width="43.6640625" style="183" customWidth="1"/>
    <col min="10500" max="10500" width="13.5546875" style="183" customWidth="1"/>
    <col min="10501" max="10501" width="10.109375" style="183" customWidth="1"/>
    <col min="10502" max="10502" width="10" style="183" customWidth="1"/>
    <col min="10503" max="10503" width="6.109375" style="183" bestFit="1" customWidth="1"/>
    <col min="10504" max="10504" width="4.6640625" style="183" customWidth="1"/>
    <col min="10505" max="10505" width="14.88671875" style="183" bestFit="1" customWidth="1"/>
    <col min="10506" max="10506" width="12.88671875" style="183" bestFit="1" customWidth="1"/>
    <col min="10507" max="10507" width="7.6640625" style="183" customWidth="1"/>
    <col min="10508" max="10508" width="18" style="183" customWidth="1"/>
    <col min="10509" max="10509" width="8.33203125" style="183" customWidth="1"/>
    <col min="10510" max="10510" width="16" style="183" customWidth="1"/>
    <col min="10511" max="10511" width="15.109375" style="183" bestFit="1" customWidth="1"/>
    <col min="10512" max="10512" width="14.109375" style="183" bestFit="1" customWidth="1"/>
    <col min="10513" max="10752" width="11.44140625" style="183"/>
    <col min="10753" max="10753" width="7.109375" style="183" bestFit="1" customWidth="1"/>
    <col min="10754" max="10754" width="5.33203125" style="183" bestFit="1" customWidth="1"/>
    <col min="10755" max="10755" width="43.6640625" style="183" customWidth="1"/>
    <col min="10756" max="10756" width="13.5546875" style="183" customWidth="1"/>
    <col min="10757" max="10757" width="10.109375" style="183" customWidth="1"/>
    <col min="10758" max="10758" width="10" style="183" customWidth="1"/>
    <col min="10759" max="10759" width="6.109375" style="183" bestFit="1" customWidth="1"/>
    <col min="10760" max="10760" width="4.6640625" style="183" customWidth="1"/>
    <col min="10761" max="10761" width="14.88671875" style="183" bestFit="1" customWidth="1"/>
    <col min="10762" max="10762" width="12.88671875" style="183" bestFit="1" customWidth="1"/>
    <col min="10763" max="10763" width="7.6640625" style="183" customWidth="1"/>
    <col min="10764" max="10764" width="18" style="183" customWidth="1"/>
    <col min="10765" max="10765" width="8.33203125" style="183" customWidth="1"/>
    <col min="10766" max="10766" width="16" style="183" customWidth="1"/>
    <col min="10767" max="10767" width="15.109375" style="183" bestFit="1" customWidth="1"/>
    <col min="10768" max="10768" width="14.109375" style="183" bestFit="1" customWidth="1"/>
    <col min="10769" max="11008" width="11.44140625" style="183"/>
    <col min="11009" max="11009" width="7.109375" style="183" bestFit="1" customWidth="1"/>
    <col min="11010" max="11010" width="5.33203125" style="183" bestFit="1" customWidth="1"/>
    <col min="11011" max="11011" width="43.6640625" style="183" customWidth="1"/>
    <col min="11012" max="11012" width="13.5546875" style="183" customWidth="1"/>
    <col min="11013" max="11013" width="10.109375" style="183" customWidth="1"/>
    <col min="11014" max="11014" width="10" style="183" customWidth="1"/>
    <col min="11015" max="11015" width="6.109375" style="183" bestFit="1" customWidth="1"/>
    <col min="11016" max="11016" width="4.6640625" style="183" customWidth="1"/>
    <col min="11017" max="11017" width="14.88671875" style="183" bestFit="1" customWidth="1"/>
    <col min="11018" max="11018" width="12.88671875" style="183" bestFit="1" customWidth="1"/>
    <col min="11019" max="11019" width="7.6640625" style="183" customWidth="1"/>
    <col min="11020" max="11020" width="18" style="183" customWidth="1"/>
    <col min="11021" max="11021" width="8.33203125" style="183" customWidth="1"/>
    <col min="11022" max="11022" width="16" style="183" customWidth="1"/>
    <col min="11023" max="11023" width="15.109375" style="183" bestFit="1" customWidth="1"/>
    <col min="11024" max="11024" width="14.109375" style="183" bestFit="1" customWidth="1"/>
    <col min="11025" max="11264" width="11.44140625" style="183"/>
    <col min="11265" max="11265" width="7.109375" style="183" bestFit="1" customWidth="1"/>
    <col min="11266" max="11266" width="5.33203125" style="183" bestFit="1" customWidth="1"/>
    <col min="11267" max="11267" width="43.6640625" style="183" customWidth="1"/>
    <col min="11268" max="11268" width="13.5546875" style="183" customWidth="1"/>
    <col min="11269" max="11269" width="10.109375" style="183" customWidth="1"/>
    <col min="11270" max="11270" width="10" style="183" customWidth="1"/>
    <col min="11271" max="11271" width="6.109375" style="183" bestFit="1" customWidth="1"/>
    <col min="11272" max="11272" width="4.6640625" style="183" customWidth="1"/>
    <col min="11273" max="11273" width="14.88671875" style="183" bestFit="1" customWidth="1"/>
    <col min="11274" max="11274" width="12.88671875" style="183" bestFit="1" customWidth="1"/>
    <col min="11275" max="11275" width="7.6640625" style="183" customWidth="1"/>
    <col min="11276" max="11276" width="18" style="183" customWidth="1"/>
    <col min="11277" max="11277" width="8.33203125" style="183" customWidth="1"/>
    <col min="11278" max="11278" width="16" style="183" customWidth="1"/>
    <col min="11279" max="11279" width="15.109375" style="183" bestFit="1" customWidth="1"/>
    <col min="11280" max="11280" width="14.109375" style="183" bestFit="1" customWidth="1"/>
    <col min="11281" max="11520" width="11.44140625" style="183"/>
    <col min="11521" max="11521" width="7.109375" style="183" bestFit="1" customWidth="1"/>
    <col min="11522" max="11522" width="5.33203125" style="183" bestFit="1" customWidth="1"/>
    <col min="11523" max="11523" width="43.6640625" style="183" customWidth="1"/>
    <col min="11524" max="11524" width="13.5546875" style="183" customWidth="1"/>
    <col min="11525" max="11525" width="10.109375" style="183" customWidth="1"/>
    <col min="11526" max="11526" width="10" style="183" customWidth="1"/>
    <col min="11527" max="11527" width="6.109375" style="183" bestFit="1" customWidth="1"/>
    <col min="11528" max="11528" width="4.6640625" style="183" customWidth="1"/>
    <col min="11529" max="11529" width="14.88671875" style="183" bestFit="1" customWidth="1"/>
    <col min="11530" max="11530" width="12.88671875" style="183" bestFit="1" customWidth="1"/>
    <col min="11531" max="11531" width="7.6640625" style="183" customWidth="1"/>
    <col min="11532" max="11532" width="18" style="183" customWidth="1"/>
    <col min="11533" max="11533" width="8.33203125" style="183" customWidth="1"/>
    <col min="11534" max="11534" width="16" style="183" customWidth="1"/>
    <col min="11535" max="11535" width="15.109375" style="183" bestFit="1" customWidth="1"/>
    <col min="11536" max="11536" width="14.109375" style="183" bestFit="1" customWidth="1"/>
    <col min="11537" max="11776" width="11.44140625" style="183"/>
    <col min="11777" max="11777" width="7.109375" style="183" bestFit="1" customWidth="1"/>
    <col min="11778" max="11778" width="5.33203125" style="183" bestFit="1" customWidth="1"/>
    <col min="11779" max="11779" width="43.6640625" style="183" customWidth="1"/>
    <col min="11780" max="11780" width="13.5546875" style="183" customWidth="1"/>
    <col min="11781" max="11781" width="10.109375" style="183" customWidth="1"/>
    <col min="11782" max="11782" width="10" style="183" customWidth="1"/>
    <col min="11783" max="11783" width="6.109375" style="183" bestFit="1" customWidth="1"/>
    <col min="11784" max="11784" width="4.6640625" style="183" customWidth="1"/>
    <col min="11785" max="11785" width="14.88671875" style="183" bestFit="1" customWidth="1"/>
    <col min="11786" max="11786" width="12.88671875" style="183" bestFit="1" customWidth="1"/>
    <col min="11787" max="11787" width="7.6640625" style="183" customWidth="1"/>
    <col min="11788" max="11788" width="18" style="183" customWidth="1"/>
    <col min="11789" max="11789" width="8.33203125" style="183" customWidth="1"/>
    <col min="11790" max="11790" width="16" style="183" customWidth="1"/>
    <col min="11791" max="11791" width="15.109375" style="183" bestFit="1" customWidth="1"/>
    <col min="11792" max="11792" width="14.109375" style="183" bestFit="1" customWidth="1"/>
    <col min="11793" max="12032" width="11.44140625" style="183"/>
    <col min="12033" max="12033" width="7.109375" style="183" bestFit="1" customWidth="1"/>
    <col min="12034" max="12034" width="5.33203125" style="183" bestFit="1" customWidth="1"/>
    <col min="12035" max="12035" width="43.6640625" style="183" customWidth="1"/>
    <col min="12036" max="12036" width="13.5546875" style="183" customWidth="1"/>
    <col min="12037" max="12037" width="10.109375" style="183" customWidth="1"/>
    <col min="12038" max="12038" width="10" style="183" customWidth="1"/>
    <col min="12039" max="12039" width="6.109375" style="183" bestFit="1" customWidth="1"/>
    <col min="12040" max="12040" width="4.6640625" style="183" customWidth="1"/>
    <col min="12041" max="12041" width="14.88671875" style="183" bestFit="1" customWidth="1"/>
    <col min="12042" max="12042" width="12.88671875" style="183" bestFit="1" customWidth="1"/>
    <col min="12043" max="12043" width="7.6640625" style="183" customWidth="1"/>
    <col min="12044" max="12044" width="18" style="183" customWidth="1"/>
    <col min="12045" max="12045" width="8.33203125" style="183" customWidth="1"/>
    <col min="12046" max="12046" width="16" style="183" customWidth="1"/>
    <col min="12047" max="12047" width="15.109375" style="183" bestFit="1" customWidth="1"/>
    <col min="12048" max="12048" width="14.109375" style="183" bestFit="1" customWidth="1"/>
    <col min="12049" max="12288" width="11.44140625" style="183"/>
    <col min="12289" max="12289" width="7.109375" style="183" bestFit="1" customWidth="1"/>
    <col min="12290" max="12290" width="5.33203125" style="183" bestFit="1" customWidth="1"/>
    <col min="12291" max="12291" width="43.6640625" style="183" customWidth="1"/>
    <col min="12292" max="12292" width="13.5546875" style="183" customWidth="1"/>
    <col min="12293" max="12293" width="10.109375" style="183" customWidth="1"/>
    <col min="12294" max="12294" width="10" style="183" customWidth="1"/>
    <col min="12295" max="12295" width="6.109375" style="183" bestFit="1" customWidth="1"/>
    <col min="12296" max="12296" width="4.6640625" style="183" customWidth="1"/>
    <col min="12297" max="12297" width="14.88671875" style="183" bestFit="1" customWidth="1"/>
    <col min="12298" max="12298" width="12.88671875" style="183" bestFit="1" customWidth="1"/>
    <col min="12299" max="12299" width="7.6640625" style="183" customWidth="1"/>
    <col min="12300" max="12300" width="18" style="183" customWidth="1"/>
    <col min="12301" max="12301" width="8.33203125" style="183" customWidth="1"/>
    <col min="12302" max="12302" width="16" style="183" customWidth="1"/>
    <col min="12303" max="12303" width="15.109375" style="183" bestFit="1" customWidth="1"/>
    <col min="12304" max="12304" width="14.109375" style="183" bestFit="1" customWidth="1"/>
    <col min="12305" max="12544" width="11.44140625" style="183"/>
    <col min="12545" max="12545" width="7.109375" style="183" bestFit="1" customWidth="1"/>
    <col min="12546" max="12546" width="5.33203125" style="183" bestFit="1" customWidth="1"/>
    <col min="12547" max="12547" width="43.6640625" style="183" customWidth="1"/>
    <col min="12548" max="12548" width="13.5546875" style="183" customWidth="1"/>
    <col min="12549" max="12549" width="10.109375" style="183" customWidth="1"/>
    <col min="12550" max="12550" width="10" style="183" customWidth="1"/>
    <col min="12551" max="12551" width="6.109375" style="183" bestFit="1" customWidth="1"/>
    <col min="12552" max="12552" width="4.6640625" style="183" customWidth="1"/>
    <col min="12553" max="12553" width="14.88671875" style="183" bestFit="1" customWidth="1"/>
    <col min="12554" max="12554" width="12.88671875" style="183" bestFit="1" customWidth="1"/>
    <col min="12555" max="12555" width="7.6640625" style="183" customWidth="1"/>
    <col min="12556" max="12556" width="18" style="183" customWidth="1"/>
    <col min="12557" max="12557" width="8.33203125" style="183" customWidth="1"/>
    <col min="12558" max="12558" width="16" style="183" customWidth="1"/>
    <col min="12559" max="12559" width="15.109375" style="183" bestFit="1" customWidth="1"/>
    <col min="12560" max="12560" width="14.109375" style="183" bestFit="1" customWidth="1"/>
    <col min="12561" max="12800" width="11.44140625" style="183"/>
    <col min="12801" max="12801" width="7.109375" style="183" bestFit="1" customWidth="1"/>
    <col min="12802" max="12802" width="5.33203125" style="183" bestFit="1" customWidth="1"/>
    <col min="12803" max="12803" width="43.6640625" style="183" customWidth="1"/>
    <col min="12804" max="12804" width="13.5546875" style="183" customWidth="1"/>
    <col min="12805" max="12805" width="10.109375" style="183" customWidth="1"/>
    <col min="12806" max="12806" width="10" style="183" customWidth="1"/>
    <col min="12807" max="12807" width="6.109375" style="183" bestFit="1" customWidth="1"/>
    <col min="12808" max="12808" width="4.6640625" style="183" customWidth="1"/>
    <col min="12809" max="12809" width="14.88671875" style="183" bestFit="1" customWidth="1"/>
    <col min="12810" max="12810" width="12.88671875" style="183" bestFit="1" customWidth="1"/>
    <col min="12811" max="12811" width="7.6640625" style="183" customWidth="1"/>
    <col min="12812" max="12812" width="18" style="183" customWidth="1"/>
    <col min="12813" max="12813" width="8.33203125" style="183" customWidth="1"/>
    <col min="12814" max="12814" width="16" style="183" customWidth="1"/>
    <col min="12815" max="12815" width="15.109375" style="183" bestFit="1" customWidth="1"/>
    <col min="12816" max="12816" width="14.109375" style="183" bestFit="1" customWidth="1"/>
    <col min="12817" max="13056" width="11.44140625" style="183"/>
    <col min="13057" max="13057" width="7.109375" style="183" bestFit="1" customWidth="1"/>
    <col min="13058" max="13058" width="5.33203125" style="183" bestFit="1" customWidth="1"/>
    <col min="13059" max="13059" width="43.6640625" style="183" customWidth="1"/>
    <col min="13060" max="13060" width="13.5546875" style="183" customWidth="1"/>
    <col min="13061" max="13061" width="10.109375" style="183" customWidth="1"/>
    <col min="13062" max="13062" width="10" style="183" customWidth="1"/>
    <col min="13063" max="13063" width="6.109375" style="183" bestFit="1" customWidth="1"/>
    <col min="13064" max="13064" width="4.6640625" style="183" customWidth="1"/>
    <col min="13065" max="13065" width="14.88671875" style="183" bestFit="1" customWidth="1"/>
    <col min="13066" max="13066" width="12.88671875" style="183" bestFit="1" customWidth="1"/>
    <col min="13067" max="13067" width="7.6640625" style="183" customWidth="1"/>
    <col min="13068" max="13068" width="18" style="183" customWidth="1"/>
    <col min="13069" max="13069" width="8.33203125" style="183" customWidth="1"/>
    <col min="13070" max="13070" width="16" style="183" customWidth="1"/>
    <col min="13071" max="13071" width="15.109375" style="183" bestFit="1" customWidth="1"/>
    <col min="13072" max="13072" width="14.109375" style="183" bestFit="1" customWidth="1"/>
    <col min="13073" max="13312" width="11.44140625" style="183"/>
    <col min="13313" max="13313" width="7.109375" style="183" bestFit="1" customWidth="1"/>
    <col min="13314" max="13314" width="5.33203125" style="183" bestFit="1" customWidth="1"/>
    <col min="13315" max="13315" width="43.6640625" style="183" customWidth="1"/>
    <col min="13316" max="13316" width="13.5546875" style="183" customWidth="1"/>
    <col min="13317" max="13317" width="10.109375" style="183" customWidth="1"/>
    <col min="13318" max="13318" width="10" style="183" customWidth="1"/>
    <col min="13319" max="13319" width="6.109375" style="183" bestFit="1" customWidth="1"/>
    <col min="13320" max="13320" width="4.6640625" style="183" customWidth="1"/>
    <col min="13321" max="13321" width="14.88671875" style="183" bestFit="1" customWidth="1"/>
    <col min="13322" max="13322" width="12.88671875" style="183" bestFit="1" customWidth="1"/>
    <col min="13323" max="13323" width="7.6640625" style="183" customWidth="1"/>
    <col min="13324" max="13324" width="18" style="183" customWidth="1"/>
    <col min="13325" max="13325" width="8.33203125" style="183" customWidth="1"/>
    <col min="13326" max="13326" width="16" style="183" customWidth="1"/>
    <col min="13327" max="13327" width="15.109375" style="183" bestFit="1" customWidth="1"/>
    <col min="13328" max="13328" width="14.109375" style="183" bestFit="1" customWidth="1"/>
    <col min="13329" max="13568" width="11.44140625" style="183"/>
    <col min="13569" max="13569" width="7.109375" style="183" bestFit="1" customWidth="1"/>
    <col min="13570" max="13570" width="5.33203125" style="183" bestFit="1" customWidth="1"/>
    <col min="13571" max="13571" width="43.6640625" style="183" customWidth="1"/>
    <col min="13572" max="13572" width="13.5546875" style="183" customWidth="1"/>
    <col min="13573" max="13573" width="10.109375" style="183" customWidth="1"/>
    <col min="13574" max="13574" width="10" style="183" customWidth="1"/>
    <col min="13575" max="13575" width="6.109375" style="183" bestFit="1" customWidth="1"/>
    <col min="13576" max="13576" width="4.6640625" style="183" customWidth="1"/>
    <col min="13577" max="13577" width="14.88671875" style="183" bestFit="1" customWidth="1"/>
    <col min="13578" max="13578" width="12.88671875" style="183" bestFit="1" customWidth="1"/>
    <col min="13579" max="13579" width="7.6640625" style="183" customWidth="1"/>
    <col min="13580" max="13580" width="18" style="183" customWidth="1"/>
    <col min="13581" max="13581" width="8.33203125" style="183" customWidth="1"/>
    <col min="13582" max="13582" width="16" style="183" customWidth="1"/>
    <col min="13583" max="13583" width="15.109375" style="183" bestFit="1" customWidth="1"/>
    <col min="13584" max="13584" width="14.109375" style="183" bestFit="1" customWidth="1"/>
    <col min="13585" max="13824" width="11.44140625" style="183"/>
    <col min="13825" max="13825" width="7.109375" style="183" bestFit="1" customWidth="1"/>
    <col min="13826" max="13826" width="5.33203125" style="183" bestFit="1" customWidth="1"/>
    <col min="13827" max="13827" width="43.6640625" style="183" customWidth="1"/>
    <col min="13828" max="13828" width="13.5546875" style="183" customWidth="1"/>
    <col min="13829" max="13829" width="10.109375" style="183" customWidth="1"/>
    <col min="13830" max="13830" width="10" style="183" customWidth="1"/>
    <col min="13831" max="13831" width="6.109375" style="183" bestFit="1" customWidth="1"/>
    <col min="13832" max="13832" width="4.6640625" style="183" customWidth="1"/>
    <col min="13833" max="13833" width="14.88671875" style="183" bestFit="1" customWidth="1"/>
    <col min="13834" max="13834" width="12.88671875" style="183" bestFit="1" customWidth="1"/>
    <col min="13835" max="13835" width="7.6640625" style="183" customWidth="1"/>
    <col min="13836" max="13836" width="18" style="183" customWidth="1"/>
    <col min="13837" max="13837" width="8.33203125" style="183" customWidth="1"/>
    <col min="13838" max="13838" width="16" style="183" customWidth="1"/>
    <col min="13839" max="13839" width="15.109375" style="183" bestFit="1" customWidth="1"/>
    <col min="13840" max="13840" width="14.109375" style="183" bestFit="1" customWidth="1"/>
    <col min="13841" max="14080" width="11.44140625" style="183"/>
    <col min="14081" max="14081" width="7.109375" style="183" bestFit="1" customWidth="1"/>
    <col min="14082" max="14082" width="5.33203125" style="183" bestFit="1" customWidth="1"/>
    <col min="14083" max="14083" width="43.6640625" style="183" customWidth="1"/>
    <col min="14084" max="14084" width="13.5546875" style="183" customWidth="1"/>
    <col min="14085" max="14085" width="10.109375" style="183" customWidth="1"/>
    <col min="14086" max="14086" width="10" style="183" customWidth="1"/>
    <col min="14087" max="14087" width="6.109375" style="183" bestFit="1" customWidth="1"/>
    <col min="14088" max="14088" width="4.6640625" style="183" customWidth="1"/>
    <col min="14089" max="14089" width="14.88671875" style="183" bestFit="1" customWidth="1"/>
    <col min="14090" max="14090" width="12.88671875" style="183" bestFit="1" customWidth="1"/>
    <col min="14091" max="14091" width="7.6640625" style="183" customWidth="1"/>
    <col min="14092" max="14092" width="18" style="183" customWidth="1"/>
    <col min="14093" max="14093" width="8.33203125" style="183" customWidth="1"/>
    <col min="14094" max="14094" width="16" style="183" customWidth="1"/>
    <col min="14095" max="14095" width="15.109375" style="183" bestFit="1" customWidth="1"/>
    <col min="14096" max="14096" width="14.109375" style="183" bestFit="1" customWidth="1"/>
    <col min="14097" max="14336" width="11.44140625" style="183"/>
    <col min="14337" max="14337" width="7.109375" style="183" bestFit="1" customWidth="1"/>
    <col min="14338" max="14338" width="5.33203125" style="183" bestFit="1" customWidth="1"/>
    <col min="14339" max="14339" width="43.6640625" style="183" customWidth="1"/>
    <col min="14340" max="14340" width="13.5546875" style="183" customWidth="1"/>
    <col min="14341" max="14341" width="10.109375" style="183" customWidth="1"/>
    <col min="14342" max="14342" width="10" style="183" customWidth="1"/>
    <col min="14343" max="14343" width="6.109375" style="183" bestFit="1" customWidth="1"/>
    <col min="14344" max="14344" width="4.6640625" style="183" customWidth="1"/>
    <col min="14345" max="14345" width="14.88671875" style="183" bestFit="1" customWidth="1"/>
    <col min="14346" max="14346" width="12.88671875" style="183" bestFit="1" customWidth="1"/>
    <col min="14347" max="14347" width="7.6640625" style="183" customWidth="1"/>
    <col min="14348" max="14348" width="18" style="183" customWidth="1"/>
    <col min="14349" max="14349" width="8.33203125" style="183" customWidth="1"/>
    <col min="14350" max="14350" width="16" style="183" customWidth="1"/>
    <col min="14351" max="14351" width="15.109375" style="183" bestFit="1" customWidth="1"/>
    <col min="14352" max="14352" width="14.109375" style="183" bestFit="1" customWidth="1"/>
    <col min="14353" max="14592" width="11.44140625" style="183"/>
    <col min="14593" max="14593" width="7.109375" style="183" bestFit="1" customWidth="1"/>
    <col min="14594" max="14594" width="5.33203125" style="183" bestFit="1" customWidth="1"/>
    <col min="14595" max="14595" width="43.6640625" style="183" customWidth="1"/>
    <col min="14596" max="14596" width="13.5546875" style="183" customWidth="1"/>
    <col min="14597" max="14597" width="10.109375" style="183" customWidth="1"/>
    <col min="14598" max="14598" width="10" style="183" customWidth="1"/>
    <col min="14599" max="14599" width="6.109375" style="183" bestFit="1" customWidth="1"/>
    <col min="14600" max="14600" width="4.6640625" style="183" customWidth="1"/>
    <col min="14601" max="14601" width="14.88671875" style="183" bestFit="1" customWidth="1"/>
    <col min="14602" max="14602" width="12.88671875" style="183" bestFit="1" customWidth="1"/>
    <col min="14603" max="14603" width="7.6640625" style="183" customWidth="1"/>
    <col min="14604" max="14604" width="18" style="183" customWidth="1"/>
    <col min="14605" max="14605" width="8.33203125" style="183" customWidth="1"/>
    <col min="14606" max="14606" width="16" style="183" customWidth="1"/>
    <col min="14607" max="14607" width="15.109375" style="183" bestFit="1" customWidth="1"/>
    <col min="14608" max="14608" width="14.109375" style="183" bestFit="1" customWidth="1"/>
    <col min="14609" max="14848" width="11.44140625" style="183"/>
    <col min="14849" max="14849" width="7.109375" style="183" bestFit="1" customWidth="1"/>
    <col min="14850" max="14850" width="5.33203125" style="183" bestFit="1" customWidth="1"/>
    <col min="14851" max="14851" width="43.6640625" style="183" customWidth="1"/>
    <col min="14852" max="14852" width="13.5546875" style="183" customWidth="1"/>
    <col min="14853" max="14853" width="10.109375" style="183" customWidth="1"/>
    <col min="14854" max="14854" width="10" style="183" customWidth="1"/>
    <col min="14855" max="14855" width="6.109375" style="183" bestFit="1" customWidth="1"/>
    <col min="14856" max="14856" width="4.6640625" style="183" customWidth="1"/>
    <col min="14857" max="14857" width="14.88671875" style="183" bestFit="1" customWidth="1"/>
    <col min="14858" max="14858" width="12.88671875" style="183" bestFit="1" customWidth="1"/>
    <col min="14859" max="14859" width="7.6640625" style="183" customWidth="1"/>
    <col min="14860" max="14860" width="18" style="183" customWidth="1"/>
    <col min="14861" max="14861" width="8.33203125" style="183" customWidth="1"/>
    <col min="14862" max="14862" width="16" style="183" customWidth="1"/>
    <col min="14863" max="14863" width="15.109375" style="183" bestFit="1" customWidth="1"/>
    <col min="14864" max="14864" width="14.109375" style="183" bestFit="1" customWidth="1"/>
    <col min="14865" max="15104" width="11.44140625" style="183"/>
    <col min="15105" max="15105" width="7.109375" style="183" bestFit="1" customWidth="1"/>
    <col min="15106" max="15106" width="5.33203125" style="183" bestFit="1" customWidth="1"/>
    <col min="15107" max="15107" width="43.6640625" style="183" customWidth="1"/>
    <col min="15108" max="15108" width="13.5546875" style="183" customWidth="1"/>
    <col min="15109" max="15109" width="10.109375" style="183" customWidth="1"/>
    <col min="15110" max="15110" width="10" style="183" customWidth="1"/>
    <col min="15111" max="15111" width="6.109375" style="183" bestFit="1" customWidth="1"/>
    <col min="15112" max="15112" width="4.6640625" style="183" customWidth="1"/>
    <col min="15113" max="15113" width="14.88671875" style="183" bestFit="1" customWidth="1"/>
    <col min="15114" max="15114" width="12.88671875" style="183" bestFit="1" customWidth="1"/>
    <col min="15115" max="15115" width="7.6640625" style="183" customWidth="1"/>
    <col min="15116" max="15116" width="18" style="183" customWidth="1"/>
    <col min="15117" max="15117" width="8.33203125" style="183" customWidth="1"/>
    <col min="15118" max="15118" width="16" style="183" customWidth="1"/>
    <col min="15119" max="15119" width="15.109375" style="183" bestFit="1" customWidth="1"/>
    <col min="15120" max="15120" width="14.109375" style="183" bestFit="1" customWidth="1"/>
    <col min="15121" max="15360" width="11.44140625" style="183"/>
    <col min="15361" max="15361" width="7.109375" style="183" bestFit="1" customWidth="1"/>
    <col min="15362" max="15362" width="5.33203125" style="183" bestFit="1" customWidth="1"/>
    <col min="15363" max="15363" width="43.6640625" style="183" customWidth="1"/>
    <col min="15364" max="15364" width="13.5546875" style="183" customWidth="1"/>
    <col min="15365" max="15365" width="10.109375" style="183" customWidth="1"/>
    <col min="15366" max="15366" width="10" style="183" customWidth="1"/>
    <col min="15367" max="15367" width="6.109375" style="183" bestFit="1" customWidth="1"/>
    <col min="15368" max="15368" width="4.6640625" style="183" customWidth="1"/>
    <col min="15369" max="15369" width="14.88671875" style="183" bestFit="1" customWidth="1"/>
    <col min="15370" max="15370" width="12.88671875" style="183" bestFit="1" customWidth="1"/>
    <col min="15371" max="15371" width="7.6640625" style="183" customWidth="1"/>
    <col min="15372" max="15372" width="18" style="183" customWidth="1"/>
    <col min="15373" max="15373" width="8.33203125" style="183" customWidth="1"/>
    <col min="15374" max="15374" width="16" style="183" customWidth="1"/>
    <col min="15375" max="15375" width="15.109375" style="183" bestFit="1" customWidth="1"/>
    <col min="15376" max="15376" width="14.109375" style="183" bestFit="1" customWidth="1"/>
    <col min="15377" max="15616" width="11.44140625" style="183"/>
    <col min="15617" max="15617" width="7.109375" style="183" bestFit="1" customWidth="1"/>
    <col min="15618" max="15618" width="5.33203125" style="183" bestFit="1" customWidth="1"/>
    <col min="15619" max="15619" width="43.6640625" style="183" customWidth="1"/>
    <col min="15620" max="15620" width="13.5546875" style="183" customWidth="1"/>
    <col min="15621" max="15621" width="10.109375" style="183" customWidth="1"/>
    <col min="15622" max="15622" width="10" style="183" customWidth="1"/>
    <col min="15623" max="15623" width="6.109375" style="183" bestFit="1" customWidth="1"/>
    <col min="15624" max="15624" width="4.6640625" style="183" customWidth="1"/>
    <col min="15625" max="15625" width="14.88671875" style="183" bestFit="1" customWidth="1"/>
    <col min="15626" max="15626" width="12.88671875" style="183" bestFit="1" customWidth="1"/>
    <col min="15627" max="15627" width="7.6640625" style="183" customWidth="1"/>
    <col min="15628" max="15628" width="18" style="183" customWidth="1"/>
    <col min="15629" max="15629" width="8.33203125" style="183" customWidth="1"/>
    <col min="15630" max="15630" width="16" style="183" customWidth="1"/>
    <col min="15631" max="15631" width="15.109375" style="183" bestFit="1" customWidth="1"/>
    <col min="15632" max="15632" width="14.109375" style="183" bestFit="1" customWidth="1"/>
    <col min="15633" max="15872" width="11.44140625" style="183"/>
    <col min="15873" max="15873" width="7.109375" style="183" bestFit="1" customWidth="1"/>
    <col min="15874" max="15874" width="5.33203125" style="183" bestFit="1" customWidth="1"/>
    <col min="15875" max="15875" width="43.6640625" style="183" customWidth="1"/>
    <col min="15876" max="15876" width="13.5546875" style="183" customWidth="1"/>
    <col min="15877" max="15877" width="10.109375" style="183" customWidth="1"/>
    <col min="15878" max="15878" width="10" style="183" customWidth="1"/>
    <col min="15879" max="15879" width="6.109375" style="183" bestFit="1" customWidth="1"/>
    <col min="15880" max="15880" width="4.6640625" style="183" customWidth="1"/>
    <col min="15881" max="15881" width="14.88671875" style="183" bestFit="1" customWidth="1"/>
    <col min="15882" max="15882" width="12.88671875" style="183" bestFit="1" customWidth="1"/>
    <col min="15883" max="15883" width="7.6640625" style="183" customWidth="1"/>
    <col min="15884" max="15884" width="18" style="183" customWidth="1"/>
    <col min="15885" max="15885" width="8.33203125" style="183" customWidth="1"/>
    <col min="15886" max="15886" width="16" style="183" customWidth="1"/>
    <col min="15887" max="15887" width="15.109375" style="183" bestFit="1" customWidth="1"/>
    <col min="15888" max="15888" width="14.109375" style="183" bestFit="1" customWidth="1"/>
    <col min="15889" max="16128" width="11.44140625" style="183"/>
    <col min="16129" max="16129" width="7.109375" style="183" bestFit="1" customWidth="1"/>
    <col min="16130" max="16130" width="5.33203125" style="183" bestFit="1" customWidth="1"/>
    <col min="16131" max="16131" width="43.6640625" style="183" customWidth="1"/>
    <col min="16132" max="16132" width="13.5546875" style="183" customWidth="1"/>
    <col min="16133" max="16133" width="10.109375" style="183" customWidth="1"/>
    <col min="16134" max="16134" width="10" style="183" customWidth="1"/>
    <col min="16135" max="16135" width="6.109375" style="183" bestFit="1" customWidth="1"/>
    <col min="16136" max="16136" width="4.6640625" style="183" customWidth="1"/>
    <col min="16137" max="16137" width="14.88671875" style="183" bestFit="1" customWidth="1"/>
    <col min="16138" max="16138" width="12.88671875" style="183" bestFit="1" customWidth="1"/>
    <col min="16139" max="16139" width="7.6640625" style="183" customWidth="1"/>
    <col min="16140" max="16140" width="18" style="183" customWidth="1"/>
    <col min="16141" max="16141" width="8.33203125" style="183" customWidth="1"/>
    <col min="16142" max="16142" width="16" style="183" customWidth="1"/>
    <col min="16143" max="16143" width="15.109375" style="183" bestFit="1" customWidth="1"/>
    <col min="16144" max="16144" width="14.109375" style="183" bestFit="1" customWidth="1"/>
    <col min="16145" max="16384" width="11.44140625" style="183"/>
  </cols>
  <sheetData>
    <row r="1" spans="1:15" ht="7.5" customHeight="1" thickBot="1" x14ac:dyDescent="0.35"/>
    <row r="2" spans="1:15" ht="15" customHeight="1" x14ac:dyDescent="0.3">
      <c r="B2" s="879" t="s">
        <v>162</v>
      </c>
      <c r="C2" s="880"/>
      <c r="D2" s="880"/>
      <c r="E2" s="880"/>
      <c r="F2" s="880"/>
      <c r="G2" s="880"/>
      <c r="H2" s="880"/>
      <c r="I2" s="881"/>
      <c r="J2" s="830"/>
      <c r="K2" s="831"/>
      <c r="L2" s="832"/>
    </row>
    <row r="3" spans="1:15" ht="15" customHeight="1" x14ac:dyDescent="0.3">
      <c r="B3" s="824"/>
      <c r="C3" s="825"/>
      <c r="D3" s="825"/>
      <c r="E3" s="825"/>
      <c r="F3" s="825"/>
      <c r="G3" s="825"/>
      <c r="H3" s="825"/>
      <c r="I3" s="826"/>
      <c r="J3" s="833"/>
      <c r="K3" s="834"/>
      <c r="L3" s="835"/>
    </row>
    <row r="4" spans="1:15" ht="15" customHeight="1" x14ac:dyDescent="0.3">
      <c r="B4" s="824"/>
      <c r="C4" s="825"/>
      <c r="D4" s="825"/>
      <c r="E4" s="825"/>
      <c r="F4" s="825"/>
      <c r="G4" s="825"/>
      <c r="H4" s="825"/>
      <c r="I4" s="826"/>
      <c r="J4" s="833"/>
      <c r="K4" s="834"/>
      <c r="L4" s="835"/>
    </row>
    <row r="5" spans="1:15" ht="15.75" customHeight="1" thickBot="1" x14ac:dyDescent="0.35">
      <c r="B5" s="827"/>
      <c r="C5" s="828"/>
      <c r="D5" s="828"/>
      <c r="E5" s="828"/>
      <c r="F5" s="828"/>
      <c r="G5" s="828"/>
      <c r="H5" s="828"/>
      <c r="I5" s="829"/>
      <c r="J5" s="836"/>
      <c r="K5" s="837"/>
      <c r="L5" s="838"/>
    </row>
    <row r="6" spans="1:15" ht="45" customHeight="1" thickBot="1" x14ac:dyDescent="0.35">
      <c r="B6" s="839" t="s">
        <v>163</v>
      </c>
      <c r="C6" s="840"/>
      <c r="D6" s="841" t="s">
        <v>9</v>
      </c>
      <c r="E6" s="842"/>
      <c r="F6" s="842"/>
      <c r="G6" s="842"/>
      <c r="H6" s="842"/>
      <c r="I6" s="842"/>
      <c r="J6" s="842"/>
      <c r="K6" s="842"/>
      <c r="L6" s="843"/>
    </row>
    <row r="7" spans="1:15" ht="13.8" thickBot="1" x14ac:dyDescent="0.35">
      <c r="A7" s="183"/>
      <c r="B7" s="248"/>
      <c r="C7" s="248"/>
      <c r="D7" s="248"/>
      <c r="E7" s="248"/>
      <c r="F7" s="248"/>
      <c r="G7" s="248"/>
      <c r="H7" s="248"/>
      <c r="I7" s="248"/>
      <c r="J7" s="248"/>
      <c r="K7" s="248"/>
      <c r="L7" s="249"/>
    </row>
    <row r="8" spans="1:15" ht="13.8" thickBot="1" x14ac:dyDescent="0.35">
      <c r="A8" s="183"/>
      <c r="B8" s="844" t="s">
        <v>284</v>
      </c>
      <c r="C8" s="845"/>
      <c r="D8" s="845"/>
      <c r="E8" s="845"/>
      <c r="F8" s="845"/>
      <c r="G8" s="845"/>
      <c r="H8" s="845"/>
      <c r="I8" s="845"/>
      <c r="J8" s="845"/>
      <c r="K8" s="845"/>
      <c r="L8" s="846"/>
    </row>
    <row r="9" spans="1:15" x14ac:dyDescent="0.3">
      <c r="B9" s="815" t="s">
        <v>285</v>
      </c>
      <c r="C9" s="816"/>
      <c r="D9" s="816"/>
      <c r="E9" s="817">
        <f>+'COMPONENTE SOCIAL'!L44</f>
        <v>26050350</v>
      </c>
      <c r="F9" s="817"/>
      <c r="G9" s="818"/>
      <c r="H9" s="250"/>
      <c r="I9" s="251" t="s">
        <v>72</v>
      </c>
      <c r="J9" s="819">
        <f>'AIU FLDT'!H7</f>
        <v>46236</v>
      </c>
      <c r="K9" s="819"/>
      <c r="L9" s="820"/>
    </row>
    <row r="10" spans="1:15" ht="13.8" thickBot="1" x14ac:dyDescent="0.35">
      <c r="B10" s="806" t="s">
        <v>73</v>
      </c>
      <c r="C10" s="807"/>
      <c r="D10" s="807"/>
      <c r="E10" s="252">
        <f>'AIU FLDT'!D8</f>
        <v>4</v>
      </c>
      <c r="F10" s="807" t="s">
        <v>74</v>
      </c>
      <c r="G10" s="808"/>
      <c r="H10" s="253"/>
      <c r="I10" s="254" t="s">
        <v>75</v>
      </c>
      <c r="J10" s="780"/>
      <c r="K10" s="780"/>
      <c r="L10" s="781"/>
    </row>
    <row r="12" spans="1:15" s="256" customFormat="1" ht="12.75" customHeight="1" x14ac:dyDescent="0.3">
      <c r="A12" s="255"/>
      <c r="B12" s="809" t="s">
        <v>223</v>
      </c>
      <c r="C12" s="809"/>
      <c r="D12" s="809"/>
      <c r="E12" s="809"/>
      <c r="F12" s="809"/>
      <c r="G12" s="809"/>
      <c r="H12" s="809"/>
      <c r="I12" s="809"/>
      <c r="J12" s="809"/>
      <c r="K12" s="809"/>
      <c r="L12" s="809"/>
    </row>
    <row r="13" spans="1:15" s="259" customFormat="1" ht="10.199999999999999" x14ac:dyDescent="0.3">
      <c r="A13" s="257"/>
      <c r="B13" s="258">
        <v>3.1</v>
      </c>
      <c r="C13" s="810" t="s">
        <v>114</v>
      </c>
      <c r="D13" s="810"/>
      <c r="E13" s="810"/>
      <c r="F13" s="810"/>
      <c r="G13" s="810"/>
      <c r="H13" s="810"/>
      <c r="I13" s="810"/>
      <c r="J13" s="810"/>
      <c r="K13" s="810"/>
      <c r="L13" s="810"/>
    </row>
    <row r="14" spans="1:15" s="259" customFormat="1" ht="10.199999999999999" x14ac:dyDescent="0.3">
      <c r="A14" s="257"/>
      <c r="B14" s="260" t="s">
        <v>224</v>
      </c>
      <c r="C14" s="801" t="s">
        <v>12</v>
      </c>
      <c r="D14" s="811"/>
      <c r="E14" s="261"/>
      <c r="F14" s="262"/>
      <c r="G14" s="812"/>
      <c r="H14" s="812"/>
      <c r="I14" s="263"/>
      <c r="J14" s="801" t="s">
        <v>115</v>
      </c>
      <c r="K14" s="802"/>
      <c r="L14" s="258" t="s">
        <v>110</v>
      </c>
    </row>
    <row r="15" spans="1:15" s="256" customFormat="1" ht="10.199999999999999" x14ac:dyDescent="0.3">
      <c r="A15" s="257"/>
      <c r="B15" s="264">
        <f>B13+0.001</f>
        <v>3.101</v>
      </c>
      <c r="C15" s="265" t="s">
        <v>116</v>
      </c>
      <c r="D15" s="266"/>
      <c r="E15" s="266"/>
      <c r="F15" s="266"/>
      <c r="G15" s="266"/>
      <c r="H15" s="266"/>
      <c r="I15" s="267"/>
      <c r="J15" s="813">
        <v>0.05</v>
      </c>
      <c r="K15" s="814"/>
      <c r="L15" s="268">
        <f>ROUND((($E$9*ROUND((1+$M$37),4)))*J15,0)</f>
        <v>1302518</v>
      </c>
      <c r="O15" s="269"/>
    </row>
    <row r="16" spans="1:15" s="256" customFormat="1" ht="10.199999999999999" x14ac:dyDescent="0.3">
      <c r="A16" s="257"/>
      <c r="B16" s="264">
        <f>B15+0.001</f>
        <v>3.1019999999999999</v>
      </c>
      <c r="C16" s="265" t="s">
        <v>225</v>
      </c>
      <c r="D16" s="266"/>
      <c r="E16" s="266"/>
      <c r="F16" s="266"/>
      <c r="G16" s="266"/>
      <c r="H16" s="266"/>
      <c r="I16" s="267"/>
      <c r="J16" s="813">
        <f>6.9/1000</f>
        <v>6.9000000000000008E-3</v>
      </c>
      <c r="K16" s="814"/>
      <c r="L16" s="268">
        <f>ROUND((($E$9*ROUND((1+$M$37),4)))*J16,0)</f>
        <v>179747</v>
      </c>
      <c r="O16" s="269"/>
    </row>
    <row r="17" spans="1:16" s="256" customFormat="1" ht="10.199999999999999" x14ac:dyDescent="0.3">
      <c r="A17" s="257"/>
      <c r="B17" s="264">
        <f>B16+0.001</f>
        <v>3.1029999999999998</v>
      </c>
      <c r="C17" s="265" t="s">
        <v>119</v>
      </c>
      <c r="D17" s="266"/>
      <c r="E17" s="266"/>
      <c r="F17" s="266"/>
      <c r="G17" s="266"/>
      <c r="H17" s="266"/>
      <c r="I17" s="267"/>
      <c r="J17" s="813">
        <v>4.0000000000000001E-3</v>
      </c>
      <c r="K17" s="814"/>
      <c r="L17" s="268">
        <f>ROUND((($E$9*ROUND((1+$M$37),4)))*J17,0)</f>
        <v>104201</v>
      </c>
      <c r="O17" s="269"/>
    </row>
    <row r="18" spans="1:16" s="256" customFormat="1" ht="10.199999999999999" x14ac:dyDescent="0.3">
      <c r="A18" s="257"/>
      <c r="B18" s="264">
        <f>B17+0.001</f>
        <v>3.1039999999999996</v>
      </c>
      <c r="C18" s="265" t="s">
        <v>226</v>
      </c>
      <c r="D18" s="266"/>
      <c r="E18" s="266"/>
      <c r="F18" s="266"/>
      <c r="G18" s="266"/>
      <c r="H18" s="266"/>
      <c r="I18" s="267"/>
      <c r="J18" s="813">
        <v>5.0000000000000001E-3</v>
      </c>
      <c r="K18" s="814"/>
      <c r="L18" s="268">
        <f>ROUND((($E$9*ROUND((1+$M$37),4)))*J18,0)</f>
        <v>130252</v>
      </c>
      <c r="O18" s="269"/>
    </row>
    <row r="19" spans="1:16" s="256" customFormat="1" ht="10.199999999999999" x14ac:dyDescent="0.3">
      <c r="A19" s="257"/>
      <c r="B19" s="257"/>
      <c r="C19" s="789" t="s">
        <v>122</v>
      </c>
      <c r="D19" s="790"/>
      <c r="E19" s="790"/>
      <c r="F19" s="790"/>
      <c r="G19" s="790"/>
      <c r="H19" s="790"/>
      <c r="I19" s="790"/>
      <c r="J19" s="790"/>
      <c r="K19" s="791"/>
      <c r="L19" s="270">
        <f>SUM(L15:L18)</f>
        <v>1716718</v>
      </c>
      <c r="O19" s="269"/>
    </row>
    <row r="20" spans="1:16" s="256" customFormat="1" ht="10.199999999999999" x14ac:dyDescent="0.3">
      <c r="A20" s="257"/>
      <c r="B20" s="257"/>
      <c r="C20" s="271"/>
      <c r="D20" s="271"/>
      <c r="E20" s="271"/>
      <c r="F20" s="271"/>
      <c r="G20" s="271"/>
      <c r="H20" s="271"/>
      <c r="I20" s="271"/>
      <c r="J20" s="271"/>
      <c r="K20" s="271"/>
      <c r="L20" s="271"/>
    </row>
    <row r="21" spans="1:16" s="256" customFormat="1" ht="10.199999999999999" x14ac:dyDescent="0.3">
      <c r="A21" s="257"/>
      <c r="B21" s="258">
        <f>B13+0.1</f>
        <v>3.2</v>
      </c>
      <c r="C21" s="805" t="s">
        <v>227</v>
      </c>
      <c r="D21" s="805"/>
      <c r="E21" s="805"/>
      <c r="F21" s="805"/>
      <c r="G21" s="805"/>
      <c r="H21" s="805"/>
      <c r="I21" s="805"/>
      <c r="J21" s="805"/>
      <c r="K21" s="805"/>
      <c r="L21" s="805"/>
    </row>
    <row r="22" spans="1:16" s="272" customFormat="1" ht="20.399999999999999" x14ac:dyDescent="0.3">
      <c r="A22" s="257"/>
      <c r="B22" s="260" t="s">
        <v>224</v>
      </c>
      <c r="C22" s="798" t="s">
        <v>12</v>
      </c>
      <c r="D22" s="798"/>
      <c r="E22" s="799" t="s">
        <v>228</v>
      </c>
      <c r="F22" s="800"/>
      <c r="G22" s="801" t="s">
        <v>125</v>
      </c>
      <c r="H22" s="802"/>
      <c r="I22" s="260" t="s">
        <v>126</v>
      </c>
      <c r="J22" s="801" t="s">
        <v>127</v>
      </c>
      <c r="K22" s="802"/>
      <c r="L22" s="258" t="s">
        <v>110</v>
      </c>
    </row>
    <row r="23" spans="1:16" s="256" customFormat="1" ht="12.75" customHeight="1" x14ac:dyDescent="0.3">
      <c r="A23" s="257"/>
      <c r="B23" s="264">
        <f>B21+0.001</f>
        <v>3.2010000000000001</v>
      </c>
      <c r="C23" s="273" t="s">
        <v>229</v>
      </c>
      <c r="D23" s="877" t="s">
        <v>230</v>
      </c>
      <c r="E23" s="795">
        <f>ROUND(($E$9*ROUND((1+$M$37),4)),0)</f>
        <v>26050350</v>
      </c>
      <c r="F23" s="796"/>
      <c r="G23" s="797">
        <v>0.3</v>
      </c>
      <c r="H23" s="797"/>
      <c r="I23" s="274">
        <f>$E$10+6</f>
        <v>10</v>
      </c>
      <c r="J23" s="793">
        <v>2E-3</v>
      </c>
      <c r="K23" s="794"/>
      <c r="L23" s="268">
        <f>ROUND((((((E23*G23)*J23)/12)*I23)+2500)*1.19,0)</f>
        <v>18475</v>
      </c>
    </row>
    <row r="24" spans="1:16" s="256" customFormat="1" ht="12.75" customHeight="1" x14ac:dyDescent="0.3">
      <c r="A24" s="257"/>
      <c r="B24" s="264">
        <f>B23+0.001</f>
        <v>3.202</v>
      </c>
      <c r="C24" s="273"/>
      <c r="D24" s="878"/>
      <c r="E24" s="795"/>
      <c r="F24" s="796"/>
      <c r="G24" s="797"/>
      <c r="H24" s="797"/>
      <c r="I24" s="274"/>
      <c r="J24" s="793"/>
      <c r="K24" s="794"/>
      <c r="L24" s="268"/>
    </row>
    <row r="25" spans="1:16" s="256" customFormat="1" ht="12.75" customHeight="1" x14ac:dyDescent="0.25">
      <c r="A25" s="257"/>
      <c r="B25" s="264">
        <f>B24+0.001</f>
        <v>3.2029999999999998</v>
      </c>
      <c r="C25" s="273" t="s">
        <v>231</v>
      </c>
      <c r="D25" s="878"/>
      <c r="E25" s="795">
        <f>$E$23</f>
        <v>26050350</v>
      </c>
      <c r="F25" s="796"/>
      <c r="G25" s="797">
        <v>0.1</v>
      </c>
      <c r="H25" s="797"/>
      <c r="I25" s="274">
        <f>$E$10+36</f>
        <v>40</v>
      </c>
      <c r="J25" s="793">
        <v>2E-3</v>
      </c>
      <c r="K25" s="794"/>
      <c r="L25" s="268">
        <f>ROUND((((((E25*G25)*J25)/12)*I25)+2500)*1.19,0)</f>
        <v>23642</v>
      </c>
      <c r="O25" s="275"/>
      <c r="P25" s="275"/>
    </row>
    <row r="26" spans="1:16" s="256" customFormat="1" ht="12" x14ac:dyDescent="0.25">
      <c r="A26" s="257"/>
      <c r="B26" s="264">
        <f>B25+0.001</f>
        <v>3.2039999999999997</v>
      </c>
      <c r="C26" s="273" t="s">
        <v>232</v>
      </c>
      <c r="D26" s="878"/>
      <c r="E26" s="795">
        <f>E23</f>
        <v>26050350</v>
      </c>
      <c r="F26" s="796"/>
      <c r="G26" s="797">
        <v>0.3</v>
      </c>
      <c r="H26" s="797"/>
      <c r="I26" s="274">
        <v>60</v>
      </c>
      <c r="J26" s="793">
        <v>2E-3</v>
      </c>
      <c r="K26" s="794"/>
      <c r="L26" s="268">
        <f>ROUND((((((E26*G26)*J26)/12)*I26)+2500)*1.19,0)</f>
        <v>95975</v>
      </c>
      <c r="N26" s="276"/>
      <c r="O26" s="277"/>
      <c r="P26" s="275"/>
    </row>
    <row r="27" spans="1:16" s="256" customFormat="1" ht="23.4" x14ac:dyDescent="0.3">
      <c r="A27" s="257"/>
      <c r="B27" s="264">
        <f>B26+0.001</f>
        <v>3.2049999999999996</v>
      </c>
      <c r="C27" s="273" t="s">
        <v>132</v>
      </c>
      <c r="D27" s="371" t="s">
        <v>133</v>
      </c>
      <c r="E27" s="795">
        <f>E23</f>
        <v>26050350</v>
      </c>
      <c r="F27" s="796"/>
      <c r="G27" s="797">
        <v>1</v>
      </c>
      <c r="H27" s="797"/>
      <c r="I27" s="274">
        <f>$E$10</f>
        <v>4</v>
      </c>
      <c r="J27" s="793">
        <v>3.0000000000000001E-3</v>
      </c>
      <c r="K27" s="794"/>
      <c r="L27" s="268">
        <f>ROUND((((((E27*G27)*J27)/12)*I27)+2500)*1.19,0)</f>
        <v>33975</v>
      </c>
      <c r="N27" s="276"/>
      <c r="O27" s="276"/>
      <c r="P27" s="279"/>
    </row>
    <row r="28" spans="1:16" s="256" customFormat="1" ht="10.199999999999999" x14ac:dyDescent="0.3">
      <c r="A28" s="257"/>
      <c r="B28" s="257"/>
      <c r="C28" s="789" t="s">
        <v>135</v>
      </c>
      <c r="D28" s="790"/>
      <c r="E28" s="790"/>
      <c r="F28" s="790"/>
      <c r="G28" s="790"/>
      <c r="H28" s="790"/>
      <c r="I28" s="790"/>
      <c r="J28" s="790"/>
      <c r="K28" s="791"/>
      <c r="L28" s="270">
        <f>ROUND(SUM(L23:L27),0)</f>
        <v>172067</v>
      </c>
    </row>
    <row r="29" spans="1:16" s="256" customFormat="1" ht="10.199999999999999" x14ac:dyDescent="0.3">
      <c r="A29" s="257"/>
      <c r="B29" s="257"/>
      <c r="C29" s="792"/>
      <c r="D29" s="792"/>
      <c r="E29" s="792"/>
      <c r="F29" s="792"/>
      <c r="G29" s="792"/>
      <c r="H29" s="792"/>
      <c r="I29" s="792"/>
      <c r="J29" s="792"/>
      <c r="K29" s="792"/>
      <c r="L29" s="792"/>
      <c r="N29" s="280"/>
    </row>
    <row r="30" spans="1:16" s="256" customFormat="1" ht="10.199999999999999" x14ac:dyDescent="0.3">
      <c r="A30" s="257"/>
      <c r="B30" s="257"/>
      <c r="C30" s="281" t="s">
        <v>136</v>
      </c>
      <c r="D30" s="282"/>
      <c r="E30" s="282"/>
      <c r="F30" s="282"/>
      <c r="G30" s="282"/>
      <c r="H30" s="282"/>
      <c r="I30" s="282"/>
      <c r="J30" s="282"/>
      <c r="K30" s="283"/>
      <c r="L30" s="270">
        <f>ROUND(L19+L28,0)</f>
        <v>1888785</v>
      </c>
    </row>
    <row r="31" spans="1:16" s="256" customFormat="1" x14ac:dyDescent="0.3">
      <c r="A31" s="257"/>
      <c r="B31" s="257"/>
      <c r="C31" s="281" t="s">
        <v>137</v>
      </c>
      <c r="D31" s="282"/>
      <c r="E31" s="282"/>
      <c r="F31" s="282"/>
      <c r="G31" s="282"/>
      <c r="H31" s="282"/>
      <c r="I31" s="282"/>
      <c r="J31" s="282"/>
      <c r="K31" s="283"/>
      <c r="L31" s="284">
        <f>+L30/E9-0.0003</f>
        <v>7.2205167876823156E-2</v>
      </c>
    </row>
    <row r="32" spans="1:16" s="256" customFormat="1" ht="10.199999999999999" x14ac:dyDescent="0.3">
      <c r="A32" s="257"/>
      <c r="B32" s="257"/>
      <c r="C32" s="792"/>
      <c r="D32" s="792"/>
      <c r="E32" s="792"/>
      <c r="F32" s="792"/>
      <c r="G32" s="792"/>
      <c r="H32" s="792"/>
      <c r="I32" s="792"/>
      <c r="J32" s="792"/>
      <c r="K32" s="792"/>
      <c r="L32" s="792"/>
    </row>
    <row r="33" spans="1:16" s="256" customFormat="1" ht="10.199999999999999" x14ac:dyDescent="0.3">
      <c r="A33" s="257"/>
      <c r="B33" s="257"/>
      <c r="C33" s="281" t="s">
        <v>233</v>
      </c>
      <c r="D33" s="282"/>
      <c r="E33" s="282"/>
      <c r="F33" s="282"/>
      <c r="G33" s="282"/>
      <c r="H33" s="282"/>
      <c r="I33" s="282"/>
      <c r="J33" s="282"/>
      <c r="K33" s="283"/>
      <c r="L33" s="285">
        <f>L31</f>
        <v>7.2205167876823156E-2</v>
      </c>
    </row>
    <row r="34" spans="1:16" s="272" customFormat="1" ht="10.199999999999999" x14ac:dyDescent="0.3">
      <c r="A34" s="259"/>
      <c r="B34" s="259"/>
      <c r="C34" s="281" t="s">
        <v>234</v>
      </c>
      <c r="D34" s="282"/>
      <c r="E34" s="282"/>
      <c r="F34" s="282"/>
      <c r="G34" s="282"/>
      <c r="H34" s="282"/>
      <c r="I34" s="282"/>
      <c r="J34" s="282"/>
      <c r="K34" s="283"/>
      <c r="L34" s="285">
        <v>0.01</v>
      </c>
      <c r="O34" s="286"/>
      <c r="P34" s="287"/>
    </row>
    <row r="35" spans="1:16" s="272" customFormat="1" ht="10.199999999999999" x14ac:dyDescent="0.3">
      <c r="A35" s="259"/>
      <c r="B35" s="259"/>
      <c r="C35" s="281" t="s">
        <v>235</v>
      </c>
      <c r="D35" s="282"/>
      <c r="E35" s="282"/>
      <c r="F35" s="282"/>
      <c r="G35" s="282"/>
      <c r="H35" s="282"/>
      <c r="I35" s="282"/>
      <c r="J35" s="282"/>
      <c r="K35" s="283"/>
      <c r="L35" s="285">
        <v>0.05</v>
      </c>
    </row>
    <row r="36" spans="1:16" s="256" customFormat="1" ht="10.199999999999999" x14ac:dyDescent="0.3">
      <c r="A36" s="257"/>
      <c r="B36" s="257"/>
      <c r="C36" s="792"/>
      <c r="D36" s="792"/>
      <c r="E36" s="792"/>
      <c r="F36" s="792"/>
      <c r="G36" s="792"/>
      <c r="H36" s="792"/>
      <c r="I36" s="792"/>
      <c r="J36" s="792"/>
      <c r="K36" s="792"/>
      <c r="L36" s="792"/>
      <c r="M36" s="288"/>
    </row>
    <row r="37" spans="1:16" s="256" customFormat="1" x14ac:dyDescent="0.3">
      <c r="A37" s="257"/>
      <c r="B37" s="257"/>
      <c r="C37" s="281" t="s">
        <v>236</v>
      </c>
      <c r="D37" s="282"/>
      <c r="E37" s="282"/>
      <c r="F37" s="282"/>
      <c r="G37" s="282"/>
      <c r="H37" s="282"/>
      <c r="I37" s="282"/>
      <c r="J37" s="282"/>
      <c r="K37" s="289"/>
      <c r="L37" s="290">
        <f>SUM(L33:L35)</f>
        <v>0.13220516787682315</v>
      </c>
      <c r="M37" s="291"/>
    </row>
    <row r="38" spans="1:16" s="256" customFormat="1" x14ac:dyDescent="0.3">
      <c r="A38" s="257"/>
      <c r="B38" s="257"/>
      <c r="C38" s="292"/>
      <c r="D38" s="292"/>
      <c r="E38" s="292"/>
      <c r="F38" s="292"/>
      <c r="G38" s="293"/>
      <c r="H38" s="293"/>
      <c r="I38" s="293"/>
      <c r="J38" s="293"/>
      <c r="K38" s="293"/>
      <c r="L38" s="294"/>
    </row>
    <row r="39" spans="1:16" s="256" customFormat="1" ht="10.199999999999999" x14ac:dyDescent="0.3">
      <c r="A39" s="257"/>
      <c r="B39" s="257"/>
      <c r="C39" s="372"/>
      <c r="D39" s="871"/>
      <c r="E39" s="871"/>
      <c r="F39" s="871"/>
      <c r="G39" s="871"/>
      <c r="H39" s="871"/>
      <c r="I39" s="871"/>
      <c r="J39" s="871"/>
      <c r="K39" s="871"/>
      <c r="L39" s="872"/>
    </row>
    <row r="40" spans="1:16" s="256" customFormat="1" ht="10.199999999999999" x14ac:dyDescent="0.3">
      <c r="A40" s="257"/>
      <c r="B40" s="257"/>
      <c r="C40" s="373" t="s">
        <v>286</v>
      </c>
      <c r="D40" s="873" t="s">
        <v>287</v>
      </c>
      <c r="E40" s="873"/>
      <c r="F40" s="873"/>
      <c r="G40" s="873"/>
      <c r="H40" s="873"/>
      <c r="I40" s="873"/>
      <c r="J40" s="873"/>
      <c r="K40" s="873"/>
      <c r="L40" s="874"/>
    </row>
    <row r="41" spans="1:16" s="256" customFormat="1" ht="10.199999999999999" x14ac:dyDescent="0.3">
      <c r="A41" s="257"/>
      <c r="B41" s="257"/>
      <c r="C41" s="374" t="s">
        <v>286</v>
      </c>
      <c r="D41" s="875" t="s">
        <v>288</v>
      </c>
      <c r="E41" s="875"/>
      <c r="F41" s="875"/>
      <c r="G41" s="875"/>
      <c r="H41" s="875"/>
      <c r="I41" s="875"/>
      <c r="J41" s="875"/>
      <c r="K41" s="875"/>
      <c r="L41" s="876"/>
    </row>
  </sheetData>
  <mergeCells count="49">
    <mergeCell ref="B9:D9"/>
    <mergeCell ref="E9:G9"/>
    <mergeCell ref="J9:L9"/>
    <mergeCell ref="B2:I5"/>
    <mergeCell ref="J2:L5"/>
    <mergeCell ref="B6:C6"/>
    <mergeCell ref="D6:L6"/>
    <mergeCell ref="B8:L8"/>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6"/>
    <mergeCell ref="E23:F23"/>
    <mergeCell ref="G23:H23"/>
    <mergeCell ref="J23:K23"/>
    <mergeCell ref="E24:F24"/>
    <mergeCell ref="G24:H24"/>
    <mergeCell ref="J24:K24"/>
    <mergeCell ref="E25:F25"/>
    <mergeCell ref="G25:H25"/>
    <mergeCell ref="J25:K25"/>
    <mergeCell ref="E26:F26"/>
    <mergeCell ref="G26:H26"/>
    <mergeCell ref="J26:K26"/>
    <mergeCell ref="C36:L36"/>
    <mergeCell ref="D39:L39"/>
    <mergeCell ref="D40:L40"/>
    <mergeCell ref="D41:L41"/>
    <mergeCell ref="E27:F27"/>
    <mergeCell ref="G27:H27"/>
    <mergeCell ref="J27:K27"/>
    <mergeCell ref="C28:K28"/>
    <mergeCell ref="C29:L29"/>
    <mergeCell ref="C32:L32"/>
  </mergeCells>
  <printOptions horizontalCentered="1"/>
  <pageMargins left="0.51181102362204722" right="0.51181102362204722" top="0.55118110236220474" bottom="0.74803149606299213" header="0.31496062992125984" footer="0.31496062992125984"/>
  <pageSetup scale="84" fitToHeight="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B2D10-B198-45BA-B17A-2CEA17E02EAA}">
  <sheetPr>
    <tabColor rgb="FF92D050"/>
  </sheetPr>
  <dimension ref="B1:U37"/>
  <sheetViews>
    <sheetView showGridLines="0" view="pageBreakPreview" zoomScale="85" zoomScaleNormal="80" zoomScaleSheetLayoutView="85" workbookViewId="0">
      <selection activeCell="T33" sqref="T33"/>
    </sheetView>
  </sheetViews>
  <sheetFormatPr baseColWidth="10" defaultColWidth="11.44140625" defaultRowHeight="13.8" x14ac:dyDescent="0.25"/>
  <cols>
    <col min="1" max="1" width="1.5546875" style="296" customWidth="1"/>
    <col min="2" max="2" width="6.33203125" style="400" bestFit="1" customWidth="1"/>
    <col min="3" max="3" width="6.109375" style="296" customWidth="1"/>
    <col min="4" max="4" width="58.44140625" style="296" customWidth="1"/>
    <col min="5" max="5" width="8.33203125" style="296" bestFit="1" customWidth="1"/>
    <col min="6" max="6" width="6.109375" style="296" customWidth="1"/>
    <col min="7" max="7" width="6.6640625" style="296" customWidth="1"/>
    <col min="8" max="8" width="12.5546875" style="296" customWidth="1"/>
    <col min="9" max="9" width="9.5546875" style="296" customWidth="1"/>
    <col min="10" max="18" width="5.6640625" style="296" customWidth="1"/>
    <col min="19" max="19" width="9" style="296" customWidth="1"/>
    <col min="20" max="20" width="21.44140625" style="296" customWidth="1"/>
    <col min="21" max="21" width="23.33203125" style="296" bestFit="1" customWidth="1"/>
    <col min="22" max="252" width="11.44140625" style="296"/>
    <col min="253" max="253" width="1.5546875" style="296" customWidth="1"/>
    <col min="254" max="254" width="6.33203125" style="296" bestFit="1" customWidth="1"/>
    <col min="255" max="255" width="6.109375" style="296" customWidth="1"/>
    <col min="256" max="256" width="58.44140625" style="296" customWidth="1"/>
    <col min="257" max="257" width="8.33203125" style="296" bestFit="1" customWidth="1"/>
    <col min="258" max="258" width="6.109375" style="296" customWidth="1"/>
    <col min="259" max="259" width="6.6640625" style="296" customWidth="1"/>
    <col min="260" max="260" width="12.5546875" style="296" customWidth="1"/>
    <col min="261" max="261" width="9.5546875" style="296" customWidth="1"/>
    <col min="262" max="267" width="5.6640625" style="296" customWidth="1"/>
    <col min="268" max="268" width="9" style="296" customWidth="1"/>
    <col min="269" max="269" width="21.44140625" style="296" customWidth="1"/>
    <col min="270" max="508" width="11.44140625" style="296"/>
    <col min="509" max="509" width="1.5546875" style="296" customWidth="1"/>
    <col min="510" max="510" width="6.33203125" style="296" bestFit="1" customWidth="1"/>
    <col min="511" max="511" width="6.109375" style="296" customWidth="1"/>
    <col min="512" max="512" width="58.44140625" style="296" customWidth="1"/>
    <col min="513" max="513" width="8.33203125" style="296" bestFit="1" customWidth="1"/>
    <col min="514" max="514" width="6.109375" style="296" customWidth="1"/>
    <col min="515" max="515" width="6.6640625" style="296" customWidth="1"/>
    <col min="516" max="516" width="12.5546875" style="296" customWidth="1"/>
    <col min="517" max="517" width="9.5546875" style="296" customWidth="1"/>
    <col min="518" max="523" width="5.6640625" style="296" customWidth="1"/>
    <col min="524" max="524" width="9" style="296" customWidth="1"/>
    <col min="525" max="525" width="21.44140625" style="296" customWidth="1"/>
    <col min="526" max="764" width="11.44140625" style="296"/>
    <col min="765" max="765" width="1.5546875" style="296" customWidth="1"/>
    <col min="766" max="766" width="6.33203125" style="296" bestFit="1" customWidth="1"/>
    <col min="767" max="767" width="6.109375" style="296" customWidth="1"/>
    <col min="768" max="768" width="58.44140625" style="296" customWidth="1"/>
    <col min="769" max="769" width="8.33203125" style="296" bestFit="1" customWidth="1"/>
    <col min="770" max="770" width="6.109375" style="296" customWidth="1"/>
    <col min="771" max="771" width="6.6640625" style="296" customWidth="1"/>
    <col min="772" max="772" width="12.5546875" style="296" customWidth="1"/>
    <col min="773" max="773" width="9.5546875" style="296" customWidth="1"/>
    <col min="774" max="779" width="5.6640625" style="296" customWidth="1"/>
    <col min="780" max="780" width="9" style="296" customWidth="1"/>
    <col min="781" max="781" width="21.44140625" style="296" customWidth="1"/>
    <col min="782" max="1020" width="11.44140625" style="296"/>
    <col min="1021" max="1021" width="1.5546875" style="296" customWidth="1"/>
    <col min="1022" max="1022" width="6.33203125" style="296" bestFit="1" customWidth="1"/>
    <col min="1023" max="1023" width="6.109375" style="296" customWidth="1"/>
    <col min="1024" max="1024" width="58.44140625" style="296" customWidth="1"/>
    <col min="1025" max="1025" width="8.33203125" style="296" bestFit="1" customWidth="1"/>
    <col min="1026" max="1026" width="6.109375" style="296" customWidth="1"/>
    <col min="1027" max="1027" width="6.6640625" style="296" customWidth="1"/>
    <col min="1028" max="1028" width="12.5546875" style="296" customWidth="1"/>
    <col min="1029" max="1029" width="9.5546875" style="296" customWidth="1"/>
    <col min="1030" max="1035" width="5.6640625" style="296" customWidth="1"/>
    <col min="1036" max="1036" width="9" style="296" customWidth="1"/>
    <col min="1037" max="1037" width="21.44140625" style="296" customWidth="1"/>
    <col min="1038" max="1276" width="11.44140625" style="296"/>
    <col min="1277" max="1277" width="1.5546875" style="296" customWidth="1"/>
    <col min="1278" max="1278" width="6.33203125" style="296" bestFit="1" customWidth="1"/>
    <col min="1279" max="1279" width="6.109375" style="296" customWidth="1"/>
    <col min="1280" max="1280" width="58.44140625" style="296" customWidth="1"/>
    <col min="1281" max="1281" width="8.33203125" style="296" bestFit="1" customWidth="1"/>
    <col min="1282" max="1282" width="6.109375" style="296" customWidth="1"/>
    <col min="1283" max="1283" width="6.6640625" style="296" customWidth="1"/>
    <col min="1284" max="1284" width="12.5546875" style="296" customWidth="1"/>
    <col min="1285" max="1285" width="9.5546875" style="296" customWidth="1"/>
    <col min="1286" max="1291" width="5.6640625" style="296" customWidth="1"/>
    <col min="1292" max="1292" width="9" style="296" customWidth="1"/>
    <col min="1293" max="1293" width="21.44140625" style="296" customWidth="1"/>
    <col min="1294" max="1532" width="11.44140625" style="296"/>
    <col min="1533" max="1533" width="1.5546875" style="296" customWidth="1"/>
    <col min="1534" max="1534" width="6.33203125" style="296" bestFit="1" customWidth="1"/>
    <col min="1535" max="1535" width="6.109375" style="296" customWidth="1"/>
    <col min="1536" max="1536" width="58.44140625" style="296" customWidth="1"/>
    <col min="1537" max="1537" width="8.33203125" style="296" bestFit="1" customWidth="1"/>
    <col min="1538" max="1538" width="6.109375" style="296" customWidth="1"/>
    <col min="1539" max="1539" width="6.6640625" style="296" customWidth="1"/>
    <col min="1540" max="1540" width="12.5546875" style="296" customWidth="1"/>
    <col min="1541" max="1541" width="9.5546875" style="296" customWidth="1"/>
    <col min="1542" max="1547" width="5.6640625" style="296" customWidth="1"/>
    <col min="1548" max="1548" width="9" style="296" customWidth="1"/>
    <col min="1549" max="1549" width="21.44140625" style="296" customWidth="1"/>
    <col min="1550" max="1788" width="11.44140625" style="296"/>
    <col min="1789" max="1789" width="1.5546875" style="296" customWidth="1"/>
    <col min="1790" max="1790" width="6.33203125" style="296" bestFit="1" customWidth="1"/>
    <col min="1791" max="1791" width="6.109375" style="296" customWidth="1"/>
    <col min="1792" max="1792" width="58.44140625" style="296" customWidth="1"/>
    <col min="1793" max="1793" width="8.33203125" style="296" bestFit="1" customWidth="1"/>
    <col min="1794" max="1794" width="6.109375" style="296" customWidth="1"/>
    <col min="1795" max="1795" width="6.6640625" style="296" customWidth="1"/>
    <col min="1796" max="1796" width="12.5546875" style="296" customWidth="1"/>
    <col min="1797" max="1797" width="9.5546875" style="296" customWidth="1"/>
    <col min="1798" max="1803" width="5.6640625" style="296" customWidth="1"/>
    <col min="1804" max="1804" width="9" style="296" customWidth="1"/>
    <col min="1805" max="1805" width="21.44140625" style="296" customWidth="1"/>
    <col min="1806" max="2044" width="11.44140625" style="296"/>
    <col min="2045" max="2045" width="1.5546875" style="296" customWidth="1"/>
    <col min="2046" max="2046" width="6.33203125" style="296" bestFit="1" customWidth="1"/>
    <col min="2047" max="2047" width="6.109375" style="296" customWidth="1"/>
    <col min="2048" max="2048" width="58.44140625" style="296" customWidth="1"/>
    <col min="2049" max="2049" width="8.33203125" style="296" bestFit="1" customWidth="1"/>
    <col min="2050" max="2050" width="6.109375" style="296" customWidth="1"/>
    <col min="2051" max="2051" width="6.6640625" style="296" customWidth="1"/>
    <col min="2052" max="2052" width="12.5546875" style="296" customWidth="1"/>
    <col min="2053" max="2053" width="9.5546875" style="296" customWidth="1"/>
    <col min="2054" max="2059" width="5.6640625" style="296" customWidth="1"/>
    <col min="2060" max="2060" width="9" style="296" customWidth="1"/>
    <col min="2061" max="2061" width="21.44140625" style="296" customWidth="1"/>
    <col min="2062" max="2300" width="11.44140625" style="296"/>
    <col min="2301" max="2301" width="1.5546875" style="296" customWidth="1"/>
    <col min="2302" max="2302" width="6.33203125" style="296" bestFit="1" customWidth="1"/>
    <col min="2303" max="2303" width="6.109375" style="296" customWidth="1"/>
    <col min="2304" max="2304" width="58.44140625" style="296" customWidth="1"/>
    <col min="2305" max="2305" width="8.33203125" style="296" bestFit="1" customWidth="1"/>
    <col min="2306" max="2306" width="6.109375" style="296" customWidth="1"/>
    <col min="2307" max="2307" width="6.6640625" style="296" customWidth="1"/>
    <col min="2308" max="2308" width="12.5546875" style="296" customWidth="1"/>
    <col min="2309" max="2309" width="9.5546875" style="296" customWidth="1"/>
    <col min="2310" max="2315" width="5.6640625" style="296" customWidth="1"/>
    <col min="2316" max="2316" width="9" style="296" customWidth="1"/>
    <col min="2317" max="2317" width="21.44140625" style="296" customWidth="1"/>
    <col min="2318" max="2556" width="11.44140625" style="296"/>
    <col min="2557" max="2557" width="1.5546875" style="296" customWidth="1"/>
    <col min="2558" max="2558" width="6.33203125" style="296" bestFit="1" customWidth="1"/>
    <col min="2559" max="2559" width="6.109375" style="296" customWidth="1"/>
    <col min="2560" max="2560" width="58.44140625" style="296" customWidth="1"/>
    <col min="2561" max="2561" width="8.33203125" style="296" bestFit="1" customWidth="1"/>
    <col min="2562" max="2562" width="6.109375" style="296" customWidth="1"/>
    <col min="2563" max="2563" width="6.6640625" style="296" customWidth="1"/>
    <col min="2564" max="2564" width="12.5546875" style="296" customWidth="1"/>
    <col min="2565" max="2565" width="9.5546875" style="296" customWidth="1"/>
    <col min="2566" max="2571" width="5.6640625" style="296" customWidth="1"/>
    <col min="2572" max="2572" width="9" style="296" customWidth="1"/>
    <col min="2573" max="2573" width="21.44140625" style="296" customWidth="1"/>
    <col min="2574" max="2812" width="11.44140625" style="296"/>
    <col min="2813" max="2813" width="1.5546875" style="296" customWidth="1"/>
    <col min="2814" max="2814" width="6.33203125" style="296" bestFit="1" customWidth="1"/>
    <col min="2815" max="2815" width="6.109375" style="296" customWidth="1"/>
    <col min="2816" max="2816" width="58.44140625" style="296" customWidth="1"/>
    <col min="2817" max="2817" width="8.33203125" style="296" bestFit="1" customWidth="1"/>
    <col min="2818" max="2818" width="6.109375" style="296" customWidth="1"/>
    <col min="2819" max="2819" width="6.6640625" style="296" customWidth="1"/>
    <col min="2820" max="2820" width="12.5546875" style="296" customWidth="1"/>
    <col min="2821" max="2821" width="9.5546875" style="296" customWidth="1"/>
    <col min="2822" max="2827" width="5.6640625" style="296" customWidth="1"/>
    <col min="2828" max="2828" width="9" style="296" customWidth="1"/>
    <col min="2829" max="2829" width="21.44140625" style="296" customWidth="1"/>
    <col min="2830" max="3068" width="11.44140625" style="296"/>
    <col min="3069" max="3069" width="1.5546875" style="296" customWidth="1"/>
    <col min="3070" max="3070" width="6.33203125" style="296" bestFit="1" customWidth="1"/>
    <col min="3071" max="3071" width="6.109375" style="296" customWidth="1"/>
    <col min="3072" max="3072" width="58.44140625" style="296" customWidth="1"/>
    <col min="3073" max="3073" width="8.33203125" style="296" bestFit="1" customWidth="1"/>
    <col min="3074" max="3074" width="6.109375" style="296" customWidth="1"/>
    <col min="3075" max="3075" width="6.6640625" style="296" customWidth="1"/>
    <col min="3076" max="3076" width="12.5546875" style="296" customWidth="1"/>
    <col min="3077" max="3077" width="9.5546875" style="296" customWidth="1"/>
    <col min="3078" max="3083" width="5.6640625" style="296" customWidth="1"/>
    <col min="3084" max="3084" width="9" style="296" customWidth="1"/>
    <col min="3085" max="3085" width="21.44140625" style="296" customWidth="1"/>
    <col min="3086" max="3324" width="11.44140625" style="296"/>
    <col min="3325" max="3325" width="1.5546875" style="296" customWidth="1"/>
    <col min="3326" max="3326" width="6.33203125" style="296" bestFit="1" customWidth="1"/>
    <col min="3327" max="3327" width="6.109375" style="296" customWidth="1"/>
    <col min="3328" max="3328" width="58.44140625" style="296" customWidth="1"/>
    <col min="3329" max="3329" width="8.33203125" style="296" bestFit="1" customWidth="1"/>
    <col min="3330" max="3330" width="6.109375" style="296" customWidth="1"/>
    <col min="3331" max="3331" width="6.6640625" style="296" customWidth="1"/>
    <col min="3332" max="3332" width="12.5546875" style="296" customWidth="1"/>
    <col min="3333" max="3333" width="9.5546875" style="296" customWidth="1"/>
    <col min="3334" max="3339" width="5.6640625" style="296" customWidth="1"/>
    <col min="3340" max="3340" width="9" style="296" customWidth="1"/>
    <col min="3341" max="3341" width="21.44140625" style="296" customWidth="1"/>
    <col min="3342" max="3580" width="11.44140625" style="296"/>
    <col min="3581" max="3581" width="1.5546875" style="296" customWidth="1"/>
    <col min="3582" max="3582" width="6.33203125" style="296" bestFit="1" customWidth="1"/>
    <col min="3583" max="3583" width="6.109375" style="296" customWidth="1"/>
    <col min="3584" max="3584" width="58.44140625" style="296" customWidth="1"/>
    <col min="3585" max="3585" width="8.33203125" style="296" bestFit="1" customWidth="1"/>
    <col min="3586" max="3586" width="6.109375" style="296" customWidth="1"/>
    <col min="3587" max="3587" width="6.6640625" style="296" customWidth="1"/>
    <col min="3588" max="3588" width="12.5546875" style="296" customWidth="1"/>
    <col min="3589" max="3589" width="9.5546875" style="296" customWidth="1"/>
    <col min="3590" max="3595" width="5.6640625" style="296" customWidth="1"/>
    <col min="3596" max="3596" width="9" style="296" customWidth="1"/>
    <col min="3597" max="3597" width="21.44140625" style="296" customWidth="1"/>
    <col min="3598" max="3836" width="11.44140625" style="296"/>
    <col min="3837" max="3837" width="1.5546875" style="296" customWidth="1"/>
    <col min="3838" max="3838" width="6.33203125" style="296" bestFit="1" customWidth="1"/>
    <col min="3839" max="3839" width="6.109375" style="296" customWidth="1"/>
    <col min="3840" max="3840" width="58.44140625" style="296" customWidth="1"/>
    <col min="3841" max="3841" width="8.33203125" style="296" bestFit="1" customWidth="1"/>
    <col min="3842" max="3842" width="6.109375" style="296" customWidth="1"/>
    <col min="3843" max="3843" width="6.6640625" style="296" customWidth="1"/>
    <col min="3844" max="3844" width="12.5546875" style="296" customWidth="1"/>
    <col min="3845" max="3845" width="9.5546875" style="296" customWidth="1"/>
    <col min="3846" max="3851" width="5.6640625" style="296" customWidth="1"/>
    <col min="3852" max="3852" width="9" style="296" customWidth="1"/>
    <col min="3853" max="3853" width="21.44140625" style="296" customWidth="1"/>
    <col min="3854" max="4092" width="11.44140625" style="296"/>
    <col min="4093" max="4093" width="1.5546875" style="296" customWidth="1"/>
    <col min="4094" max="4094" width="6.33203125" style="296" bestFit="1" customWidth="1"/>
    <col min="4095" max="4095" width="6.109375" style="296" customWidth="1"/>
    <col min="4096" max="4096" width="58.44140625" style="296" customWidth="1"/>
    <col min="4097" max="4097" width="8.33203125" style="296" bestFit="1" customWidth="1"/>
    <col min="4098" max="4098" width="6.109375" style="296" customWidth="1"/>
    <col min="4099" max="4099" width="6.6640625" style="296" customWidth="1"/>
    <col min="4100" max="4100" width="12.5546875" style="296" customWidth="1"/>
    <col min="4101" max="4101" width="9.5546875" style="296" customWidth="1"/>
    <col min="4102" max="4107" width="5.6640625" style="296" customWidth="1"/>
    <col min="4108" max="4108" width="9" style="296" customWidth="1"/>
    <col min="4109" max="4109" width="21.44140625" style="296" customWidth="1"/>
    <col min="4110" max="4348" width="11.44140625" style="296"/>
    <col min="4349" max="4349" width="1.5546875" style="296" customWidth="1"/>
    <col min="4350" max="4350" width="6.33203125" style="296" bestFit="1" customWidth="1"/>
    <col min="4351" max="4351" width="6.109375" style="296" customWidth="1"/>
    <col min="4352" max="4352" width="58.44140625" style="296" customWidth="1"/>
    <col min="4353" max="4353" width="8.33203125" style="296" bestFit="1" customWidth="1"/>
    <col min="4354" max="4354" width="6.109375" style="296" customWidth="1"/>
    <col min="4355" max="4355" width="6.6640625" style="296" customWidth="1"/>
    <col min="4356" max="4356" width="12.5546875" style="296" customWidth="1"/>
    <col min="4357" max="4357" width="9.5546875" style="296" customWidth="1"/>
    <col min="4358" max="4363" width="5.6640625" style="296" customWidth="1"/>
    <col min="4364" max="4364" width="9" style="296" customWidth="1"/>
    <col min="4365" max="4365" width="21.44140625" style="296" customWidth="1"/>
    <col min="4366" max="4604" width="11.44140625" style="296"/>
    <col min="4605" max="4605" width="1.5546875" style="296" customWidth="1"/>
    <col min="4606" max="4606" width="6.33203125" style="296" bestFit="1" customWidth="1"/>
    <col min="4607" max="4607" width="6.109375" style="296" customWidth="1"/>
    <col min="4608" max="4608" width="58.44140625" style="296" customWidth="1"/>
    <col min="4609" max="4609" width="8.33203125" style="296" bestFit="1" customWidth="1"/>
    <col min="4610" max="4610" width="6.109375" style="296" customWidth="1"/>
    <col min="4611" max="4611" width="6.6640625" style="296" customWidth="1"/>
    <col min="4612" max="4612" width="12.5546875" style="296" customWidth="1"/>
    <col min="4613" max="4613" width="9.5546875" style="296" customWidth="1"/>
    <col min="4614" max="4619" width="5.6640625" style="296" customWidth="1"/>
    <col min="4620" max="4620" width="9" style="296" customWidth="1"/>
    <col min="4621" max="4621" width="21.44140625" style="296" customWidth="1"/>
    <col min="4622" max="4860" width="11.44140625" style="296"/>
    <col min="4861" max="4861" width="1.5546875" style="296" customWidth="1"/>
    <col min="4862" max="4862" width="6.33203125" style="296" bestFit="1" customWidth="1"/>
    <col min="4863" max="4863" width="6.109375" style="296" customWidth="1"/>
    <col min="4864" max="4864" width="58.44140625" style="296" customWidth="1"/>
    <col min="4865" max="4865" width="8.33203125" style="296" bestFit="1" customWidth="1"/>
    <col min="4866" max="4866" width="6.109375" style="296" customWidth="1"/>
    <col min="4867" max="4867" width="6.6640625" style="296" customWidth="1"/>
    <col min="4868" max="4868" width="12.5546875" style="296" customWidth="1"/>
    <col min="4869" max="4869" width="9.5546875" style="296" customWidth="1"/>
    <col min="4870" max="4875" width="5.6640625" style="296" customWidth="1"/>
    <col min="4876" max="4876" width="9" style="296" customWidth="1"/>
    <col min="4877" max="4877" width="21.44140625" style="296" customWidth="1"/>
    <col min="4878" max="5116" width="11.44140625" style="296"/>
    <col min="5117" max="5117" width="1.5546875" style="296" customWidth="1"/>
    <col min="5118" max="5118" width="6.33203125" style="296" bestFit="1" customWidth="1"/>
    <col min="5119" max="5119" width="6.109375" style="296" customWidth="1"/>
    <col min="5120" max="5120" width="58.44140625" style="296" customWidth="1"/>
    <col min="5121" max="5121" width="8.33203125" style="296" bestFit="1" customWidth="1"/>
    <col min="5122" max="5122" width="6.109375" style="296" customWidth="1"/>
    <col min="5123" max="5123" width="6.6640625" style="296" customWidth="1"/>
    <col min="5124" max="5124" width="12.5546875" style="296" customWidth="1"/>
    <col min="5125" max="5125" width="9.5546875" style="296" customWidth="1"/>
    <col min="5126" max="5131" width="5.6640625" style="296" customWidth="1"/>
    <col min="5132" max="5132" width="9" style="296" customWidth="1"/>
    <col min="5133" max="5133" width="21.44140625" style="296" customWidth="1"/>
    <col min="5134" max="5372" width="11.44140625" style="296"/>
    <col min="5373" max="5373" width="1.5546875" style="296" customWidth="1"/>
    <col min="5374" max="5374" width="6.33203125" style="296" bestFit="1" customWidth="1"/>
    <col min="5375" max="5375" width="6.109375" style="296" customWidth="1"/>
    <col min="5376" max="5376" width="58.44140625" style="296" customWidth="1"/>
    <col min="5377" max="5377" width="8.33203125" style="296" bestFit="1" customWidth="1"/>
    <col min="5378" max="5378" width="6.109375" style="296" customWidth="1"/>
    <col min="5379" max="5379" width="6.6640625" style="296" customWidth="1"/>
    <col min="5380" max="5380" width="12.5546875" style="296" customWidth="1"/>
    <col min="5381" max="5381" width="9.5546875" style="296" customWidth="1"/>
    <col min="5382" max="5387" width="5.6640625" style="296" customWidth="1"/>
    <col min="5388" max="5388" width="9" style="296" customWidth="1"/>
    <col min="5389" max="5389" width="21.44140625" style="296" customWidth="1"/>
    <col min="5390" max="5628" width="11.44140625" style="296"/>
    <col min="5629" max="5629" width="1.5546875" style="296" customWidth="1"/>
    <col min="5630" max="5630" width="6.33203125" style="296" bestFit="1" customWidth="1"/>
    <col min="5631" max="5631" width="6.109375" style="296" customWidth="1"/>
    <col min="5632" max="5632" width="58.44140625" style="296" customWidth="1"/>
    <col min="5633" max="5633" width="8.33203125" style="296" bestFit="1" customWidth="1"/>
    <col min="5634" max="5634" width="6.109375" style="296" customWidth="1"/>
    <col min="5635" max="5635" width="6.6640625" style="296" customWidth="1"/>
    <col min="5636" max="5636" width="12.5546875" style="296" customWidth="1"/>
    <col min="5637" max="5637" width="9.5546875" style="296" customWidth="1"/>
    <col min="5638" max="5643" width="5.6640625" style="296" customWidth="1"/>
    <col min="5644" max="5644" width="9" style="296" customWidth="1"/>
    <col min="5645" max="5645" width="21.44140625" style="296" customWidth="1"/>
    <col min="5646" max="5884" width="11.44140625" style="296"/>
    <col min="5885" max="5885" width="1.5546875" style="296" customWidth="1"/>
    <col min="5886" max="5886" width="6.33203125" style="296" bestFit="1" customWidth="1"/>
    <col min="5887" max="5887" width="6.109375" style="296" customWidth="1"/>
    <col min="5888" max="5888" width="58.44140625" style="296" customWidth="1"/>
    <col min="5889" max="5889" width="8.33203125" style="296" bestFit="1" customWidth="1"/>
    <col min="5890" max="5890" width="6.109375" style="296" customWidth="1"/>
    <col min="5891" max="5891" width="6.6640625" style="296" customWidth="1"/>
    <col min="5892" max="5892" width="12.5546875" style="296" customWidth="1"/>
    <col min="5893" max="5893" width="9.5546875" style="296" customWidth="1"/>
    <col min="5894" max="5899" width="5.6640625" style="296" customWidth="1"/>
    <col min="5900" max="5900" width="9" style="296" customWidth="1"/>
    <col min="5901" max="5901" width="21.44140625" style="296" customWidth="1"/>
    <col min="5902" max="6140" width="11.44140625" style="296"/>
    <col min="6141" max="6141" width="1.5546875" style="296" customWidth="1"/>
    <col min="6142" max="6142" width="6.33203125" style="296" bestFit="1" customWidth="1"/>
    <col min="6143" max="6143" width="6.109375" style="296" customWidth="1"/>
    <col min="6144" max="6144" width="58.44140625" style="296" customWidth="1"/>
    <col min="6145" max="6145" width="8.33203125" style="296" bestFit="1" customWidth="1"/>
    <col min="6146" max="6146" width="6.109375" style="296" customWidth="1"/>
    <col min="6147" max="6147" width="6.6640625" style="296" customWidth="1"/>
    <col min="6148" max="6148" width="12.5546875" style="296" customWidth="1"/>
    <col min="6149" max="6149" width="9.5546875" style="296" customWidth="1"/>
    <col min="6150" max="6155" width="5.6640625" style="296" customWidth="1"/>
    <col min="6156" max="6156" width="9" style="296" customWidth="1"/>
    <col min="6157" max="6157" width="21.44140625" style="296" customWidth="1"/>
    <col min="6158" max="6396" width="11.44140625" style="296"/>
    <col min="6397" max="6397" width="1.5546875" style="296" customWidth="1"/>
    <col min="6398" max="6398" width="6.33203125" style="296" bestFit="1" customWidth="1"/>
    <col min="6399" max="6399" width="6.109375" style="296" customWidth="1"/>
    <col min="6400" max="6400" width="58.44140625" style="296" customWidth="1"/>
    <col min="6401" max="6401" width="8.33203125" style="296" bestFit="1" customWidth="1"/>
    <col min="6402" max="6402" width="6.109375" style="296" customWidth="1"/>
    <col min="6403" max="6403" width="6.6640625" style="296" customWidth="1"/>
    <col min="6404" max="6404" width="12.5546875" style="296" customWidth="1"/>
    <col min="6405" max="6405" width="9.5546875" style="296" customWidth="1"/>
    <col min="6406" max="6411" width="5.6640625" style="296" customWidth="1"/>
    <col min="6412" max="6412" width="9" style="296" customWidth="1"/>
    <col min="6413" max="6413" width="21.44140625" style="296" customWidth="1"/>
    <col min="6414" max="6652" width="11.44140625" style="296"/>
    <col min="6653" max="6653" width="1.5546875" style="296" customWidth="1"/>
    <col min="6654" max="6654" width="6.33203125" style="296" bestFit="1" customWidth="1"/>
    <col min="6655" max="6655" width="6.109375" style="296" customWidth="1"/>
    <col min="6656" max="6656" width="58.44140625" style="296" customWidth="1"/>
    <col min="6657" max="6657" width="8.33203125" style="296" bestFit="1" customWidth="1"/>
    <col min="6658" max="6658" width="6.109375" style="296" customWidth="1"/>
    <col min="6659" max="6659" width="6.6640625" style="296" customWidth="1"/>
    <col min="6660" max="6660" width="12.5546875" style="296" customWidth="1"/>
    <col min="6661" max="6661" width="9.5546875" style="296" customWidth="1"/>
    <col min="6662" max="6667" width="5.6640625" style="296" customWidth="1"/>
    <col min="6668" max="6668" width="9" style="296" customWidth="1"/>
    <col min="6669" max="6669" width="21.44140625" style="296" customWidth="1"/>
    <col min="6670" max="6908" width="11.44140625" style="296"/>
    <col min="6909" max="6909" width="1.5546875" style="296" customWidth="1"/>
    <col min="6910" max="6910" width="6.33203125" style="296" bestFit="1" customWidth="1"/>
    <col min="6911" max="6911" width="6.109375" style="296" customWidth="1"/>
    <col min="6912" max="6912" width="58.44140625" style="296" customWidth="1"/>
    <col min="6913" max="6913" width="8.33203125" style="296" bestFit="1" customWidth="1"/>
    <col min="6914" max="6914" width="6.109375" style="296" customWidth="1"/>
    <col min="6915" max="6915" width="6.6640625" style="296" customWidth="1"/>
    <col min="6916" max="6916" width="12.5546875" style="296" customWidth="1"/>
    <col min="6917" max="6917" width="9.5546875" style="296" customWidth="1"/>
    <col min="6918" max="6923" width="5.6640625" style="296" customWidth="1"/>
    <col min="6924" max="6924" width="9" style="296" customWidth="1"/>
    <col min="6925" max="6925" width="21.44140625" style="296" customWidth="1"/>
    <col min="6926" max="7164" width="11.44140625" style="296"/>
    <col min="7165" max="7165" width="1.5546875" style="296" customWidth="1"/>
    <col min="7166" max="7166" width="6.33203125" style="296" bestFit="1" customWidth="1"/>
    <col min="7167" max="7167" width="6.109375" style="296" customWidth="1"/>
    <col min="7168" max="7168" width="58.44140625" style="296" customWidth="1"/>
    <col min="7169" max="7169" width="8.33203125" style="296" bestFit="1" customWidth="1"/>
    <col min="7170" max="7170" width="6.109375" style="296" customWidth="1"/>
    <col min="7171" max="7171" width="6.6640625" style="296" customWidth="1"/>
    <col min="7172" max="7172" width="12.5546875" style="296" customWidth="1"/>
    <col min="7173" max="7173" width="9.5546875" style="296" customWidth="1"/>
    <col min="7174" max="7179" width="5.6640625" style="296" customWidth="1"/>
    <col min="7180" max="7180" width="9" style="296" customWidth="1"/>
    <col min="7181" max="7181" width="21.44140625" style="296" customWidth="1"/>
    <col min="7182" max="7420" width="11.44140625" style="296"/>
    <col min="7421" max="7421" width="1.5546875" style="296" customWidth="1"/>
    <col min="7422" max="7422" width="6.33203125" style="296" bestFit="1" customWidth="1"/>
    <col min="7423" max="7423" width="6.109375" style="296" customWidth="1"/>
    <col min="7424" max="7424" width="58.44140625" style="296" customWidth="1"/>
    <col min="7425" max="7425" width="8.33203125" style="296" bestFit="1" customWidth="1"/>
    <col min="7426" max="7426" width="6.109375" style="296" customWidth="1"/>
    <col min="7427" max="7427" width="6.6640625" style="296" customWidth="1"/>
    <col min="7428" max="7428" width="12.5546875" style="296" customWidth="1"/>
    <col min="7429" max="7429" width="9.5546875" style="296" customWidth="1"/>
    <col min="7430" max="7435" width="5.6640625" style="296" customWidth="1"/>
    <col min="7436" max="7436" width="9" style="296" customWidth="1"/>
    <col min="7437" max="7437" width="21.44140625" style="296" customWidth="1"/>
    <col min="7438" max="7676" width="11.44140625" style="296"/>
    <col min="7677" max="7677" width="1.5546875" style="296" customWidth="1"/>
    <col min="7678" max="7678" width="6.33203125" style="296" bestFit="1" customWidth="1"/>
    <col min="7679" max="7679" width="6.109375" style="296" customWidth="1"/>
    <col min="7680" max="7680" width="58.44140625" style="296" customWidth="1"/>
    <col min="7681" max="7681" width="8.33203125" style="296" bestFit="1" customWidth="1"/>
    <col min="7682" max="7682" width="6.109375" style="296" customWidth="1"/>
    <col min="7683" max="7683" width="6.6640625" style="296" customWidth="1"/>
    <col min="7684" max="7684" width="12.5546875" style="296" customWidth="1"/>
    <col min="7685" max="7685" width="9.5546875" style="296" customWidth="1"/>
    <col min="7686" max="7691" width="5.6640625" style="296" customWidth="1"/>
    <col min="7692" max="7692" width="9" style="296" customWidth="1"/>
    <col min="7693" max="7693" width="21.44140625" style="296" customWidth="1"/>
    <col min="7694" max="7932" width="11.44140625" style="296"/>
    <col min="7933" max="7933" width="1.5546875" style="296" customWidth="1"/>
    <col min="7934" max="7934" width="6.33203125" style="296" bestFit="1" customWidth="1"/>
    <col min="7935" max="7935" width="6.109375" style="296" customWidth="1"/>
    <col min="7936" max="7936" width="58.44140625" style="296" customWidth="1"/>
    <col min="7937" max="7937" width="8.33203125" style="296" bestFit="1" customWidth="1"/>
    <col min="7938" max="7938" width="6.109375" style="296" customWidth="1"/>
    <col min="7939" max="7939" width="6.6640625" style="296" customWidth="1"/>
    <col min="7940" max="7940" width="12.5546875" style="296" customWidth="1"/>
    <col min="7941" max="7941" width="9.5546875" style="296" customWidth="1"/>
    <col min="7942" max="7947" width="5.6640625" style="296" customWidth="1"/>
    <col min="7948" max="7948" width="9" style="296" customWidth="1"/>
    <col min="7949" max="7949" width="21.44140625" style="296" customWidth="1"/>
    <col min="7950" max="8188" width="11.44140625" style="296"/>
    <col min="8189" max="8189" width="1.5546875" style="296" customWidth="1"/>
    <col min="8190" max="8190" width="6.33203125" style="296" bestFit="1" customWidth="1"/>
    <col min="8191" max="8191" width="6.109375" style="296" customWidth="1"/>
    <col min="8192" max="8192" width="58.44140625" style="296" customWidth="1"/>
    <col min="8193" max="8193" width="8.33203125" style="296" bestFit="1" customWidth="1"/>
    <col min="8194" max="8194" width="6.109375" style="296" customWidth="1"/>
    <col min="8195" max="8195" width="6.6640625" style="296" customWidth="1"/>
    <col min="8196" max="8196" width="12.5546875" style="296" customWidth="1"/>
    <col min="8197" max="8197" width="9.5546875" style="296" customWidth="1"/>
    <col min="8198" max="8203" width="5.6640625" style="296" customWidth="1"/>
    <col min="8204" max="8204" width="9" style="296" customWidth="1"/>
    <col min="8205" max="8205" width="21.44140625" style="296" customWidth="1"/>
    <col min="8206" max="8444" width="11.44140625" style="296"/>
    <col min="8445" max="8445" width="1.5546875" style="296" customWidth="1"/>
    <col min="8446" max="8446" width="6.33203125" style="296" bestFit="1" customWidth="1"/>
    <col min="8447" max="8447" width="6.109375" style="296" customWidth="1"/>
    <col min="8448" max="8448" width="58.44140625" style="296" customWidth="1"/>
    <col min="8449" max="8449" width="8.33203125" style="296" bestFit="1" customWidth="1"/>
    <col min="8450" max="8450" width="6.109375" style="296" customWidth="1"/>
    <col min="8451" max="8451" width="6.6640625" style="296" customWidth="1"/>
    <col min="8452" max="8452" width="12.5546875" style="296" customWidth="1"/>
    <col min="8453" max="8453" width="9.5546875" style="296" customWidth="1"/>
    <col min="8454" max="8459" width="5.6640625" style="296" customWidth="1"/>
    <col min="8460" max="8460" width="9" style="296" customWidth="1"/>
    <col min="8461" max="8461" width="21.44140625" style="296" customWidth="1"/>
    <col min="8462" max="8700" width="11.44140625" style="296"/>
    <col min="8701" max="8701" width="1.5546875" style="296" customWidth="1"/>
    <col min="8702" max="8702" width="6.33203125" style="296" bestFit="1" customWidth="1"/>
    <col min="8703" max="8703" width="6.109375" style="296" customWidth="1"/>
    <col min="8704" max="8704" width="58.44140625" style="296" customWidth="1"/>
    <col min="8705" max="8705" width="8.33203125" style="296" bestFit="1" customWidth="1"/>
    <col min="8706" max="8706" width="6.109375" style="296" customWidth="1"/>
    <col min="8707" max="8707" width="6.6640625" style="296" customWidth="1"/>
    <col min="8708" max="8708" width="12.5546875" style="296" customWidth="1"/>
    <col min="8709" max="8709" width="9.5546875" style="296" customWidth="1"/>
    <col min="8710" max="8715" width="5.6640625" style="296" customWidth="1"/>
    <col min="8716" max="8716" width="9" style="296" customWidth="1"/>
    <col min="8717" max="8717" width="21.44140625" style="296" customWidth="1"/>
    <col min="8718" max="8956" width="11.44140625" style="296"/>
    <col min="8957" max="8957" width="1.5546875" style="296" customWidth="1"/>
    <col min="8958" max="8958" width="6.33203125" style="296" bestFit="1" customWidth="1"/>
    <col min="8959" max="8959" width="6.109375" style="296" customWidth="1"/>
    <col min="8960" max="8960" width="58.44140625" style="296" customWidth="1"/>
    <col min="8961" max="8961" width="8.33203125" style="296" bestFit="1" customWidth="1"/>
    <col min="8962" max="8962" width="6.109375" style="296" customWidth="1"/>
    <col min="8963" max="8963" width="6.6640625" style="296" customWidth="1"/>
    <col min="8964" max="8964" width="12.5546875" style="296" customWidth="1"/>
    <col min="8965" max="8965" width="9.5546875" style="296" customWidth="1"/>
    <col min="8966" max="8971" width="5.6640625" style="296" customWidth="1"/>
    <col min="8972" max="8972" width="9" style="296" customWidth="1"/>
    <col min="8973" max="8973" width="21.44140625" style="296" customWidth="1"/>
    <col min="8974" max="9212" width="11.44140625" style="296"/>
    <col min="9213" max="9213" width="1.5546875" style="296" customWidth="1"/>
    <col min="9214" max="9214" width="6.33203125" style="296" bestFit="1" customWidth="1"/>
    <col min="9215" max="9215" width="6.109375" style="296" customWidth="1"/>
    <col min="9216" max="9216" width="58.44140625" style="296" customWidth="1"/>
    <col min="9217" max="9217" width="8.33203125" style="296" bestFit="1" customWidth="1"/>
    <col min="9218" max="9218" width="6.109375" style="296" customWidth="1"/>
    <col min="9219" max="9219" width="6.6640625" style="296" customWidth="1"/>
    <col min="9220" max="9220" width="12.5546875" style="296" customWidth="1"/>
    <col min="9221" max="9221" width="9.5546875" style="296" customWidth="1"/>
    <col min="9222" max="9227" width="5.6640625" style="296" customWidth="1"/>
    <col min="9228" max="9228" width="9" style="296" customWidth="1"/>
    <col min="9229" max="9229" width="21.44140625" style="296" customWidth="1"/>
    <col min="9230" max="9468" width="11.44140625" style="296"/>
    <col min="9469" max="9469" width="1.5546875" style="296" customWidth="1"/>
    <col min="9470" max="9470" width="6.33203125" style="296" bestFit="1" customWidth="1"/>
    <col min="9471" max="9471" width="6.109375" style="296" customWidth="1"/>
    <col min="9472" max="9472" width="58.44140625" style="296" customWidth="1"/>
    <col min="9473" max="9473" width="8.33203125" style="296" bestFit="1" customWidth="1"/>
    <col min="9474" max="9474" width="6.109375" style="296" customWidth="1"/>
    <col min="9475" max="9475" width="6.6640625" style="296" customWidth="1"/>
    <col min="9476" max="9476" width="12.5546875" style="296" customWidth="1"/>
    <col min="9477" max="9477" width="9.5546875" style="296" customWidth="1"/>
    <col min="9478" max="9483" width="5.6640625" style="296" customWidth="1"/>
    <col min="9484" max="9484" width="9" style="296" customWidth="1"/>
    <col min="9485" max="9485" width="21.44140625" style="296" customWidth="1"/>
    <col min="9486" max="9724" width="11.44140625" style="296"/>
    <col min="9725" max="9725" width="1.5546875" style="296" customWidth="1"/>
    <col min="9726" max="9726" width="6.33203125" style="296" bestFit="1" customWidth="1"/>
    <col min="9727" max="9727" width="6.109375" style="296" customWidth="1"/>
    <col min="9728" max="9728" width="58.44140625" style="296" customWidth="1"/>
    <col min="9729" max="9729" width="8.33203125" style="296" bestFit="1" customWidth="1"/>
    <col min="9730" max="9730" width="6.109375" style="296" customWidth="1"/>
    <col min="9731" max="9731" width="6.6640625" style="296" customWidth="1"/>
    <col min="9732" max="9732" width="12.5546875" style="296" customWidth="1"/>
    <col min="9733" max="9733" width="9.5546875" style="296" customWidth="1"/>
    <col min="9734" max="9739" width="5.6640625" style="296" customWidth="1"/>
    <col min="9740" max="9740" width="9" style="296" customWidth="1"/>
    <col min="9741" max="9741" width="21.44140625" style="296" customWidth="1"/>
    <col min="9742" max="9980" width="11.44140625" style="296"/>
    <col min="9981" max="9981" width="1.5546875" style="296" customWidth="1"/>
    <col min="9982" max="9982" width="6.33203125" style="296" bestFit="1" customWidth="1"/>
    <col min="9983" max="9983" width="6.109375" style="296" customWidth="1"/>
    <col min="9984" max="9984" width="58.44140625" style="296" customWidth="1"/>
    <col min="9985" max="9985" width="8.33203125" style="296" bestFit="1" customWidth="1"/>
    <col min="9986" max="9986" width="6.109375" style="296" customWidth="1"/>
    <col min="9987" max="9987" width="6.6640625" style="296" customWidth="1"/>
    <col min="9988" max="9988" width="12.5546875" style="296" customWidth="1"/>
    <col min="9989" max="9989" width="9.5546875" style="296" customWidth="1"/>
    <col min="9990" max="9995" width="5.6640625" style="296" customWidth="1"/>
    <col min="9996" max="9996" width="9" style="296" customWidth="1"/>
    <col min="9997" max="9997" width="21.44140625" style="296" customWidth="1"/>
    <col min="9998" max="10236" width="11.44140625" style="296"/>
    <col min="10237" max="10237" width="1.5546875" style="296" customWidth="1"/>
    <col min="10238" max="10238" width="6.33203125" style="296" bestFit="1" customWidth="1"/>
    <col min="10239" max="10239" width="6.109375" style="296" customWidth="1"/>
    <col min="10240" max="10240" width="58.44140625" style="296" customWidth="1"/>
    <col min="10241" max="10241" width="8.33203125" style="296" bestFit="1" customWidth="1"/>
    <col min="10242" max="10242" width="6.109375" style="296" customWidth="1"/>
    <col min="10243" max="10243" width="6.6640625" style="296" customWidth="1"/>
    <col min="10244" max="10244" width="12.5546875" style="296" customWidth="1"/>
    <col min="10245" max="10245" width="9.5546875" style="296" customWidth="1"/>
    <col min="10246" max="10251" width="5.6640625" style="296" customWidth="1"/>
    <col min="10252" max="10252" width="9" style="296" customWidth="1"/>
    <col min="10253" max="10253" width="21.44140625" style="296" customWidth="1"/>
    <col min="10254" max="10492" width="11.44140625" style="296"/>
    <col min="10493" max="10493" width="1.5546875" style="296" customWidth="1"/>
    <col min="10494" max="10494" width="6.33203125" style="296" bestFit="1" customWidth="1"/>
    <col min="10495" max="10495" width="6.109375" style="296" customWidth="1"/>
    <col min="10496" max="10496" width="58.44140625" style="296" customWidth="1"/>
    <col min="10497" max="10497" width="8.33203125" style="296" bestFit="1" customWidth="1"/>
    <col min="10498" max="10498" width="6.109375" style="296" customWidth="1"/>
    <col min="10499" max="10499" width="6.6640625" style="296" customWidth="1"/>
    <col min="10500" max="10500" width="12.5546875" style="296" customWidth="1"/>
    <col min="10501" max="10501" width="9.5546875" style="296" customWidth="1"/>
    <col min="10502" max="10507" width="5.6640625" style="296" customWidth="1"/>
    <col min="10508" max="10508" width="9" style="296" customWidth="1"/>
    <col min="10509" max="10509" width="21.44140625" style="296" customWidth="1"/>
    <col min="10510" max="10748" width="11.44140625" style="296"/>
    <col min="10749" max="10749" width="1.5546875" style="296" customWidth="1"/>
    <col min="10750" max="10750" width="6.33203125" style="296" bestFit="1" customWidth="1"/>
    <col min="10751" max="10751" width="6.109375" style="296" customWidth="1"/>
    <col min="10752" max="10752" width="58.44140625" style="296" customWidth="1"/>
    <col min="10753" max="10753" width="8.33203125" style="296" bestFit="1" customWidth="1"/>
    <col min="10754" max="10754" width="6.109375" style="296" customWidth="1"/>
    <col min="10755" max="10755" width="6.6640625" style="296" customWidth="1"/>
    <col min="10756" max="10756" width="12.5546875" style="296" customWidth="1"/>
    <col min="10757" max="10757" width="9.5546875" style="296" customWidth="1"/>
    <col min="10758" max="10763" width="5.6640625" style="296" customWidth="1"/>
    <col min="10764" max="10764" width="9" style="296" customWidth="1"/>
    <col min="10765" max="10765" width="21.44140625" style="296" customWidth="1"/>
    <col min="10766" max="11004" width="11.44140625" style="296"/>
    <col min="11005" max="11005" width="1.5546875" style="296" customWidth="1"/>
    <col min="11006" max="11006" width="6.33203125" style="296" bestFit="1" customWidth="1"/>
    <col min="11007" max="11007" width="6.109375" style="296" customWidth="1"/>
    <col min="11008" max="11008" width="58.44140625" style="296" customWidth="1"/>
    <col min="11009" max="11009" width="8.33203125" style="296" bestFit="1" customWidth="1"/>
    <col min="11010" max="11010" width="6.109375" style="296" customWidth="1"/>
    <col min="11011" max="11011" width="6.6640625" style="296" customWidth="1"/>
    <col min="11012" max="11012" width="12.5546875" style="296" customWidth="1"/>
    <col min="11013" max="11013" width="9.5546875" style="296" customWidth="1"/>
    <col min="11014" max="11019" width="5.6640625" style="296" customWidth="1"/>
    <col min="11020" max="11020" width="9" style="296" customWidth="1"/>
    <col min="11021" max="11021" width="21.44140625" style="296" customWidth="1"/>
    <col min="11022" max="11260" width="11.44140625" style="296"/>
    <col min="11261" max="11261" width="1.5546875" style="296" customWidth="1"/>
    <col min="11262" max="11262" width="6.33203125" style="296" bestFit="1" customWidth="1"/>
    <col min="11263" max="11263" width="6.109375" style="296" customWidth="1"/>
    <col min="11264" max="11264" width="58.44140625" style="296" customWidth="1"/>
    <col min="11265" max="11265" width="8.33203125" style="296" bestFit="1" customWidth="1"/>
    <col min="11266" max="11266" width="6.109375" style="296" customWidth="1"/>
    <col min="11267" max="11267" width="6.6640625" style="296" customWidth="1"/>
    <col min="11268" max="11268" width="12.5546875" style="296" customWidth="1"/>
    <col min="11269" max="11269" width="9.5546875" style="296" customWidth="1"/>
    <col min="11270" max="11275" width="5.6640625" style="296" customWidth="1"/>
    <col min="11276" max="11276" width="9" style="296" customWidth="1"/>
    <col min="11277" max="11277" width="21.44140625" style="296" customWidth="1"/>
    <col min="11278" max="11516" width="11.44140625" style="296"/>
    <col min="11517" max="11517" width="1.5546875" style="296" customWidth="1"/>
    <col min="11518" max="11518" width="6.33203125" style="296" bestFit="1" customWidth="1"/>
    <col min="11519" max="11519" width="6.109375" style="296" customWidth="1"/>
    <col min="11520" max="11520" width="58.44140625" style="296" customWidth="1"/>
    <col min="11521" max="11521" width="8.33203125" style="296" bestFit="1" customWidth="1"/>
    <col min="11522" max="11522" width="6.109375" style="296" customWidth="1"/>
    <col min="11523" max="11523" width="6.6640625" style="296" customWidth="1"/>
    <col min="11524" max="11524" width="12.5546875" style="296" customWidth="1"/>
    <col min="11525" max="11525" width="9.5546875" style="296" customWidth="1"/>
    <col min="11526" max="11531" width="5.6640625" style="296" customWidth="1"/>
    <col min="11532" max="11532" width="9" style="296" customWidth="1"/>
    <col min="11533" max="11533" width="21.44140625" style="296" customWidth="1"/>
    <col min="11534" max="11772" width="11.44140625" style="296"/>
    <col min="11773" max="11773" width="1.5546875" style="296" customWidth="1"/>
    <col min="11774" max="11774" width="6.33203125" style="296" bestFit="1" customWidth="1"/>
    <col min="11775" max="11775" width="6.109375" style="296" customWidth="1"/>
    <col min="11776" max="11776" width="58.44140625" style="296" customWidth="1"/>
    <col min="11777" max="11777" width="8.33203125" style="296" bestFit="1" customWidth="1"/>
    <col min="11778" max="11778" width="6.109375" style="296" customWidth="1"/>
    <col min="11779" max="11779" width="6.6640625" style="296" customWidth="1"/>
    <col min="11780" max="11780" width="12.5546875" style="296" customWidth="1"/>
    <col min="11781" max="11781" width="9.5546875" style="296" customWidth="1"/>
    <col min="11782" max="11787" width="5.6640625" style="296" customWidth="1"/>
    <col min="11788" max="11788" width="9" style="296" customWidth="1"/>
    <col min="11789" max="11789" width="21.44140625" style="296" customWidth="1"/>
    <col min="11790" max="12028" width="11.44140625" style="296"/>
    <col min="12029" max="12029" width="1.5546875" style="296" customWidth="1"/>
    <col min="12030" max="12030" width="6.33203125" style="296" bestFit="1" customWidth="1"/>
    <col min="12031" max="12031" width="6.109375" style="296" customWidth="1"/>
    <col min="12032" max="12032" width="58.44140625" style="296" customWidth="1"/>
    <col min="12033" max="12033" width="8.33203125" style="296" bestFit="1" customWidth="1"/>
    <col min="12034" max="12034" width="6.109375" style="296" customWidth="1"/>
    <col min="12035" max="12035" width="6.6640625" style="296" customWidth="1"/>
    <col min="12036" max="12036" width="12.5546875" style="296" customWidth="1"/>
    <col min="12037" max="12037" width="9.5546875" style="296" customWidth="1"/>
    <col min="12038" max="12043" width="5.6640625" style="296" customWidth="1"/>
    <col min="12044" max="12044" width="9" style="296" customWidth="1"/>
    <col min="12045" max="12045" width="21.44140625" style="296" customWidth="1"/>
    <col min="12046" max="12284" width="11.44140625" style="296"/>
    <col min="12285" max="12285" width="1.5546875" style="296" customWidth="1"/>
    <col min="12286" max="12286" width="6.33203125" style="296" bestFit="1" customWidth="1"/>
    <col min="12287" max="12287" width="6.109375" style="296" customWidth="1"/>
    <col min="12288" max="12288" width="58.44140625" style="296" customWidth="1"/>
    <col min="12289" max="12289" width="8.33203125" style="296" bestFit="1" customWidth="1"/>
    <col min="12290" max="12290" width="6.109375" style="296" customWidth="1"/>
    <col min="12291" max="12291" width="6.6640625" style="296" customWidth="1"/>
    <col min="12292" max="12292" width="12.5546875" style="296" customWidth="1"/>
    <col min="12293" max="12293" width="9.5546875" style="296" customWidth="1"/>
    <col min="12294" max="12299" width="5.6640625" style="296" customWidth="1"/>
    <col min="12300" max="12300" width="9" style="296" customWidth="1"/>
    <col min="12301" max="12301" width="21.44140625" style="296" customWidth="1"/>
    <col min="12302" max="12540" width="11.44140625" style="296"/>
    <col min="12541" max="12541" width="1.5546875" style="296" customWidth="1"/>
    <col min="12542" max="12542" width="6.33203125" style="296" bestFit="1" customWidth="1"/>
    <col min="12543" max="12543" width="6.109375" style="296" customWidth="1"/>
    <col min="12544" max="12544" width="58.44140625" style="296" customWidth="1"/>
    <col min="12545" max="12545" width="8.33203125" style="296" bestFit="1" customWidth="1"/>
    <col min="12546" max="12546" width="6.109375" style="296" customWidth="1"/>
    <col min="12547" max="12547" width="6.6640625" style="296" customWidth="1"/>
    <col min="12548" max="12548" width="12.5546875" style="296" customWidth="1"/>
    <col min="12549" max="12549" width="9.5546875" style="296" customWidth="1"/>
    <col min="12550" max="12555" width="5.6640625" style="296" customWidth="1"/>
    <col min="12556" max="12556" width="9" style="296" customWidth="1"/>
    <col min="12557" max="12557" width="21.44140625" style="296" customWidth="1"/>
    <col min="12558" max="12796" width="11.44140625" style="296"/>
    <col min="12797" max="12797" width="1.5546875" style="296" customWidth="1"/>
    <col min="12798" max="12798" width="6.33203125" style="296" bestFit="1" customWidth="1"/>
    <col min="12799" max="12799" width="6.109375" style="296" customWidth="1"/>
    <col min="12800" max="12800" width="58.44140625" style="296" customWidth="1"/>
    <col min="12801" max="12801" width="8.33203125" style="296" bestFit="1" customWidth="1"/>
    <col min="12802" max="12802" width="6.109375" style="296" customWidth="1"/>
    <col min="12803" max="12803" width="6.6640625" style="296" customWidth="1"/>
    <col min="12804" max="12804" width="12.5546875" style="296" customWidth="1"/>
    <col min="12805" max="12805" width="9.5546875" style="296" customWidth="1"/>
    <col min="12806" max="12811" width="5.6640625" style="296" customWidth="1"/>
    <col min="12812" max="12812" width="9" style="296" customWidth="1"/>
    <col min="12813" max="12813" width="21.44140625" style="296" customWidth="1"/>
    <col min="12814" max="13052" width="11.44140625" style="296"/>
    <col min="13053" max="13053" width="1.5546875" style="296" customWidth="1"/>
    <col min="13054" max="13054" width="6.33203125" style="296" bestFit="1" customWidth="1"/>
    <col min="13055" max="13055" width="6.109375" style="296" customWidth="1"/>
    <col min="13056" max="13056" width="58.44140625" style="296" customWidth="1"/>
    <col min="13057" max="13057" width="8.33203125" style="296" bestFit="1" customWidth="1"/>
    <col min="13058" max="13058" width="6.109375" style="296" customWidth="1"/>
    <col min="13059" max="13059" width="6.6640625" style="296" customWidth="1"/>
    <col min="13060" max="13060" width="12.5546875" style="296" customWidth="1"/>
    <col min="13061" max="13061" width="9.5546875" style="296" customWidth="1"/>
    <col min="13062" max="13067" width="5.6640625" style="296" customWidth="1"/>
    <col min="13068" max="13068" width="9" style="296" customWidth="1"/>
    <col min="13069" max="13069" width="21.44140625" style="296" customWidth="1"/>
    <col min="13070" max="13308" width="11.44140625" style="296"/>
    <col min="13309" max="13309" width="1.5546875" style="296" customWidth="1"/>
    <col min="13310" max="13310" width="6.33203125" style="296" bestFit="1" customWidth="1"/>
    <col min="13311" max="13311" width="6.109375" style="296" customWidth="1"/>
    <col min="13312" max="13312" width="58.44140625" style="296" customWidth="1"/>
    <col min="13313" max="13313" width="8.33203125" style="296" bestFit="1" customWidth="1"/>
    <col min="13314" max="13314" width="6.109375" style="296" customWidth="1"/>
    <col min="13315" max="13315" width="6.6640625" style="296" customWidth="1"/>
    <col min="13316" max="13316" width="12.5546875" style="296" customWidth="1"/>
    <col min="13317" max="13317" width="9.5546875" style="296" customWidth="1"/>
    <col min="13318" max="13323" width="5.6640625" style="296" customWidth="1"/>
    <col min="13324" max="13324" width="9" style="296" customWidth="1"/>
    <col min="13325" max="13325" width="21.44140625" style="296" customWidth="1"/>
    <col min="13326" max="13564" width="11.44140625" style="296"/>
    <col min="13565" max="13565" width="1.5546875" style="296" customWidth="1"/>
    <col min="13566" max="13566" width="6.33203125" style="296" bestFit="1" customWidth="1"/>
    <col min="13567" max="13567" width="6.109375" style="296" customWidth="1"/>
    <col min="13568" max="13568" width="58.44140625" style="296" customWidth="1"/>
    <col min="13569" max="13569" width="8.33203125" style="296" bestFit="1" customWidth="1"/>
    <col min="13570" max="13570" width="6.109375" style="296" customWidth="1"/>
    <col min="13571" max="13571" width="6.6640625" style="296" customWidth="1"/>
    <col min="13572" max="13572" width="12.5546875" style="296" customWidth="1"/>
    <col min="13573" max="13573" width="9.5546875" style="296" customWidth="1"/>
    <col min="13574" max="13579" width="5.6640625" style="296" customWidth="1"/>
    <col min="13580" max="13580" width="9" style="296" customWidth="1"/>
    <col min="13581" max="13581" width="21.44140625" style="296" customWidth="1"/>
    <col min="13582" max="13820" width="11.44140625" style="296"/>
    <col min="13821" max="13821" width="1.5546875" style="296" customWidth="1"/>
    <col min="13822" max="13822" width="6.33203125" style="296" bestFit="1" customWidth="1"/>
    <col min="13823" max="13823" width="6.109375" style="296" customWidth="1"/>
    <col min="13824" max="13824" width="58.44140625" style="296" customWidth="1"/>
    <col min="13825" max="13825" width="8.33203125" style="296" bestFit="1" customWidth="1"/>
    <col min="13826" max="13826" width="6.109375" style="296" customWidth="1"/>
    <col min="13827" max="13827" width="6.6640625" style="296" customWidth="1"/>
    <col min="13828" max="13828" width="12.5546875" style="296" customWidth="1"/>
    <col min="13829" max="13829" width="9.5546875" style="296" customWidth="1"/>
    <col min="13830" max="13835" width="5.6640625" style="296" customWidth="1"/>
    <col min="13836" max="13836" width="9" style="296" customWidth="1"/>
    <col min="13837" max="13837" width="21.44140625" style="296" customWidth="1"/>
    <col min="13838" max="14076" width="11.44140625" style="296"/>
    <col min="14077" max="14077" width="1.5546875" style="296" customWidth="1"/>
    <col min="14078" max="14078" width="6.33203125" style="296" bestFit="1" customWidth="1"/>
    <col min="14079" max="14079" width="6.109375" style="296" customWidth="1"/>
    <col min="14080" max="14080" width="58.44140625" style="296" customWidth="1"/>
    <col min="14081" max="14081" width="8.33203125" style="296" bestFit="1" customWidth="1"/>
    <col min="14082" max="14082" width="6.109375" style="296" customWidth="1"/>
    <col min="14083" max="14083" width="6.6640625" style="296" customWidth="1"/>
    <col min="14084" max="14084" width="12.5546875" style="296" customWidth="1"/>
    <col min="14085" max="14085" width="9.5546875" style="296" customWidth="1"/>
    <col min="14086" max="14091" width="5.6640625" style="296" customWidth="1"/>
    <col min="14092" max="14092" width="9" style="296" customWidth="1"/>
    <col min="14093" max="14093" width="21.44140625" style="296" customWidth="1"/>
    <col min="14094" max="14332" width="11.44140625" style="296"/>
    <col min="14333" max="14333" width="1.5546875" style="296" customWidth="1"/>
    <col min="14334" max="14334" width="6.33203125" style="296" bestFit="1" customWidth="1"/>
    <col min="14335" max="14335" width="6.109375" style="296" customWidth="1"/>
    <col min="14336" max="14336" width="58.44140625" style="296" customWidth="1"/>
    <col min="14337" max="14337" width="8.33203125" style="296" bestFit="1" customWidth="1"/>
    <col min="14338" max="14338" width="6.109375" style="296" customWidth="1"/>
    <col min="14339" max="14339" width="6.6640625" style="296" customWidth="1"/>
    <col min="14340" max="14340" width="12.5546875" style="296" customWidth="1"/>
    <col min="14341" max="14341" width="9.5546875" style="296" customWidth="1"/>
    <col min="14342" max="14347" width="5.6640625" style="296" customWidth="1"/>
    <col min="14348" max="14348" width="9" style="296" customWidth="1"/>
    <col min="14349" max="14349" width="21.44140625" style="296" customWidth="1"/>
    <col min="14350" max="14588" width="11.44140625" style="296"/>
    <col min="14589" max="14589" width="1.5546875" style="296" customWidth="1"/>
    <col min="14590" max="14590" width="6.33203125" style="296" bestFit="1" customWidth="1"/>
    <col min="14591" max="14591" width="6.109375" style="296" customWidth="1"/>
    <col min="14592" max="14592" width="58.44140625" style="296" customWidth="1"/>
    <col min="14593" max="14593" width="8.33203125" style="296" bestFit="1" customWidth="1"/>
    <col min="14594" max="14594" width="6.109375" style="296" customWidth="1"/>
    <col min="14595" max="14595" width="6.6640625" style="296" customWidth="1"/>
    <col min="14596" max="14596" width="12.5546875" style="296" customWidth="1"/>
    <col min="14597" max="14597" width="9.5546875" style="296" customWidth="1"/>
    <col min="14598" max="14603" width="5.6640625" style="296" customWidth="1"/>
    <col min="14604" max="14604" width="9" style="296" customWidth="1"/>
    <col min="14605" max="14605" width="21.44140625" style="296" customWidth="1"/>
    <col min="14606" max="14844" width="11.44140625" style="296"/>
    <col min="14845" max="14845" width="1.5546875" style="296" customWidth="1"/>
    <col min="14846" max="14846" width="6.33203125" style="296" bestFit="1" customWidth="1"/>
    <col min="14847" max="14847" width="6.109375" style="296" customWidth="1"/>
    <col min="14848" max="14848" width="58.44140625" style="296" customWidth="1"/>
    <col min="14849" max="14849" width="8.33203125" style="296" bestFit="1" customWidth="1"/>
    <col min="14850" max="14850" width="6.109375" style="296" customWidth="1"/>
    <col min="14851" max="14851" width="6.6640625" style="296" customWidth="1"/>
    <col min="14852" max="14852" width="12.5546875" style="296" customWidth="1"/>
    <col min="14853" max="14853" width="9.5546875" style="296" customWidth="1"/>
    <col min="14854" max="14859" width="5.6640625" style="296" customWidth="1"/>
    <col min="14860" max="14860" width="9" style="296" customWidth="1"/>
    <col min="14861" max="14861" width="21.44140625" style="296" customWidth="1"/>
    <col min="14862" max="15100" width="11.44140625" style="296"/>
    <col min="15101" max="15101" width="1.5546875" style="296" customWidth="1"/>
    <col min="15102" max="15102" width="6.33203125" style="296" bestFit="1" customWidth="1"/>
    <col min="15103" max="15103" width="6.109375" style="296" customWidth="1"/>
    <col min="15104" max="15104" width="58.44140625" style="296" customWidth="1"/>
    <col min="15105" max="15105" width="8.33203125" style="296" bestFit="1" customWidth="1"/>
    <col min="15106" max="15106" width="6.109375" style="296" customWidth="1"/>
    <col min="15107" max="15107" width="6.6640625" style="296" customWidth="1"/>
    <col min="15108" max="15108" width="12.5546875" style="296" customWidth="1"/>
    <col min="15109" max="15109" width="9.5546875" style="296" customWidth="1"/>
    <col min="15110" max="15115" width="5.6640625" style="296" customWidth="1"/>
    <col min="15116" max="15116" width="9" style="296" customWidth="1"/>
    <col min="15117" max="15117" width="21.44140625" style="296" customWidth="1"/>
    <col min="15118" max="15356" width="11.44140625" style="296"/>
    <col min="15357" max="15357" width="1.5546875" style="296" customWidth="1"/>
    <col min="15358" max="15358" width="6.33203125" style="296" bestFit="1" customWidth="1"/>
    <col min="15359" max="15359" width="6.109375" style="296" customWidth="1"/>
    <col min="15360" max="15360" width="58.44140625" style="296" customWidth="1"/>
    <col min="15361" max="15361" width="8.33203125" style="296" bestFit="1" customWidth="1"/>
    <col min="15362" max="15362" width="6.109375" style="296" customWidth="1"/>
    <col min="15363" max="15363" width="6.6640625" style="296" customWidth="1"/>
    <col min="15364" max="15364" width="12.5546875" style="296" customWidth="1"/>
    <col min="15365" max="15365" width="9.5546875" style="296" customWidth="1"/>
    <col min="15366" max="15371" width="5.6640625" style="296" customWidth="1"/>
    <col min="15372" max="15372" width="9" style="296" customWidth="1"/>
    <col min="15373" max="15373" width="21.44140625" style="296" customWidth="1"/>
    <col min="15374" max="15612" width="11.44140625" style="296"/>
    <col min="15613" max="15613" width="1.5546875" style="296" customWidth="1"/>
    <col min="15614" max="15614" width="6.33203125" style="296" bestFit="1" customWidth="1"/>
    <col min="15615" max="15615" width="6.109375" style="296" customWidth="1"/>
    <col min="15616" max="15616" width="58.44140625" style="296" customWidth="1"/>
    <col min="15617" max="15617" width="8.33203125" style="296" bestFit="1" customWidth="1"/>
    <col min="15618" max="15618" width="6.109375" style="296" customWidth="1"/>
    <col min="15619" max="15619" width="6.6640625" style="296" customWidth="1"/>
    <col min="15620" max="15620" width="12.5546875" style="296" customWidth="1"/>
    <col min="15621" max="15621" width="9.5546875" style="296" customWidth="1"/>
    <col min="15622" max="15627" width="5.6640625" style="296" customWidth="1"/>
    <col min="15628" max="15628" width="9" style="296" customWidth="1"/>
    <col min="15629" max="15629" width="21.44140625" style="296" customWidth="1"/>
    <col min="15630" max="15868" width="11.44140625" style="296"/>
    <col min="15869" max="15869" width="1.5546875" style="296" customWidth="1"/>
    <col min="15870" max="15870" width="6.33203125" style="296" bestFit="1" customWidth="1"/>
    <col min="15871" max="15871" width="6.109375" style="296" customWidth="1"/>
    <col min="15872" max="15872" width="58.44140625" style="296" customWidth="1"/>
    <col min="15873" max="15873" width="8.33203125" style="296" bestFit="1" customWidth="1"/>
    <col min="15874" max="15874" width="6.109375" style="296" customWidth="1"/>
    <col min="15875" max="15875" width="6.6640625" style="296" customWidth="1"/>
    <col min="15876" max="15876" width="12.5546875" style="296" customWidth="1"/>
    <col min="15877" max="15877" width="9.5546875" style="296" customWidth="1"/>
    <col min="15878" max="15883" width="5.6640625" style="296" customWidth="1"/>
    <col min="15884" max="15884" width="9" style="296" customWidth="1"/>
    <col min="15885" max="15885" width="21.44140625" style="296" customWidth="1"/>
    <col min="15886" max="16124" width="11.44140625" style="296"/>
    <col min="16125" max="16125" width="1.5546875" style="296" customWidth="1"/>
    <col min="16126" max="16126" width="6.33203125" style="296" bestFit="1" customWidth="1"/>
    <col min="16127" max="16127" width="6.109375" style="296" customWidth="1"/>
    <col min="16128" max="16128" width="58.44140625" style="296" customWidth="1"/>
    <col min="16129" max="16129" width="8.33203125" style="296" bestFit="1" customWidth="1"/>
    <col min="16130" max="16130" width="6.109375" style="296" customWidth="1"/>
    <col min="16131" max="16131" width="6.6640625" style="296" customWidth="1"/>
    <col min="16132" max="16132" width="12.5546875" style="296" customWidth="1"/>
    <col min="16133" max="16133" width="9.5546875" style="296" customWidth="1"/>
    <col min="16134" max="16139" width="5.6640625" style="296" customWidth="1"/>
    <col min="16140" max="16140" width="9" style="296" customWidth="1"/>
    <col min="16141" max="16141" width="21.44140625" style="296" customWidth="1"/>
    <col min="16142" max="16384" width="11.44140625" style="296"/>
  </cols>
  <sheetData>
    <row r="1" spans="2:20" ht="7.5" customHeight="1" thickBot="1" x14ac:dyDescent="0.3"/>
    <row r="2" spans="2:20" ht="15" customHeight="1" x14ac:dyDescent="0.25">
      <c r="C2" s="901" t="s">
        <v>162</v>
      </c>
      <c r="D2" s="902"/>
      <c r="E2" s="902"/>
      <c r="F2" s="902"/>
      <c r="G2" s="902"/>
      <c r="H2" s="902"/>
      <c r="I2" s="902"/>
      <c r="J2" s="902"/>
      <c r="K2" s="902"/>
      <c r="L2" s="902"/>
      <c r="M2" s="902"/>
      <c r="N2" s="902"/>
      <c r="O2" s="902"/>
      <c r="P2" s="902"/>
      <c r="Q2" s="902"/>
      <c r="R2" s="903"/>
      <c r="S2" s="910"/>
      <c r="T2" s="911"/>
    </row>
    <row r="3" spans="2:20" ht="15" customHeight="1" x14ac:dyDescent="0.25">
      <c r="C3" s="904"/>
      <c r="D3" s="905"/>
      <c r="E3" s="905"/>
      <c r="F3" s="905"/>
      <c r="G3" s="905"/>
      <c r="H3" s="905"/>
      <c r="I3" s="905"/>
      <c r="J3" s="905"/>
      <c r="K3" s="905"/>
      <c r="L3" s="905"/>
      <c r="M3" s="905"/>
      <c r="N3" s="905"/>
      <c r="O3" s="905"/>
      <c r="P3" s="905"/>
      <c r="Q3" s="905"/>
      <c r="R3" s="906"/>
      <c r="S3" s="912"/>
      <c r="T3" s="913"/>
    </row>
    <row r="4" spans="2:20" ht="15" customHeight="1" x14ac:dyDescent="0.25">
      <c r="C4" s="904"/>
      <c r="D4" s="905"/>
      <c r="E4" s="905"/>
      <c r="F4" s="905"/>
      <c r="G4" s="905"/>
      <c r="H4" s="905"/>
      <c r="I4" s="905"/>
      <c r="J4" s="905"/>
      <c r="K4" s="905"/>
      <c r="L4" s="905"/>
      <c r="M4" s="905"/>
      <c r="N4" s="905"/>
      <c r="O4" s="905"/>
      <c r="P4" s="905"/>
      <c r="Q4" s="905"/>
      <c r="R4" s="906"/>
      <c r="S4" s="912"/>
      <c r="T4" s="913"/>
    </row>
    <row r="5" spans="2:20" ht="15.75" customHeight="1" thickBot="1" x14ac:dyDescent="0.3">
      <c r="C5" s="907"/>
      <c r="D5" s="908"/>
      <c r="E5" s="908"/>
      <c r="F5" s="908"/>
      <c r="G5" s="908"/>
      <c r="H5" s="908"/>
      <c r="I5" s="908"/>
      <c r="J5" s="908"/>
      <c r="K5" s="908"/>
      <c r="L5" s="908"/>
      <c r="M5" s="908"/>
      <c r="N5" s="908"/>
      <c r="O5" s="908"/>
      <c r="P5" s="908"/>
      <c r="Q5" s="908"/>
      <c r="R5" s="909"/>
      <c r="S5" s="914"/>
      <c r="T5" s="915"/>
    </row>
    <row r="6" spans="2:20" ht="38.25" customHeight="1" thickBot="1" x14ac:dyDescent="0.3">
      <c r="C6" s="916" t="s">
        <v>163</v>
      </c>
      <c r="D6" s="917"/>
      <c r="E6" s="918" t="s">
        <v>9</v>
      </c>
      <c r="F6" s="919"/>
      <c r="G6" s="919"/>
      <c r="H6" s="919"/>
      <c r="I6" s="919"/>
      <c r="J6" s="919"/>
      <c r="K6" s="919"/>
      <c r="L6" s="919"/>
      <c r="M6" s="919"/>
      <c r="N6" s="919"/>
      <c r="O6" s="919"/>
      <c r="P6" s="919"/>
      <c r="Q6" s="919"/>
      <c r="R6" s="919"/>
      <c r="S6" s="919"/>
      <c r="T6" s="920"/>
    </row>
    <row r="7" spans="2:20" x14ac:dyDescent="0.25">
      <c r="D7" s="375"/>
      <c r="E7" s="375"/>
      <c r="F7" s="375"/>
      <c r="G7" s="375"/>
      <c r="H7" s="375"/>
      <c r="I7" s="375"/>
      <c r="J7" s="375"/>
      <c r="K7" s="375"/>
      <c r="L7" s="375"/>
      <c r="M7" s="375"/>
      <c r="N7" s="375"/>
      <c r="O7" s="375"/>
      <c r="P7" s="375"/>
      <c r="Q7" s="375"/>
      <c r="R7" s="375"/>
      <c r="S7" s="375"/>
      <c r="T7" s="376"/>
    </row>
    <row r="8" spans="2:20" ht="15" customHeight="1" x14ac:dyDescent="0.25">
      <c r="C8" s="854" t="s">
        <v>289</v>
      </c>
      <c r="D8" s="855"/>
      <c r="E8" s="855"/>
      <c r="F8" s="855"/>
      <c r="G8" s="855"/>
      <c r="H8" s="855"/>
      <c r="I8" s="855"/>
      <c r="J8" s="855"/>
      <c r="K8" s="855"/>
      <c r="L8" s="855"/>
      <c r="M8" s="855"/>
      <c r="N8" s="855"/>
      <c r="O8" s="855"/>
      <c r="P8" s="855"/>
      <c r="Q8" s="855"/>
      <c r="R8" s="855"/>
      <c r="S8" s="855"/>
      <c r="T8" s="921"/>
    </row>
    <row r="9" spans="2:20" x14ac:dyDescent="0.25">
      <c r="C9" s="377"/>
      <c r="D9" s="377"/>
      <c r="E9" s="377"/>
      <c r="F9" s="377"/>
      <c r="G9" s="377"/>
      <c r="H9" s="377"/>
      <c r="I9" s="377"/>
      <c r="J9" s="377"/>
      <c r="K9" s="377"/>
      <c r="L9" s="377"/>
      <c r="M9" s="377"/>
      <c r="N9" s="377"/>
      <c r="O9" s="377"/>
      <c r="P9" s="377"/>
      <c r="Q9" s="377"/>
      <c r="R9" s="377"/>
      <c r="S9" s="377"/>
      <c r="T9" s="377"/>
    </row>
    <row r="10" spans="2:20" x14ac:dyDescent="0.25">
      <c r="C10" s="378"/>
      <c r="D10" s="379"/>
      <c r="E10" s="897" t="s">
        <v>290</v>
      </c>
      <c r="F10" s="897"/>
      <c r="G10" s="380">
        <f>'AIU FLDT'!D8</f>
        <v>4</v>
      </c>
      <c r="H10" s="898" t="s">
        <v>74</v>
      </c>
      <c r="I10" s="899"/>
      <c r="J10" s="381"/>
      <c r="K10" s="382"/>
      <c r="L10" s="382"/>
      <c r="M10" s="382"/>
      <c r="N10" s="382"/>
      <c r="O10" s="382"/>
      <c r="P10" s="382"/>
      <c r="Q10" s="382"/>
      <c r="R10" s="382"/>
      <c r="S10" s="900"/>
      <c r="T10" s="900"/>
    </row>
    <row r="11" spans="2:20" ht="14.4" thickBot="1" x14ac:dyDescent="0.3">
      <c r="C11" s="378"/>
      <c r="D11" s="378"/>
      <c r="E11" s="378"/>
      <c r="F11" s="378"/>
      <c r="G11" s="378"/>
      <c r="H11" s="378"/>
      <c r="I11" s="378"/>
      <c r="J11" s="378"/>
      <c r="K11" s="378"/>
      <c r="L11" s="378"/>
      <c r="M11" s="378"/>
      <c r="N11" s="378"/>
      <c r="O11" s="378"/>
      <c r="P11" s="378"/>
      <c r="Q11" s="378"/>
      <c r="R11" s="378"/>
      <c r="S11" s="378"/>
      <c r="T11" s="378"/>
    </row>
    <row r="12" spans="2:20" ht="20.100000000000001" customHeight="1" x14ac:dyDescent="0.25">
      <c r="C12" s="893" t="s">
        <v>291</v>
      </c>
      <c r="D12" s="895" t="s">
        <v>12</v>
      </c>
      <c r="E12" s="895" t="s">
        <v>292</v>
      </c>
      <c r="F12" s="895"/>
      <c r="G12" s="895" t="s">
        <v>170</v>
      </c>
      <c r="H12" s="885" t="s">
        <v>293</v>
      </c>
      <c r="I12" s="885" t="s">
        <v>294</v>
      </c>
      <c r="J12" s="882" t="s">
        <v>295</v>
      </c>
      <c r="K12" s="883"/>
      <c r="L12" s="883"/>
      <c r="M12" s="883"/>
      <c r="N12" s="883"/>
      <c r="O12" s="883"/>
      <c r="P12" s="883"/>
      <c r="Q12" s="883"/>
      <c r="R12" s="884"/>
      <c r="S12" s="885" t="s">
        <v>296</v>
      </c>
      <c r="T12" s="887" t="s">
        <v>297</v>
      </c>
    </row>
    <row r="13" spans="2:20" ht="20.100000000000001" customHeight="1" x14ac:dyDescent="0.25">
      <c r="C13" s="894"/>
      <c r="D13" s="896"/>
      <c r="E13" s="383" t="s">
        <v>298</v>
      </c>
      <c r="F13" s="384" t="s">
        <v>299</v>
      </c>
      <c r="G13" s="896"/>
      <c r="H13" s="896"/>
      <c r="I13" s="886"/>
      <c r="J13" s="386">
        <v>1</v>
      </c>
      <c r="K13" s="386">
        <v>2</v>
      </c>
      <c r="L13" s="386">
        <v>3</v>
      </c>
      <c r="M13" s="385">
        <v>4</v>
      </c>
      <c r="N13" s="385">
        <v>5</v>
      </c>
      <c r="O13" s="385">
        <v>6</v>
      </c>
      <c r="P13" s="385">
        <v>7</v>
      </c>
      <c r="Q13" s="514"/>
      <c r="R13" s="385">
        <v>8</v>
      </c>
      <c r="S13" s="886"/>
      <c r="T13" s="888"/>
    </row>
    <row r="14" spans="2:20" x14ac:dyDescent="0.25">
      <c r="C14" s="387">
        <v>1</v>
      </c>
      <c r="D14" s="388" t="s">
        <v>300</v>
      </c>
      <c r="E14" s="389"/>
      <c r="F14" s="389"/>
      <c r="G14" s="390"/>
      <c r="H14" s="391"/>
      <c r="I14" s="391"/>
      <c r="J14" s="391"/>
      <c r="K14" s="391"/>
      <c r="L14" s="391"/>
      <c r="M14" s="391"/>
      <c r="N14" s="391"/>
      <c r="O14" s="391"/>
      <c r="P14" s="391"/>
      <c r="Q14" s="391"/>
      <c r="R14" s="391"/>
      <c r="S14" s="391"/>
      <c r="T14" s="392"/>
    </row>
    <row r="15" spans="2:20" x14ac:dyDescent="0.25">
      <c r="B15" s="401"/>
      <c r="C15" s="402"/>
      <c r="D15" s="403" t="s">
        <v>301</v>
      </c>
      <c r="E15" s="404"/>
      <c r="F15" s="405"/>
      <c r="G15" s="405"/>
      <c r="H15" s="406"/>
      <c r="I15" s="406"/>
      <c r="J15" s="406"/>
      <c r="K15" s="406"/>
      <c r="L15" s="406"/>
      <c r="M15" s="406"/>
      <c r="N15" s="406"/>
      <c r="O15" s="406"/>
      <c r="P15" s="406"/>
      <c r="Q15" s="406"/>
      <c r="R15" s="406"/>
      <c r="S15" s="407"/>
      <c r="T15" s="408"/>
    </row>
    <row r="16" spans="2:20" ht="30" customHeight="1" x14ac:dyDescent="0.25">
      <c r="B16" s="401">
        <v>9455</v>
      </c>
      <c r="C16" s="409">
        <v>1.2</v>
      </c>
      <c r="D16" s="410" t="str">
        <f>+VLOOKUP(B16,'PRECIOS INSUMOS IDU 2025'!$A$1:$E$2794,2,FALSE)</f>
        <v>TARIFA MES - PERSONAL DE OBRA - AYUDANTE (NO INCLUYE FACTOR DE PRESTACIONES)</v>
      </c>
      <c r="E16" s="394" t="str">
        <f>+VLOOKUP(B16,'PRECIOS INSUMOS IDU 2025'!$A$1:$E$2794,3,FALSE)</f>
        <v>MES</v>
      </c>
      <c r="F16" s="411">
        <v>0.1</v>
      </c>
      <c r="G16" s="412"/>
      <c r="H16" s="314">
        <f>+VLOOKUP(B16,'PRECIOS INSUMOS IDU 2025'!$A$1:$E$2794,4,FALSE)</f>
        <v>1750905</v>
      </c>
      <c r="I16" s="396">
        <f>'CÁLCULO FACTOR MULTIPLICADOR'!$D$25</f>
        <v>1.58</v>
      </c>
      <c r="J16" s="397">
        <v>1</v>
      </c>
      <c r="K16" s="397">
        <v>1</v>
      </c>
      <c r="L16" s="397"/>
      <c r="M16" s="397"/>
      <c r="N16" s="397"/>
      <c r="O16" s="397"/>
      <c r="P16" s="397"/>
      <c r="Q16" s="397"/>
      <c r="R16" s="397"/>
      <c r="S16" s="398">
        <f>F16*(SUM(J16:R16))</f>
        <v>0.2</v>
      </c>
      <c r="T16" s="399">
        <f>ROUND(S16*H16*I16,0)</f>
        <v>553286</v>
      </c>
    </row>
    <row r="17" spans="2:21" x14ac:dyDescent="0.25">
      <c r="B17" s="401"/>
      <c r="C17" s="409"/>
      <c r="D17" s="403" t="s">
        <v>302</v>
      </c>
      <c r="E17" s="394"/>
      <c r="F17" s="413"/>
      <c r="G17" s="412"/>
      <c r="H17" s="395"/>
      <c r="I17" s="396"/>
      <c r="J17" s="414"/>
      <c r="K17" s="414"/>
      <c r="L17" s="414"/>
      <c r="M17" s="414"/>
      <c r="N17" s="414"/>
      <c r="O17" s="414"/>
      <c r="P17" s="414"/>
      <c r="Q17" s="414"/>
      <c r="R17" s="414"/>
      <c r="S17" s="398"/>
      <c r="T17" s="399"/>
    </row>
    <row r="18" spans="2:21" ht="26.4" x14ac:dyDescent="0.25">
      <c r="B18" s="401">
        <v>9455</v>
      </c>
      <c r="C18" s="409">
        <v>1.3</v>
      </c>
      <c r="D18" s="410" t="str">
        <f>+VLOOKUP(B18,'PRECIOS INSUMOS IDU 2025'!$A$1:$E$2794,2,FALSE)</f>
        <v>TARIFA MES - PERSONAL DE OBRA - AYUDANTE (NO INCLUYE FACTOR DE PRESTACIONES)</v>
      </c>
      <c r="E18" s="394" t="str">
        <f>+VLOOKUP(B18,'PRECIOS INSUMOS IDU 2025'!$A$1:$E$2794,3,FALSE)</f>
        <v>MES</v>
      </c>
      <c r="F18" s="415">
        <v>1</v>
      </c>
      <c r="G18" s="412"/>
      <c r="H18" s="314">
        <f>+VLOOKUP(B18,'PRECIOS INSUMOS IDU 2025'!$A$1:$E$2794,4,FALSE)</f>
        <v>1750905</v>
      </c>
      <c r="I18" s="396">
        <f>'CÁLCULO FACTOR MULTIPLICADOR'!$D$25</f>
        <v>1.58</v>
      </c>
      <c r="J18" s="397">
        <v>2</v>
      </c>
      <c r="K18" s="397">
        <v>2</v>
      </c>
      <c r="L18" s="397">
        <v>2</v>
      </c>
      <c r="M18" s="397">
        <v>2</v>
      </c>
      <c r="N18" s="397"/>
      <c r="O18" s="397"/>
      <c r="P18" s="397"/>
      <c r="Q18" s="397"/>
      <c r="R18" s="397"/>
      <c r="S18" s="398">
        <f>F18*(SUM(J18:R18))</f>
        <v>8</v>
      </c>
      <c r="T18" s="399">
        <f>ROUND(S18*H18*I18,0)</f>
        <v>22131439</v>
      </c>
    </row>
    <row r="19" spans="2:21" ht="15" customHeight="1" x14ac:dyDescent="0.25">
      <c r="C19" s="416"/>
      <c r="D19" s="417"/>
      <c r="E19" s="418"/>
      <c r="F19" s="419"/>
      <c r="G19" s="420"/>
      <c r="H19" s="421"/>
      <c r="I19" s="421"/>
      <c r="J19" s="421"/>
      <c r="K19" s="421"/>
      <c r="L19" s="421"/>
      <c r="M19" s="421"/>
      <c r="N19" s="421"/>
      <c r="O19" s="421"/>
      <c r="P19" s="421"/>
      <c r="Q19" s="421"/>
      <c r="R19" s="421"/>
      <c r="S19" s="422" t="s">
        <v>303</v>
      </c>
      <c r="T19" s="423">
        <f>SUM(T15:T18)</f>
        <v>22684725</v>
      </c>
    </row>
    <row r="20" spans="2:21" x14ac:dyDescent="0.25">
      <c r="C20" s="393">
        <v>2</v>
      </c>
      <c r="D20" s="388" t="s">
        <v>304</v>
      </c>
      <c r="E20" s="389"/>
      <c r="F20" s="389"/>
      <c r="G20" s="390"/>
      <c r="H20" s="391"/>
      <c r="I20" s="391"/>
      <c r="J20" s="391"/>
      <c r="K20" s="391"/>
      <c r="L20" s="391"/>
      <c r="M20" s="391"/>
      <c r="N20" s="391"/>
      <c r="O20" s="391"/>
      <c r="P20" s="391"/>
      <c r="Q20" s="391"/>
      <c r="R20" s="391"/>
      <c r="S20" s="424"/>
      <c r="T20" s="392"/>
    </row>
    <row r="21" spans="2:21" x14ac:dyDescent="0.25">
      <c r="C21" s="425"/>
      <c r="D21" s="388" t="s">
        <v>305</v>
      </c>
      <c r="E21" s="389"/>
      <c r="F21" s="389"/>
      <c r="G21" s="390"/>
      <c r="H21" s="391"/>
      <c r="I21" s="391"/>
      <c r="J21" s="391"/>
      <c r="K21" s="391"/>
      <c r="L21" s="391"/>
      <c r="M21" s="391"/>
      <c r="N21" s="391"/>
      <c r="O21" s="391"/>
      <c r="P21" s="391"/>
      <c r="Q21" s="391"/>
      <c r="R21" s="391"/>
      <c r="S21" s="424"/>
      <c r="T21" s="430"/>
    </row>
    <row r="22" spans="2:21" ht="63.75" customHeight="1" x14ac:dyDescent="0.25">
      <c r="B22" s="401"/>
      <c r="C22" s="409">
        <v>2.1</v>
      </c>
      <c r="D22" s="426" t="s">
        <v>306</v>
      </c>
      <c r="E22" s="427" t="s">
        <v>307</v>
      </c>
      <c r="F22" s="428">
        <v>1</v>
      </c>
      <c r="G22" s="427"/>
      <c r="H22" s="429">
        <v>8482</v>
      </c>
      <c r="I22" s="429"/>
      <c r="J22" s="397">
        <v>5</v>
      </c>
      <c r="K22" s="397">
        <v>5</v>
      </c>
      <c r="L22" s="397">
        <v>5</v>
      </c>
      <c r="M22" s="397">
        <v>5</v>
      </c>
      <c r="N22" s="397"/>
      <c r="O22" s="397"/>
      <c r="P22" s="397"/>
      <c r="Q22" s="397"/>
      <c r="R22" s="397"/>
      <c r="S22" s="398">
        <f>F22*(SUM(J22:R22))</f>
        <v>20</v>
      </c>
      <c r="T22" s="399">
        <f t="shared" ref="T22:T28" si="0">ROUND(S22*H22,0)</f>
        <v>169640</v>
      </c>
    </row>
    <row r="23" spans="2:21" ht="26.4" x14ac:dyDescent="0.25">
      <c r="B23" s="401"/>
      <c r="C23" s="409">
        <v>2.4</v>
      </c>
      <c r="D23" s="426" t="s">
        <v>308</v>
      </c>
      <c r="E23" s="427" t="s">
        <v>307</v>
      </c>
      <c r="F23" s="428">
        <v>1</v>
      </c>
      <c r="G23" s="427"/>
      <c r="H23" s="429">
        <v>14641</v>
      </c>
      <c r="I23" s="429"/>
      <c r="J23" s="397">
        <v>5</v>
      </c>
      <c r="K23" s="397">
        <v>5</v>
      </c>
      <c r="L23" s="397">
        <v>5</v>
      </c>
      <c r="M23" s="397">
        <v>5</v>
      </c>
      <c r="N23" s="397"/>
      <c r="O23" s="397"/>
      <c r="P23" s="397"/>
      <c r="Q23" s="397"/>
      <c r="R23" s="397"/>
      <c r="S23" s="398">
        <f t="shared" ref="S23:S28" si="1">F23*(SUM(J23:R23))</f>
        <v>20</v>
      </c>
      <c r="T23" s="399">
        <f t="shared" si="0"/>
        <v>292820</v>
      </c>
    </row>
    <row r="24" spans="2:21" x14ac:dyDescent="0.25">
      <c r="B24" s="401"/>
      <c r="C24" s="409">
        <v>2.5</v>
      </c>
      <c r="D24" s="426" t="s">
        <v>309</v>
      </c>
      <c r="E24" s="427" t="s">
        <v>307</v>
      </c>
      <c r="F24" s="428">
        <v>1</v>
      </c>
      <c r="G24" s="427"/>
      <c r="H24" s="429">
        <v>15620</v>
      </c>
      <c r="I24" s="429"/>
      <c r="J24" s="397">
        <v>5</v>
      </c>
      <c r="K24" s="397">
        <v>5</v>
      </c>
      <c r="L24" s="397">
        <v>5</v>
      </c>
      <c r="M24" s="397">
        <v>5</v>
      </c>
      <c r="N24" s="397"/>
      <c r="O24" s="397"/>
      <c r="P24" s="397"/>
      <c r="Q24" s="397"/>
      <c r="R24" s="397"/>
      <c r="S24" s="398">
        <f t="shared" si="1"/>
        <v>20</v>
      </c>
      <c r="T24" s="399">
        <f t="shared" si="0"/>
        <v>312400</v>
      </c>
    </row>
    <row r="25" spans="2:21" s="431" customFormat="1" ht="26.4" x14ac:dyDescent="0.25">
      <c r="B25" s="186"/>
      <c r="C25" s="409">
        <v>2.6</v>
      </c>
      <c r="D25" s="426" t="s">
        <v>310</v>
      </c>
      <c r="E25" s="427" t="s">
        <v>307</v>
      </c>
      <c r="F25" s="428">
        <v>1</v>
      </c>
      <c r="G25" s="427"/>
      <c r="H25" s="429">
        <v>169650</v>
      </c>
      <c r="I25" s="429"/>
      <c r="J25" s="397">
        <v>5</v>
      </c>
      <c r="K25" s="397">
        <v>5</v>
      </c>
      <c r="L25" s="397">
        <v>5</v>
      </c>
      <c r="M25" s="397">
        <v>5</v>
      </c>
      <c r="N25" s="397"/>
      <c r="O25" s="397"/>
      <c r="P25" s="397"/>
      <c r="Q25" s="397"/>
      <c r="R25" s="397"/>
      <c r="S25" s="398">
        <f t="shared" si="1"/>
        <v>20</v>
      </c>
      <c r="T25" s="399">
        <f t="shared" si="0"/>
        <v>3393000</v>
      </c>
    </row>
    <row r="26" spans="2:21" ht="26.4" x14ac:dyDescent="0.25">
      <c r="B26" s="401"/>
      <c r="C26" s="409">
        <v>2.7</v>
      </c>
      <c r="D26" s="410" t="s">
        <v>311</v>
      </c>
      <c r="E26" s="394" t="s">
        <v>32</v>
      </c>
      <c r="F26" s="432">
        <v>3</v>
      </c>
      <c r="G26" s="394"/>
      <c r="H26" s="429">
        <v>285705</v>
      </c>
      <c r="I26" s="429"/>
      <c r="J26" s="397">
        <v>5</v>
      </c>
      <c r="K26" s="397">
        <v>5</v>
      </c>
      <c r="L26" s="397">
        <v>5</v>
      </c>
      <c r="M26" s="397">
        <v>5</v>
      </c>
      <c r="N26" s="397"/>
      <c r="O26" s="397"/>
      <c r="P26" s="397"/>
      <c r="Q26" s="397"/>
      <c r="R26" s="397"/>
      <c r="S26" s="398">
        <f t="shared" si="1"/>
        <v>60</v>
      </c>
      <c r="T26" s="399">
        <f t="shared" si="0"/>
        <v>17142300</v>
      </c>
    </row>
    <row r="27" spans="2:21" x14ac:dyDescent="0.25">
      <c r="B27" s="401"/>
      <c r="C27" s="409">
        <v>2.8</v>
      </c>
      <c r="D27" s="410" t="s">
        <v>312</v>
      </c>
      <c r="E27" s="394" t="s">
        <v>32</v>
      </c>
      <c r="F27" s="432">
        <v>6</v>
      </c>
      <c r="G27" s="394"/>
      <c r="H27" s="429">
        <v>37188</v>
      </c>
      <c r="I27" s="429"/>
      <c r="J27" s="397">
        <v>5</v>
      </c>
      <c r="K27" s="397">
        <v>5</v>
      </c>
      <c r="L27" s="397">
        <v>5</v>
      </c>
      <c r="M27" s="397">
        <v>5</v>
      </c>
      <c r="N27" s="397"/>
      <c r="O27" s="397"/>
      <c r="P27" s="397"/>
      <c r="Q27" s="397"/>
      <c r="R27" s="397"/>
      <c r="S27" s="398">
        <f t="shared" si="1"/>
        <v>120</v>
      </c>
      <c r="T27" s="399">
        <f t="shared" si="0"/>
        <v>4462560</v>
      </c>
    </row>
    <row r="28" spans="2:21" x14ac:dyDescent="0.25">
      <c r="B28" s="401"/>
      <c r="C28" s="409">
        <v>2.9</v>
      </c>
      <c r="D28" s="426" t="s">
        <v>313</v>
      </c>
      <c r="E28" s="427" t="s">
        <v>307</v>
      </c>
      <c r="F28" s="428">
        <v>1</v>
      </c>
      <c r="G28" s="427"/>
      <c r="H28" s="429">
        <v>2470</v>
      </c>
      <c r="I28" s="429"/>
      <c r="J28" s="397">
        <v>5</v>
      </c>
      <c r="K28" s="397">
        <v>5</v>
      </c>
      <c r="L28" s="397">
        <v>5</v>
      </c>
      <c r="M28" s="397">
        <v>5</v>
      </c>
      <c r="N28" s="397"/>
      <c r="O28" s="397"/>
      <c r="P28" s="397"/>
      <c r="Q28" s="397"/>
      <c r="R28" s="397"/>
      <c r="S28" s="398">
        <f t="shared" si="1"/>
        <v>20</v>
      </c>
      <c r="T28" s="399">
        <f t="shared" si="0"/>
        <v>49400</v>
      </c>
    </row>
    <row r="29" spans="2:21" ht="14.4" thickBot="1" x14ac:dyDescent="0.3">
      <c r="C29" s="433"/>
      <c r="D29" s="434"/>
      <c r="E29" s="435"/>
      <c r="F29" s="436"/>
      <c r="G29" s="437"/>
      <c r="H29" s="438"/>
      <c r="I29" s="438"/>
      <c r="J29" s="438"/>
      <c r="K29" s="438"/>
      <c r="L29" s="438"/>
      <c r="M29" s="438"/>
      <c r="N29" s="438"/>
      <c r="O29" s="438"/>
      <c r="P29" s="438"/>
      <c r="Q29" s="438"/>
      <c r="R29" s="438"/>
      <c r="S29" s="434" t="s">
        <v>314</v>
      </c>
      <c r="T29" s="439">
        <f>ROUND(SUM(T21:T28),0)</f>
        <v>25822120</v>
      </c>
    </row>
    <row r="30" spans="2:21" x14ac:dyDescent="0.25">
      <c r="C30" s="440"/>
      <c r="D30" s="441"/>
      <c r="E30" s="442"/>
      <c r="F30" s="442"/>
      <c r="G30" s="443"/>
      <c r="H30" s="444"/>
      <c r="I30" s="444"/>
      <c r="J30" s="444"/>
      <c r="K30" s="444"/>
      <c r="L30" s="444"/>
      <c r="M30" s="444"/>
      <c r="N30" s="444"/>
      <c r="O30" s="444"/>
      <c r="P30" s="444"/>
      <c r="Q30" s="444"/>
      <c r="R30" s="444"/>
      <c r="S30" s="444"/>
      <c r="T30" s="445"/>
    </row>
    <row r="31" spans="2:21" x14ac:dyDescent="0.25">
      <c r="C31" s="440"/>
      <c r="D31" s="441"/>
      <c r="E31" s="442"/>
      <c r="F31" s="442"/>
      <c r="G31" s="443"/>
      <c r="H31" s="889" t="s">
        <v>315</v>
      </c>
      <c r="I31" s="890"/>
      <c r="J31" s="513"/>
      <c r="K31" s="513"/>
      <c r="L31" s="513"/>
      <c r="M31" s="513"/>
      <c r="N31" s="446"/>
      <c r="O31" s="446"/>
      <c r="P31" s="446"/>
      <c r="Q31" s="513"/>
      <c r="R31" s="446"/>
      <c r="S31" s="447"/>
      <c r="T31" s="448">
        <f>ROUND(T29+T19,0)</f>
        <v>48506845</v>
      </c>
    </row>
    <row r="32" spans="2:21" x14ac:dyDescent="0.25">
      <c r="C32" s="440"/>
      <c r="D32" s="441"/>
      <c r="E32" s="442"/>
      <c r="F32" s="442"/>
      <c r="G32" s="443"/>
      <c r="H32" s="891" t="s">
        <v>316</v>
      </c>
      <c r="I32" s="892"/>
      <c r="J32" s="515"/>
      <c r="K32" s="515"/>
      <c r="L32" s="515"/>
      <c r="M32" s="515"/>
      <c r="N32" s="449"/>
      <c r="O32" s="449"/>
      <c r="P32" s="449"/>
      <c r="Q32" s="515"/>
      <c r="R32" s="449"/>
      <c r="S32" s="450">
        <f>+'[116]AIU COMP. PMT'!L38</f>
        <v>0.1334642308794855</v>
      </c>
      <c r="T32" s="448">
        <f>ROUND(T31*S32,0)</f>
        <v>6473929</v>
      </c>
      <c r="U32" s="505"/>
    </row>
    <row r="33" spans="3:20" ht="15.6" x14ac:dyDescent="0.25">
      <c r="C33" s="451"/>
      <c r="D33" s="378"/>
      <c r="E33" s="451"/>
      <c r="F33" s="451"/>
      <c r="G33" s="451"/>
      <c r="H33" s="889" t="s">
        <v>181</v>
      </c>
      <c r="I33" s="890"/>
      <c r="J33" s="513"/>
      <c r="K33" s="513"/>
      <c r="L33" s="513"/>
      <c r="M33" s="513"/>
      <c r="N33" s="446"/>
      <c r="O33" s="446"/>
      <c r="P33" s="446"/>
      <c r="Q33" s="513"/>
      <c r="R33" s="446"/>
      <c r="S33" s="447"/>
      <c r="T33" s="452">
        <f>ROUND(T32+T31,0)</f>
        <v>54980774</v>
      </c>
    </row>
    <row r="37" spans="3:20" x14ac:dyDescent="0.25">
      <c r="K37" s="296">
        <v>210100</v>
      </c>
    </row>
  </sheetData>
  <mergeCells count="20">
    <mergeCell ref="E10:F10"/>
    <mergeCell ref="H10:I10"/>
    <mergeCell ref="S10:T10"/>
    <mergeCell ref="C2:R5"/>
    <mergeCell ref="S2:T5"/>
    <mergeCell ref="C6:D6"/>
    <mergeCell ref="E6:T6"/>
    <mergeCell ref="C8:T8"/>
    <mergeCell ref="H33:I33"/>
    <mergeCell ref="C12:C13"/>
    <mergeCell ref="D12:D13"/>
    <mergeCell ref="E12:F12"/>
    <mergeCell ref="G12:G13"/>
    <mergeCell ref="H12:H13"/>
    <mergeCell ref="I12:I13"/>
    <mergeCell ref="J12:R12"/>
    <mergeCell ref="S12:S13"/>
    <mergeCell ref="T12:T13"/>
    <mergeCell ref="H31:I31"/>
    <mergeCell ref="H32:I32"/>
  </mergeCells>
  <printOptions horizontalCentered="1"/>
  <pageMargins left="0.51181102362204722" right="0.51181102362204722" top="0.55118110236220474" bottom="0.74803149606299213" header="0.31496062992125984" footer="0.31496062992125984"/>
  <pageSetup scale="6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04429-3661-4DFE-9BDF-7AEF521CDCF0}">
  <sheetPr>
    <tabColor rgb="FF92D050"/>
  </sheetPr>
  <dimension ref="A1:P42"/>
  <sheetViews>
    <sheetView showGridLines="0" view="pageBreakPreview" zoomScaleNormal="100" zoomScaleSheetLayoutView="100" workbookViewId="0">
      <selection activeCell="E9" sqref="E9:G9"/>
    </sheetView>
  </sheetViews>
  <sheetFormatPr baseColWidth="10" defaultColWidth="11.44140625" defaultRowHeight="13.2" x14ac:dyDescent="0.3"/>
  <cols>
    <col min="1" max="1" width="7.109375" style="182" bestFit="1" customWidth="1"/>
    <col min="2" max="2" width="5.33203125" style="182" bestFit="1" customWidth="1"/>
    <col min="3" max="3" width="43.6640625" style="183" customWidth="1"/>
    <col min="4" max="4" width="13.5546875" style="183" customWidth="1"/>
    <col min="5" max="5" width="10.109375" style="183" customWidth="1"/>
    <col min="6" max="6" width="10" style="183" customWidth="1"/>
    <col min="7" max="7" width="6.109375" style="183" bestFit="1" customWidth="1"/>
    <col min="8" max="8" width="4.6640625" style="183" customWidth="1"/>
    <col min="9" max="9" width="14.88671875" style="183" bestFit="1" customWidth="1"/>
    <col min="10" max="10" width="12.88671875" style="183" bestFit="1" customWidth="1"/>
    <col min="11" max="11" width="7.6640625" style="183" customWidth="1"/>
    <col min="12" max="12" width="18" style="183" customWidth="1"/>
    <col min="13" max="13" width="8.33203125" style="183" customWidth="1"/>
    <col min="14" max="14" width="16" style="183" customWidth="1"/>
    <col min="15" max="15" width="15.109375" style="183" bestFit="1" customWidth="1"/>
    <col min="16" max="16" width="14.109375" style="183" bestFit="1" customWidth="1"/>
    <col min="17" max="256" width="11.44140625" style="183"/>
    <col min="257" max="257" width="7.109375" style="183" bestFit="1" customWidth="1"/>
    <col min="258" max="258" width="5.33203125" style="183" bestFit="1" customWidth="1"/>
    <col min="259" max="259" width="43.6640625" style="183" customWidth="1"/>
    <col min="260" max="260" width="13.5546875" style="183" customWidth="1"/>
    <col min="261" max="261" width="10.109375" style="183" customWidth="1"/>
    <col min="262" max="262" width="10" style="183" customWidth="1"/>
    <col min="263" max="263" width="6.109375" style="183" bestFit="1" customWidth="1"/>
    <col min="264" max="264" width="4.6640625" style="183" customWidth="1"/>
    <col min="265" max="265" width="14.88671875" style="183" bestFit="1" customWidth="1"/>
    <col min="266" max="266" width="12.88671875" style="183" bestFit="1" customWidth="1"/>
    <col min="267" max="267" width="7.6640625" style="183" customWidth="1"/>
    <col min="268" max="268" width="18" style="183" customWidth="1"/>
    <col min="269" max="269" width="8.33203125" style="183" customWidth="1"/>
    <col min="270" max="270" width="16" style="183" customWidth="1"/>
    <col min="271" max="271" width="15.109375" style="183" bestFit="1" customWidth="1"/>
    <col min="272" max="272" width="14.109375" style="183" bestFit="1" customWidth="1"/>
    <col min="273" max="512" width="11.44140625" style="183"/>
    <col min="513" max="513" width="7.109375" style="183" bestFit="1" customWidth="1"/>
    <col min="514" max="514" width="5.33203125" style="183" bestFit="1" customWidth="1"/>
    <col min="515" max="515" width="43.6640625" style="183" customWidth="1"/>
    <col min="516" max="516" width="13.5546875" style="183" customWidth="1"/>
    <col min="517" max="517" width="10.109375" style="183" customWidth="1"/>
    <col min="518" max="518" width="10" style="183" customWidth="1"/>
    <col min="519" max="519" width="6.109375" style="183" bestFit="1" customWidth="1"/>
    <col min="520" max="520" width="4.6640625" style="183" customWidth="1"/>
    <col min="521" max="521" width="14.88671875" style="183" bestFit="1" customWidth="1"/>
    <col min="522" max="522" width="12.88671875" style="183" bestFit="1" customWidth="1"/>
    <col min="523" max="523" width="7.6640625" style="183" customWidth="1"/>
    <col min="524" max="524" width="18" style="183" customWidth="1"/>
    <col min="525" max="525" width="8.33203125" style="183" customWidth="1"/>
    <col min="526" max="526" width="16" style="183" customWidth="1"/>
    <col min="527" max="527" width="15.109375" style="183" bestFit="1" customWidth="1"/>
    <col min="528" max="528" width="14.109375" style="183" bestFit="1" customWidth="1"/>
    <col min="529" max="768" width="11.44140625" style="183"/>
    <col min="769" max="769" width="7.109375" style="183" bestFit="1" customWidth="1"/>
    <col min="770" max="770" width="5.33203125" style="183" bestFit="1" customWidth="1"/>
    <col min="771" max="771" width="43.6640625" style="183" customWidth="1"/>
    <col min="772" max="772" width="13.5546875" style="183" customWidth="1"/>
    <col min="773" max="773" width="10.109375" style="183" customWidth="1"/>
    <col min="774" max="774" width="10" style="183" customWidth="1"/>
    <col min="775" max="775" width="6.109375" style="183" bestFit="1" customWidth="1"/>
    <col min="776" max="776" width="4.6640625" style="183" customWidth="1"/>
    <col min="777" max="777" width="14.88671875" style="183" bestFit="1" customWidth="1"/>
    <col min="778" max="778" width="12.88671875" style="183" bestFit="1" customWidth="1"/>
    <col min="779" max="779" width="7.6640625" style="183" customWidth="1"/>
    <col min="780" max="780" width="18" style="183" customWidth="1"/>
    <col min="781" max="781" width="8.33203125" style="183" customWidth="1"/>
    <col min="782" max="782" width="16" style="183" customWidth="1"/>
    <col min="783" max="783" width="15.109375" style="183" bestFit="1" customWidth="1"/>
    <col min="784" max="784" width="14.109375" style="183" bestFit="1" customWidth="1"/>
    <col min="785" max="1024" width="11.44140625" style="183"/>
    <col min="1025" max="1025" width="7.109375" style="183" bestFit="1" customWidth="1"/>
    <col min="1026" max="1026" width="5.33203125" style="183" bestFit="1" customWidth="1"/>
    <col min="1027" max="1027" width="43.6640625" style="183" customWidth="1"/>
    <col min="1028" max="1028" width="13.5546875" style="183" customWidth="1"/>
    <col min="1029" max="1029" width="10.109375" style="183" customWidth="1"/>
    <col min="1030" max="1030" width="10" style="183" customWidth="1"/>
    <col min="1031" max="1031" width="6.109375" style="183" bestFit="1" customWidth="1"/>
    <col min="1032" max="1032" width="4.6640625" style="183" customWidth="1"/>
    <col min="1033" max="1033" width="14.88671875" style="183" bestFit="1" customWidth="1"/>
    <col min="1034" max="1034" width="12.88671875" style="183" bestFit="1" customWidth="1"/>
    <col min="1035" max="1035" width="7.6640625" style="183" customWidth="1"/>
    <col min="1036" max="1036" width="18" style="183" customWidth="1"/>
    <col min="1037" max="1037" width="8.33203125" style="183" customWidth="1"/>
    <col min="1038" max="1038" width="16" style="183" customWidth="1"/>
    <col min="1039" max="1039" width="15.109375" style="183" bestFit="1" customWidth="1"/>
    <col min="1040" max="1040" width="14.109375" style="183" bestFit="1" customWidth="1"/>
    <col min="1041" max="1280" width="11.44140625" style="183"/>
    <col min="1281" max="1281" width="7.109375" style="183" bestFit="1" customWidth="1"/>
    <col min="1282" max="1282" width="5.33203125" style="183" bestFit="1" customWidth="1"/>
    <col min="1283" max="1283" width="43.6640625" style="183" customWidth="1"/>
    <col min="1284" max="1284" width="13.5546875" style="183" customWidth="1"/>
    <col min="1285" max="1285" width="10.109375" style="183" customWidth="1"/>
    <col min="1286" max="1286" width="10" style="183" customWidth="1"/>
    <col min="1287" max="1287" width="6.109375" style="183" bestFit="1" customWidth="1"/>
    <col min="1288" max="1288" width="4.6640625" style="183" customWidth="1"/>
    <col min="1289" max="1289" width="14.88671875" style="183" bestFit="1" customWidth="1"/>
    <col min="1290" max="1290" width="12.88671875" style="183" bestFit="1" customWidth="1"/>
    <col min="1291" max="1291" width="7.6640625" style="183" customWidth="1"/>
    <col min="1292" max="1292" width="18" style="183" customWidth="1"/>
    <col min="1293" max="1293" width="8.33203125" style="183" customWidth="1"/>
    <col min="1294" max="1294" width="16" style="183" customWidth="1"/>
    <col min="1295" max="1295" width="15.109375" style="183" bestFit="1" customWidth="1"/>
    <col min="1296" max="1296" width="14.109375" style="183" bestFit="1" customWidth="1"/>
    <col min="1297" max="1536" width="11.44140625" style="183"/>
    <col min="1537" max="1537" width="7.109375" style="183" bestFit="1" customWidth="1"/>
    <col min="1538" max="1538" width="5.33203125" style="183" bestFit="1" customWidth="1"/>
    <col min="1539" max="1539" width="43.6640625" style="183" customWidth="1"/>
    <col min="1540" max="1540" width="13.5546875" style="183" customWidth="1"/>
    <col min="1541" max="1541" width="10.109375" style="183" customWidth="1"/>
    <col min="1542" max="1542" width="10" style="183" customWidth="1"/>
    <col min="1543" max="1543" width="6.109375" style="183" bestFit="1" customWidth="1"/>
    <col min="1544" max="1544" width="4.6640625" style="183" customWidth="1"/>
    <col min="1545" max="1545" width="14.88671875" style="183" bestFit="1" customWidth="1"/>
    <col min="1546" max="1546" width="12.88671875" style="183" bestFit="1" customWidth="1"/>
    <col min="1547" max="1547" width="7.6640625" style="183" customWidth="1"/>
    <col min="1548" max="1548" width="18" style="183" customWidth="1"/>
    <col min="1549" max="1549" width="8.33203125" style="183" customWidth="1"/>
    <col min="1550" max="1550" width="16" style="183" customWidth="1"/>
    <col min="1551" max="1551" width="15.109375" style="183" bestFit="1" customWidth="1"/>
    <col min="1552" max="1552" width="14.109375" style="183" bestFit="1" customWidth="1"/>
    <col min="1553" max="1792" width="11.44140625" style="183"/>
    <col min="1793" max="1793" width="7.109375" style="183" bestFit="1" customWidth="1"/>
    <col min="1794" max="1794" width="5.33203125" style="183" bestFit="1" customWidth="1"/>
    <col min="1795" max="1795" width="43.6640625" style="183" customWidth="1"/>
    <col min="1796" max="1796" width="13.5546875" style="183" customWidth="1"/>
    <col min="1797" max="1797" width="10.109375" style="183" customWidth="1"/>
    <col min="1798" max="1798" width="10" style="183" customWidth="1"/>
    <col min="1799" max="1799" width="6.109375" style="183" bestFit="1" customWidth="1"/>
    <col min="1800" max="1800" width="4.6640625" style="183" customWidth="1"/>
    <col min="1801" max="1801" width="14.88671875" style="183" bestFit="1" customWidth="1"/>
    <col min="1802" max="1802" width="12.88671875" style="183" bestFit="1" customWidth="1"/>
    <col min="1803" max="1803" width="7.6640625" style="183" customWidth="1"/>
    <col min="1804" max="1804" width="18" style="183" customWidth="1"/>
    <col min="1805" max="1805" width="8.33203125" style="183" customWidth="1"/>
    <col min="1806" max="1806" width="16" style="183" customWidth="1"/>
    <col min="1807" max="1807" width="15.109375" style="183" bestFit="1" customWidth="1"/>
    <col min="1808" max="1808" width="14.109375" style="183" bestFit="1" customWidth="1"/>
    <col min="1809" max="2048" width="11.44140625" style="183"/>
    <col min="2049" max="2049" width="7.109375" style="183" bestFit="1" customWidth="1"/>
    <col min="2050" max="2050" width="5.33203125" style="183" bestFit="1" customWidth="1"/>
    <col min="2051" max="2051" width="43.6640625" style="183" customWidth="1"/>
    <col min="2052" max="2052" width="13.5546875" style="183" customWidth="1"/>
    <col min="2053" max="2053" width="10.109375" style="183" customWidth="1"/>
    <col min="2054" max="2054" width="10" style="183" customWidth="1"/>
    <col min="2055" max="2055" width="6.109375" style="183" bestFit="1" customWidth="1"/>
    <col min="2056" max="2056" width="4.6640625" style="183" customWidth="1"/>
    <col min="2057" max="2057" width="14.88671875" style="183" bestFit="1" customWidth="1"/>
    <col min="2058" max="2058" width="12.88671875" style="183" bestFit="1" customWidth="1"/>
    <col min="2059" max="2059" width="7.6640625" style="183" customWidth="1"/>
    <col min="2060" max="2060" width="18" style="183" customWidth="1"/>
    <col min="2061" max="2061" width="8.33203125" style="183" customWidth="1"/>
    <col min="2062" max="2062" width="16" style="183" customWidth="1"/>
    <col min="2063" max="2063" width="15.109375" style="183" bestFit="1" customWidth="1"/>
    <col min="2064" max="2064" width="14.109375" style="183" bestFit="1" customWidth="1"/>
    <col min="2065" max="2304" width="11.44140625" style="183"/>
    <col min="2305" max="2305" width="7.109375" style="183" bestFit="1" customWidth="1"/>
    <col min="2306" max="2306" width="5.33203125" style="183" bestFit="1" customWidth="1"/>
    <col min="2307" max="2307" width="43.6640625" style="183" customWidth="1"/>
    <col min="2308" max="2308" width="13.5546875" style="183" customWidth="1"/>
    <col min="2309" max="2309" width="10.109375" style="183" customWidth="1"/>
    <col min="2310" max="2310" width="10" style="183" customWidth="1"/>
    <col min="2311" max="2311" width="6.109375" style="183" bestFit="1" customWidth="1"/>
    <col min="2312" max="2312" width="4.6640625" style="183" customWidth="1"/>
    <col min="2313" max="2313" width="14.88671875" style="183" bestFit="1" customWidth="1"/>
    <col min="2314" max="2314" width="12.88671875" style="183" bestFit="1" customWidth="1"/>
    <col min="2315" max="2315" width="7.6640625" style="183" customWidth="1"/>
    <col min="2316" max="2316" width="18" style="183" customWidth="1"/>
    <col min="2317" max="2317" width="8.33203125" style="183" customWidth="1"/>
    <col min="2318" max="2318" width="16" style="183" customWidth="1"/>
    <col min="2319" max="2319" width="15.109375" style="183" bestFit="1" customWidth="1"/>
    <col min="2320" max="2320" width="14.109375" style="183" bestFit="1" customWidth="1"/>
    <col min="2321" max="2560" width="11.44140625" style="183"/>
    <col min="2561" max="2561" width="7.109375" style="183" bestFit="1" customWidth="1"/>
    <col min="2562" max="2562" width="5.33203125" style="183" bestFit="1" customWidth="1"/>
    <col min="2563" max="2563" width="43.6640625" style="183" customWidth="1"/>
    <col min="2564" max="2564" width="13.5546875" style="183" customWidth="1"/>
    <col min="2565" max="2565" width="10.109375" style="183" customWidth="1"/>
    <col min="2566" max="2566" width="10" style="183" customWidth="1"/>
    <col min="2567" max="2567" width="6.109375" style="183" bestFit="1" customWidth="1"/>
    <col min="2568" max="2568" width="4.6640625" style="183" customWidth="1"/>
    <col min="2569" max="2569" width="14.88671875" style="183" bestFit="1" customWidth="1"/>
    <col min="2570" max="2570" width="12.88671875" style="183" bestFit="1" customWidth="1"/>
    <col min="2571" max="2571" width="7.6640625" style="183" customWidth="1"/>
    <col min="2572" max="2572" width="18" style="183" customWidth="1"/>
    <col min="2573" max="2573" width="8.33203125" style="183" customWidth="1"/>
    <col min="2574" max="2574" width="16" style="183" customWidth="1"/>
    <col min="2575" max="2575" width="15.109375" style="183" bestFit="1" customWidth="1"/>
    <col min="2576" max="2576" width="14.109375" style="183" bestFit="1" customWidth="1"/>
    <col min="2577" max="2816" width="11.44140625" style="183"/>
    <col min="2817" max="2817" width="7.109375" style="183" bestFit="1" customWidth="1"/>
    <col min="2818" max="2818" width="5.33203125" style="183" bestFit="1" customWidth="1"/>
    <col min="2819" max="2819" width="43.6640625" style="183" customWidth="1"/>
    <col min="2820" max="2820" width="13.5546875" style="183" customWidth="1"/>
    <col min="2821" max="2821" width="10.109375" style="183" customWidth="1"/>
    <col min="2822" max="2822" width="10" style="183" customWidth="1"/>
    <col min="2823" max="2823" width="6.109375" style="183" bestFit="1" customWidth="1"/>
    <col min="2824" max="2824" width="4.6640625" style="183" customWidth="1"/>
    <col min="2825" max="2825" width="14.88671875" style="183" bestFit="1" customWidth="1"/>
    <col min="2826" max="2826" width="12.88671875" style="183" bestFit="1" customWidth="1"/>
    <col min="2827" max="2827" width="7.6640625" style="183" customWidth="1"/>
    <col min="2828" max="2828" width="18" style="183" customWidth="1"/>
    <col min="2829" max="2829" width="8.33203125" style="183" customWidth="1"/>
    <col min="2830" max="2830" width="16" style="183" customWidth="1"/>
    <col min="2831" max="2831" width="15.109375" style="183" bestFit="1" customWidth="1"/>
    <col min="2832" max="2832" width="14.109375" style="183" bestFit="1" customWidth="1"/>
    <col min="2833" max="3072" width="11.44140625" style="183"/>
    <col min="3073" max="3073" width="7.109375" style="183" bestFit="1" customWidth="1"/>
    <col min="3074" max="3074" width="5.33203125" style="183" bestFit="1" customWidth="1"/>
    <col min="3075" max="3075" width="43.6640625" style="183" customWidth="1"/>
    <col min="3076" max="3076" width="13.5546875" style="183" customWidth="1"/>
    <col min="3077" max="3077" width="10.109375" style="183" customWidth="1"/>
    <col min="3078" max="3078" width="10" style="183" customWidth="1"/>
    <col min="3079" max="3079" width="6.109375" style="183" bestFit="1" customWidth="1"/>
    <col min="3080" max="3080" width="4.6640625" style="183" customWidth="1"/>
    <col min="3081" max="3081" width="14.88671875" style="183" bestFit="1" customWidth="1"/>
    <col min="3082" max="3082" width="12.88671875" style="183" bestFit="1" customWidth="1"/>
    <col min="3083" max="3083" width="7.6640625" style="183" customWidth="1"/>
    <col min="3084" max="3084" width="18" style="183" customWidth="1"/>
    <col min="3085" max="3085" width="8.33203125" style="183" customWidth="1"/>
    <col min="3086" max="3086" width="16" style="183" customWidth="1"/>
    <col min="3087" max="3087" width="15.109375" style="183" bestFit="1" customWidth="1"/>
    <col min="3088" max="3088" width="14.109375" style="183" bestFit="1" customWidth="1"/>
    <col min="3089" max="3328" width="11.44140625" style="183"/>
    <col min="3329" max="3329" width="7.109375" style="183" bestFit="1" customWidth="1"/>
    <col min="3330" max="3330" width="5.33203125" style="183" bestFit="1" customWidth="1"/>
    <col min="3331" max="3331" width="43.6640625" style="183" customWidth="1"/>
    <col min="3332" max="3332" width="13.5546875" style="183" customWidth="1"/>
    <col min="3333" max="3333" width="10.109375" style="183" customWidth="1"/>
    <col min="3334" max="3334" width="10" style="183" customWidth="1"/>
    <col min="3335" max="3335" width="6.109375" style="183" bestFit="1" customWidth="1"/>
    <col min="3336" max="3336" width="4.6640625" style="183" customWidth="1"/>
    <col min="3337" max="3337" width="14.88671875" style="183" bestFit="1" customWidth="1"/>
    <col min="3338" max="3338" width="12.88671875" style="183" bestFit="1" customWidth="1"/>
    <col min="3339" max="3339" width="7.6640625" style="183" customWidth="1"/>
    <col min="3340" max="3340" width="18" style="183" customWidth="1"/>
    <col min="3341" max="3341" width="8.33203125" style="183" customWidth="1"/>
    <col min="3342" max="3342" width="16" style="183" customWidth="1"/>
    <col min="3343" max="3343" width="15.109375" style="183" bestFit="1" customWidth="1"/>
    <col min="3344" max="3344" width="14.109375" style="183" bestFit="1" customWidth="1"/>
    <col min="3345" max="3584" width="11.44140625" style="183"/>
    <col min="3585" max="3585" width="7.109375" style="183" bestFit="1" customWidth="1"/>
    <col min="3586" max="3586" width="5.33203125" style="183" bestFit="1" customWidth="1"/>
    <col min="3587" max="3587" width="43.6640625" style="183" customWidth="1"/>
    <col min="3588" max="3588" width="13.5546875" style="183" customWidth="1"/>
    <col min="3589" max="3589" width="10.109375" style="183" customWidth="1"/>
    <col min="3590" max="3590" width="10" style="183" customWidth="1"/>
    <col min="3591" max="3591" width="6.109375" style="183" bestFit="1" customWidth="1"/>
    <col min="3592" max="3592" width="4.6640625" style="183" customWidth="1"/>
    <col min="3593" max="3593" width="14.88671875" style="183" bestFit="1" customWidth="1"/>
    <col min="3594" max="3594" width="12.88671875" style="183" bestFit="1" customWidth="1"/>
    <col min="3595" max="3595" width="7.6640625" style="183" customWidth="1"/>
    <col min="3596" max="3596" width="18" style="183" customWidth="1"/>
    <col min="3597" max="3597" width="8.33203125" style="183" customWidth="1"/>
    <col min="3598" max="3598" width="16" style="183" customWidth="1"/>
    <col min="3599" max="3599" width="15.109375" style="183" bestFit="1" customWidth="1"/>
    <col min="3600" max="3600" width="14.109375" style="183" bestFit="1" customWidth="1"/>
    <col min="3601" max="3840" width="11.44140625" style="183"/>
    <col min="3841" max="3841" width="7.109375" style="183" bestFit="1" customWidth="1"/>
    <col min="3842" max="3842" width="5.33203125" style="183" bestFit="1" customWidth="1"/>
    <col min="3843" max="3843" width="43.6640625" style="183" customWidth="1"/>
    <col min="3844" max="3844" width="13.5546875" style="183" customWidth="1"/>
    <col min="3845" max="3845" width="10.109375" style="183" customWidth="1"/>
    <col min="3846" max="3846" width="10" style="183" customWidth="1"/>
    <col min="3847" max="3847" width="6.109375" style="183" bestFit="1" customWidth="1"/>
    <col min="3848" max="3848" width="4.6640625" style="183" customWidth="1"/>
    <col min="3849" max="3849" width="14.88671875" style="183" bestFit="1" customWidth="1"/>
    <col min="3850" max="3850" width="12.88671875" style="183" bestFit="1" customWidth="1"/>
    <col min="3851" max="3851" width="7.6640625" style="183" customWidth="1"/>
    <col min="3852" max="3852" width="18" style="183" customWidth="1"/>
    <col min="3853" max="3853" width="8.33203125" style="183" customWidth="1"/>
    <col min="3854" max="3854" width="16" style="183" customWidth="1"/>
    <col min="3855" max="3855" width="15.109375" style="183" bestFit="1" customWidth="1"/>
    <col min="3856" max="3856" width="14.109375" style="183" bestFit="1" customWidth="1"/>
    <col min="3857" max="4096" width="11.44140625" style="183"/>
    <col min="4097" max="4097" width="7.109375" style="183" bestFit="1" customWidth="1"/>
    <col min="4098" max="4098" width="5.33203125" style="183" bestFit="1" customWidth="1"/>
    <col min="4099" max="4099" width="43.6640625" style="183" customWidth="1"/>
    <col min="4100" max="4100" width="13.5546875" style="183" customWidth="1"/>
    <col min="4101" max="4101" width="10.109375" style="183" customWidth="1"/>
    <col min="4102" max="4102" width="10" style="183" customWidth="1"/>
    <col min="4103" max="4103" width="6.109375" style="183" bestFit="1" customWidth="1"/>
    <col min="4104" max="4104" width="4.6640625" style="183" customWidth="1"/>
    <col min="4105" max="4105" width="14.88671875" style="183" bestFit="1" customWidth="1"/>
    <col min="4106" max="4106" width="12.88671875" style="183" bestFit="1" customWidth="1"/>
    <col min="4107" max="4107" width="7.6640625" style="183" customWidth="1"/>
    <col min="4108" max="4108" width="18" style="183" customWidth="1"/>
    <col min="4109" max="4109" width="8.33203125" style="183" customWidth="1"/>
    <col min="4110" max="4110" width="16" style="183" customWidth="1"/>
    <col min="4111" max="4111" width="15.109375" style="183" bestFit="1" customWidth="1"/>
    <col min="4112" max="4112" width="14.109375" style="183" bestFit="1" customWidth="1"/>
    <col min="4113" max="4352" width="11.44140625" style="183"/>
    <col min="4353" max="4353" width="7.109375" style="183" bestFit="1" customWidth="1"/>
    <col min="4354" max="4354" width="5.33203125" style="183" bestFit="1" customWidth="1"/>
    <col min="4355" max="4355" width="43.6640625" style="183" customWidth="1"/>
    <col min="4356" max="4356" width="13.5546875" style="183" customWidth="1"/>
    <col min="4357" max="4357" width="10.109375" style="183" customWidth="1"/>
    <col min="4358" max="4358" width="10" style="183" customWidth="1"/>
    <col min="4359" max="4359" width="6.109375" style="183" bestFit="1" customWidth="1"/>
    <col min="4360" max="4360" width="4.6640625" style="183" customWidth="1"/>
    <col min="4361" max="4361" width="14.88671875" style="183" bestFit="1" customWidth="1"/>
    <col min="4362" max="4362" width="12.88671875" style="183" bestFit="1" customWidth="1"/>
    <col min="4363" max="4363" width="7.6640625" style="183" customWidth="1"/>
    <col min="4364" max="4364" width="18" style="183" customWidth="1"/>
    <col min="4365" max="4365" width="8.33203125" style="183" customWidth="1"/>
    <col min="4366" max="4366" width="16" style="183" customWidth="1"/>
    <col min="4367" max="4367" width="15.109375" style="183" bestFit="1" customWidth="1"/>
    <col min="4368" max="4368" width="14.109375" style="183" bestFit="1" customWidth="1"/>
    <col min="4369" max="4608" width="11.44140625" style="183"/>
    <col min="4609" max="4609" width="7.109375" style="183" bestFit="1" customWidth="1"/>
    <col min="4610" max="4610" width="5.33203125" style="183" bestFit="1" customWidth="1"/>
    <col min="4611" max="4611" width="43.6640625" style="183" customWidth="1"/>
    <col min="4612" max="4612" width="13.5546875" style="183" customWidth="1"/>
    <col min="4613" max="4613" width="10.109375" style="183" customWidth="1"/>
    <col min="4614" max="4614" width="10" style="183" customWidth="1"/>
    <col min="4615" max="4615" width="6.109375" style="183" bestFit="1" customWidth="1"/>
    <col min="4616" max="4616" width="4.6640625" style="183" customWidth="1"/>
    <col min="4617" max="4617" width="14.88671875" style="183" bestFit="1" customWidth="1"/>
    <col min="4618" max="4618" width="12.88671875" style="183" bestFit="1" customWidth="1"/>
    <col min="4619" max="4619" width="7.6640625" style="183" customWidth="1"/>
    <col min="4620" max="4620" width="18" style="183" customWidth="1"/>
    <col min="4621" max="4621" width="8.33203125" style="183" customWidth="1"/>
    <col min="4622" max="4622" width="16" style="183" customWidth="1"/>
    <col min="4623" max="4623" width="15.109375" style="183" bestFit="1" customWidth="1"/>
    <col min="4624" max="4624" width="14.109375" style="183" bestFit="1" customWidth="1"/>
    <col min="4625" max="4864" width="11.44140625" style="183"/>
    <col min="4865" max="4865" width="7.109375" style="183" bestFit="1" customWidth="1"/>
    <col min="4866" max="4866" width="5.33203125" style="183" bestFit="1" customWidth="1"/>
    <col min="4867" max="4867" width="43.6640625" style="183" customWidth="1"/>
    <col min="4868" max="4868" width="13.5546875" style="183" customWidth="1"/>
    <col min="4869" max="4869" width="10.109375" style="183" customWidth="1"/>
    <col min="4870" max="4870" width="10" style="183" customWidth="1"/>
    <col min="4871" max="4871" width="6.109375" style="183" bestFit="1" customWidth="1"/>
    <col min="4872" max="4872" width="4.6640625" style="183" customWidth="1"/>
    <col min="4873" max="4873" width="14.88671875" style="183" bestFit="1" customWidth="1"/>
    <col min="4874" max="4874" width="12.88671875" style="183" bestFit="1" customWidth="1"/>
    <col min="4875" max="4875" width="7.6640625" style="183" customWidth="1"/>
    <col min="4876" max="4876" width="18" style="183" customWidth="1"/>
    <col min="4877" max="4877" width="8.33203125" style="183" customWidth="1"/>
    <col min="4878" max="4878" width="16" style="183" customWidth="1"/>
    <col min="4879" max="4879" width="15.109375" style="183" bestFit="1" customWidth="1"/>
    <col min="4880" max="4880" width="14.109375" style="183" bestFit="1" customWidth="1"/>
    <col min="4881" max="5120" width="11.44140625" style="183"/>
    <col min="5121" max="5121" width="7.109375" style="183" bestFit="1" customWidth="1"/>
    <col min="5122" max="5122" width="5.33203125" style="183" bestFit="1" customWidth="1"/>
    <col min="5123" max="5123" width="43.6640625" style="183" customWidth="1"/>
    <col min="5124" max="5124" width="13.5546875" style="183" customWidth="1"/>
    <col min="5125" max="5125" width="10.109375" style="183" customWidth="1"/>
    <col min="5126" max="5126" width="10" style="183" customWidth="1"/>
    <col min="5127" max="5127" width="6.109375" style="183" bestFit="1" customWidth="1"/>
    <col min="5128" max="5128" width="4.6640625" style="183" customWidth="1"/>
    <col min="5129" max="5129" width="14.88671875" style="183" bestFit="1" customWidth="1"/>
    <col min="5130" max="5130" width="12.88671875" style="183" bestFit="1" customWidth="1"/>
    <col min="5131" max="5131" width="7.6640625" style="183" customWidth="1"/>
    <col min="5132" max="5132" width="18" style="183" customWidth="1"/>
    <col min="5133" max="5133" width="8.33203125" style="183" customWidth="1"/>
    <col min="5134" max="5134" width="16" style="183" customWidth="1"/>
    <col min="5135" max="5135" width="15.109375" style="183" bestFit="1" customWidth="1"/>
    <col min="5136" max="5136" width="14.109375" style="183" bestFit="1" customWidth="1"/>
    <col min="5137" max="5376" width="11.44140625" style="183"/>
    <col min="5377" max="5377" width="7.109375" style="183" bestFit="1" customWidth="1"/>
    <col min="5378" max="5378" width="5.33203125" style="183" bestFit="1" customWidth="1"/>
    <col min="5379" max="5379" width="43.6640625" style="183" customWidth="1"/>
    <col min="5380" max="5380" width="13.5546875" style="183" customWidth="1"/>
    <col min="5381" max="5381" width="10.109375" style="183" customWidth="1"/>
    <col min="5382" max="5382" width="10" style="183" customWidth="1"/>
    <col min="5383" max="5383" width="6.109375" style="183" bestFit="1" customWidth="1"/>
    <col min="5384" max="5384" width="4.6640625" style="183" customWidth="1"/>
    <col min="5385" max="5385" width="14.88671875" style="183" bestFit="1" customWidth="1"/>
    <col min="5386" max="5386" width="12.88671875" style="183" bestFit="1" customWidth="1"/>
    <col min="5387" max="5387" width="7.6640625" style="183" customWidth="1"/>
    <col min="5388" max="5388" width="18" style="183" customWidth="1"/>
    <col min="5389" max="5389" width="8.33203125" style="183" customWidth="1"/>
    <col min="5390" max="5390" width="16" style="183" customWidth="1"/>
    <col min="5391" max="5391" width="15.109375" style="183" bestFit="1" customWidth="1"/>
    <col min="5392" max="5392" width="14.109375" style="183" bestFit="1" customWidth="1"/>
    <col min="5393" max="5632" width="11.44140625" style="183"/>
    <col min="5633" max="5633" width="7.109375" style="183" bestFit="1" customWidth="1"/>
    <col min="5634" max="5634" width="5.33203125" style="183" bestFit="1" customWidth="1"/>
    <col min="5635" max="5635" width="43.6640625" style="183" customWidth="1"/>
    <col min="5636" max="5636" width="13.5546875" style="183" customWidth="1"/>
    <col min="5637" max="5637" width="10.109375" style="183" customWidth="1"/>
    <col min="5638" max="5638" width="10" style="183" customWidth="1"/>
    <col min="5639" max="5639" width="6.109375" style="183" bestFit="1" customWidth="1"/>
    <col min="5640" max="5640" width="4.6640625" style="183" customWidth="1"/>
    <col min="5641" max="5641" width="14.88671875" style="183" bestFit="1" customWidth="1"/>
    <col min="5642" max="5642" width="12.88671875" style="183" bestFit="1" customWidth="1"/>
    <col min="5643" max="5643" width="7.6640625" style="183" customWidth="1"/>
    <col min="5644" max="5644" width="18" style="183" customWidth="1"/>
    <col min="5645" max="5645" width="8.33203125" style="183" customWidth="1"/>
    <col min="5646" max="5646" width="16" style="183" customWidth="1"/>
    <col min="5647" max="5647" width="15.109375" style="183" bestFit="1" customWidth="1"/>
    <col min="5648" max="5648" width="14.109375" style="183" bestFit="1" customWidth="1"/>
    <col min="5649" max="5888" width="11.44140625" style="183"/>
    <col min="5889" max="5889" width="7.109375" style="183" bestFit="1" customWidth="1"/>
    <col min="5890" max="5890" width="5.33203125" style="183" bestFit="1" customWidth="1"/>
    <col min="5891" max="5891" width="43.6640625" style="183" customWidth="1"/>
    <col min="5892" max="5892" width="13.5546875" style="183" customWidth="1"/>
    <col min="5893" max="5893" width="10.109375" style="183" customWidth="1"/>
    <col min="5894" max="5894" width="10" style="183" customWidth="1"/>
    <col min="5895" max="5895" width="6.109375" style="183" bestFit="1" customWidth="1"/>
    <col min="5896" max="5896" width="4.6640625" style="183" customWidth="1"/>
    <col min="5897" max="5897" width="14.88671875" style="183" bestFit="1" customWidth="1"/>
    <col min="5898" max="5898" width="12.88671875" style="183" bestFit="1" customWidth="1"/>
    <col min="5899" max="5899" width="7.6640625" style="183" customWidth="1"/>
    <col min="5900" max="5900" width="18" style="183" customWidth="1"/>
    <col min="5901" max="5901" width="8.33203125" style="183" customWidth="1"/>
    <col min="5902" max="5902" width="16" style="183" customWidth="1"/>
    <col min="5903" max="5903" width="15.109375" style="183" bestFit="1" customWidth="1"/>
    <col min="5904" max="5904" width="14.109375" style="183" bestFit="1" customWidth="1"/>
    <col min="5905" max="6144" width="11.44140625" style="183"/>
    <col min="6145" max="6145" width="7.109375" style="183" bestFit="1" customWidth="1"/>
    <col min="6146" max="6146" width="5.33203125" style="183" bestFit="1" customWidth="1"/>
    <col min="6147" max="6147" width="43.6640625" style="183" customWidth="1"/>
    <col min="6148" max="6148" width="13.5546875" style="183" customWidth="1"/>
    <col min="6149" max="6149" width="10.109375" style="183" customWidth="1"/>
    <col min="6150" max="6150" width="10" style="183" customWidth="1"/>
    <col min="6151" max="6151" width="6.109375" style="183" bestFit="1" customWidth="1"/>
    <col min="6152" max="6152" width="4.6640625" style="183" customWidth="1"/>
    <col min="6153" max="6153" width="14.88671875" style="183" bestFit="1" customWidth="1"/>
    <col min="6154" max="6154" width="12.88671875" style="183" bestFit="1" customWidth="1"/>
    <col min="6155" max="6155" width="7.6640625" style="183" customWidth="1"/>
    <col min="6156" max="6156" width="18" style="183" customWidth="1"/>
    <col min="6157" max="6157" width="8.33203125" style="183" customWidth="1"/>
    <col min="6158" max="6158" width="16" style="183" customWidth="1"/>
    <col min="6159" max="6159" width="15.109375" style="183" bestFit="1" customWidth="1"/>
    <col min="6160" max="6160" width="14.109375" style="183" bestFit="1" customWidth="1"/>
    <col min="6161" max="6400" width="11.44140625" style="183"/>
    <col min="6401" max="6401" width="7.109375" style="183" bestFit="1" customWidth="1"/>
    <col min="6402" max="6402" width="5.33203125" style="183" bestFit="1" customWidth="1"/>
    <col min="6403" max="6403" width="43.6640625" style="183" customWidth="1"/>
    <col min="6404" max="6404" width="13.5546875" style="183" customWidth="1"/>
    <col min="6405" max="6405" width="10.109375" style="183" customWidth="1"/>
    <col min="6406" max="6406" width="10" style="183" customWidth="1"/>
    <col min="6407" max="6407" width="6.109375" style="183" bestFit="1" customWidth="1"/>
    <col min="6408" max="6408" width="4.6640625" style="183" customWidth="1"/>
    <col min="6409" max="6409" width="14.88671875" style="183" bestFit="1" customWidth="1"/>
    <col min="6410" max="6410" width="12.88671875" style="183" bestFit="1" customWidth="1"/>
    <col min="6411" max="6411" width="7.6640625" style="183" customWidth="1"/>
    <col min="6412" max="6412" width="18" style="183" customWidth="1"/>
    <col min="6413" max="6413" width="8.33203125" style="183" customWidth="1"/>
    <col min="6414" max="6414" width="16" style="183" customWidth="1"/>
    <col min="6415" max="6415" width="15.109375" style="183" bestFit="1" customWidth="1"/>
    <col min="6416" max="6416" width="14.109375" style="183" bestFit="1" customWidth="1"/>
    <col min="6417" max="6656" width="11.44140625" style="183"/>
    <col min="6657" max="6657" width="7.109375" style="183" bestFit="1" customWidth="1"/>
    <col min="6658" max="6658" width="5.33203125" style="183" bestFit="1" customWidth="1"/>
    <col min="6659" max="6659" width="43.6640625" style="183" customWidth="1"/>
    <col min="6660" max="6660" width="13.5546875" style="183" customWidth="1"/>
    <col min="6661" max="6661" width="10.109375" style="183" customWidth="1"/>
    <col min="6662" max="6662" width="10" style="183" customWidth="1"/>
    <col min="6663" max="6663" width="6.109375" style="183" bestFit="1" customWidth="1"/>
    <col min="6664" max="6664" width="4.6640625" style="183" customWidth="1"/>
    <col min="6665" max="6665" width="14.88671875" style="183" bestFit="1" customWidth="1"/>
    <col min="6666" max="6666" width="12.88671875" style="183" bestFit="1" customWidth="1"/>
    <col min="6667" max="6667" width="7.6640625" style="183" customWidth="1"/>
    <col min="6668" max="6668" width="18" style="183" customWidth="1"/>
    <col min="6669" max="6669" width="8.33203125" style="183" customWidth="1"/>
    <col min="6670" max="6670" width="16" style="183" customWidth="1"/>
    <col min="6671" max="6671" width="15.109375" style="183" bestFit="1" customWidth="1"/>
    <col min="6672" max="6672" width="14.109375" style="183" bestFit="1" customWidth="1"/>
    <col min="6673" max="6912" width="11.44140625" style="183"/>
    <col min="6913" max="6913" width="7.109375" style="183" bestFit="1" customWidth="1"/>
    <col min="6914" max="6914" width="5.33203125" style="183" bestFit="1" customWidth="1"/>
    <col min="6915" max="6915" width="43.6640625" style="183" customWidth="1"/>
    <col min="6916" max="6916" width="13.5546875" style="183" customWidth="1"/>
    <col min="6917" max="6917" width="10.109375" style="183" customWidth="1"/>
    <col min="6918" max="6918" width="10" style="183" customWidth="1"/>
    <col min="6919" max="6919" width="6.109375" style="183" bestFit="1" customWidth="1"/>
    <col min="6920" max="6920" width="4.6640625" style="183" customWidth="1"/>
    <col min="6921" max="6921" width="14.88671875" style="183" bestFit="1" customWidth="1"/>
    <col min="6922" max="6922" width="12.88671875" style="183" bestFit="1" customWidth="1"/>
    <col min="6923" max="6923" width="7.6640625" style="183" customWidth="1"/>
    <col min="6924" max="6924" width="18" style="183" customWidth="1"/>
    <col min="6925" max="6925" width="8.33203125" style="183" customWidth="1"/>
    <col min="6926" max="6926" width="16" style="183" customWidth="1"/>
    <col min="6927" max="6927" width="15.109375" style="183" bestFit="1" customWidth="1"/>
    <col min="6928" max="6928" width="14.109375" style="183" bestFit="1" customWidth="1"/>
    <col min="6929" max="7168" width="11.44140625" style="183"/>
    <col min="7169" max="7169" width="7.109375" style="183" bestFit="1" customWidth="1"/>
    <col min="7170" max="7170" width="5.33203125" style="183" bestFit="1" customWidth="1"/>
    <col min="7171" max="7171" width="43.6640625" style="183" customWidth="1"/>
    <col min="7172" max="7172" width="13.5546875" style="183" customWidth="1"/>
    <col min="7173" max="7173" width="10.109375" style="183" customWidth="1"/>
    <col min="7174" max="7174" width="10" style="183" customWidth="1"/>
    <col min="7175" max="7175" width="6.109375" style="183" bestFit="1" customWidth="1"/>
    <col min="7176" max="7176" width="4.6640625" style="183" customWidth="1"/>
    <col min="7177" max="7177" width="14.88671875" style="183" bestFit="1" customWidth="1"/>
    <col min="7178" max="7178" width="12.88671875" style="183" bestFit="1" customWidth="1"/>
    <col min="7179" max="7179" width="7.6640625" style="183" customWidth="1"/>
    <col min="7180" max="7180" width="18" style="183" customWidth="1"/>
    <col min="7181" max="7181" width="8.33203125" style="183" customWidth="1"/>
    <col min="7182" max="7182" width="16" style="183" customWidth="1"/>
    <col min="7183" max="7183" width="15.109375" style="183" bestFit="1" customWidth="1"/>
    <col min="7184" max="7184" width="14.109375" style="183" bestFit="1" customWidth="1"/>
    <col min="7185" max="7424" width="11.44140625" style="183"/>
    <col min="7425" max="7425" width="7.109375" style="183" bestFit="1" customWidth="1"/>
    <col min="7426" max="7426" width="5.33203125" style="183" bestFit="1" customWidth="1"/>
    <col min="7427" max="7427" width="43.6640625" style="183" customWidth="1"/>
    <col min="7428" max="7428" width="13.5546875" style="183" customWidth="1"/>
    <col min="7429" max="7429" width="10.109375" style="183" customWidth="1"/>
    <col min="7430" max="7430" width="10" style="183" customWidth="1"/>
    <col min="7431" max="7431" width="6.109375" style="183" bestFit="1" customWidth="1"/>
    <col min="7432" max="7432" width="4.6640625" style="183" customWidth="1"/>
    <col min="7433" max="7433" width="14.88671875" style="183" bestFit="1" customWidth="1"/>
    <col min="7434" max="7434" width="12.88671875" style="183" bestFit="1" customWidth="1"/>
    <col min="7435" max="7435" width="7.6640625" style="183" customWidth="1"/>
    <col min="7436" max="7436" width="18" style="183" customWidth="1"/>
    <col min="7437" max="7437" width="8.33203125" style="183" customWidth="1"/>
    <col min="7438" max="7438" width="16" style="183" customWidth="1"/>
    <col min="7439" max="7439" width="15.109375" style="183" bestFit="1" customWidth="1"/>
    <col min="7440" max="7440" width="14.109375" style="183" bestFit="1" customWidth="1"/>
    <col min="7441" max="7680" width="11.44140625" style="183"/>
    <col min="7681" max="7681" width="7.109375" style="183" bestFit="1" customWidth="1"/>
    <col min="7682" max="7682" width="5.33203125" style="183" bestFit="1" customWidth="1"/>
    <col min="7683" max="7683" width="43.6640625" style="183" customWidth="1"/>
    <col min="7684" max="7684" width="13.5546875" style="183" customWidth="1"/>
    <col min="7685" max="7685" width="10.109375" style="183" customWidth="1"/>
    <col min="7686" max="7686" width="10" style="183" customWidth="1"/>
    <col min="7687" max="7687" width="6.109375" style="183" bestFit="1" customWidth="1"/>
    <col min="7688" max="7688" width="4.6640625" style="183" customWidth="1"/>
    <col min="7689" max="7689" width="14.88671875" style="183" bestFit="1" customWidth="1"/>
    <col min="7690" max="7690" width="12.88671875" style="183" bestFit="1" customWidth="1"/>
    <col min="7691" max="7691" width="7.6640625" style="183" customWidth="1"/>
    <col min="7692" max="7692" width="18" style="183" customWidth="1"/>
    <col min="7693" max="7693" width="8.33203125" style="183" customWidth="1"/>
    <col min="7694" max="7694" width="16" style="183" customWidth="1"/>
    <col min="7695" max="7695" width="15.109375" style="183" bestFit="1" customWidth="1"/>
    <col min="7696" max="7696" width="14.109375" style="183" bestFit="1" customWidth="1"/>
    <col min="7697" max="7936" width="11.44140625" style="183"/>
    <col min="7937" max="7937" width="7.109375" style="183" bestFit="1" customWidth="1"/>
    <col min="7938" max="7938" width="5.33203125" style="183" bestFit="1" customWidth="1"/>
    <col min="7939" max="7939" width="43.6640625" style="183" customWidth="1"/>
    <col min="7940" max="7940" width="13.5546875" style="183" customWidth="1"/>
    <col min="7941" max="7941" width="10.109375" style="183" customWidth="1"/>
    <col min="7942" max="7942" width="10" style="183" customWidth="1"/>
    <col min="7943" max="7943" width="6.109375" style="183" bestFit="1" customWidth="1"/>
    <col min="7944" max="7944" width="4.6640625" style="183" customWidth="1"/>
    <col min="7945" max="7945" width="14.88671875" style="183" bestFit="1" customWidth="1"/>
    <col min="7946" max="7946" width="12.88671875" style="183" bestFit="1" customWidth="1"/>
    <col min="7947" max="7947" width="7.6640625" style="183" customWidth="1"/>
    <col min="7948" max="7948" width="18" style="183" customWidth="1"/>
    <col min="7949" max="7949" width="8.33203125" style="183" customWidth="1"/>
    <col min="7950" max="7950" width="16" style="183" customWidth="1"/>
    <col min="7951" max="7951" width="15.109375" style="183" bestFit="1" customWidth="1"/>
    <col min="7952" max="7952" width="14.109375" style="183" bestFit="1" customWidth="1"/>
    <col min="7953" max="8192" width="11.44140625" style="183"/>
    <col min="8193" max="8193" width="7.109375" style="183" bestFit="1" customWidth="1"/>
    <col min="8194" max="8194" width="5.33203125" style="183" bestFit="1" customWidth="1"/>
    <col min="8195" max="8195" width="43.6640625" style="183" customWidth="1"/>
    <col min="8196" max="8196" width="13.5546875" style="183" customWidth="1"/>
    <col min="8197" max="8197" width="10.109375" style="183" customWidth="1"/>
    <col min="8198" max="8198" width="10" style="183" customWidth="1"/>
    <col min="8199" max="8199" width="6.109375" style="183" bestFit="1" customWidth="1"/>
    <col min="8200" max="8200" width="4.6640625" style="183" customWidth="1"/>
    <col min="8201" max="8201" width="14.88671875" style="183" bestFit="1" customWidth="1"/>
    <col min="8202" max="8202" width="12.88671875" style="183" bestFit="1" customWidth="1"/>
    <col min="8203" max="8203" width="7.6640625" style="183" customWidth="1"/>
    <col min="8204" max="8204" width="18" style="183" customWidth="1"/>
    <col min="8205" max="8205" width="8.33203125" style="183" customWidth="1"/>
    <col min="8206" max="8206" width="16" style="183" customWidth="1"/>
    <col min="8207" max="8207" width="15.109375" style="183" bestFit="1" customWidth="1"/>
    <col min="8208" max="8208" width="14.109375" style="183" bestFit="1" customWidth="1"/>
    <col min="8209" max="8448" width="11.44140625" style="183"/>
    <col min="8449" max="8449" width="7.109375" style="183" bestFit="1" customWidth="1"/>
    <col min="8450" max="8450" width="5.33203125" style="183" bestFit="1" customWidth="1"/>
    <col min="8451" max="8451" width="43.6640625" style="183" customWidth="1"/>
    <col min="8452" max="8452" width="13.5546875" style="183" customWidth="1"/>
    <col min="8453" max="8453" width="10.109375" style="183" customWidth="1"/>
    <col min="8454" max="8454" width="10" style="183" customWidth="1"/>
    <col min="8455" max="8455" width="6.109375" style="183" bestFit="1" customWidth="1"/>
    <col min="8456" max="8456" width="4.6640625" style="183" customWidth="1"/>
    <col min="8457" max="8457" width="14.88671875" style="183" bestFit="1" customWidth="1"/>
    <col min="8458" max="8458" width="12.88671875" style="183" bestFit="1" customWidth="1"/>
    <col min="8459" max="8459" width="7.6640625" style="183" customWidth="1"/>
    <col min="8460" max="8460" width="18" style="183" customWidth="1"/>
    <col min="8461" max="8461" width="8.33203125" style="183" customWidth="1"/>
    <col min="8462" max="8462" width="16" style="183" customWidth="1"/>
    <col min="8463" max="8463" width="15.109375" style="183" bestFit="1" customWidth="1"/>
    <col min="8464" max="8464" width="14.109375" style="183" bestFit="1" customWidth="1"/>
    <col min="8465" max="8704" width="11.44140625" style="183"/>
    <col min="8705" max="8705" width="7.109375" style="183" bestFit="1" customWidth="1"/>
    <col min="8706" max="8706" width="5.33203125" style="183" bestFit="1" customWidth="1"/>
    <col min="8707" max="8707" width="43.6640625" style="183" customWidth="1"/>
    <col min="8708" max="8708" width="13.5546875" style="183" customWidth="1"/>
    <col min="8709" max="8709" width="10.109375" style="183" customWidth="1"/>
    <col min="8710" max="8710" width="10" style="183" customWidth="1"/>
    <col min="8711" max="8711" width="6.109375" style="183" bestFit="1" customWidth="1"/>
    <col min="8712" max="8712" width="4.6640625" style="183" customWidth="1"/>
    <col min="8713" max="8713" width="14.88671875" style="183" bestFit="1" customWidth="1"/>
    <col min="8714" max="8714" width="12.88671875" style="183" bestFit="1" customWidth="1"/>
    <col min="8715" max="8715" width="7.6640625" style="183" customWidth="1"/>
    <col min="8716" max="8716" width="18" style="183" customWidth="1"/>
    <col min="8717" max="8717" width="8.33203125" style="183" customWidth="1"/>
    <col min="8718" max="8718" width="16" style="183" customWidth="1"/>
    <col min="8719" max="8719" width="15.109375" style="183" bestFit="1" customWidth="1"/>
    <col min="8720" max="8720" width="14.109375" style="183" bestFit="1" customWidth="1"/>
    <col min="8721" max="8960" width="11.44140625" style="183"/>
    <col min="8961" max="8961" width="7.109375" style="183" bestFit="1" customWidth="1"/>
    <col min="8962" max="8962" width="5.33203125" style="183" bestFit="1" customWidth="1"/>
    <col min="8963" max="8963" width="43.6640625" style="183" customWidth="1"/>
    <col min="8964" max="8964" width="13.5546875" style="183" customWidth="1"/>
    <col min="8965" max="8965" width="10.109375" style="183" customWidth="1"/>
    <col min="8966" max="8966" width="10" style="183" customWidth="1"/>
    <col min="8967" max="8967" width="6.109375" style="183" bestFit="1" customWidth="1"/>
    <col min="8968" max="8968" width="4.6640625" style="183" customWidth="1"/>
    <col min="8969" max="8969" width="14.88671875" style="183" bestFit="1" customWidth="1"/>
    <col min="8970" max="8970" width="12.88671875" style="183" bestFit="1" customWidth="1"/>
    <col min="8971" max="8971" width="7.6640625" style="183" customWidth="1"/>
    <col min="8972" max="8972" width="18" style="183" customWidth="1"/>
    <col min="8973" max="8973" width="8.33203125" style="183" customWidth="1"/>
    <col min="8974" max="8974" width="16" style="183" customWidth="1"/>
    <col min="8975" max="8975" width="15.109375" style="183" bestFit="1" customWidth="1"/>
    <col min="8976" max="8976" width="14.109375" style="183" bestFit="1" customWidth="1"/>
    <col min="8977" max="9216" width="11.44140625" style="183"/>
    <col min="9217" max="9217" width="7.109375" style="183" bestFit="1" customWidth="1"/>
    <col min="9218" max="9218" width="5.33203125" style="183" bestFit="1" customWidth="1"/>
    <col min="9219" max="9219" width="43.6640625" style="183" customWidth="1"/>
    <col min="9220" max="9220" width="13.5546875" style="183" customWidth="1"/>
    <col min="9221" max="9221" width="10.109375" style="183" customWidth="1"/>
    <col min="9222" max="9222" width="10" style="183" customWidth="1"/>
    <col min="9223" max="9223" width="6.109375" style="183" bestFit="1" customWidth="1"/>
    <col min="9224" max="9224" width="4.6640625" style="183" customWidth="1"/>
    <col min="9225" max="9225" width="14.88671875" style="183" bestFit="1" customWidth="1"/>
    <col min="9226" max="9226" width="12.88671875" style="183" bestFit="1" customWidth="1"/>
    <col min="9227" max="9227" width="7.6640625" style="183" customWidth="1"/>
    <col min="9228" max="9228" width="18" style="183" customWidth="1"/>
    <col min="9229" max="9229" width="8.33203125" style="183" customWidth="1"/>
    <col min="9230" max="9230" width="16" style="183" customWidth="1"/>
    <col min="9231" max="9231" width="15.109375" style="183" bestFit="1" customWidth="1"/>
    <col min="9232" max="9232" width="14.109375" style="183" bestFit="1" customWidth="1"/>
    <col min="9233" max="9472" width="11.44140625" style="183"/>
    <col min="9473" max="9473" width="7.109375" style="183" bestFit="1" customWidth="1"/>
    <col min="9474" max="9474" width="5.33203125" style="183" bestFit="1" customWidth="1"/>
    <col min="9475" max="9475" width="43.6640625" style="183" customWidth="1"/>
    <col min="9476" max="9476" width="13.5546875" style="183" customWidth="1"/>
    <col min="9477" max="9477" width="10.109375" style="183" customWidth="1"/>
    <col min="9478" max="9478" width="10" style="183" customWidth="1"/>
    <col min="9479" max="9479" width="6.109375" style="183" bestFit="1" customWidth="1"/>
    <col min="9480" max="9480" width="4.6640625" style="183" customWidth="1"/>
    <col min="9481" max="9481" width="14.88671875" style="183" bestFit="1" customWidth="1"/>
    <col min="9482" max="9482" width="12.88671875" style="183" bestFit="1" customWidth="1"/>
    <col min="9483" max="9483" width="7.6640625" style="183" customWidth="1"/>
    <col min="9484" max="9484" width="18" style="183" customWidth="1"/>
    <col min="9485" max="9485" width="8.33203125" style="183" customWidth="1"/>
    <col min="9486" max="9486" width="16" style="183" customWidth="1"/>
    <col min="9487" max="9487" width="15.109375" style="183" bestFit="1" customWidth="1"/>
    <col min="9488" max="9488" width="14.109375" style="183" bestFit="1" customWidth="1"/>
    <col min="9489" max="9728" width="11.44140625" style="183"/>
    <col min="9729" max="9729" width="7.109375" style="183" bestFit="1" customWidth="1"/>
    <col min="9730" max="9730" width="5.33203125" style="183" bestFit="1" customWidth="1"/>
    <col min="9731" max="9731" width="43.6640625" style="183" customWidth="1"/>
    <col min="9732" max="9732" width="13.5546875" style="183" customWidth="1"/>
    <col min="9733" max="9733" width="10.109375" style="183" customWidth="1"/>
    <col min="9734" max="9734" width="10" style="183" customWidth="1"/>
    <col min="9735" max="9735" width="6.109375" style="183" bestFit="1" customWidth="1"/>
    <col min="9736" max="9736" width="4.6640625" style="183" customWidth="1"/>
    <col min="9737" max="9737" width="14.88671875" style="183" bestFit="1" customWidth="1"/>
    <col min="9738" max="9738" width="12.88671875" style="183" bestFit="1" customWidth="1"/>
    <col min="9739" max="9739" width="7.6640625" style="183" customWidth="1"/>
    <col min="9740" max="9740" width="18" style="183" customWidth="1"/>
    <col min="9741" max="9741" width="8.33203125" style="183" customWidth="1"/>
    <col min="9742" max="9742" width="16" style="183" customWidth="1"/>
    <col min="9743" max="9743" width="15.109375" style="183" bestFit="1" customWidth="1"/>
    <col min="9744" max="9744" width="14.109375" style="183" bestFit="1" customWidth="1"/>
    <col min="9745" max="9984" width="11.44140625" style="183"/>
    <col min="9985" max="9985" width="7.109375" style="183" bestFit="1" customWidth="1"/>
    <col min="9986" max="9986" width="5.33203125" style="183" bestFit="1" customWidth="1"/>
    <col min="9987" max="9987" width="43.6640625" style="183" customWidth="1"/>
    <col min="9988" max="9988" width="13.5546875" style="183" customWidth="1"/>
    <col min="9989" max="9989" width="10.109375" style="183" customWidth="1"/>
    <col min="9990" max="9990" width="10" style="183" customWidth="1"/>
    <col min="9991" max="9991" width="6.109375" style="183" bestFit="1" customWidth="1"/>
    <col min="9992" max="9992" width="4.6640625" style="183" customWidth="1"/>
    <col min="9993" max="9993" width="14.88671875" style="183" bestFit="1" customWidth="1"/>
    <col min="9994" max="9994" width="12.88671875" style="183" bestFit="1" customWidth="1"/>
    <col min="9995" max="9995" width="7.6640625" style="183" customWidth="1"/>
    <col min="9996" max="9996" width="18" style="183" customWidth="1"/>
    <col min="9997" max="9997" width="8.33203125" style="183" customWidth="1"/>
    <col min="9998" max="9998" width="16" style="183" customWidth="1"/>
    <col min="9999" max="9999" width="15.109375" style="183" bestFit="1" customWidth="1"/>
    <col min="10000" max="10000" width="14.109375" style="183" bestFit="1" customWidth="1"/>
    <col min="10001" max="10240" width="11.44140625" style="183"/>
    <col min="10241" max="10241" width="7.109375" style="183" bestFit="1" customWidth="1"/>
    <col min="10242" max="10242" width="5.33203125" style="183" bestFit="1" customWidth="1"/>
    <col min="10243" max="10243" width="43.6640625" style="183" customWidth="1"/>
    <col min="10244" max="10244" width="13.5546875" style="183" customWidth="1"/>
    <col min="10245" max="10245" width="10.109375" style="183" customWidth="1"/>
    <col min="10246" max="10246" width="10" style="183" customWidth="1"/>
    <col min="10247" max="10247" width="6.109375" style="183" bestFit="1" customWidth="1"/>
    <col min="10248" max="10248" width="4.6640625" style="183" customWidth="1"/>
    <col min="10249" max="10249" width="14.88671875" style="183" bestFit="1" customWidth="1"/>
    <col min="10250" max="10250" width="12.88671875" style="183" bestFit="1" customWidth="1"/>
    <col min="10251" max="10251" width="7.6640625" style="183" customWidth="1"/>
    <col min="10252" max="10252" width="18" style="183" customWidth="1"/>
    <col min="10253" max="10253" width="8.33203125" style="183" customWidth="1"/>
    <col min="10254" max="10254" width="16" style="183" customWidth="1"/>
    <col min="10255" max="10255" width="15.109375" style="183" bestFit="1" customWidth="1"/>
    <col min="10256" max="10256" width="14.109375" style="183" bestFit="1" customWidth="1"/>
    <col min="10257" max="10496" width="11.44140625" style="183"/>
    <col min="10497" max="10497" width="7.109375" style="183" bestFit="1" customWidth="1"/>
    <col min="10498" max="10498" width="5.33203125" style="183" bestFit="1" customWidth="1"/>
    <col min="10499" max="10499" width="43.6640625" style="183" customWidth="1"/>
    <col min="10500" max="10500" width="13.5546875" style="183" customWidth="1"/>
    <col min="10501" max="10501" width="10.109375" style="183" customWidth="1"/>
    <col min="10502" max="10502" width="10" style="183" customWidth="1"/>
    <col min="10503" max="10503" width="6.109375" style="183" bestFit="1" customWidth="1"/>
    <col min="10504" max="10504" width="4.6640625" style="183" customWidth="1"/>
    <col min="10505" max="10505" width="14.88671875" style="183" bestFit="1" customWidth="1"/>
    <col min="10506" max="10506" width="12.88671875" style="183" bestFit="1" customWidth="1"/>
    <col min="10507" max="10507" width="7.6640625" style="183" customWidth="1"/>
    <col min="10508" max="10508" width="18" style="183" customWidth="1"/>
    <col min="10509" max="10509" width="8.33203125" style="183" customWidth="1"/>
    <col min="10510" max="10510" width="16" style="183" customWidth="1"/>
    <col min="10511" max="10511" width="15.109375" style="183" bestFit="1" customWidth="1"/>
    <col min="10512" max="10512" width="14.109375" style="183" bestFit="1" customWidth="1"/>
    <col min="10513" max="10752" width="11.44140625" style="183"/>
    <col min="10753" max="10753" width="7.109375" style="183" bestFit="1" customWidth="1"/>
    <col min="10754" max="10754" width="5.33203125" style="183" bestFit="1" customWidth="1"/>
    <col min="10755" max="10755" width="43.6640625" style="183" customWidth="1"/>
    <col min="10756" max="10756" width="13.5546875" style="183" customWidth="1"/>
    <col min="10757" max="10757" width="10.109375" style="183" customWidth="1"/>
    <col min="10758" max="10758" width="10" style="183" customWidth="1"/>
    <col min="10759" max="10759" width="6.109375" style="183" bestFit="1" customWidth="1"/>
    <col min="10760" max="10760" width="4.6640625" style="183" customWidth="1"/>
    <col min="10761" max="10761" width="14.88671875" style="183" bestFit="1" customWidth="1"/>
    <col min="10762" max="10762" width="12.88671875" style="183" bestFit="1" customWidth="1"/>
    <col min="10763" max="10763" width="7.6640625" style="183" customWidth="1"/>
    <col min="10764" max="10764" width="18" style="183" customWidth="1"/>
    <col min="10765" max="10765" width="8.33203125" style="183" customWidth="1"/>
    <col min="10766" max="10766" width="16" style="183" customWidth="1"/>
    <col min="10767" max="10767" width="15.109375" style="183" bestFit="1" customWidth="1"/>
    <col min="10768" max="10768" width="14.109375" style="183" bestFit="1" customWidth="1"/>
    <col min="10769" max="11008" width="11.44140625" style="183"/>
    <col min="11009" max="11009" width="7.109375" style="183" bestFit="1" customWidth="1"/>
    <col min="11010" max="11010" width="5.33203125" style="183" bestFit="1" customWidth="1"/>
    <col min="11011" max="11011" width="43.6640625" style="183" customWidth="1"/>
    <col min="11012" max="11012" width="13.5546875" style="183" customWidth="1"/>
    <col min="11013" max="11013" width="10.109375" style="183" customWidth="1"/>
    <col min="11014" max="11014" width="10" style="183" customWidth="1"/>
    <col min="11015" max="11015" width="6.109375" style="183" bestFit="1" customWidth="1"/>
    <col min="11016" max="11016" width="4.6640625" style="183" customWidth="1"/>
    <col min="11017" max="11017" width="14.88671875" style="183" bestFit="1" customWidth="1"/>
    <col min="11018" max="11018" width="12.88671875" style="183" bestFit="1" customWidth="1"/>
    <col min="11019" max="11019" width="7.6640625" style="183" customWidth="1"/>
    <col min="11020" max="11020" width="18" style="183" customWidth="1"/>
    <col min="11021" max="11021" width="8.33203125" style="183" customWidth="1"/>
    <col min="11022" max="11022" width="16" style="183" customWidth="1"/>
    <col min="11023" max="11023" width="15.109375" style="183" bestFit="1" customWidth="1"/>
    <col min="11024" max="11024" width="14.109375" style="183" bestFit="1" customWidth="1"/>
    <col min="11025" max="11264" width="11.44140625" style="183"/>
    <col min="11265" max="11265" width="7.109375" style="183" bestFit="1" customWidth="1"/>
    <col min="11266" max="11266" width="5.33203125" style="183" bestFit="1" customWidth="1"/>
    <col min="11267" max="11267" width="43.6640625" style="183" customWidth="1"/>
    <col min="11268" max="11268" width="13.5546875" style="183" customWidth="1"/>
    <col min="11269" max="11269" width="10.109375" style="183" customWidth="1"/>
    <col min="11270" max="11270" width="10" style="183" customWidth="1"/>
    <col min="11271" max="11271" width="6.109375" style="183" bestFit="1" customWidth="1"/>
    <col min="11272" max="11272" width="4.6640625" style="183" customWidth="1"/>
    <col min="11273" max="11273" width="14.88671875" style="183" bestFit="1" customWidth="1"/>
    <col min="11274" max="11274" width="12.88671875" style="183" bestFit="1" customWidth="1"/>
    <col min="11275" max="11275" width="7.6640625" style="183" customWidth="1"/>
    <col min="11276" max="11276" width="18" style="183" customWidth="1"/>
    <col min="11277" max="11277" width="8.33203125" style="183" customWidth="1"/>
    <col min="11278" max="11278" width="16" style="183" customWidth="1"/>
    <col min="11279" max="11279" width="15.109375" style="183" bestFit="1" customWidth="1"/>
    <col min="11280" max="11280" width="14.109375" style="183" bestFit="1" customWidth="1"/>
    <col min="11281" max="11520" width="11.44140625" style="183"/>
    <col min="11521" max="11521" width="7.109375" style="183" bestFit="1" customWidth="1"/>
    <col min="11522" max="11522" width="5.33203125" style="183" bestFit="1" customWidth="1"/>
    <col min="11523" max="11523" width="43.6640625" style="183" customWidth="1"/>
    <col min="11524" max="11524" width="13.5546875" style="183" customWidth="1"/>
    <col min="11525" max="11525" width="10.109375" style="183" customWidth="1"/>
    <col min="11526" max="11526" width="10" style="183" customWidth="1"/>
    <col min="11527" max="11527" width="6.109375" style="183" bestFit="1" customWidth="1"/>
    <col min="11528" max="11528" width="4.6640625" style="183" customWidth="1"/>
    <col min="11529" max="11529" width="14.88671875" style="183" bestFit="1" customWidth="1"/>
    <col min="11530" max="11530" width="12.88671875" style="183" bestFit="1" customWidth="1"/>
    <col min="11531" max="11531" width="7.6640625" style="183" customWidth="1"/>
    <col min="11532" max="11532" width="18" style="183" customWidth="1"/>
    <col min="11533" max="11533" width="8.33203125" style="183" customWidth="1"/>
    <col min="11534" max="11534" width="16" style="183" customWidth="1"/>
    <col min="11535" max="11535" width="15.109375" style="183" bestFit="1" customWidth="1"/>
    <col min="11536" max="11536" width="14.109375" style="183" bestFit="1" customWidth="1"/>
    <col min="11537" max="11776" width="11.44140625" style="183"/>
    <col min="11777" max="11777" width="7.109375" style="183" bestFit="1" customWidth="1"/>
    <col min="11778" max="11778" width="5.33203125" style="183" bestFit="1" customWidth="1"/>
    <col min="11779" max="11779" width="43.6640625" style="183" customWidth="1"/>
    <col min="11780" max="11780" width="13.5546875" style="183" customWidth="1"/>
    <col min="11781" max="11781" width="10.109375" style="183" customWidth="1"/>
    <col min="11782" max="11782" width="10" style="183" customWidth="1"/>
    <col min="11783" max="11783" width="6.109375" style="183" bestFit="1" customWidth="1"/>
    <col min="11784" max="11784" width="4.6640625" style="183" customWidth="1"/>
    <col min="11785" max="11785" width="14.88671875" style="183" bestFit="1" customWidth="1"/>
    <col min="11786" max="11786" width="12.88671875" style="183" bestFit="1" customWidth="1"/>
    <col min="11787" max="11787" width="7.6640625" style="183" customWidth="1"/>
    <col min="11788" max="11788" width="18" style="183" customWidth="1"/>
    <col min="11789" max="11789" width="8.33203125" style="183" customWidth="1"/>
    <col min="11790" max="11790" width="16" style="183" customWidth="1"/>
    <col min="11791" max="11791" width="15.109375" style="183" bestFit="1" customWidth="1"/>
    <col min="11792" max="11792" width="14.109375" style="183" bestFit="1" customWidth="1"/>
    <col min="11793" max="12032" width="11.44140625" style="183"/>
    <col min="12033" max="12033" width="7.109375" style="183" bestFit="1" customWidth="1"/>
    <col min="12034" max="12034" width="5.33203125" style="183" bestFit="1" customWidth="1"/>
    <col min="12035" max="12035" width="43.6640625" style="183" customWidth="1"/>
    <col min="12036" max="12036" width="13.5546875" style="183" customWidth="1"/>
    <col min="12037" max="12037" width="10.109375" style="183" customWidth="1"/>
    <col min="12038" max="12038" width="10" style="183" customWidth="1"/>
    <col min="12039" max="12039" width="6.109375" style="183" bestFit="1" customWidth="1"/>
    <col min="12040" max="12040" width="4.6640625" style="183" customWidth="1"/>
    <col min="12041" max="12041" width="14.88671875" style="183" bestFit="1" customWidth="1"/>
    <col min="12042" max="12042" width="12.88671875" style="183" bestFit="1" customWidth="1"/>
    <col min="12043" max="12043" width="7.6640625" style="183" customWidth="1"/>
    <col min="12044" max="12044" width="18" style="183" customWidth="1"/>
    <col min="12045" max="12045" width="8.33203125" style="183" customWidth="1"/>
    <col min="12046" max="12046" width="16" style="183" customWidth="1"/>
    <col min="12047" max="12047" width="15.109375" style="183" bestFit="1" customWidth="1"/>
    <col min="12048" max="12048" width="14.109375" style="183" bestFit="1" customWidth="1"/>
    <col min="12049" max="12288" width="11.44140625" style="183"/>
    <col min="12289" max="12289" width="7.109375" style="183" bestFit="1" customWidth="1"/>
    <col min="12290" max="12290" width="5.33203125" style="183" bestFit="1" customWidth="1"/>
    <col min="12291" max="12291" width="43.6640625" style="183" customWidth="1"/>
    <col min="12292" max="12292" width="13.5546875" style="183" customWidth="1"/>
    <col min="12293" max="12293" width="10.109375" style="183" customWidth="1"/>
    <col min="12294" max="12294" width="10" style="183" customWidth="1"/>
    <col min="12295" max="12295" width="6.109375" style="183" bestFit="1" customWidth="1"/>
    <col min="12296" max="12296" width="4.6640625" style="183" customWidth="1"/>
    <col min="12297" max="12297" width="14.88671875" style="183" bestFit="1" customWidth="1"/>
    <col min="12298" max="12298" width="12.88671875" style="183" bestFit="1" customWidth="1"/>
    <col min="12299" max="12299" width="7.6640625" style="183" customWidth="1"/>
    <col min="12300" max="12300" width="18" style="183" customWidth="1"/>
    <col min="12301" max="12301" width="8.33203125" style="183" customWidth="1"/>
    <col min="12302" max="12302" width="16" style="183" customWidth="1"/>
    <col min="12303" max="12303" width="15.109375" style="183" bestFit="1" customWidth="1"/>
    <col min="12304" max="12304" width="14.109375" style="183" bestFit="1" customWidth="1"/>
    <col min="12305" max="12544" width="11.44140625" style="183"/>
    <col min="12545" max="12545" width="7.109375" style="183" bestFit="1" customWidth="1"/>
    <col min="12546" max="12546" width="5.33203125" style="183" bestFit="1" customWidth="1"/>
    <col min="12547" max="12547" width="43.6640625" style="183" customWidth="1"/>
    <col min="12548" max="12548" width="13.5546875" style="183" customWidth="1"/>
    <col min="12549" max="12549" width="10.109375" style="183" customWidth="1"/>
    <col min="12550" max="12550" width="10" style="183" customWidth="1"/>
    <col min="12551" max="12551" width="6.109375" style="183" bestFit="1" customWidth="1"/>
    <col min="12552" max="12552" width="4.6640625" style="183" customWidth="1"/>
    <col min="12553" max="12553" width="14.88671875" style="183" bestFit="1" customWidth="1"/>
    <col min="12554" max="12554" width="12.88671875" style="183" bestFit="1" customWidth="1"/>
    <col min="12555" max="12555" width="7.6640625" style="183" customWidth="1"/>
    <col min="12556" max="12556" width="18" style="183" customWidth="1"/>
    <col min="12557" max="12557" width="8.33203125" style="183" customWidth="1"/>
    <col min="12558" max="12558" width="16" style="183" customWidth="1"/>
    <col min="12559" max="12559" width="15.109375" style="183" bestFit="1" customWidth="1"/>
    <col min="12560" max="12560" width="14.109375" style="183" bestFit="1" customWidth="1"/>
    <col min="12561" max="12800" width="11.44140625" style="183"/>
    <col min="12801" max="12801" width="7.109375" style="183" bestFit="1" customWidth="1"/>
    <col min="12802" max="12802" width="5.33203125" style="183" bestFit="1" customWidth="1"/>
    <col min="12803" max="12803" width="43.6640625" style="183" customWidth="1"/>
    <col min="12804" max="12804" width="13.5546875" style="183" customWidth="1"/>
    <col min="12805" max="12805" width="10.109375" style="183" customWidth="1"/>
    <col min="12806" max="12806" width="10" style="183" customWidth="1"/>
    <col min="12807" max="12807" width="6.109375" style="183" bestFit="1" customWidth="1"/>
    <col min="12808" max="12808" width="4.6640625" style="183" customWidth="1"/>
    <col min="12809" max="12809" width="14.88671875" style="183" bestFit="1" customWidth="1"/>
    <col min="12810" max="12810" width="12.88671875" style="183" bestFit="1" customWidth="1"/>
    <col min="12811" max="12811" width="7.6640625" style="183" customWidth="1"/>
    <col min="12812" max="12812" width="18" style="183" customWidth="1"/>
    <col min="12813" max="12813" width="8.33203125" style="183" customWidth="1"/>
    <col min="12814" max="12814" width="16" style="183" customWidth="1"/>
    <col min="12815" max="12815" width="15.109375" style="183" bestFit="1" customWidth="1"/>
    <col min="12816" max="12816" width="14.109375" style="183" bestFit="1" customWidth="1"/>
    <col min="12817" max="13056" width="11.44140625" style="183"/>
    <col min="13057" max="13057" width="7.109375" style="183" bestFit="1" customWidth="1"/>
    <col min="13058" max="13058" width="5.33203125" style="183" bestFit="1" customWidth="1"/>
    <col min="13059" max="13059" width="43.6640625" style="183" customWidth="1"/>
    <col min="13060" max="13060" width="13.5546875" style="183" customWidth="1"/>
    <col min="13061" max="13061" width="10.109375" style="183" customWidth="1"/>
    <col min="13062" max="13062" width="10" style="183" customWidth="1"/>
    <col min="13063" max="13063" width="6.109375" style="183" bestFit="1" customWidth="1"/>
    <col min="13064" max="13064" width="4.6640625" style="183" customWidth="1"/>
    <col min="13065" max="13065" width="14.88671875" style="183" bestFit="1" customWidth="1"/>
    <col min="13066" max="13066" width="12.88671875" style="183" bestFit="1" customWidth="1"/>
    <col min="13067" max="13067" width="7.6640625" style="183" customWidth="1"/>
    <col min="13068" max="13068" width="18" style="183" customWidth="1"/>
    <col min="13069" max="13069" width="8.33203125" style="183" customWidth="1"/>
    <col min="13070" max="13070" width="16" style="183" customWidth="1"/>
    <col min="13071" max="13071" width="15.109375" style="183" bestFit="1" customWidth="1"/>
    <col min="13072" max="13072" width="14.109375" style="183" bestFit="1" customWidth="1"/>
    <col min="13073" max="13312" width="11.44140625" style="183"/>
    <col min="13313" max="13313" width="7.109375" style="183" bestFit="1" customWidth="1"/>
    <col min="13314" max="13314" width="5.33203125" style="183" bestFit="1" customWidth="1"/>
    <col min="13315" max="13315" width="43.6640625" style="183" customWidth="1"/>
    <col min="13316" max="13316" width="13.5546875" style="183" customWidth="1"/>
    <col min="13317" max="13317" width="10.109375" style="183" customWidth="1"/>
    <col min="13318" max="13318" width="10" style="183" customWidth="1"/>
    <col min="13319" max="13319" width="6.109375" style="183" bestFit="1" customWidth="1"/>
    <col min="13320" max="13320" width="4.6640625" style="183" customWidth="1"/>
    <col min="13321" max="13321" width="14.88671875" style="183" bestFit="1" customWidth="1"/>
    <col min="13322" max="13322" width="12.88671875" style="183" bestFit="1" customWidth="1"/>
    <col min="13323" max="13323" width="7.6640625" style="183" customWidth="1"/>
    <col min="13324" max="13324" width="18" style="183" customWidth="1"/>
    <col min="13325" max="13325" width="8.33203125" style="183" customWidth="1"/>
    <col min="13326" max="13326" width="16" style="183" customWidth="1"/>
    <col min="13327" max="13327" width="15.109375" style="183" bestFit="1" customWidth="1"/>
    <col min="13328" max="13328" width="14.109375" style="183" bestFit="1" customWidth="1"/>
    <col min="13329" max="13568" width="11.44140625" style="183"/>
    <col min="13569" max="13569" width="7.109375" style="183" bestFit="1" customWidth="1"/>
    <col min="13570" max="13570" width="5.33203125" style="183" bestFit="1" customWidth="1"/>
    <col min="13571" max="13571" width="43.6640625" style="183" customWidth="1"/>
    <col min="13572" max="13572" width="13.5546875" style="183" customWidth="1"/>
    <col min="13573" max="13573" width="10.109375" style="183" customWidth="1"/>
    <col min="13574" max="13574" width="10" style="183" customWidth="1"/>
    <col min="13575" max="13575" width="6.109375" style="183" bestFit="1" customWidth="1"/>
    <col min="13576" max="13576" width="4.6640625" style="183" customWidth="1"/>
    <col min="13577" max="13577" width="14.88671875" style="183" bestFit="1" customWidth="1"/>
    <col min="13578" max="13578" width="12.88671875" style="183" bestFit="1" customWidth="1"/>
    <col min="13579" max="13579" width="7.6640625" style="183" customWidth="1"/>
    <col min="13580" max="13580" width="18" style="183" customWidth="1"/>
    <col min="13581" max="13581" width="8.33203125" style="183" customWidth="1"/>
    <col min="13582" max="13582" width="16" style="183" customWidth="1"/>
    <col min="13583" max="13583" width="15.109375" style="183" bestFit="1" customWidth="1"/>
    <col min="13584" max="13584" width="14.109375" style="183" bestFit="1" customWidth="1"/>
    <col min="13585" max="13824" width="11.44140625" style="183"/>
    <col min="13825" max="13825" width="7.109375" style="183" bestFit="1" customWidth="1"/>
    <col min="13826" max="13826" width="5.33203125" style="183" bestFit="1" customWidth="1"/>
    <col min="13827" max="13827" width="43.6640625" style="183" customWidth="1"/>
    <col min="13828" max="13828" width="13.5546875" style="183" customWidth="1"/>
    <col min="13829" max="13829" width="10.109375" style="183" customWidth="1"/>
    <col min="13830" max="13830" width="10" style="183" customWidth="1"/>
    <col min="13831" max="13831" width="6.109375" style="183" bestFit="1" customWidth="1"/>
    <col min="13832" max="13832" width="4.6640625" style="183" customWidth="1"/>
    <col min="13833" max="13833" width="14.88671875" style="183" bestFit="1" customWidth="1"/>
    <col min="13834" max="13834" width="12.88671875" style="183" bestFit="1" customWidth="1"/>
    <col min="13835" max="13835" width="7.6640625" style="183" customWidth="1"/>
    <col min="13836" max="13836" width="18" style="183" customWidth="1"/>
    <col min="13837" max="13837" width="8.33203125" style="183" customWidth="1"/>
    <col min="13838" max="13838" width="16" style="183" customWidth="1"/>
    <col min="13839" max="13839" width="15.109375" style="183" bestFit="1" customWidth="1"/>
    <col min="13840" max="13840" width="14.109375" style="183" bestFit="1" customWidth="1"/>
    <col min="13841" max="14080" width="11.44140625" style="183"/>
    <col min="14081" max="14081" width="7.109375" style="183" bestFit="1" customWidth="1"/>
    <col min="14082" max="14082" width="5.33203125" style="183" bestFit="1" customWidth="1"/>
    <col min="14083" max="14083" width="43.6640625" style="183" customWidth="1"/>
    <col min="14084" max="14084" width="13.5546875" style="183" customWidth="1"/>
    <col min="14085" max="14085" width="10.109375" style="183" customWidth="1"/>
    <col min="14086" max="14086" width="10" style="183" customWidth="1"/>
    <col min="14087" max="14087" width="6.109375" style="183" bestFit="1" customWidth="1"/>
    <col min="14088" max="14088" width="4.6640625" style="183" customWidth="1"/>
    <col min="14089" max="14089" width="14.88671875" style="183" bestFit="1" customWidth="1"/>
    <col min="14090" max="14090" width="12.88671875" style="183" bestFit="1" customWidth="1"/>
    <col min="14091" max="14091" width="7.6640625" style="183" customWidth="1"/>
    <col min="14092" max="14092" width="18" style="183" customWidth="1"/>
    <col min="14093" max="14093" width="8.33203125" style="183" customWidth="1"/>
    <col min="14094" max="14094" width="16" style="183" customWidth="1"/>
    <col min="14095" max="14095" width="15.109375" style="183" bestFit="1" customWidth="1"/>
    <col min="14096" max="14096" width="14.109375" style="183" bestFit="1" customWidth="1"/>
    <col min="14097" max="14336" width="11.44140625" style="183"/>
    <col min="14337" max="14337" width="7.109375" style="183" bestFit="1" customWidth="1"/>
    <col min="14338" max="14338" width="5.33203125" style="183" bestFit="1" customWidth="1"/>
    <col min="14339" max="14339" width="43.6640625" style="183" customWidth="1"/>
    <col min="14340" max="14340" width="13.5546875" style="183" customWidth="1"/>
    <col min="14341" max="14341" width="10.109375" style="183" customWidth="1"/>
    <col min="14342" max="14342" width="10" style="183" customWidth="1"/>
    <col min="14343" max="14343" width="6.109375" style="183" bestFit="1" customWidth="1"/>
    <col min="14344" max="14344" width="4.6640625" style="183" customWidth="1"/>
    <col min="14345" max="14345" width="14.88671875" style="183" bestFit="1" customWidth="1"/>
    <col min="14346" max="14346" width="12.88671875" style="183" bestFit="1" customWidth="1"/>
    <col min="14347" max="14347" width="7.6640625" style="183" customWidth="1"/>
    <col min="14348" max="14348" width="18" style="183" customWidth="1"/>
    <col min="14349" max="14349" width="8.33203125" style="183" customWidth="1"/>
    <col min="14350" max="14350" width="16" style="183" customWidth="1"/>
    <col min="14351" max="14351" width="15.109375" style="183" bestFit="1" customWidth="1"/>
    <col min="14352" max="14352" width="14.109375" style="183" bestFit="1" customWidth="1"/>
    <col min="14353" max="14592" width="11.44140625" style="183"/>
    <col min="14593" max="14593" width="7.109375" style="183" bestFit="1" customWidth="1"/>
    <col min="14594" max="14594" width="5.33203125" style="183" bestFit="1" customWidth="1"/>
    <col min="14595" max="14595" width="43.6640625" style="183" customWidth="1"/>
    <col min="14596" max="14596" width="13.5546875" style="183" customWidth="1"/>
    <col min="14597" max="14597" width="10.109375" style="183" customWidth="1"/>
    <col min="14598" max="14598" width="10" style="183" customWidth="1"/>
    <col min="14599" max="14599" width="6.109375" style="183" bestFit="1" customWidth="1"/>
    <col min="14600" max="14600" width="4.6640625" style="183" customWidth="1"/>
    <col min="14601" max="14601" width="14.88671875" style="183" bestFit="1" customWidth="1"/>
    <col min="14602" max="14602" width="12.88671875" style="183" bestFit="1" customWidth="1"/>
    <col min="14603" max="14603" width="7.6640625" style="183" customWidth="1"/>
    <col min="14604" max="14604" width="18" style="183" customWidth="1"/>
    <col min="14605" max="14605" width="8.33203125" style="183" customWidth="1"/>
    <col min="14606" max="14606" width="16" style="183" customWidth="1"/>
    <col min="14607" max="14607" width="15.109375" style="183" bestFit="1" customWidth="1"/>
    <col min="14608" max="14608" width="14.109375" style="183" bestFit="1" customWidth="1"/>
    <col min="14609" max="14848" width="11.44140625" style="183"/>
    <col min="14849" max="14849" width="7.109375" style="183" bestFit="1" customWidth="1"/>
    <col min="14850" max="14850" width="5.33203125" style="183" bestFit="1" customWidth="1"/>
    <col min="14851" max="14851" width="43.6640625" style="183" customWidth="1"/>
    <col min="14852" max="14852" width="13.5546875" style="183" customWidth="1"/>
    <col min="14853" max="14853" width="10.109375" style="183" customWidth="1"/>
    <col min="14854" max="14854" width="10" style="183" customWidth="1"/>
    <col min="14855" max="14855" width="6.109375" style="183" bestFit="1" customWidth="1"/>
    <col min="14856" max="14856" width="4.6640625" style="183" customWidth="1"/>
    <col min="14857" max="14857" width="14.88671875" style="183" bestFit="1" customWidth="1"/>
    <col min="14858" max="14858" width="12.88671875" style="183" bestFit="1" customWidth="1"/>
    <col min="14859" max="14859" width="7.6640625" style="183" customWidth="1"/>
    <col min="14860" max="14860" width="18" style="183" customWidth="1"/>
    <col min="14861" max="14861" width="8.33203125" style="183" customWidth="1"/>
    <col min="14862" max="14862" width="16" style="183" customWidth="1"/>
    <col min="14863" max="14863" width="15.109375" style="183" bestFit="1" customWidth="1"/>
    <col min="14864" max="14864" width="14.109375" style="183" bestFit="1" customWidth="1"/>
    <col min="14865" max="15104" width="11.44140625" style="183"/>
    <col min="15105" max="15105" width="7.109375" style="183" bestFit="1" customWidth="1"/>
    <col min="15106" max="15106" width="5.33203125" style="183" bestFit="1" customWidth="1"/>
    <col min="15107" max="15107" width="43.6640625" style="183" customWidth="1"/>
    <col min="15108" max="15108" width="13.5546875" style="183" customWidth="1"/>
    <col min="15109" max="15109" width="10.109375" style="183" customWidth="1"/>
    <col min="15110" max="15110" width="10" style="183" customWidth="1"/>
    <col min="15111" max="15111" width="6.109375" style="183" bestFit="1" customWidth="1"/>
    <col min="15112" max="15112" width="4.6640625" style="183" customWidth="1"/>
    <col min="15113" max="15113" width="14.88671875" style="183" bestFit="1" customWidth="1"/>
    <col min="15114" max="15114" width="12.88671875" style="183" bestFit="1" customWidth="1"/>
    <col min="15115" max="15115" width="7.6640625" style="183" customWidth="1"/>
    <col min="15116" max="15116" width="18" style="183" customWidth="1"/>
    <col min="15117" max="15117" width="8.33203125" style="183" customWidth="1"/>
    <col min="15118" max="15118" width="16" style="183" customWidth="1"/>
    <col min="15119" max="15119" width="15.109375" style="183" bestFit="1" customWidth="1"/>
    <col min="15120" max="15120" width="14.109375" style="183" bestFit="1" customWidth="1"/>
    <col min="15121" max="15360" width="11.44140625" style="183"/>
    <col min="15361" max="15361" width="7.109375" style="183" bestFit="1" customWidth="1"/>
    <col min="15362" max="15362" width="5.33203125" style="183" bestFit="1" customWidth="1"/>
    <col min="15363" max="15363" width="43.6640625" style="183" customWidth="1"/>
    <col min="15364" max="15364" width="13.5546875" style="183" customWidth="1"/>
    <col min="15365" max="15365" width="10.109375" style="183" customWidth="1"/>
    <col min="15366" max="15366" width="10" style="183" customWidth="1"/>
    <col min="15367" max="15367" width="6.109375" style="183" bestFit="1" customWidth="1"/>
    <col min="15368" max="15368" width="4.6640625" style="183" customWidth="1"/>
    <col min="15369" max="15369" width="14.88671875" style="183" bestFit="1" customWidth="1"/>
    <col min="15370" max="15370" width="12.88671875" style="183" bestFit="1" customWidth="1"/>
    <col min="15371" max="15371" width="7.6640625" style="183" customWidth="1"/>
    <col min="15372" max="15372" width="18" style="183" customWidth="1"/>
    <col min="15373" max="15373" width="8.33203125" style="183" customWidth="1"/>
    <col min="15374" max="15374" width="16" style="183" customWidth="1"/>
    <col min="15375" max="15375" width="15.109375" style="183" bestFit="1" customWidth="1"/>
    <col min="15376" max="15376" width="14.109375" style="183" bestFit="1" customWidth="1"/>
    <col min="15377" max="15616" width="11.44140625" style="183"/>
    <col min="15617" max="15617" width="7.109375" style="183" bestFit="1" customWidth="1"/>
    <col min="15618" max="15618" width="5.33203125" style="183" bestFit="1" customWidth="1"/>
    <col min="15619" max="15619" width="43.6640625" style="183" customWidth="1"/>
    <col min="15620" max="15620" width="13.5546875" style="183" customWidth="1"/>
    <col min="15621" max="15621" width="10.109375" style="183" customWidth="1"/>
    <col min="15622" max="15622" width="10" style="183" customWidth="1"/>
    <col min="15623" max="15623" width="6.109375" style="183" bestFit="1" customWidth="1"/>
    <col min="15624" max="15624" width="4.6640625" style="183" customWidth="1"/>
    <col min="15625" max="15625" width="14.88671875" style="183" bestFit="1" customWidth="1"/>
    <col min="15626" max="15626" width="12.88671875" style="183" bestFit="1" customWidth="1"/>
    <col min="15627" max="15627" width="7.6640625" style="183" customWidth="1"/>
    <col min="15628" max="15628" width="18" style="183" customWidth="1"/>
    <col min="15629" max="15629" width="8.33203125" style="183" customWidth="1"/>
    <col min="15630" max="15630" width="16" style="183" customWidth="1"/>
    <col min="15631" max="15631" width="15.109375" style="183" bestFit="1" customWidth="1"/>
    <col min="15632" max="15632" width="14.109375" style="183" bestFit="1" customWidth="1"/>
    <col min="15633" max="15872" width="11.44140625" style="183"/>
    <col min="15873" max="15873" width="7.109375" style="183" bestFit="1" customWidth="1"/>
    <col min="15874" max="15874" width="5.33203125" style="183" bestFit="1" customWidth="1"/>
    <col min="15875" max="15875" width="43.6640625" style="183" customWidth="1"/>
    <col min="15876" max="15876" width="13.5546875" style="183" customWidth="1"/>
    <col min="15877" max="15877" width="10.109375" style="183" customWidth="1"/>
    <col min="15878" max="15878" width="10" style="183" customWidth="1"/>
    <col min="15879" max="15879" width="6.109375" style="183" bestFit="1" customWidth="1"/>
    <col min="15880" max="15880" width="4.6640625" style="183" customWidth="1"/>
    <col min="15881" max="15881" width="14.88671875" style="183" bestFit="1" customWidth="1"/>
    <col min="15882" max="15882" width="12.88671875" style="183" bestFit="1" customWidth="1"/>
    <col min="15883" max="15883" width="7.6640625" style="183" customWidth="1"/>
    <col min="15884" max="15884" width="18" style="183" customWidth="1"/>
    <col min="15885" max="15885" width="8.33203125" style="183" customWidth="1"/>
    <col min="15886" max="15886" width="16" style="183" customWidth="1"/>
    <col min="15887" max="15887" width="15.109375" style="183" bestFit="1" customWidth="1"/>
    <col min="15888" max="15888" width="14.109375" style="183" bestFit="1" customWidth="1"/>
    <col min="15889" max="16128" width="11.44140625" style="183"/>
    <col min="16129" max="16129" width="7.109375" style="183" bestFit="1" customWidth="1"/>
    <col min="16130" max="16130" width="5.33203125" style="183" bestFit="1" customWidth="1"/>
    <col min="16131" max="16131" width="43.6640625" style="183" customWidth="1"/>
    <col min="16132" max="16132" width="13.5546875" style="183" customWidth="1"/>
    <col min="16133" max="16133" width="10.109375" style="183" customWidth="1"/>
    <col min="16134" max="16134" width="10" style="183" customWidth="1"/>
    <col min="16135" max="16135" width="6.109375" style="183" bestFit="1" customWidth="1"/>
    <col min="16136" max="16136" width="4.6640625" style="183" customWidth="1"/>
    <col min="16137" max="16137" width="14.88671875" style="183" bestFit="1" customWidth="1"/>
    <col min="16138" max="16138" width="12.88671875" style="183" bestFit="1" customWidth="1"/>
    <col min="16139" max="16139" width="7.6640625" style="183" customWidth="1"/>
    <col min="16140" max="16140" width="18" style="183" customWidth="1"/>
    <col min="16141" max="16141" width="8.33203125" style="183" customWidth="1"/>
    <col min="16142" max="16142" width="16" style="183" customWidth="1"/>
    <col min="16143" max="16143" width="15.109375" style="183" bestFit="1" customWidth="1"/>
    <col min="16144" max="16144" width="14.109375" style="183" bestFit="1" customWidth="1"/>
    <col min="16145" max="16384" width="11.44140625" style="183"/>
  </cols>
  <sheetData>
    <row r="1" spans="1:15" ht="7.5" customHeight="1" thickBot="1" x14ac:dyDescent="0.35"/>
    <row r="2" spans="1:15" ht="15" customHeight="1" x14ac:dyDescent="0.3">
      <c r="B2" s="879" t="s">
        <v>162</v>
      </c>
      <c r="C2" s="880"/>
      <c r="D2" s="880"/>
      <c r="E2" s="880"/>
      <c r="F2" s="880"/>
      <c r="G2" s="880"/>
      <c r="H2" s="880"/>
      <c r="I2" s="881"/>
      <c r="J2" s="830"/>
      <c r="K2" s="831"/>
      <c r="L2" s="832"/>
    </row>
    <row r="3" spans="1:15" ht="15" customHeight="1" x14ac:dyDescent="0.3">
      <c r="B3" s="824"/>
      <c r="C3" s="825"/>
      <c r="D3" s="825"/>
      <c r="E3" s="825"/>
      <c r="F3" s="825"/>
      <c r="G3" s="825"/>
      <c r="H3" s="825"/>
      <c r="I3" s="826"/>
      <c r="J3" s="833"/>
      <c r="K3" s="834"/>
      <c r="L3" s="835"/>
    </row>
    <row r="4" spans="1:15" ht="15" customHeight="1" x14ac:dyDescent="0.3">
      <c r="B4" s="824"/>
      <c r="C4" s="825"/>
      <c r="D4" s="825"/>
      <c r="E4" s="825"/>
      <c r="F4" s="825"/>
      <c r="G4" s="825"/>
      <c r="H4" s="825"/>
      <c r="I4" s="826"/>
      <c r="J4" s="833"/>
      <c r="K4" s="834"/>
      <c r="L4" s="835"/>
    </row>
    <row r="5" spans="1:15" ht="15.75" customHeight="1" thickBot="1" x14ac:dyDescent="0.35">
      <c r="B5" s="827"/>
      <c r="C5" s="828"/>
      <c r="D5" s="828"/>
      <c r="E5" s="828"/>
      <c r="F5" s="828"/>
      <c r="G5" s="828"/>
      <c r="H5" s="828"/>
      <c r="I5" s="829"/>
      <c r="J5" s="836"/>
      <c r="K5" s="837"/>
      <c r="L5" s="838"/>
    </row>
    <row r="6" spans="1:15" ht="36" customHeight="1" thickBot="1" x14ac:dyDescent="0.35">
      <c r="B6" s="839" t="s">
        <v>163</v>
      </c>
      <c r="C6" s="840"/>
      <c r="D6" s="841" t="s">
        <v>9</v>
      </c>
      <c r="E6" s="842"/>
      <c r="F6" s="842"/>
      <c r="G6" s="842"/>
      <c r="H6" s="842"/>
      <c r="I6" s="842"/>
      <c r="J6" s="842"/>
      <c r="K6" s="842"/>
      <c r="L6" s="843"/>
    </row>
    <row r="7" spans="1:15" ht="13.8" thickBot="1" x14ac:dyDescent="0.35">
      <c r="A7" s="183"/>
      <c r="B7" s="248"/>
      <c r="C7" s="248"/>
      <c r="D7" s="248"/>
      <c r="E7" s="248"/>
      <c r="F7" s="248"/>
      <c r="G7" s="248"/>
      <c r="H7" s="248"/>
      <c r="I7" s="248"/>
      <c r="J7" s="248"/>
      <c r="K7" s="248"/>
      <c r="L7" s="249"/>
    </row>
    <row r="8" spans="1:15" ht="13.8" thickBot="1" x14ac:dyDescent="0.35">
      <c r="A8" s="183"/>
      <c r="B8" s="844" t="s">
        <v>317</v>
      </c>
      <c r="C8" s="845"/>
      <c r="D8" s="845"/>
      <c r="E8" s="845"/>
      <c r="F8" s="845"/>
      <c r="G8" s="845"/>
      <c r="H8" s="845"/>
      <c r="I8" s="845"/>
      <c r="J8" s="845"/>
      <c r="K8" s="845"/>
      <c r="L8" s="846"/>
    </row>
    <row r="9" spans="1:15" x14ac:dyDescent="0.3">
      <c r="B9" s="815" t="s">
        <v>318</v>
      </c>
      <c r="C9" s="816"/>
      <c r="D9" s="816"/>
      <c r="E9" s="817">
        <f>+'COMPONENTE PMT'!T31</f>
        <v>48506845</v>
      </c>
      <c r="F9" s="817"/>
      <c r="G9" s="818"/>
      <c r="H9" s="250"/>
      <c r="I9" s="251" t="s">
        <v>72</v>
      </c>
      <c r="J9" s="819">
        <f>+'AIU FLDT'!H7</f>
        <v>46236</v>
      </c>
      <c r="K9" s="819"/>
      <c r="L9" s="820"/>
    </row>
    <row r="10" spans="1:15" ht="13.8" thickBot="1" x14ac:dyDescent="0.35">
      <c r="B10" s="806" t="s">
        <v>73</v>
      </c>
      <c r="C10" s="807"/>
      <c r="D10" s="807"/>
      <c r="E10" s="252">
        <f>'AIU FLDT'!D8</f>
        <v>4</v>
      </c>
      <c r="F10" s="807" t="s">
        <v>74</v>
      </c>
      <c r="G10" s="808"/>
      <c r="H10" s="253"/>
      <c r="I10" s="254" t="s">
        <v>75</v>
      </c>
      <c r="J10" s="780"/>
      <c r="K10" s="780"/>
      <c r="L10" s="781"/>
    </row>
    <row r="12" spans="1:15" s="256" customFormat="1" ht="12.75" customHeight="1" x14ac:dyDescent="0.3">
      <c r="A12" s="255"/>
      <c r="B12" s="809" t="s">
        <v>223</v>
      </c>
      <c r="C12" s="809"/>
      <c r="D12" s="809"/>
      <c r="E12" s="809"/>
      <c r="F12" s="809"/>
      <c r="G12" s="809"/>
      <c r="H12" s="809"/>
      <c r="I12" s="809"/>
      <c r="J12" s="809"/>
      <c r="K12" s="809"/>
      <c r="L12" s="809"/>
    </row>
    <row r="13" spans="1:15" s="259" customFormat="1" ht="10.199999999999999" x14ac:dyDescent="0.3">
      <c r="A13" s="257"/>
      <c r="B13" s="258">
        <v>3.1</v>
      </c>
      <c r="C13" s="810" t="s">
        <v>114</v>
      </c>
      <c r="D13" s="810"/>
      <c r="E13" s="810"/>
      <c r="F13" s="810"/>
      <c r="G13" s="810"/>
      <c r="H13" s="810"/>
      <c r="I13" s="810"/>
      <c r="J13" s="810"/>
      <c r="K13" s="810"/>
      <c r="L13" s="810"/>
    </row>
    <row r="14" spans="1:15" s="259" customFormat="1" ht="10.199999999999999" x14ac:dyDescent="0.3">
      <c r="A14" s="257"/>
      <c r="B14" s="260" t="s">
        <v>224</v>
      </c>
      <c r="C14" s="801" t="s">
        <v>12</v>
      </c>
      <c r="D14" s="811"/>
      <c r="E14" s="261"/>
      <c r="F14" s="262"/>
      <c r="G14" s="812"/>
      <c r="H14" s="812"/>
      <c r="I14" s="263"/>
      <c r="J14" s="801" t="s">
        <v>115</v>
      </c>
      <c r="K14" s="802"/>
      <c r="L14" s="258" t="s">
        <v>110</v>
      </c>
    </row>
    <row r="15" spans="1:15" s="256" customFormat="1" ht="10.199999999999999" x14ac:dyDescent="0.3">
      <c r="A15" s="257"/>
      <c r="B15" s="264">
        <f>B13+0.001</f>
        <v>3.101</v>
      </c>
      <c r="C15" s="265" t="s">
        <v>116</v>
      </c>
      <c r="D15" s="266"/>
      <c r="E15" s="266"/>
      <c r="F15" s="266"/>
      <c r="G15" s="266"/>
      <c r="H15" s="266"/>
      <c r="I15" s="267"/>
      <c r="J15" s="813">
        <v>0.05</v>
      </c>
      <c r="K15" s="814"/>
      <c r="L15" s="268">
        <f>ROUND((($E$9*ROUND((1+$M$38),4)))*J15,0)</f>
        <v>2425342</v>
      </c>
      <c r="O15" s="269"/>
    </row>
    <row r="16" spans="1:15" s="256" customFormat="1" ht="10.199999999999999" x14ac:dyDescent="0.3">
      <c r="A16" s="257"/>
      <c r="B16" s="264">
        <f>B15+0.001</f>
        <v>3.1019999999999999</v>
      </c>
      <c r="C16" s="265" t="s">
        <v>225</v>
      </c>
      <c r="D16" s="266"/>
      <c r="E16" s="266"/>
      <c r="F16" s="266"/>
      <c r="G16" s="266"/>
      <c r="H16" s="266"/>
      <c r="I16" s="267"/>
      <c r="J16" s="813">
        <f>7.12/1000</f>
        <v>7.1200000000000005E-3</v>
      </c>
      <c r="K16" s="814"/>
      <c r="L16" s="268">
        <f>ROUND((($E$9*ROUND((1+$M$38),4)))*J16,0)</f>
        <v>345369</v>
      </c>
      <c r="O16" s="269"/>
    </row>
    <row r="17" spans="1:16" s="256" customFormat="1" ht="10.199999999999999" x14ac:dyDescent="0.3">
      <c r="A17" s="257"/>
      <c r="B17" s="264">
        <f>B16+0.001</f>
        <v>3.1029999999999998</v>
      </c>
      <c r="C17" s="265" t="s">
        <v>119</v>
      </c>
      <c r="D17" s="266"/>
      <c r="E17" s="266"/>
      <c r="F17" s="266"/>
      <c r="G17" s="266"/>
      <c r="H17" s="266"/>
      <c r="I17" s="267"/>
      <c r="J17" s="813">
        <v>4.0000000000000001E-3</v>
      </c>
      <c r="K17" s="814"/>
      <c r="L17" s="268">
        <f>ROUND((($E$9*ROUND((1+$M$38),4)))*J17,0)</f>
        <v>194027</v>
      </c>
      <c r="O17" s="269"/>
    </row>
    <row r="18" spans="1:16" s="256" customFormat="1" ht="10.199999999999999" x14ac:dyDescent="0.3">
      <c r="A18" s="257"/>
      <c r="B18" s="264">
        <f>B17+0.001</f>
        <v>3.1039999999999996</v>
      </c>
      <c r="C18" s="265" t="s">
        <v>226</v>
      </c>
      <c r="D18" s="266"/>
      <c r="E18" s="266"/>
      <c r="F18" s="266"/>
      <c r="G18" s="266"/>
      <c r="H18" s="266"/>
      <c r="I18" s="267"/>
      <c r="J18" s="813">
        <v>5.0000000000000001E-3</v>
      </c>
      <c r="K18" s="814"/>
      <c r="L18" s="268">
        <f>ROUND((($E$9*ROUND((1+$M$38),4)))*J18,0)</f>
        <v>242534</v>
      </c>
      <c r="O18" s="269"/>
    </row>
    <row r="19" spans="1:16" s="256" customFormat="1" ht="10.199999999999999" x14ac:dyDescent="0.3">
      <c r="A19" s="257"/>
      <c r="B19" s="257"/>
      <c r="C19" s="789" t="s">
        <v>122</v>
      </c>
      <c r="D19" s="790"/>
      <c r="E19" s="790"/>
      <c r="F19" s="790"/>
      <c r="G19" s="790"/>
      <c r="H19" s="790"/>
      <c r="I19" s="790"/>
      <c r="J19" s="790"/>
      <c r="K19" s="791"/>
      <c r="L19" s="270">
        <f>SUM(L15:L18)</f>
        <v>3207272</v>
      </c>
      <c r="O19" s="269"/>
    </row>
    <row r="20" spans="1:16" s="256" customFormat="1" ht="10.199999999999999" x14ac:dyDescent="0.3">
      <c r="A20" s="257"/>
      <c r="B20" s="257"/>
      <c r="C20" s="271"/>
      <c r="D20" s="271"/>
      <c r="E20" s="271"/>
      <c r="F20" s="271"/>
      <c r="G20" s="271"/>
      <c r="H20" s="271"/>
      <c r="I20" s="271"/>
      <c r="J20" s="271"/>
      <c r="K20" s="271"/>
      <c r="L20" s="271"/>
    </row>
    <row r="21" spans="1:16" s="256" customFormat="1" ht="10.199999999999999" x14ac:dyDescent="0.3">
      <c r="A21" s="257"/>
      <c r="B21" s="258">
        <f>B13+0.1</f>
        <v>3.2</v>
      </c>
      <c r="C21" s="805" t="s">
        <v>227</v>
      </c>
      <c r="D21" s="805"/>
      <c r="E21" s="805"/>
      <c r="F21" s="805"/>
      <c r="G21" s="805"/>
      <c r="H21" s="805"/>
      <c r="I21" s="805"/>
      <c r="J21" s="805"/>
      <c r="K21" s="805"/>
      <c r="L21" s="805"/>
    </row>
    <row r="22" spans="1:16" s="272" customFormat="1" ht="20.399999999999999" x14ac:dyDescent="0.3">
      <c r="A22" s="257"/>
      <c r="B22" s="260" t="s">
        <v>224</v>
      </c>
      <c r="C22" s="798" t="s">
        <v>12</v>
      </c>
      <c r="D22" s="798"/>
      <c r="E22" s="799" t="s">
        <v>228</v>
      </c>
      <c r="F22" s="800"/>
      <c r="G22" s="801" t="s">
        <v>125</v>
      </c>
      <c r="H22" s="802"/>
      <c r="I22" s="260" t="s">
        <v>126</v>
      </c>
      <c r="J22" s="801" t="s">
        <v>127</v>
      </c>
      <c r="K22" s="802"/>
      <c r="L22" s="258" t="s">
        <v>110</v>
      </c>
    </row>
    <row r="23" spans="1:16" s="256" customFormat="1" ht="12.75" customHeight="1" x14ac:dyDescent="0.3">
      <c r="A23" s="257"/>
      <c r="B23" s="264">
        <f>B21+0.001</f>
        <v>3.2010000000000001</v>
      </c>
      <c r="C23" s="273" t="s">
        <v>229</v>
      </c>
      <c r="D23" s="803" t="s">
        <v>230</v>
      </c>
      <c r="E23" s="795">
        <f>ROUND(($E$9*ROUND((1+$M$38),4)),0)</f>
        <v>48506845</v>
      </c>
      <c r="F23" s="796"/>
      <c r="G23" s="797">
        <v>0.3</v>
      </c>
      <c r="H23" s="797"/>
      <c r="I23" s="274">
        <f>$E$10+6</f>
        <v>10</v>
      </c>
      <c r="J23" s="793">
        <v>2E-3</v>
      </c>
      <c r="K23" s="794"/>
      <c r="L23" s="268">
        <f>ROUND((((((E23*G23)*J23)/12)*I23)+2500)*1.19,0)</f>
        <v>31837</v>
      </c>
    </row>
    <row r="24" spans="1:16" s="256" customFormat="1" ht="12.75" customHeight="1" x14ac:dyDescent="0.3">
      <c r="A24" s="257"/>
      <c r="B24" s="264">
        <f>B23+0.001</f>
        <v>3.202</v>
      </c>
      <c r="C24" s="273"/>
      <c r="D24" s="804"/>
      <c r="E24" s="795"/>
      <c r="F24" s="796"/>
      <c r="G24" s="797"/>
      <c r="H24" s="797"/>
      <c r="I24" s="274"/>
      <c r="J24" s="793"/>
      <c r="K24" s="794"/>
      <c r="L24" s="268"/>
    </row>
    <row r="25" spans="1:16" s="256" customFormat="1" ht="12.75" customHeight="1" x14ac:dyDescent="0.25">
      <c r="A25" s="257"/>
      <c r="B25" s="264">
        <f>B24+0.001</f>
        <v>3.2029999999999998</v>
      </c>
      <c r="C25" s="273" t="s">
        <v>231</v>
      </c>
      <c r="D25" s="804"/>
      <c r="E25" s="795">
        <f>$E$23</f>
        <v>48506845</v>
      </c>
      <c r="F25" s="796"/>
      <c r="G25" s="797">
        <v>0.1</v>
      </c>
      <c r="H25" s="797"/>
      <c r="I25" s="274">
        <f>$E$10+36</f>
        <v>40</v>
      </c>
      <c r="J25" s="793">
        <v>2E-3</v>
      </c>
      <c r="K25" s="794"/>
      <c r="L25" s="268">
        <f>ROUND((((((E25*G25)*J25)/12)*I25)+2500)*1.19,0)</f>
        <v>41457</v>
      </c>
      <c r="O25" s="275"/>
      <c r="P25" s="275"/>
    </row>
    <row r="26" spans="1:16" s="256" customFormat="1" ht="12" x14ac:dyDescent="0.25">
      <c r="A26" s="257"/>
      <c r="B26" s="264">
        <f>B25+0.001</f>
        <v>3.2039999999999997</v>
      </c>
      <c r="C26" s="273" t="s">
        <v>232</v>
      </c>
      <c r="D26" s="804"/>
      <c r="E26" s="795">
        <f>E23</f>
        <v>48506845</v>
      </c>
      <c r="F26" s="796"/>
      <c r="G26" s="797">
        <v>0.3</v>
      </c>
      <c r="H26" s="797"/>
      <c r="I26" s="274">
        <v>60</v>
      </c>
      <c r="J26" s="793">
        <v>2E-3</v>
      </c>
      <c r="K26" s="794"/>
      <c r="L26" s="268">
        <f>ROUND((((((E26*G26)*J26)/12)*I26)+2500)*1.19,0)</f>
        <v>176144</v>
      </c>
      <c r="N26" s="276"/>
      <c r="O26" s="277"/>
      <c r="P26" s="275"/>
    </row>
    <row r="27" spans="1:16" s="256" customFormat="1" ht="20.399999999999999" x14ac:dyDescent="0.3">
      <c r="A27" s="257"/>
      <c r="B27" s="264">
        <f>B26+0.001</f>
        <v>3.2049999999999996</v>
      </c>
      <c r="C27" s="273" t="s">
        <v>132</v>
      </c>
      <c r="D27" s="278" t="s">
        <v>133</v>
      </c>
      <c r="E27" s="795">
        <f>E23</f>
        <v>48506845</v>
      </c>
      <c r="F27" s="796"/>
      <c r="G27" s="797">
        <v>1</v>
      </c>
      <c r="H27" s="797"/>
      <c r="I27" s="274">
        <f>$E$10</f>
        <v>4</v>
      </c>
      <c r="J27" s="793">
        <v>3.0000000000000001E-3</v>
      </c>
      <c r="K27" s="794"/>
      <c r="L27" s="268">
        <f>ROUND((((((E27*G27)*J27)/12)*I27)+2500)*1.19,0)</f>
        <v>60698</v>
      </c>
      <c r="N27" s="276"/>
      <c r="O27" s="276"/>
      <c r="P27" s="279"/>
    </row>
    <row r="29" spans="1:16" s="256" customFormat="1" ht="10.199999999999999" x14ac:dyDescent="0.3">
      <c r="A29" s="257"/>
      <c r="B29" s="257"/>
      <c r="C29" s="789" t="s">
        <v>135</v>
      </c>
      <c r="D29" s="790"/>
      <c r="E29" s="790"/>
      <c r="F29" s="790"/>
      <c r="G29" s="790"/>
      <c r="H29" s="790"/>
      <c r="I29" s="790"/>
      <c r="J29" s="790"/>
      <c r="K29" s="791"/>
      <c r="L29" s="270">
        <f>ROUND(SUM(L23:L27),0)</f>
        <v>310136</v>
      </c>
    </row>
    <row r="30" spans="1:16" s="256" customFormat="1" ht="10.199999999999999" x14ac:dyDescent="0.3">
      <c r="A30" s="257"/>
      <c r="B30" s="257"/>
      <c r="C30" s="792"/>
      <c r="D30" s="792"/>
      <c r="E30" s="792"/>
      <c r="F30" s="792"/>
      <c r="G30" s="792"/>
      <c r="H30" s="792"/>
      <c r="I30" s="792"/>
      <c r="J30" s="792"/>
      <c r="K30" s="792"/>
      <c r="L30" s="792"/>
      <c r="N30" s="280"/>
    </row>
    <row r="31" spans="1:16" s="256" customFormat="1" ht="10.199999999999999" x14ac:dyDescent="0.3">
      <c r="A31" s="257"/>
      <c r="B31" s="257"/>
      <c r="C31" s="281" t="s">
        <v>136</v>
      </c>
      <c r="D31" s="282"/>
      <c r="E31" s="282"/>
      <c r="F31" s="282"/>
      <c r="G31" s="282"/>
      <c r="H31" s="282"/>
      <c r="I31" s="282"/>
      <c r="J31" s="282"/>
      <c r="K31" s="283"/>
      <c r="L31" s="270">
        <f>ROUND(L19+L29,0)</f>
        <v>3517408</v>
      </c>
    </row>
    <row r="32" spans="1:16" s="256" customFormat="1" x14ac:dyDescent="0.3">
      <c r="A32" s="257"/>
      <c r="B32" s="257"/>
      <c r="C32" s="281" t="s">
        <v>137</v>
      </c>
      <c r="D32" s="282"/>
      <c r="E32" s="282"/>
      <c r="F32" s="282"/>
      <c r="G32" s="282"/>
      <c r="H32" s="282"/>
      <c r="I32" s="282"/>
      <c r="J32" s="282"/>
      <c r="K32" s="283"/>
      <c r="L32" s="284">
        <f>+L31/E9</f>
        <v>7.2513642146793927E-2</v>
      </c>
    </row>
    <row r="33" spans="1:16" s="256" customFormat="1" ht="10.199999999999999" x14ac:dyDescent="0.3">
      <c r="A33" s="257"/>
      <c r="B33" s="257"/>
      <c r="C33" s="792"/>
      <c r="D33" s="792"/>
      <c r="E33" s="792"/>
      <c r="F33" s="792"/>
      <c r="G33" s="792"/>
      <c r="H33" s="792"/>
      <c r="I33" s="792"/>
      <c r="J33" s="792"/>
      <c r="K33" s="792"/>
      <c r="L33" s="792"/>
    </row>
    <row r="34" spans="1:16" s="256" customFormat="1" ht="10.199999999999999" x14ac:dyDescent="0.3">
      <c r="A34" s="257"/>
      <c r="B34" s="257"/>
      <c r="C34" s="281" t="s">
        <v>233</v>
      </c>
      <c r="D34" s="282"/>
      <c r="E34" s="282"/>
      <c r="F34" s="282"/>
      <c r="G34" s="282"/>
      <c r="H34" s="282"/>
      <c r="I34" s="282"/>
      <c r="J34" s="282"/>
      <c r="K34" s="283"/>
      <c r="L34" s="285">
        <f>L32-0.0003</f>
        <v>7.2213642146793933E-2</v>
      </c>
    </row>
    <row r="35" spans="1:16" s="272" customFormat="1" ht="10.199999999999999" x14ac:dyDescent="0.3">
      <c r="A35" s="259"/>
      <c r="B35" s="259"/>
      <c r="C35" s="281" t="s">
        <v>234</v>
      </c>
      <c r="D35" s="282"/>
      <c r="E35" s="282"/>
      <c r="F35" s="282"/>
      <c r="G35" s="282"/>
      <c r="H35" s="282"/>
      <c r="I35" s="282"/>
      <c r="J35" s="282"/>
      <c r="K35" s="283"/>
      <c r="L35" s="285">
        <v>0.01</v>
      </c>
      <c r="N35" s="453"/>
      <c r="O35" s="286"/>
      <c r="P35" s="287"/>
    </row>
    <row r="36" spans="1:16" s="272" customFormat="1" ht="10.199999999999999" x14ac:dyDescent="0.3">
      <c r="A36" s="259"/>
      <c r="B36" s="259"/>
      <c r="C36" s="281" t="s">
        <v>235</v>
      </c>
      <c r="D36" s="282"/>
      <c r="E36" s="282"/>
      <c r="F36" s="282"/>
      <c r="G36" s="282"/>
      <c r="H36" s="282"/>
      <c r="I36" s="282"/>
      <c r="J36" s="282"/>
      <c r="K36" s="283"/>
      <c r="L36" s="285">
        <v>0.05</v>
      </c>
    </row>
    <row r="37" spans="1:16" s="256" customFormat="1" ht="10.199999999999999" x14ac:dyDescent="0.3">
      <c r="A37" s="257"/>
      <c r="B37" s="257"/>
      <c r="C37" s="792"/>
      <c r="D37" s="792"/>
      <c r="E37" s="792"/>
      <c r="F37" s="792"/>
      <c r="G37" s="792"/>
      <c r="H37" s="792"/>
      <c r="I37" s="792"/>
      <c r="J37" s="792"/>
      <c r="K37" s="792"/>
      <c r="L37" s="792"/>
      <c r="M37" s="288"/>
    </row>
    <row r="38" spans="1:16" s="256" customFormat="1" x14ac:dyDescent="0.3">
      <c r="A38" s="257"/>
      <c r="B38" s="257"/>
      <c r="C38" s="281" t="s">
        <v>236</v>
      </c>
      <c r="D38" s="282"/>
      <c r="E38" s="282"/>
      <c r="F38" s="282"/>
      <c r="G38" s="282"/>
      <c r="H38" s="282"/>
      <c r="I38" s="282"/>
      <c r="J38" s="282"/>
      <c r="K38" s="289"/>
      <c r="L38" s="290">
        <f>SUM(L34:L36)</f>
        <v>0.13221364214679393</v>
      </c>
      <c r="M38" s="291"/>
    </row>
    <row r="39" spans="1:16" s="256" customFormat="1" x14ac:dyDescent="0.3">
      <c r="A39" s="257"/>
      <c r="B39" s="257"/>
      <c r="C39" s="292"/>
      <c r="D39" s="292"/>
      <c r="E39" s="292"/>
      <c r="F39" s="292"/>
      <c r="G39" s="293"/>
      <c r="H39" s="293"/>
      <c r="I39" s="293"/>
      <c r="J39" s="293"/>
      <c r="K39" s="293"/>
      <c r="L39" s="294"/>
    </row>
    <row r="40" spans="1:16" s="256" customFormat="1" ht="10.199999999999999" x14ac:dyDescent="0.3">
      <c r="A40" s="257"/>
      <c r="B40" s="257"/>
      <c r="C40" s="372"/>
      <c r="D40" s="871"/>
      <c r="E40" s="871"/>
      <c r="F40" s="871"/>
      <c r="G40" s="871"/>
      <c r="H40" s="871"/>
      <c r="I40" s="871"/>
      <c r="J40" s="871"/>
      <c r="K40" s="871"/>
      <c r="L40" s="872"/>
    </row>
    <row r="41" spans="1:16" s="256" customFormat="1" ht="10.199999999999999" x14ac:dyDescent="0.3">
      <c r="A41" s="257"/>
      <c r="B41" s="257"/>
      <c r="C41" s="373" t="s">
        <v>286</v>
      </c>
      <c r="D41" s="873" t="s">
        <v>287</v>
      </c>
      <c r="E41" s="873"/>
      <c r="F41" s="873"/>
      <c r="G41" s="873"/>
      <c r="H41" s="873"/>
      <c r="I41" s="873"/>
      <c r="J41" s="873"/>
      <c r="K41" s="873"/>
      <c r="L41" s="874"/>
    </row>
    <row r="42" spans="1:16" s="256" customFormat="1" ht="10.199999999999999" x14ac:dyDescent="0.3">
      <c r="A42" s="257"/>
      <c r="B42" s="257"/>
      <c r="C42" s="374" t="s">
        <v>286</v>
      </c>
      <c r="D42" s="875" t="s">
        <v>288</v>
      </c>
      <c r="E42" s="875"/>
      <c r="F42" s="875"/>
      <c r="G42" s="875"/>
      <c r="H42" s="875"/>
      <c r="I42" s="875"/>
      <c r="J42" s="875"/>
      <c r="K42" s="875"/>
      <c r="L42" s="876"/>
    </row>
  </sheetData>
  <mergeCells count="49">
    <mergeCell ref="B9:D9"/>
    <mergeCell ref="E9:G9"/>
    <mergeCell ref="J9:L9"/>
    <mergeCell ref="B2:I5"/>
    <mergeCell ref="J2:L5"/>
    <mergeCell ref="B6:C6"/>
    <mergeCell ref="D6:L6"/>
    <mergeCell ref="B8:L8"/>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6"/>
    <mergeCell ref="E23:F23"/>
    <mergeCell ref="G23:H23"/>
    <mergeCell ref="J23:K23"/>
    <mergeCell ref="E24:F24"/>
    <mergeCell ref="G24:H24"/>
    <mergeCell ref="J24:K24"/>
    <mergeCell ref="E25:F25"/>
    <mergeCell ref="G25:H25"/>
    <mergeCell ref="J25:K25"/>
    <mergeCell ref="E26:F26"/>
    <mergeCell ref="G26:H26"/>
    <mergeCell ref="J26:K26"/>
    <mergeCell ref="C37:L37"/>
    <mergeCell ref="D40:L40"/>
    <mergeCell ref="D41:L41"/>
    <mergeCell ref="D42:L42"/>
    <mergeCell ref="E27:F27"/>
    <mergeCell ref="G27:H27"/>
    <mergeCell ref="J27:K27"/>
    <mergeCell ref="C29:K29"/>
    <mergeCell ref="C30:L30"/>
    <mergeCell ref="C33:L33"/>
  </mergeCells>
  <printOptions horizontalCentered="1"/>
  <pageMargins left="0.51181102362204722" right="0.51181102362204722" top="0.74803149606299213" bottom="0.55118110236220474" header="0.31496062992125984" footer="0.31496062992125984"/>
  <pageSetup scale="86" fitToHeight="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190"/>
  <sheetViews>
    <sheetView topLeftCell="A1012" zoomScale="55" zoomScaleNormal="55" workbookViewId="0">
      <selection activeCell="B1044" sqref="B1044"/>
    </sheetView>
  </sheetViews>
  <sheetFormatPr baseColWidth="10" defaultColWidth="9.109375" defaultRowHeight="14.4" x14ac:dyDescent="0.3"/>
  <cols>
    <col min="2" max="2" width="74.33203125" customWidth="1"/>
    <col min="4" max="4" width="19.5546875" bestFit="1" customWidth="1"/>
    <col min="5" max="5" width="34.44140625" bestFit="1" customWidth="1"/>
  </cols>
  <sheetData>
    <row r="1" spans="1:5" x14ac:dyDescent="0.3">
      <c r="A1" s="1" t="s">
        <v>1</v>
      </c>
      <c r="B1" s="1" t="s">
        <v>319</v>
      </c>
      <c r="C1" s="1" t="s">
        <v>320</v>
      </c>
      <c r="D1" s="1" t="s">
        <v>321</v>
      </c>
      <c r="E1" s="1" t="s">
        <v>322</v>
      </c>
    </row>
    <row r="2" spans="1:5" x14ac:dyDescent="0.3">
      <c r="A2" s="2">
        <v>3007</v>
      </c>
      <c r="B2" s="2" t="s">
        <v>323</v>
      </c>
      <c r="C2" s="2" t="s">
        <v>21</v>
      </c>
      <c r="D2" s="483">
        <v>909</v>
      </c>
      <c r="E2" s="2" t="s">
        <v>324</v>
      </c>
    </row>
    <row r="3" spans="1:5" x14ac:dyDescent="0.3">
      <c r="A3" s="2">
        <v>3009</v>
      </c>
      <c r="B3" s="2" t="s">
        <v>325</v>
      </c>
      <c r="C3" s="2" t="s">
        <v>30</v>
      </c>
      <c r="D3" s="483">
        <v>46379</v>
      </c>
      <c r="E3" s="2" t="s">
        <v>324</v>
      </c>
    </row>
    <row r="4" spans="1:5" x14ac:dyDescent="0.3">
      <c r="A4" s="2">
        <v>3010</v>
      </c>
      <c r="B4" s="2" t="s">
        <v>326</v>
      </c>
      <c r="C4" s="2" t="s">
        <v>30</v>
      </c>
      <c r="D4" s="483">
        <v>38781</v>
      </c>
      <c r="E4" s="2" t="s">
        <v>324</v>
      </c>
    </row>
    <row r="5" spans="1:5" x14ac:dyDescent="0.3">
      <c r="A5" s="2">
        <v>3011</v>
      </c>
      <c r="B5" s="2" t="s">
        <v>327</v>
      </c>
      <c r="C5" s="2" t="s">
        <v>328</v>
      </c>
      <c r="D5" s="483">
        <v>6417</v>
      </c>
      <c r="E5" s="2" t="s">
        <v>324</v>
      </c>
    </row>
    <row r="6" spans="1:5" x14ac:dyDescent="0.3">
      <c r="A6" s="2">
        <v>3012</v>
      </c>
      <c r="B6" s="2" t="s">
        <v>329</v>
      </c>
      <c r="C6" s="2" t="s">
        <v>21</v>
      </c>
      <c r="D6" s="483">
        <v>8262</v>
      </c>
      <c r="E6" s="2" t="s">
        <v>324</v>
      </c>
    </row>
    <row r="7" spans="1:5" x14ac:dyDescent="0.3">
      <c r="A7" s="2">
        <v>3015</v>
      </c>
      <c r="B7" s="2" t="s">
        <v>330</v>
      </c>
      <c r="C7" s="2" t="s">
        <v>32</v>
      </c>
      <c r="D7" s="483">
        <v>251585</v>
      </c>
      <c r="E7" s="2" t="s">
        <v>331</v>
      </c>
    </row>
    <row r="8" spans="1:5" x14ac:dyDescent="0.3">
      <c r="A8" s="2">
        <v>3017</v>
      </c>
      <c r="B8" s="2" t="s">
        <v>332</v>
      </c>
      <c r="C8" s="2" t="s">
        <v>30</v>
      </c>
      <c r="D8" s="483">
        <v>45600</v>
      </c>
      <c r="E8" s="2" t="s">
        <v>331</v>
      </c>
    </row>
    <row r="9" spans="1:5" x14ac:dyDescent="0.3">
      <c r="A9" s="2">
        <v>3018</v>
      </c>
      <c r="B9" s="2" t="s">
        <v>333</v>
      </c>
      <c r="C9" s="2" t="s">
        <v>30</v>
      </c>
      <c r="D9" s="483">
        <v>98470</v>
      </c>
      <c r="E9" s="2" t="s">
        <v>324</v>
      </c>
    </row>
    <row r="10" spans="1:5" x14ac:dyDescent="0.3">
      <c r="A10" s="2">
        <v>3021</v>
      </c>
      <c r="B10" s="2" t="s">
        <v>334</v>
      </c>
      <c r="C10" s="2" t="s">
        <v>21</v>
      </c>
      <c r="D10" s="483">
        <v>7446</v>
      </c>
      <c r="E10" s="2" t="s">
        <v>324</v>
      </c>
    </row>
    <row r="11" spans="1:5" x14ac:dyDescent="0.3">
      <c r="A11" s="2">
        <v>3022</v>
      </c>
      <c r="B11" s="2" t="s">
        <v>335</v>
      </c>
      <c r="C11" s="2" t="s">
        <v>30</v>
      </c>
      <c r="D11" s="483">
        <v>58281</v>
      </c>
      <c r="E11" s="2" t="s">
        <v>324</v>
      </c>
    </row>
    <row r="12" spans="1:5" x14ac:dyDescent="0.3">
      <c r="A12" s="2">
        <v>3024</v>
      </c>
      <c r="B12" s="2" t="s">
        <v>336</v>
      </c>
      <c r="C12" s="2" t="s">
        <v>30</v>
      </c>
      <c r="D12" s="483">
        <v>155503</v>
      </c>
      <c r="E12" s="2" t="s">
        <v>331</v>
      </c>
    </row>
    <row r="13" spans="1:5" x14ac:dyDescent="0.3">
      <c r="A13" s="2">
        <v>3027</v>
      </c>
      <c r="B13" s="2" t="s">
        <v>337</v>
      </c>
      <c r="C13" s="2" t="s">
        <v>328</v>
      </c>
      <c r="D13" s="483">
        <v>80323</v>
      </c>
      <c r="E13" s="2" t="s">
        <v>331</v>
      </c>
    </row>
    <row r="14" spans="1:5" x14ac:dyDescent="0.3">
      <c r="A14" s="2">
        <v>3041</v>
      </c>
      <c r="B14" s="2" t="s">
        <v>338</v>
      </c>
      <c r="C14" s="2" t="s">
        <v>328</v>
      </c>
      <c r="D14" s="483">
        <v>37349</v>
      </c>
      <c r="E14" s="2" t="s">
        <v>331</v>
      </c>
    </row>
    <row r="15" spans="1:5" x14ac:dyDescent="0.3">
      <c r="A15" s="2">
        <v>3042</v>
      </c>
      <c r="B15" s="2" t="s">
        <v>339</v>
      </c>
      <c r="C15" s="2" t="s">
        <v>328</v>
      </c>
      <c r="D15" s="483">
        <v>63957</v>
      </c>
      <c r="E15" s="2" t="s">
        <v>331</v>
      </c>
    </row>
    <row r="16" spans="1:5" x14ac:dyDescent="0.3">
      <c r="A16" s="2">
        <v>3043</v>
      </c>
      <c r="B16" s="2" t="s">
        <v>340</v>
      </c>
      <c r="C16" s="2" t="s">
        <v>328</v>
      </c>
      <c r="D16" s="483">
        <v>88930</v>
      </c>
      <c r="E16" s="2" t="s">
        <v>331</v>
      </c>
    </row>
    <row r="17" spans="1:5" x14ac:dyDescent="0.3">
      <c r="A17" s="2">
        <v>3044</v>
      </c>
      <c r="B17" s="2" t="s">
        <v>341</v>
      </c>
      <c r="C17" s="2" t="s">
        <v>328</v>
      </c>
      <c r="D17" s="483">
        <v>125950</v>
      </c>
      <c r="E17" s="2" t="s">
        <v>331</v>
      </c>
    </row>
    <row r="18" spans="1:5" x14ac:dyDescent="0.3">
      <c r="A18" s="2">
        <v>3045</v>
      </c>
      <c r="B18" s="2" t="s">
        <v>342</v>
      </c>
      <c r="C18" s="2" t="s">
        <v>328</v>
      </c>
      <c r="D18" s="483">
        <v>176674</v>
      </c>
      <c r="E18" s="2" t="s">
        <v>331</v>
      </c>
    </row>
    <row r="19" spans="1:5" x14ac:dyDescent="0.3">
      <c r="A19" s="2">
        <v>3046</v>
      </c>
      <c r="B19" s="2" t="s">
        <v>343</v>
      </c>
      <c r="C19" s="2" t="s">
        <v>328</v>
      </c>
      <c r="D19" s="483">
        <v>314109</v>
      </c>
      <c r="E19" s="2" t="s">
        <v>331</v>
      </c>
    </row>
    <row r="20" spans="1:5" x14ac:dyDescent="0.3">
      <c r="A20" s="2">
        <v>3047</v>
      </c>
      <c r="B20" s="2" t="s">
        <v>344</v>
      </c>
      <c r="C20" s="2" t="s">
        <v>328</v>
      </c>
      <c r="D20" s="483">
        <v>426915</v>
      </c>
      <c r="E20" s="2" t="s">
        <v>331</v>
      </c>
    </row>
    <row r="21" spans="1:5" x14ac:dyDescent="0.3">
      <c r="A21" s="2">
        <v>3048</v>
      </c>
      <c r="B21" s="2" t="s">
        <v>345</v>
      </c>
      <c r="C21" s="2" t="s">
        <v>328</v>
      </c>
      <c r="D21" s="483">
        <v>520777</v>
      </c>
      <c r="E21" s="2" t="s">
        <v>331</v>
      </c>
    </row>
    <row r="22" spans="1:5" x14ac:dyDescent="0.3">
      <c r="A22" s="2">
        <v>3050</v>
      </c>
      <c r="B22" s="2" t="s">
        <v>346</v>
      </c>
      <c r="C22" s="2" t="s">
        <v>30</v>
      </c>
      <c r="D22" s="483">
        <v>39211</v>
      </c>
      <c r="E22" s="2" t="s">
        <v>331</v>
      </c>
    </row>
    <row r="23" spans="1:5" x14ac:dyDescent="0.3">
      <c r="A23" s="2">
        <v>3052</v>
      </c>
      <c r="B23" s="2" t="s">
        <v>347</v>
      </c>
      <c r="C23" s="2" t="s">
        <v>30</v>
      </c>
      <c r="D23" s="483">
        <v>111213</v>
      </c>
      <c r="E23" s="2" t="s">
        <v>331</v>
      </c>
    </row>
    <row r="24" spans="1:5" x14ac:dyDescent="0.3">
      <c r="A24" s="2">
        <v>3055</v>
      </c>
      <c r="B24" s="2" t="s">
        <v>348</v>
      </c>
      <c r="C24" s="2" t="s">
        <v>328</v>
      </c>
      <c r="D24" s="483">
        <v>358778</v>
      </c>
      <c r="E24" s="2" t="s">
        <v>331</v>
      </c>
    </row>
    <row r="25" spans="1:5" x14ac:dyDescent="0.3">
      <c r="A25" s="2">
        <v>3056</v>
      </c>
      <c r="B25" s="2" t="s">
        <v>349</v>
      </c>
      <c r="C25" s="2" t="s">
        <v>328</v>
      </c>
      <c r="D25" s="483">
        <v>476297</v>
      </c>
      <c r="E25" s="2" t="s">
        <v>331</v>
      </c>
    </row>
    <row r="26" spans="1:5" x14ac:dyDescent="0.3">
      <c r="A26" s="2">
        <v>3057</v>
      </c>
      <c r="B26" s="2" t="s">
        <v>350</v>
      </c>
      <c r="C26" s="2" t="s">
        <v>32</v>
      </c>
      <c r="D26" s="483">
        <v>5163895</v>
      </c>
      <c r="E26" s="2" t="s">
        <v>331</v>
      </c>
    </row>
    <row r="27" spans="1:5" x14ac:dyDescent="0.3">
      <c r="A27" s="2">
        <v>3058</v>
      </c>
      <c r="B27" s="2" t="s">
        <v>351</v>
      </c>
      <c r="C27" s="2" t="s">
        <v>32</v>
      </c>
      <c r="D27" s="483">
        <v>8530230</v>
      </c>
      <c r="E27" s="2" t="s">
        <v>331</v>
      </c>
    </row>
    <row r="28" spans="1:5" x14ac:dyDescent="0.3">
      <c r="A28" s="2">
        <v>3059</v>
      </c>
      <c r="B28" s="2" t="s">
        <v>352</v>
      </c>
      <c r="C28" s="2" t="s">
        <v>32</v>
      </c>
      <c r="D28" s="483">
        <v>5087235</v>
      </c>
      <c r="E28" s="2" t="s">
        <v>331</v>
      </c>
    </row>
    <row r="29" spans="1:5" x14ac:dyDescent="0.3">
      <c r="A29" s="2">
        <v>3064</v>
      </c>
      <c r="B29" s="2" t="s">
        <v>353</v>
      </c>
      <c r="C29" s="2" t="s">
        <v>328</v>
      </c>
      <c r="D29" s="483">
        <v>95983</v>
      </c>
      <c r="E29" s="2" t="s">
        <v>331</v>
      </c>
    </row>
    <row r="30" spans="1:5" x14ac:dyDescent="0.3">
      <c r="A30" s="2">
        <v>3065</v>
      </c>
      <c r="B30" s="2" t="s">
        <v>354</v>
      </c>
      <c r="C30" s="2" t="s">
        <v>328</v>
      </c>
      <c r="D30" s="483">
        <v>115733</v>
      </c>
      <c r="E30" s="2" t="s">
        <v>331</v>
      </c>
    </row>
    <row r="31" spans="1:5" x14ac:dyDescent="0.3">
      <c r="A31" s="2">
        <v>3066</v>
      </c>
      <c r="B31" s="2" t="s">
        <v>355</v>
      </c>
      <c r="C31" s="2" t="s">
        <v>328</v>
      </c>
      <c r="D31" s="483">
        <v>153977</v>
      </c>
      <c r="E31" s="2" t="s">
        <v>331</v>
      </c>
    </row>
    <row r="32" spans="1:5" x14ac:dyDescent="0.3">
      <c r="A32" s="2">
        <v>3067</v>
      </c>
      <c r="B32" s="2" t="s">
        <v>356</v>
      </c>
      <c r="C32" s="2" t="s">
        <v>328</v>
      </c>
      <c r="D32" s="483">
        <v>184133</v>
      </c>
      <c r="E32" s="2" t="s">
        <v>331</v>
      </c>
    </row>
    <row r="33" spans="1:5" x14ac:dyDescent="0.3">
      <c r="A33" s="2">
        <v>3068</v>
      </c>
      <c r="B33" s="2" t="s">
        <v>357</v>
      </c>
      <c r="C33" s="2" t="s">
        <v>328</v>
      </c>
      <c r="D33" s="483">
        <v>236760</v>
      </c>
      <c r="E33" s="2" t="s">
        <v>331</v>
      </c>
    </row>
    <row r="34" spans="1:5" x14ac:dyDescent="0.3">
      <c r="A34" s="2">
        <v>3069</v>
      </c>
      <c r="B34" s="2" t="s">
        <v>358</v>
      </c>
      <c r="C34" s="2" t="s">
        <v>328</v>
      </c>
      <c r="D34" s="483">
        <v>298450</v>
      </c>
      <c r="E34" s="2" t="s">
        <v>331</v>
      </c>
    </row>
    <row r="35" spans="1:5" x14ac:dyDescent="0.3">
      <c r="A35" s="2">
        <v>3070</v>
      </c>
      <c r="B35" s="2" t="s">
        <v>359</v>
      </c>
      <c r="C35" s="2" t="s">
        <v>328</v>
      </c>
      <c r="D35" s="483">
        <v>382436</v>
      </c>
      <c r="E35" s="2" t="s">
        <v>331</v>
      </c>
    </row>
    <row r="36" spans="1:5" x14ac:dyDescent="0.3">
      <c r="A36" s="2">
        <v>3071</v>
      </c>
      <c r="B36" s="2" t="s">
        <v>360</v>
      </c>
      <c r="C36" s="2" t="s">
        <v>328</v>
      </c>
      <c r="D36" s="483">
        <v>552455</v>
      </c>
      <c r="E36" s="2" t="s">
        <v>331</v>
      </c>
    </row>
    <row r="37" spans="1:5" x14ac:dyDescent="0.3">
      <c r="A37" s="2">
        <v>3151</v>
      </c>
      <c r="B37" s="2" t="s">
        <v>361</v>
      </c>
      <c r="C37" s="2" t="s">
        <v>32</v>
      </c>
      <c r="D37" s="483">
        <v>3117195</v>
      </c>
      <c r="E37" s="2" t="s">
        <v>331</v>
      </c>
    </row>
    <row r="38" spans="1:5" x14ac:dyDescent="0.3">
      <c r="A38" s="2">
        <v>3155</v>
      </c>
      <c r="B38" s="2" t="s">
        <v>362</v>
      </c>
      <c r="C38" s="2" t="s">
        <v>32</v>
      </c>
      <c r="D38" s="483">
        <v>189054</v>
      </c>
      <c r="E38" s="2" t="s">
        <v>324</v>
      </c>
    </row>
    <row r="39" spans="1:5" x14ac:dyDescent="0.3">
      <c r="A39" s="2">
        <v>3159</v>
      </c>
      <c r="B39" s="2" t="s">
        <v>363</v>
      </c>
      <c r="C39" s="2" t="s">
        <v>328</v>
      </c>
      <c r="D39" s="483">
        <v>41013</v>
      </c>
      <c r="E39" s="2" t="s">
        <v>331</v>
      </c>
    </row>
    <row r="40" spans="1:5" x14ac:dyDescent="0.3">
      <c r="A40" s="2">
        <v>3163</v>
      </c>
      <c r="B40" s="2" t="s">
        <v>364</v>
      </c>
      <c r="C40" s="2" t="s">
        <v>328</v>
      </c>
      <c r="D40" s="483">
        <v>361651</v>
      </c>
      <c r="E40" s="2" t="s">
        <v>331</v>
      </c>
    </row>
    <row r="41" spans="1:5" x14ac:dyDescent="0.3">
      <c r="A41" s="2">
        <v>3172</v>
      </c>
      <c r="B41" s="2" t="s">
        <v>365</v>
      </c>
      <c r="C41" s="2" t="s">
        <v>21</v>
      </c>
      <c r="D41" s="483">
        <v>22575</v>
      </c>
      <c r="E41" s="2" t="s">
        <v>324</v>
      </c>
    </row>
    <row r="42" spans="1:5" x14ac:dyDescent="0.3">
      <c r="A42" s="2">
        <v>3178</v>
      </c>
      <c r="B42" s="2" t="s">
        <v>366</v>
      </c>
      <c r="C42" s="2" t="s">
        <v>21</v>
      </c>
      <c r="D42" s="483">
        <v>40373</v>
      </c>
      <c r="E42" s="2" t="s">
        <v>367</v>
      </c>
    </row>
    <row r="43" spans="1:5" x14ac:dyDescent="0.3">
      <c r="A43" s="2">
        <v>3180</v>
      </c>
      <c r="B43" s="2" t="s">
        <v>368</v>
      </c>
      <c r="C43" s="2" t="s">
        <v>328</v>
      </c>
      <c r="D43" s="483">
        <v>7028</v>
      </c>
      <c r="E43" s="2" t="s">
        <v>367</v>
      </c>
    </row>
    <row r="44" spans="1:5" x14ac:dyDescent="0.3">
      <c r="A44" s="2">
        <v>3189</v>
      </c>
      <c r="B44" s="2" t="s">
        <v>369</v>
      </c>
      <c r="C44" s="2" t="s">
        <v>328</v>
      </c>
      <c r="D44" s="483">
        <v>371603</v>
      </c>
      <c r="E44" s="2" t="s">
        <v>331</v>
      </c>
    </row>
    <row r="45" spans="1:5" x14ac:dyDescent="0.3">
      <c r="A45" s="2">
        <v>3194</v>
      </c>
      <c r="B45" s="2" t="s">
        <v>370</v>
      </c>
      <c r="C45" s="2" t="s">
        <v>328</v>
      </c>
      <c r="D45" s="483">
        <v>152738</v>
      </c>
      <c r="E45" s="2" t="s">
        <v>331</v>
      </c>
    </row>
    <row r="46" spans="1:5" x14ac:dyDescent="0.3">
      <c r="A46" s="2">
        <v>3195</v>
      </c>
      <c r="B46" s="2" t="s">
        <v>371</v>
      </c>
      <c r="C46" s="2" t="s">
        <v>328</v>
      </c>
      <c r="D46" s="483">
        <v>62720</v>
      </c>
      <c r="E46" s="2" t="s">
        <v>331</v>
      </c>
    </row>
    <row r="47" spans="1:5" x14ac:dyDescent="0.3">
      <c r="A47" s="2">
        <v>3196</v>
      </c>
      <c r="B47" s="2" t="s">
        <v>372</v>
      </c>
      <c r="C47" s="2" t="s">
        <v>32</v>
      </c>
      <c r="D47" s="483">
        <v>182554</v>
      </c>
      <c r="E47" s="2" t="s">
        <v>324</v>
      </c>
    </row>
    <row r="48" spans="1:5" x14ac:dyDescent="0.3">
      <c r="A48" s="2">
        <v>3197</v>
      </c>
      <c r="B48" s="2" t="s">
        <v>373</v>
      </c>
      <c r="C48" s="2" t="s">
        <v>32</v>
      </c>
      <c r="D48" s="483">
        <v>227715</v>
      </c>
      <c r="E48" s="2" t="s">
        <v>324</v>
      </c>
    </row>
    <row r="49" spans="1:5" x14ac:dyDescent="0.3">
      <c r="A49" s="2">
        <v>3198</v>
      </c>
      <c r="B49" s="2" t="s">
        <v>374</v>
      </c>
      <c r="C49" s="2" t="s">
        <v>32</v>
      </c>
      <c r="D49" s="483">
        <v>309693</v>
      </c>
      <c r="E49" s="2" t="s">
        <v>324</v>
      </c>
    </row>
    <row r="50" spans="1:5" x14ac:dyDescent="0.3">
      <c r="A50" s="2">
        <v>3199</v>
      </c>
      <c r="B50" s="2" t="s">
        <v>375</v>
      </c>
      <c r="C50" s="2" t="s">
        <v>32</v>
      </c>
      <c r="D50" s="483">
        <v>330014</v>
      </c>
      <c r="E50" s="2" t="s">
        <v>324</v>
      </c>
    </row>
    <row r="51" spans="1:5" x14ac:dyDescent="0.3">
      <c r="A51" s="2">
        <v>3200</v>
      </c>
      <c r="B51" s="2" t="s">
        <v>376</v>
      </c>
      <c r="C51" s="2" t="s">
        <v>32</v>
      </c>
      <c r="D51" s="483">
        <v>618316</v>
      </c>
      <c r="E51" s="2" t="s">
        <v>324</v>
      </c>
    </row>
    <row r="52" spans="1:5" x14ac:dyDescent="0.3">
      <c r="A52" s="2">
        <v>3201</v>
      </c>
      <c r="B52" s="2" t="s">
        <v>377</v>
      </c>
      <c r="C52" s="2" t="s">
        <v>32</v>
      </c>
      <c r="D52" s="483">
        <v>933606</v>
      </c>
      <c r="E52" s="2" t="s">
        <v>331</v>
      </c>
    </row>
    <row r="53" spans="1:5" x14ac:dyDescent="0.3">
      <c r="A53" s="2">
        <v>3202</v>
      </c>
      <c r="B53" s="2" t="s">
        <v>378</v>
      </c>
      <c r="C53" s="2" t="s">
        <v>30</v>
      </c>
      <c r="D53" s="483">
        <v>695290</v>
      </c>
      <c r="E53" s="2" t="s">
        <v>331</v>
      </c>
    </row>
    <row r="54" spans="1:5" x14ac:dyDescent="0.3">
      <c r="A54" s="2">
        <v>3203</v>
      </c>
      <c r="B54" s="2" t="s">
        <v>379</v>
      </c>
      <c r="C54" s="2" t="s">
        <v>30</v>
      </c>
      <c r="D54" s="483">
        <v>611839</v>
      </c>
      <c r="E54" s="2" t="s">
        <v>331</v>
      </c>
    </row>
    <row r="55" spans="1:5" x14ac:dyDescent="0.3">
      <c r="A55" s="2">
        <v>3204</v>
      </c>
      <c r="B55" s="2" t="s">
        <v>380</v>
      </c>
      <c r="C55" s="2" t="s">
        <v>30</v>
      </c>
      <c r="D55" s="483">
        <v>890453</v>
      </c>
      <c r="E55" s="2" t="s">
        <v>331</v>
      </c>
    </row>
    <row r="56" spans="1:5" x14ac:dyDescent="0.3">
      <c r="A56" s="2">
        <v>3207</v>
      </c>
      <c r="B56" s="2" t="s">
        <v>381</v>
      </c>
      <c r="C56" s="2" t="s">
        <v>32</v>
      </c>
      <c r="D56" s="483">
        <v>58670</v>
      </c>
      <c r="E56" s="2" t="s">
        <v>331</v>
      </c>
    </row>
    <row r="57" spans="1:5" x14ac:dyDescent="0.3">
      <c r="A57" s="2">
        <v>3209</v>
      </c>
      <c r="B57" s="2" t="s">
        <v>382</v>
      </c>
      <c r="C57" s="2" t="s">
        <v>328</v>
      </c>
      <c r="D57" s="483">
        <v>465997</v>
      </c>
      <c r="E57" s="2" t="s">
        <v>331</v>
      </c>
    </row>
    <row r="58" spans="1:5" x14ac:dyDescent="0.3">
      <c r="A58" s="2">
        <v>3210</v>
      </c>
      <c r="B58" s="2" t="s">
        <v>383</v>
      </c>
      <c r="C58" s="2" t="s">
        <v>328</v>
      </c>
      <c r="D58" s="483">
        <v>69041</v>
      </c>
      <c r="E58" s="2" t="s">
        <v>331</v>
      </c>
    </row>
    <row r="59" spans="1:5" x14ac:dyDescent="0.3">
      <c r="A59" s="2">
        <v>3221</v>
      </c>
      <c r="B59" s="2" t="s">
        <v>384</v>
      </c>
      <c r="C59" s="2" t="s">
        <v>32</v>
      </c>
      <c r="D59" s="483">
        <v>823740</v>
      </c>
      <c r="E59" s="2" t="s">
        <v>331</v>
      </c>
    </row>
    <row r="60" spans="1:5" x14ac:dyDescent="0.3">
      <c r="A60" s="2">
        <v>3223</v>
      </c>
      <c r="B60" s="2" t="s">
        <v>385</v>
      </c>
      <c r="C60" s="2" t="s">
        <v>328</v>
      </c>
      <c r="D60" s="483">
        <v>25522</v>
      </c>
      <c r="E60" s="2" t="s">
        <v>331</v>
      </c>
    </row>
    <row r="61" spans="1:5" x14ac:dyDescent="0.3">
      <c r="A61" s="2">
        <v>3224</v>
      </c>
      <c r="B61" s="2" t="s">
        <v>386</v>
      </c>
      <c r="C61" s="2" t="s">
        <v>328</v>
      </c>
      <c r="D61" s="483">
        <v>35431</v>
      </c>
      <c r="E61" s="2" t="s">
        <v>331</v>
      </c>
    </row>
    <row r="62" spans="1:5" x14ac:dyDescent="0.3">
      <c r="A62" s="2">
        <v>3225</v>
      </c>
      <c r="B62" s="2" t="s">
        <v>387</v>
      </c>
      <c r="C62" s="2" t="s">
        <v>328</v>
      </c>
      <c r="D62" s="483">
        <v>58673</v>
      </c>
      <c r="E62" s="2" t="s">
        <v>331</v>
      </c>
    </row>
    <row r="63" spans="1:5" x14ac:dyDescent="0.3">
      <c r="A63" s="2">
        <v>3226</v>
      </c>
      <c r="B63" s="2" t="s">
        <v>388</v>
      </c>
      <c r="C63" s="2" t="s">
        <v>328</v>
      </c>
      <c r="D63" s="483">
        <v>74440</v>
      </c>
      <c r="E63" s="2" t="s">
        <v>331</v>
      </c>
    </row>
    <row r="64" spans="1:5" x14ac:dyDescent="0.3">
      <c r="A64" s="2">
        <v>3227</v>
      </c>
      <c r="B64" s="2" t="s">
        <v>389</v>
      </c>
      <c r="C64" s="2" t="s">
        <v>328</v>
      </c>
      <c r="D64" s="483">
        <v>149130</v>
      </c>
      <c r="E64" s="2" t="s">
        <v>331</v>
      </c>
    </row>
    <row r="65" spans="1:5" x14ac:dyDescent="0.3">
      <c r="A65" s="2">
        <v>3228</v>
      </c>
      <c r="B65" s="2" t="s">
        <v>390</v>
      </c>
      <c r="C65" s="2" t="s">
        <v>328</v>
      </c>
      <c r="D65" s="483">
        <v>247386</v>
      </c>
      <c r="E65" s="2" t="s">
        <v>331</v>
      </c>
    </row>
    <row r="66" spans="1:5" x14ac:dyDescent="0.3">
      <c r="A66" s="2">
        <v>3229</v>
      </c>
      <c r="B66" s="2" t="s">
        <v>391</v>
      </c>
      <c r="C66" s="2" t="s">
        <v>328</v>
      </c>
      <c r="D66" s="483">
        <v>385809</v>
      </c>
      <c r="E66" s="2" t="s">
        <v>331</v>
      </c>
    </row>
    <row r="67" spans="1:5" x14ac:dyDescent="0.3">
      <c r="A67" s="2">
        <v>3230</v>
      </c>
      <c r="B67" s="2" t="s">
        <v>392</v>
      </c>
      <c r="C67" s="2" t="s">
        <v>328</v>
      </c>
      <c r="D67" s="483">
        <v>530008</v>
      </c>
      <c r="E67" s="2" t="s">
        <v>331</v>
      </c>
    </row>
    <row r="68" spans="1:5" x14ac:dyDescent="0.3">
      <c r="A68" s="2">
        <v>3231</v>
      </c>
      <c r="B68" s="2" t="s">
        <v>393</v>
      </c>
      <c r="C68" s="2" t="s">
        <v>328</v>
      </c>
      <c r="D68" s="483">
        <v>22077</v>
      </c>
      <c r="E68" s="2" t="s">
        <v>331</v>
      </c>
    </row>
    <row r="69" spans="1:5" x14ac:dyDescent="0.3">
      <c r="A69" s="2">
        <v>3232</v>
      </c>
      <c r="B69" s="2" t="s">
        <v>394</v>
      </c>
      <c r="C69" s="2" t="s">
        <v>328</v>
      </c>
      <c r="D69" s="483">
        <v>30332</v>
      </c>
      <c r="E69" s="2" t="s">
        <v>331</v>
      </c>
    </row>
    <row r="70" spans="1:5" x14ac:dyDescent="0.3">
      <c r="A70" s="2">
        <v>3233</v>
      </c>
      <c r="B70" s="2" t="s">
        <v>395</v>
      </c>
      <c r="C70" s="2" t="s">
        <v>328</v>
      </c>
      <c r="D70" s="483">
        <v>49629</v>
      </c>
      <c r="E70" s="2" t="s">
        <v>331</v>
      </c>
    </row>
    <row r="71" spans="1:5" x14ac:dyDescent="0.3">
      <c r="A71" s="2">
        <v>3234</v>
      </c>
      <c r="B71" s="2" t="s">
        <v>396</v>
      </c>
      <c r="C71" s="2" t="s">
        <v>328</v>
      </c>
      <c r="D71" s="483">
        <v>63862</v>
      </c>
      <c r="E71" s="2" t="s">
        <v>331</v>
      </c>
    </row>
    <row r="72" spans="1:5" x14ac:dyDescent="0.3">
      <c r="A72" s="2">
        <v>3235</v>
      </c>
      <c r="B72" s="2" t="s">
        <v>397</v>
      </c>
      <c r="C72" s="2" t="s">
        <v>328</v>
      </c>
      <c r="D72" s="483">
        <v>124243</v>
      </c>
      <c r="E72" s="2" t="s">
        <v>331</v>
      </c>
    </row>
    <row r="73" spans="1:5" x14ac:dyDescent="0.3">
      <c r="A73" s="2">
        <v>3236</v>
      </c>
      <c r="B73" s="2" t="s">
        <v>398</v>
      </c>
      <c r="C73" s="2" t="s">
        <v>328</v>
      </c>
      <c r="D73" s="483">
        <v>206063</v>
      </c>
      <c r="E73" s="2" t="s">
        <v>331</v>
      </c>
    </row>
    <row r="74" spans="1:5" x14ac:dyDescent="0.3">
      <c r="A74" s="2">
        <v>3237</v>
      </c>
      <c r="B74" s="2" t="s">
        <v>399</v>
      </c>
      <c r="C74" s="2" t="s">
        <v>328</v>
      </c>
      <c r="D74" s="483">
        <v>317370</v>
      </c>
      <c r="E74" s="2" t="s">
        <v>331</v>
      </c>
    </row>
    <row r="75" spans="1:5" x14ac:dyDescent="0.3">
      <c r="A75" s="2">
        <v>3238</v>
      </c>
      <c r="B75" s="2" t="s">
        <v>400</v>
      </c>
      <c r="C75" s="2" t="s">
        <v>328</v>
      </c>
      <c r="D75" s="483">
        <v>456479</v>
      </c>
      <c r="E75" s="2" t="s">
        <v>331</v>
      </c>
    </row>
    <row r="76" spans="1:5" x14ac:dyDescent="0.3">
      <c r="A76" s="2">
        <v>3239</v>
      </c>
      <c r="B76" s="2" t="s">
        <v>401</v>
      </c>
      <c r="C76" s="2" t="s">
        <v>328</v>
      </c>
      <c r="D76" s="483">
        <v>41099</v>
      </c>
      <c r="E76" s="2" t="s">
        <v>331</v>
      </c>
    </row>
    <row r="77" spans="1:5" x14ac:dyDescent="0.3">
      <c r="A77" s="2">
        <v>3240</v>
      </c>
      <c r="B77" s="2" t="s">
        <v>402</v>
      </c>
      <c r="C77" s="2" t="s">
        <v>328</v>
      </c>
      <c r="D77" s="483">
        <v>52497</v>
      </c>
      <c r="E77" s="2" t="s">
        <v>331</v>
      </c>
    </row>
    <row r="78" spans="1:5" x14ac:dyDescent="0.3">
      <c r="A78" s="2">
        <v>3241</v>
      </c>
      <c r="B78" s="2" t="s">
        <v>403</v>
      </c>
      <c r="C78" s="2" t="s">
        <v>328</v>
      </c>
      <c r="D78" s="483">
        <v>103512</v>
      </c>
      <c r="E78" s="2" t="s">
        <v>331</v>
      </c>
    </row>
    <row r="79" spans="1:5" x14ac:dyDescent="0.3">
      <c r="A79" s="2">
        <v>3242</v>
      </c>
      <c r="B79" s="2" t="s">
        <v>404</v>
      </c>
      <c r="C79" s="2" t="s">
        <v>328</v>
      </c>
      <c r="D79" s="483">
        <v>170820</v>
      </c>
      <c r="E79" s="2" t="s">
        <v>331</v>
      </c>
    </row>
    <row r="80" spans="1:5" x14ac:dyDescent="0.3">
      <c r="A80" s="2">
        <v>3243</v>
      </c>
      <c r="B80" s="2" t="s">
        <v>405</v>
      </c>
      <c r="C80" s="2" t="s">
        <v>328</v>
      </c>
      <c r="D80" s="483">
        <v>263552</v>
      </c>
      <c r="E80" s="2" t="s">
        <v>331</v>
      </c>
    </row>
    <row r="81" spans="1:5" x14ac:dyDescent="0.3">
      <c r="A81" s="2">
        <v>3245</v>
      </c>
      <c r="B81" s="2" t="s">
        <v>406</v>
      </c>
      <c r="C81" s="2" t="s">
        <v>328</v>
      </c>
      <c r="D81" s="483">
        <v>376928</v>
      </c>
      <c r="E81" s="2" t="s">
        <v>331</v>
      </c>
    </row>
    <row r="82" spans="1:5" x14ac:dyDescent="0.3">
      <c r="A82" s="2">
        <v>3246</v>
      </c>
      <c r="B82" s="2" t="s">
        <v>407</v>
      </c>
      <c r="C82" s="2" t="s">
        <v>328</v>
      </c>
      <c r="D82" s="483">
        <v>42445</v>
      </c>
      <c r="E82" s="2" t="s">
        <v>331</v>
      </c>
    </row>
    <row r="83" spans="1:5" x14ac:dyDescent="0.3">
      <c r="A83" s="2">
        <v>3247</v>
      </c>
      <c r="B83" s="2" t="s">
        <v>408</v>
      </c>
      <c r="C83" s="2" t="s">
        <v>328</v>
      </c>
      <c r="D83" s="483">
        <v>85689</v>
      </c>
      <c r="E83" s="2" t="s">
        <v>331</v>
      </c>
    </row>
    <row r="84" spans="1:5" x14ac:dyDescent="0.3">
      <c r="A84" s="2">
        <v>3248</v>
      </c>
      <c r="B84" s="2" t="s">
        <v>409</v>
      </c>
      <c r="C84" s="2" t="s">
        <v>328</v>
      </c>
      <c r="D84" s="483">
        <v>139568</v>
      </c>
      <c r="E84" s="2" t="s">
        <v>331</v>
      </c>
    </row>
    <row r="85" spans="1:5" x14ac:dyDescent="0.3">
      <c r="A85" s="2">
        <v>3249</v>
      </c>
      <c r="B85" s="2" t="s">
        <v>410</v>
      </c>
      <c r="C85" s="2" t="s">
        <v>328</v>
      </c>
      <c r="D85" s="483">
        <v>214776</v>
      </c>
      <c r="E85" s="2" t="s">
        <v>331</v>
      </c>
    </row>
    <row r="86" spans="1:5" x14ac:dyDescent="0.3">
      <c r="A86" s="2">
        <v>3250</v>
      </c>
      <c r="B86" s="2" t="s">
        <v>411</v>
      </c>
      <c r="C86" s="2" t="s">
        <v>328</v>
      </c>
      <c r="D86" s="483">
        <v>289088</v>
      </c>
      <c r="E86" s="2" t="s">
        <v>331</v>
      </c>
    </row>
    <row r="87" spans="1:5" x14ac:dyDescent="0.3">
      <c r="A87" s="2">
        <v>3251</v>
      </c>
      <c r="B87" s="2" t="s">
        <v>412</v>
      </c>
      <c r="C87" s="2" t="s">
        <v>32</v>
      </c>
      <c r="D87" s="483">
        <v>556343</v>
      </c>
      <c r="E87" s="2" t="s">
        <v>331</v>
      </c>
    </row>
    <row r="88" spans="1:5" x14ac:dyDescent="0.3">
      <c r="A88" s="2">
        <v>3252</v>
      </c>
      <c r="B88" s="2" t="s">
        <v>413</v>
      </c>
      <c r="C88" s="2" t="s">
        <v>32</v>
      </c>
      <c r="D88" s="483">
        <v>519352</v>
      </c>
      <c r="E88" s="2" t="s">
        <v>331</v>
      </c>
    </row>
    <row r="89" spans="1:5" x14ac:dyDescent="0.3">
      <c r="A89" s="2">
        <v>3253</v>
      </c>
      <c r="B89" s="2" t="s">
        <v>414</v>
      </c>
      <c r="C89" s="2" t="s">
        <v>32</v>
      </c>
      <c r="D89" s="483">
        <v>567555</v>
      </c>
      <c r="E89" s="2" t="s">
        <v>331</v>
      </c>
    </row>
    <row r="90" spans="1:5" x14ac:dyDescent="0.3">
      <c r="A90" s="2">
        <v>3254</v>
      </c>
      <c r="B90" s="2" t="s">
        <v>415</v>
      </c>
      <c r="C90" s="2" t="s">
        <v>32</v>
      </c>
      <c r="D90" s="483">
        <v>671219</v>
      </c>
      <c r="E90" s="2" t="s">
        <v>331</v>
      </c>
    </row>
    <row r="91" spans="1:5" x14ac:dyDescent="0.3">
      <c r="A91" s="2">
        <v>3255</v>
      </c>
      <c r="B91" s="2" t="s">
        <v>416</v>
      </c>
      <c r="C91" s="2" t="s">
        <v>32</v>
      </c>
      <c r="D91" s="483">
        <v>764378</v>
      </c>
      <c r="E91" s="2" t="s">
        <v>331</v>
      </c>
    </row>
    <row r="92" spans="1:5" x14ac:dyDescent="0.3">
      <c r="A92" s="2">
        <v>3256</v>
      </c>
      <c r="B92" s="2" t="s">
        <v>417</v>
      </c>
      <c r="C92" s="2" t="s">
        <v>32</v>
      </c>
      <c r="D92" s="483">
        <v>847678</v>
      </c>
      <c r="E92" s="2" t="s">
        <v>331</v>
      </c>
    </row>
    <row r="93" spans="1:5" x14ac:dyDescent="0.3">
      <c r="A93" s="2">
        <v>3257</v>
      </c>
      <c r="B93" s="2" t="s">
        <v>418</v>
      </c>
      <c r="C93" s="2" t="s">
        <v>32</v>
      </c>
      <c r="D93" s="483">
        <v>867345</v>
      </c>
      <c r="E93" s="2" t="s">
        <v>331</v>
      </c>
    </row>
    <row r="94" spans="1:5" x14ac:dyDescent="0.3">
      <c r="A94" s="2">
        <v>3258</v>
      </c>
      <c r="B94" s="2" t="s">
        <v>419</v>
      </c>
      <c r="C94" s="2" t="s">
        <v>32</v>
      </c>
      <c r="D94" s="483">
        <v>901228</v>
      </c>
      <c r="E94" s="2" t="s">
        <v>331</v>
      </c>
    </row>
    <row r="95" spans="1:5" x14ac:dyDescent="0.3">
      <c r="A95" s="2">
        <v>3259</v>
      </c>
      <c r="B95" s="2" t="s">
        <v>420</v>
      </c>
      <c r="C95" s="2" t="s">
        <v>32</v>
      </c>
      <c r="D95" s="483">
        <v>1010816</v>
      </c>
      <c r="E95" s="2" t="s">
        <v>331</v>
      </c>
    </row>
    <row r="96" spans="1:5" x14ac:dyDescent="0.3">
      <c r="A96" s="2">
        <v>3260</v>
      </c>
      <c r="B96" s="2" t="s">
        <v>421</v>
      </c>
      <c r="C96" s="2" t="s">
        <v>32</v>
      </c>
      <c r="D96" s="483">
        <v>1332631</v>
      </c>
      <c r="E96" s="2" t="s">
        <v>331</v>
      </c>
    </row>
    <row r="97" spans="1:5" x14ac:dyDescent="0.3">
      <c r="A97" s="2">
        <v>3261</v>
      </c>
      <c r="B97" s="2" t="s">
        <v>422</v>
      </c>
      <c r="C97" s="2" t="s">
        <v>32</v>
      </c>
      <c r="D97" s="483">
        <v>1424650</v>
      </c>
      <c r="E97" s="2" t="s">
        <v>331</v>
      </c>
    </row>
    <row r="98" spans="1:5" x14ac:dyDescent="0.3">
      <c r="A98" s="2">
        <v>3262</v>
      </c>
      <c r="B98" s="2" t="s">
        <v>423</v>
      </c>
      <c r="C98" s="2" t="s">
        <v>32</v>
      </c>
      <c r="D98" s="483">
        <v>1464318</v>
      </c>
      <c r="E98" s="2" t="s">
        <v>331</v>
      </c>
    </row>
    <row r="99" spans="1:5" x14ac:dyDescent="0.3">
      <c r="A99" s="2">
        <v>3263</v>
      </c>
      <c r="B99" s="2" t="s">
        <v>424</v>
      </c>
      <c r="C99" s="2" t="s">
        <v>32</v>
      </c>
      <c r="D99" s="483">
        <v>1633694</v>
      </c>
      <c r="E99" s="2" t="s">
        <v>331</v>
      </c>
    </row>
    <row r="100" spans="1:5" x14ac:dyDescent="0.3">
      <c r="A100" s="2">
        <v>3264</v>
      </c>
      <c r="B100" s="2" t="s">
        <v>425</v>
      </c>
      <c r="C100" s="2" t="s">
        <v>32</v>
      </c>
      <c r="D100" s="483">
        <v>1880024</v>
      </c>
      <c r="E100" s="2" t="s">
        <v>331</v>
      </c>
    </row>
    <row r="101" spans="1:5" x14ac:dyDescent="0.3">
      <c r="A101" s="2">
        <v>3265</v>
      </c>
      <c r="B101" s="2" t="s">
        <v>426</v>
      </c>
      <c r="C101" s="2" t="s">
        <v>32</v>
      </c>
      <c r="D101" s="483">
        <v>2074081</v>
      </c>
      <c r="E101" s="2" t="s">
        <v>331</v>
      </c>
    </row>
    <row r="102" spans="1:5" x14ac:dyDescent="0.3">
      <c r="A102" s="2">
        <v>3267</v>
      </c>
      <c r="B102" s="2" t="s">
        <v>427</v>
      </c>
      <c r="C102" s="2" t="s">
        <v>32</v>
      </c>
      <c r="D102" s="483">
        <v>1946895</v>
      </c>
      <c r="E102" s="2" t="s">
        <v>331</v>
      </c>
    </row>
    <row r="103" spans="1:5" x14ac:dyDescent="0.3">
      <c r="A103" s="2">
        <v>3268</v>
      </c>
      <c r="B103" s="2" t="s">
        <v>428</v>
      </c>
      <c r="C103" s="2" t="s">
        <v>32</v>
      </c>
      <c r="D103" s="483">
        <v>2048143</v>
      </c>
      <c r="E103" s="2" t="s">
        <v>331</v>
      </c>
    </row>
    <row r="104" spans="1:5" x14ac:dyDescent="0.3">
      <c r="A104" s="2">
        <v>3269</v>
      </c>
      <c r="B104" s="2" t="s">
        <v>429</v>
      </c>
      <c r="C104" s="2" t="s">
        <v>32</v>
      </c>
      <c r="D104" s="483">
        <v>2256592</v>
      </c>
      <c r="E104" s="2" t="s">
        <v>331</v>
      </c>
    </row>
    <row r="105" spans="1:5" x14ac:dyDescent="0.3">
      <c r="A105" s="2">
        <v>3270</v>
      </c>
      <c r="B105" s="2" t="s">
        <v>430</v>
      </c>
      <c r="C105" s="2" t="s">
        <v>32</v>
      </c>
      <c r="D105" s="483">
        <v>2456086</v>
      </c>
      <c r="E105" s="2" t="s">
        <v>331</v>
      </c>
    </row>
    <row r="106" spans="1:5" x14ac:dyDescent="0.3">
      <c r="A106" s="2">
        <v>3271</v>
      </c>
      <c r="B106" s="2" t="s">
        <v>431</v>
      </c>
      <c r="C106" s="2" t="s">
        <v>32</v>
      </c>
      <c r="D106" s="483">
        <v>2738969</v>
      </c>
      <c r="E106" s="2" t="s">
        <v>331</v>
      </c>
    </row>
    <row r="107" spans="1:5" x14ac:dyDescent="0.3">
      <c r="A107" s="2">
        <v>3272</v>
      </c>
      <c r="B107" s="2" t="s">
        <v>432</v>
      </c>
      <c r="C107" s="2" t="s">
        <v>32</v>
      </c>
      <c r="D107" s="483">
        <v>3066524</v>
      </c>
      <c r="E107" s="2" t="s">
        <v>331</v>
      </c>
    </row>
    <row r="108" spans="1:5" x14ac:dyDescent="0.3">
      <c r="A108" s="2">
        <v>3273</v>
      </c>
      <c r="B108" s="2" t="s">
        <v>433</v>
      </c>
      <c r="C108" s="2" t="s">
        <v>32</v>
      </c>
      <c r="D108" s="483">
        <v>7355631</v>
      </c>
      <c r="E108" s="2" t="s">
        <v>331</v>
      </c>
    </row>
    <row r="109" spans="1:5" x14ac:dyDescent="0.3">
      <c r="A109" s="2">
        <v>3274</v>
      </c>
      <c r="B109" s="2" t="s">
        <v>434</v>
      </c>
      <c r="C109" s="2" t="s">
        <v>32</v>
      </c>
      <c r="D109" s="483">
        <v>8346438</v>
      </c>
      <c r="E109" s="2" t="s">
        <v>331</v>
      </c>
    </row>
    <row r="110" spans="1:5" x14ac:dyDescent="0.3">
      <c r="A110" s="2">
        <v>3275</v>
      </c>
      <c r="B110" s="2" t="s">
        <v>435</v>
      </c>
      <c r="C110" s="2" t="s">
        <v>32</v>
      </c>
      <c r="D110" s="483">
        <v>9108598</v>
      </c>
      <c r="E110" s="2" t="s">
        <v>331</v>
      </c>
    </row>
    <row r="111" spans="1:5" x14ac:dyDescent="0.3">
      <c r="A111" s="2">
        <v>3276</v>
      </c>
      <c r="B111" s="2" t="s">
        <v>436</v>
      </c>
      <c r="C111" s="2" t="s">
        <v>32</v>
      </c>
      <c r="D111" s="483">
        <v>9680217</v>
      </c>
      <c r="E111" s="2" t="s">
        <v>331</v>
      </c>
    </row>
    <row r="112" spans="1:5" x14ac:dyDescent="0.3">
      <c r="A112" s="2">
        <v>3277</v>
      </c>
      <c r="B112" s="2" t="s">
        <v>437</v>
      </c>
      <c r="C112" s="2" t="s">
        <v>32</v>
      </c>
      <c r="D112" s="483">
        <v>10137513</v>
      </c>
      <c r="E112" s="2" t="s">
        <v>331</v>
      </c>
    </row>
    <row r="113" spans="1:5" x14ac:dyDescent="0.3">
      <c r="A113" s="2">
        <v>3278</v>
      </c>
      <c r="B113" s="2" t="s">
        <v>438</v>
      </c>
      <c r="C113" s="2" t="s">
        <v>32</v>
      </c>
      <c r="D113" s="483">
        <v>10937780</v>
      </c>
      <c r="E113" s="2" t="s">
        <v>331</v>
      </c>
    </row>
    <row r="114" spans="1:5" x14ac:dyDescent="0.3">
      <c r="A114" s="2">
        <v>3279</v>
      </c>
      <c r="B114" s="2" t="s">
        <v>439</v>
      </c>
      <c r="C114" s="2" t="s">
        <v>32</v>
      </c>
      <c r="D114" s="483">
        <v>11509400</v>
      </c>
      <c r="E114" s="2" t="s">
        <v>331</v>
      </c>
    </row>
    <row r="115" spans="1:5" x14ac:dyDescent="0.3">
      <c r="A115" s="2">
        <v>3280</v>
      </c>
      <c r="B115" s="2" t="s">
        <v>440</v>
      </c>
      <c r="C115" s="2" t="s">
        <v>32</v>
      </c>
      <c r="D115" s="483">
        <v>13109935</v>
      </c>
      <c r="E115" s="2" t="s">
        <v>331</v>
      </c>
    </row>
    <row r="116" spans="1:5" x14ac:dyDescent="0.3">
      <c r="A116" s="2">
        <v>3281</v>
      </c>
      <c r="B116" s="2" t="s">
        <v>441</v>
      </c>
      <c r="C116" s="2" t="s">
        <v>32</v>
      </c>
      <c r="D116" s="483">
        <v>320472</v>
      </c>
      <c r="E116" s="2" t="s">
        <v>331</v>
      </c>
    </row>
    <row r="117" spans="1:5" x14ac:dyDescent="0.3">
      <c r="A117" s="2">
        <v>3282</v>
      </c>
      <c r="B117" s="2" t="s">
        <v>442</v>
      </c>
      <c r="C117" s="2" t="s">
        <v>32</v>
      </c>
      <c r="D117" s="483">
        <v>389195</v>
      </c>
      <c r="E117" s="2" t="s">
        <v>331</v>
      </c>
    </row>
    <row r="118" spans="1:5" x14ac:dyDescent="0.3">
      <c r="A118" s="2">
        <v>3283</v>
      </c>
      <c r="B118" s="2" t="s">
        <v>443</v>
      </c>
      <c r="C118" s="2" t="s">
        <v>328</v>
      </c>
      <c r="D118" s="483">
        <v>9032</v>
      </c>
      <c r="E118" s="2" t="s">
        <v>331</v>
      </c>
    </row>
    <row r="119" spans="1:5" x14ac:dyDescent="0.3">
      <c r="A119" s="2">
        <v>3284</v>
      </c>
      <c r="B119" s="2" t="s">
        <v>444</v>
      </c>
      <c r="C119" s="2" t="s">
        <v>328</v>
      </c>
      <c r="D119" s="483">
        <v>14708</v>
      </c>
      <c r="E119" s="2" t="s">
        <v>331</v>
      </c>
    </row>
    <row r="120" spans="1:5" x14ac:dyDescent="0.3">
      <c r="A120" s="2">
        <v>3285</v>
      </c>
      <c r="B120" s="2" t="s">
        <v>445</v>
      </c>
      <c r="C120" s="2" t="s">
        <v>328</v>
      </c>
      <c r="D120" s="483">
        <v>12226</v>
      </c>
      <c r="E120" s="2" t="s">
        <v>331</v>
      </c>
    </row>
    <row r="121" spans="1:5" x14ac:dyDescent="0.3">
      <c r="A121" s="2">
        <v>3286</v>
      </c>
      <c r="B121" s="2" t="s">
        <v>446</v>
      </c>
      <c r="C121" s="2" t="s">
        <v>328</v>
      </c>
      <c r="D121" s="483">
        <v>20910</v>
      </c>
      <c r="E121" s="2" t="s">
        <v>331</v>
      </c>
    </row>
    <row r="122" spans="1:5" x14ac:dyDescent="0.3">
      <c r="A122" s="2">
        <v>3287</v>
      </c>
      <c r="B122" s="2" t="s">
        <v>447</v>
      </c>
      <c r="C122" s="2" t="s">
        <v>328</v>
      </c>
      <c r="D122" s="483">
        <v>49025</v>
      </c>
      <c r="E122" s="2" t="s">
        <v>324</v>
      </c>
    </row>
    <row r="123" spans="1:5" x14ac:dyDescent="0.3">
      <c r="A123" s="2">
        <v>3288</v>
      </c>
      <c r="B123" s="2" t="s">
        <v>448</v>
      </c>
      <c r="C123" s="2" t="s">
        <v>328</v>
      </c>
      <c r="D123" s="483">
        <v>42040</v>
      </c>
      <c r="E123" s="2" t="s">
        <v>324</v>
      </c>
    </row>
    <row r="124" spans="1:5" x14ac:dyDescent="0.3">
      <c r="A124" s="2">
        <v>3291</v>
      </c>
      <c r="B124" s="2" t="s">
        <v>449</v>
      </c>
      <c r="C124" s="2" t="s">
        <v>32</v>
      </c>
      <c r="D124" s="483">
        <v>142655</v>
      </c>
      <c r="E124" s="2" t="s">
        <v>331</v>
      </c>
    </row>
    <row r="125" spans="1:5" x14ac:dyDescent="0.3">
      <c r="A125" s="2">
        <v>3292</v>
      </c>
      <c r="B125" s="2" t="s">
        <v>450</v>
      </c>
      <c r="C125" s="2" t="s">
        <v>32</v>
      </c>
      <c r="D125" s="483">
        <v>225327</v>
      </c>
      <c r="E125" s="2" t="s">
        <v>331</v>
      </c>
    </row>
    <row r="126" spans="1:5" x14ac:dyDescent="0.3">
      <c r="A126" s="2">
        <v>3293</v>
      </c>
      <c r="B126" s="2" t="s">
        <v>451</v>
      </c>
      <c r="C126" s="2" t="s">
        <v>32</v>
      </c>
      <c r="D126" s="483">
        <v>303345</v>
      </c>
      <c r="E126" s="2" t="s">
        <v>331</v>
      </c>
    </row>
    <row r="127" spans="1:5" x14ac:dyDescent="0.3">
      <c r="A127" s="2">
        <v>3294</v>
      </c>
      <c r="B127" s="2" t="s">
        <v>452</v>
      </c>
      <c r="C127" s="2" t="s">
        <v>32</v>
      </c>
      <c r="D127" s="483">
        <v>570787</v>
      </c>
      <c r="E127" s="2" t="s">
        <v>331</v>
      </c>
    </row>
    <row r="128" spans="1:5" x14ac:dyDescent="0.3">
      <c r="A128" s="2">
        <v>3295</v>
      </c>
      <c r="B128" s="2" t="s">
        <v>453</v>
      </c>
      <c r="C128" s="2" t="s">
        <v>32</v>
      </c>
      <c r="D128" s="483">
        <v>996950</v>
      </c>
      <c r="E128" s="2" t="s">
        <v>331</v>
      </c>
    </row>
    <row r="129" spans="1:5" x14ac:dyDescent="0.3">
      <c r="A129" s="2">
        <v>3296</v>
      </c>
      <c r="B129" s="2" t="s">
        <v>454</v>
      </c>
      <c r="C129" s="2" t="s">
        <v>32</v>
      </c>
      <c r="D129" s="483">
        <v>1496931</v>
      </c>
      <c r="E129" s="2" t="s">
        <v>331</v>
      </c>
    </row>
    <row r="130" spans="1:5" x14ac:dyDescent="0.3">
      <c r="A130" s="2">
        <v>3297</v>
      </c>
      <c r="B130" s="2" t="s">
        <v>455</v>
      </c>
      <c r="C130" s="2" t="s">
        <v>32</v>
      </c>
      <c r="D130" s="483">
        <v>2051819</v>
      </c>
      <c r="E130" s="2" t="s">
        <v>331</v>
      </c>
    </row>
    <row r="131" spans="1:5" x14ac:dyDescent="0.3">
      <c r="A131" s="2">
        <v>3298</v>
      </c>
      <c r="B131" s="2" t="s">
        <v>456</v>
      </c>
      <c r="C131" s="2" t="s">
        <v>32</v>
      </c>
      <c r="D131" s="483">
        <v>2920018</v>
      </c>
      <c r="E131" s="2" t="s">
        <v>331</v>
      </c>
    </row>
    <row r="132" spans="1:5" x14ac:dyDescent="0.3">
      <c r="A132" s="2">
        <v>3299</v>
      </c>
      <c r="B132" s="2" t="s">
        <v>457</v>
      </c>
      <c r="C132" s="2" t="s">
        <v>32</v>
      </c>
      <c r="D132" s="483">
        <v>3821279</v>
      </c>
      <c r="E132" s="2" t="s">
        <v>331</v>
      </c>
    </row>
    <row r="133" spans="1:5" x14ac:dyDescent="0.3">
      <c r="A133" s="2">
        <v>3300</v>
      </c>
      <c r="B133" s="2" t="s">
        <v>458</v>
      </c>
      <c r="C133" s="2" t="s">
        <v>32</v>
      </c>
      <c r="D133" s="483">
        <v>4792514</v>
      </c>
      <c r="E133" s="2" t="s">
        <v>331</v>
      </c>
    </row>
    <row r="134" spans="1:5" x14ac:dyDescent="0.3">
      <c r="A134" s="2">
        <v>3301</v>
      </c>
      <c r="B134" s="2" t="s">
        <v>459</v>
      </c>
      <c r="C134" s="2" t="s">
        <v>32</v>
      </c>
      <c r="D134" s="483">
        <v>6005109</v>
      </c>
      <c r="E134" s="2" t="s">
        <v>331</v>
      </c>
    </row>
    <row r="135" spans="1:5" x14ac:dyDescent="0.3">
      <c r="A135" s="2">
        <v>3303</v>
      </c>
      <c r="B135" s="2" t="s">
        <v>460</v>
      </c>
      <c r="C135" s="2" t="s">
        <v>32</v>
      </c>
      <c r="D135" s="483">
        <v>161695</v>
      </c>
      <c r="E135" s="2" t="s">
        <v>331</v>
      </c>
    </row>
    <row r="136" spans="1:5" x14ac:dyDescent="0.3">
      <c r="A136" s="2">
        <v>3304</v>
      </c>
      <c r="B136" s="2" t="s">
        <v>461</v>
      </c>
      <c r="C136" s="2" t="s">
        <v>32</v>
      </c>
      <c r="D136" s="483">
        <v>204575</v>
      </c>
      <c r="E136" s="2" t="s">
        <v>331</v>
      </c>
    </row>
    <row r="137" spans="1:5" x14ac:dyDescent="0.3">
      <c r="A137" s="2">
        <v>3305</v>
      </c>
      <c r="B137" s="2" t="s">
        <v>462</v>
      </c>
      <c r="C137" s="2" t="s">
        <v>32</v>
      </c>
      <c r="D137" s="483">
        <v>273418</v>
      </c>
      <c r="E137" s="2" t="s">
        <v>331</v>
      </c>
    </row>
    <row r="138" spans="1:5" x14ac:dyDescent="0.3">
      <c r="A138" s="2">
        <v>3306</v>
      </c>
      <c r="B138" s="2" t="s">
        <v>463</v>
      </c>
      <c r="C138" s="2" t="s">
        <v>32</v>
      </c>
      <c r="D138" s="483">
        <v>487487</v>
      </c>
      <c r="E138" s="2" t="s">
        <v>331</v>
      </c>
    </row>
    <row r="139" spans="1:5" x14ac:dyDescent="0.3">
      <c r="A139" s="2">
        <v>3307</v>
      </c>
      <c r="B139" s="2" t="s">
        <v>464</v>
      </c>
      <c r="C139" s="2" t="s">
        <v>32</v>
      </c>
      <c r="D139" s="483">
        <v>825664</v>
      </c>
      <c r="E139" s="2" t="s">
        <v>331</v>
      </c>
    </row>
    <row r="140" spans="1:5" x14ac:dyDescent="0.3">
      <c r="A140" s="2">
        <v>3308</v>
      </c>
      <c r="B140" s="2" t="s">
        <v>465</v>
      </c>
      <c r="C140" s="2" t="s">
        <v>32</v>
      </c>
      <c r="D140" s="483">
        <v>1278665</v>
      </c>
      <c r="E140" s="2" t="s">
        <v>331</v>
      </c>
    </row>
    <row r="141" spans="1:5" x14ac:dyDescent="0.3">
      <c r="A141" s="2">
        <v>3309</v>
      </c>
      <c r="B141" s="2" t="s">
        <v>466</v>
      </c>
      <c r="C141" s="2" t="s">
        <v>32</v>
      </c>
      <c r="D141" s="483">
        <v>1786198</v>
      </c>
      <c r="E141" s="2" t="s">
        <v>331</v>
      </c>
    </row>
    <row r="142" spans="1:5" x14ac:dyDescent="0.3">
      <c r="A142" s="2">
        <v>3310</v>
      </c>
      <c r="B142" s="2" t="s">
        <v>467</v>
      </c>
      <c r="C142" s="2" t="s">
        <v>32</v>
      </c>
      <c r="D142" s="483">
        <v>2122869</v>
      </c>
      <c r="E142" s="2" t="s">
        <v>331</v>
      </c>
    </row>
    <row r="143" spans="1:5" x14ac:dyDescent="0.3">
      <c r="A143" s="2">
        <v>3311</v>
      </c>
      <c r="B143" s="2" t="s">
        <v>468</v>
      </c>
      <c r="C143" s="2" t="s">
        <v>32</v>
      </c>
      <c r="D143" s="483">
        <v>2723542</v>
      </c>
      <c r="E143" s="2" t="s">
        <v>331</v>
      </c>
    </row>
    <row r="144" spans="1:5" x14ac:dyDescent="0.3">
      <c r="A144" s="2">
        <v>3312</v>
      </c>
      <c r="B144" s="2" t="s">
        <v>469</v>
      </c>
      <c r="C144" s="2" t="s">
        <v>32</v>
      </c>
      <c r="D144" s="483">
        <v>3650844</v>
      </c>
      <c r="E144" s="2" t="s">
        <v>331</v>
      </c>
    </row>
    <row r="145" spans="1:5" x14ac:dyDescent="0.3">
      <c r="A145" s="2">
        <v>3313</v>
      </c>
      <c r="B145" s="2" t="s">
        <v>470</v>
      </c>
      <c r="C145" s="2" t="s">
        <v>32</v>
      </c>
      <c r="D145" s="483">
        <v>5238234</v>
      </c>
      <c r="E145" s="2" t="s">
        <v>331</v>
      </c>
    </row>
    <row r="146" spans="1:5" x14ac:dyDescent="0.3">
      <c r="A146" s="2">
        <v>3315</v>
      </c>
      <c r="B146" s="2" t="s">
        <v>471</v>
      </c>
      <c r="C146" s="2" t="s">
        <v>32</v>
      </c>
      <c r="D146" s="483">
        <v>410137</v>
      </c>
      <c r="E146" s="2" t="s">
        <v>331</v>
      </c>
    </row>
    <row r="147" spans="1:5" x14ac:dyDescent="0.3">
      <c r="A147" s="2">
        <v>3316</v>
      </c>
      <c r="B147" s="2" t="s">
        <v>472</v>
      </c>
      <c r="C147" s="2" t="s">
        <v>32</v>
      </c>
      <c r="D147" s="483">
        <v>1565386</v>
      </c>
      <c r="E147" s="2" t="s">
        <v>331</v>
      </c>
    </row>
    <row r="148" spans="1:5" x14ac:dyDescent="0.3">
      <c r="A148" s="2">
        <v>3317</v>
      </c>
      <c r="B148" s="2" t="s">
        <v>473</v>
      </c>
      <c r="C148" s="2" t="s">
        <v>32</v>
      </c>
      <c r="D148" s="483">
        <v>398237</v>
      </c>
      <c r="E148" s="2" t="s">
        <v>331</v>
      </c>
    </row>
    <row r="149" spans="1:5" x14ac:dyDescent="0.3">
      <c r="A149" s="2">
        <v>3318</v>
      </c>
      <c r="B149" s="2" t="s">
        <v>474</v>
      </c>
      <c r="C149" s="2" t="s">
        <v>32</v>
      </c>
      <c r="D149" s="483">
        <v>1363086</v>
      </c>
      <c r="E149" s="2" t="s">
        <v>331</v>
      </c>
    </row>
    <row r="150" spans="1:5" x14ac:dyDescent="0.3">
      <c r="A150" s="2">
        <v>3320</v>
      </c>
      <c r="B150" s="2" t="s">
        <v>475</v>
      </c>
      <c r="C150" s="2" t="s">
        <v>32</v>
      </c>
      <c r="D150" s="483">
        <v>320742</v>
      </c>
      <c r="E150" s="2" t="s">
        <v>331</v>
      </c>
    </row>
    <row r="151" spans="1:5" x14ac:dyDescent="0.3">
      <c r="A151" s="2">
        <v>3322</v>
      </c>
      <c r="B151" s="2" t="s">
        <v>476</v>
      </c>
      <c r="C151" s="2" t="s">
        <v>32</v>
      </c>
      <c r="D151" s="483">
        <v>568064</v>
      </c>
      <c r="E151" s="2" t="s">
        <v>324</v>
      </c>
    </row>
    <row r="152" spans="1:5" x14ac:dyDescent="0.3">
      <c r="A152" s="2">
        <v>3323</v>
      </c>
      <c r="B152" s="2" t="s">
        <v>477</v>
      </c>
      <c r="C152" s="2" t="s">
        <v>32</v>
      </c>
      <c r="D152" s="483">
        <v>814675</v>
      </c>
      <c r="E152" s="2" t="s">
        <v>324</v>
      </c>
    </row>
    <row r="153" spans="1:5" x14ac:dyDescent="0.3">
      <c r="A153" s="2">
        <v>3324</v>
      </c>
      <c r="B153" s="2" t="s">
        <v>478</v>
      </c>
      <c r="C153" s="2" t="s">
        <v>32</v>
      </c>
      <c r="D153" s="483">
        <v>2086023</v>
      </c>
      <c r="E153" s="2" t="s">
        <v>331</v>
      </c>
    </row>
    <row r="154" spans="1:5" x14ac:dyDescent="0.3">
      <c r="A154" s="2">
        <v>3325</v>
      </c>
      <c r="B154" s="2" t="s">
        <v>479</v>
      </c>
      <c r="C154" s="2" t="s">
        <v>32</v>
      </c>
      <c r="D154" s="483">
        <v>3780510</v>
      </c>
      <c r="E154" s="2" t="s">
        <v>331</v>
      </c>
    </row>
    <row r="155" spans="1:5" x14ac:dyDescent="0.3">
      <c r="A155" s="2">
        <v>3327</v>
      </c>
      <c r="B155" s="2" t="s">
        <v>480</v>
      </c>
      <c r="C155" s="2" t="s">
        <v>32</v>
      </c>
      <c r="D155" s="483">
        <v>4158638</v>
      </c>
      <c r="E155" s="2" t="s">
        <v>324</v>
      </c>
    </row>
    <row r="156" spans="1:5" x14ac:dyDescent="0.3">
      <c r="A156" s="2">
        <v>3328</v>
      </c>
      <c r="B156" s="2" t="s">
        <v>481</v>
      </c>
      <c r="C156" s="2" t="s">
        <v>32</v>
      </c>
      <c r="D156" s="483">
        <v>2828700</v>
      </c>
      <c r="E156" s="2" t="s">
        <v>324</v>
      </c>
    </row>
    <row r="157" spans="1:5" x14ac:dyDescent="0.3">
      <c r="A157" s="2">
        <v>3329</v>
      </c>
      <c r="B157" s="2" t="s">
        <v>482</v>
      </c>
      <c r="C157" s="2" t="s">
        <v>32</v>
      </c>
      <c r="D157" s="483">
        <v>3164926</v>
      </c>
      <c r="E157" s="2" t="s">
        <v>324</v>
      </c>
    </row>
    <row r="158" spans="1:5" x14ac:dyDescent="0.3">
      <c r="A158" s="2">
        <v>3330</v>
      </c>
      <c r="B158" s="2" t="s">
        <v>483</v>
      </c>
      <c r="C158" s="2" t="s">
        <v>32</v>
      </c>
      <c r="D158" s="483">
        <v>5540426</v>
      </c>
      <c r="E158" s="2" t="s">
        <v>324</v>
      </c>
    </row>
    <row r="159" spans="1:5" x14ac:dyDescent="0.3">
      <c r="A159" s="2">
        <v>3331</v>
      </c>
      <c r="B159" s="2" t="s">
        <v>484</v>
      </c>
      <c r="C159" s="2" t="s">
        <v>32</v>
      </c>
      <c r="D159" s="483">
        <v>7524888</v>
      </c>
      <c r="E159" s="2" t="s">
        <v>324</v>
      </c>
    </row>
    <row r="160" spans="1:5" x14ac:dyDescent="0.3">
      <c r="A160" s="2">
        <v>3347</v>
      </c>
      <c r="B160" s="2" t="s">
        <v>485</v>
      </c>
      <c r="C160" s="2" t="s">
        <v>32</v>
      </c>
      <c r="D160" s="483">
        <v>998376</v>
      </c>
      <c r="E160" s="2" t="s">
        <v>331</v>
      </c>
    </row>
    <row r="161" spans="1:5" x14ac:dyDescent="0.3">
      <c r="A161" s="2">
        <v>3348</v>
      </c>
      <c r="B161" s="2" t="s">
        <v>486</v>
      </c>
      <c r="C161" s="2" t="s">
        <v>32</v>
      </c>
      <c r="D161" s="483">
        <v>1040891</v>
      </c>
      <c r="E161" s="2" t="s">
        <v>331</v>
      </c>
    </row>
    <row r="162" spans="1:5" x14ac:dyDescent="0.3">
      <c r="A162" s="2">
        <v>3350</v>
      </c>
      <c r="B162" s="2" t="s">
        <v>487</v>
      </c>
      <c r="C162" s="2" t="s">
        <v>32</v>
      </c>
      <c r="D162" s="483">
        <v>1175826</v>
      </c>
      <c r="E162" s="2" t="s">
        <v>331</v>
      </c>
    </row>
    <row r="163" spans="1:5" x14ac:dyDescent="0.3">
      <c r="A163" s="2">
        <v>3351</v>
      </c>
      <c r="B163" s="2" t="s">
        <v>488</v>
      </c>
      <c r="C163" s="2" t="s">
        <v>32</v>
      </c>
      <c r="D163" s="483">
        <v>1447034</v>
      </c>
      <c r="E163" s="2" t="s">
        <v>331</v>
      </c>
    </row>
    <row r="164" spans="1:5" x14ac:dyDescent="0.3">
      <c r="A164" s="2">
        <v>3352</v>
      </c>
      <c r="B164" s="2" t="s">
        <v>489</v>
      </c>
      <c r="C164" s="2" t="s">
        <v>32</v>
      </c>
      <c r="D164" s="483">
        <v>1649530</v>
      </c>
      <c r="E164" s="2" t="s">
        <v>331</v>
      </c>
    </row>
    <row r="165" spans="1:5" x14ac:dyDescent="0.3">
      <c r="A165" s="2">
        <v>3353</v>
      </c>
      <c r="B165" s="2" t="s">
        <v>490</v>
      </c>
      <c r="C165" s="2" t="s">
        <v>32</v>
      </c>
      <c r="D165" s="483">
        <v>1493651</v>
      </c>
      <c r="E165" s="2" t="s">
        <v>331</v>
      </c>
    </row>
    <row r="166" spans="1:5" x14ac:dyDescent="0.3">
      <c r="A166" s="2">
        <v>3354</v>
      </c>
      <c r="B166" s="2" t="s">
        <v>491</v>
      </c>
      <c r="C166" s="2" t="s">
        <v>32</v>
      </c>
      <c r="D166" s="483">
        <v>2223162</v>
      </c>
      <c r="E166" s="2" t="s">
        <v>331</v>
      </c>
    </row>
    <row r="167" spans="1:5" x14ac:dyDescent="0.3">
      <c r="A167" s="2">
        <v>3355</v>
      </c>
      <c r="B167" s="2" t="s">
        <v>492</v>
      </c>
      <c r="C167" s="2" t="s">
        <v>32</v>
      </c>
      <c r="D167" s="483">
        <v>2308383</v>
      </c>
      <c r="E167" s="2" t="s">
        <v>331</v>
      </c>
    </row>
    <row r="168" spans="1:5" x14ac:dyDescent="0.3">
      <c r="A168" s="2">
        <v>3356</v>
      </c>
      <c r="B168" s="2" t="s">
        <v>493</v>
      </c>
      <c r="C168" s="2" t="s">
        <v>32</v>
      </c>
      <c r="D168" s="483">
        <v>2702056</v>
      </c>
      <c r="E168" s="2" t="s">
        <v>331</v>
      </c>
    </row>
    <row r="169" spans="1:5" x14ac:dyDescent="0.3">
      <c r="A169" s="2">
        <v>3357</v>
      </c>
      <c r="B169" s="2" t="s">
        <v>494</v>
      </c>
      <c r="C169" s="2" t="s">
        <v>32</v>
      </c>
      <c r="D169" s="483">
        <v>3302506</v>
      </c>
      <c r="E169" s="2" t="s">
        <v>331</v>
      </c>
    </row>
    <row r="170" spans="1:5" x14ac:dyDescent="0.3">
      <c r="A170" s="2">
        <v>3358</v>
      </c>
      <c r="B170" s="2" t="s">
        <v>495</v>
      </c>
      <c r="C170" s="2" t="s">
        <v>32</v>
      </c>
      <c r="D170" s="483">
        <v>1984372</v>
      </c>
      <c r="E170" s="2" t="s">
        <v>331</v>
      </c>
    </row>
    <row r="171" spans="1:5" x14ac:dyDescent="0.3">
      <c r="A171" s="2">
        <v>3359</v>
      </c>
      <c r="B171" s="2" t="s">
        <v>496</v>
      </c>
      <c r="C171" s="2" t="s">
        <v>32</v>
      </c>
      <c r="D171" s="483">
        <v>2524257</v>
      </c>
      <c r="E171" s="2" t="s">
        <v>331</v>
      </c>
    </row>
    <row r="172" spans="1:5" x14ac:dyDescent="0.3">
      <c r="A172" s="2">
        <v>3360</v>
      </c>
      <c r="B172" s="2" t="s">
        <v>497</v>
      </c>
      <c r="C172" s="2" t="s">
        <v>32</v>
      </c>
      <c r="D172" s="483">
        <v>3633520</v>
      </c>
      <c r="E172" s="2" t="s">
        <v>331</v>
      </c>
    </row>
    <row r="173" spans="1:5" x14ac:dyDescent="0.3">
      <c r="A173" s="2">
        <v>3361</v>
      </c>
      <c r="B173" s="2" t="s">
        <v>498</v>
      </c>
      <c r="C173" s="2" t="s">
        <v>32</v>
      </c>
      <c r="D173" s="483">
        <v>3978217</v>
      </c>
      <c r="E173" s="2" t="s">
        <v>331</v>
      </c>
    </row>
    <row r="174" spans="1:5" x14ac:dyDescent="0.3">
      <c r="A174" s="2">
        <v>3363</v>
      </c>
      <c r="B174" s="2" t="s">
        <v>499</v>
      </c>
      <c r="C174" s="2" t="s">
        <v>32</v>
      </c>
      <c r="D174" s="483">
        <v>4639142</v>
      </c>
      <c r="E174" s="2" t="s">
        <v>331</v>
      </c>
    </row>
    <row r="175" spans="1:5" x14ac:dyDescent="0.3">
      <c r="A175" s="2">
        <v>3364</v>
      </c>
      <c r="B175" s="2" t="s">
        <v>500</v>
      </c>
      <c r="C175" s="2" t="s">
        <v>32</v>
      </c>
      <c r="D175" s="483">
        <v>984236</v>
      </c>
      <c r="E175" s="2" t="s">
        <v>331</v>
      </c>
    </row>
    <row r="176" spans="1:5" x14ac:dyDescent="0.3">
      <c r="A176" s="2">
        <v>3365</v>
      </c>
      <c r="B176" s="2" t="s">
        <v>501</v>
      </c>
      <c r="C176" s="2" t="s">
        <v>32</v>
      </c>
      <c r="D176" s="483">
        <v>1168085</v>
      </c>
      <c r="E176" s="2" t="s">
        <v>331</v>
      </c>
    </row>
    <row r="177" spans="1:5" x14ac:dyDescent="0.3">
      <c r="A177" s="2">
        <v>3366</v>
      </c>
      <c r="B177" s="2" t="s">
        <v>502</v>
      </c>
      <c r="C177" s="2" t="s">
        <v>32</v>
      </c>
      <c r="D177" s="483">
        <v>1472246</v>
      </c>
      <c r="E177" s="2" t="s">
        <v>331</v>
      </c>
    </row>
    <row r="178" spans="1:5" x14ac:dyDescent="0.3">
      <c r="A178" s="2">
        <v>3368</v>
      </c>
      <c r="B178" s="2" t="s">
        <v>503</v>
      </c>
      <c r="C178" s="2" t="s">
        <v>32</v>
      </c>
      <c r="D178" s="483">
        <v>1174169</v>
      </c>
      <c r="E178" s="2" t="s">
        <v>331</v>
      </c>
    </row>
    <row r="179" spans="1:5" x14ac:dyDescent="0.3">
      <c r="A179" s="2">
        <v>3369</v>
      </c>
      <c r="B179" s="2" t="s">
        <v>504</v>
      </c>
      <c r="C179" s="2" t="s">
        <v>32</v>
      </c>
      <c r="D179" s="483">
        <v>1348264</v>
      </c>
      <c r="E179" s="2" t="s">
        <v>331</v>
      </c>
    </row>
    <row r="180" spans="1:5" x14ac:dyDescent="0.3">
      <c r="A180" s="2">
        <v>3370</v>
      </c>
      <c r="B180" s="2" t="s">
        <v>505</v>
      </c>
      <c r="C180" s="2" t="s">
        <v>32</v>
      </c>
      <c r="D180" s="483">
        <v>1750650</v>
      </c>
      <c r="E180" s="2" t="s">
        <v>331</v>
      </c>
    </row>
    <row r="181" spans="1:5" x14ac:dyDescent="0.3">
      <c r="A181" s="2">
        <v>3371</v>
      </c>
      <c r="B181" s="2" t="s">
        <v>506</v>
      </c>
      <c r="C181" s="2" t="s">
        <v>32</v>
      </c>
      <c r="D181" s="483">
        <v>1361799</v>
      </c>
      <c r="E181" s="2" t="s">
        <v>331</v>
      </c>
    </row>
    <row r="182" spans="1:5" x14ac:dyDescent="0.3">
      <c r="A182" s="2">
        <v>3372</v>
      </c>
      <c r="B182" s="2" t="s">
        <v>507</v>
      </c>
      <c r="C182" s="2" t="s">
        <v>32</v>
      </c>
      <c r="D182" s="483">
        <v>1661646</v>
      </c>
      <c r="E182" s="2" t="s">
        <v>331</v>
      </c>
    </row>
    <row r="183" spans="1:5" x14ac:dyDescent="0.3">
      <c r="A183" s="2">
        <v>3373</v>
      </c>
      <c r="B183" s="2" t="s">
        <v>508</v>
      </c>
      <c r="C183" s="2" t="s">
        <v>32</v>
      </c>
      <c r="D183" s="483">
        <v>2544012</v>
      </c>
      <c r="E183" s="2" t="s">
        <v>331</v>
      </c>
    </row>
    <row r="184" spans="1:5" x14ac:dyDescent="0.3">
      <c r="A184" s="2">
        <v>3374</v>
      </c>
      <c r="B184" s="2" t="s">
        <v>509</v>
      </c>
      <c r="C184" s="2" t="s">
        <v>32</v>
      </c>
      <c r="D184" s="483">
        <v>2220323</v>
      </c>
      <c r="E184" s="2" t="s">
        <v>331</v>
      </c>
    </row>
    <row r="185" spans="1:5" x14ac:dyDescent="0.3">
      <c r="A185" s="2">
        <v>3375</v>
      </c>
      <c r="B185" s="2" t="s">
        <v>510</v>
      </c>
      <c r="C185" s="2" t="s">
        <v>32</v>
      </c>
      <c r="D185" s="483">
        <v>2630026</v>
      </c>
      <c r="E185" s="2" t="s">
        <v>331</v>
      </c>
    </row>
    <row r="186" spans="1:5" x14ac:dyDescent="0.3">
      <c r="A186" s="2">
        <v>3376</v>
      </c>
      <c r="B186" s="2" t="s">
        <v>511</v>
      </c>
      <c r="C186" s="2" t="s">
        <v>32</v>
      </c>
      <c r="D186" s="483">
        <v>3021190</v>
      </c>
      <c r="E186" s="2" t="s">
        <v>331</v>
      </c>
    </row>
    <row r="187" spans="1:5" x14ac:dyDescent="0.3">
      <c r="A187" s="2">
        <v>3378</v>
      </c>
      <c r="B187" s="2" t="s">
        <v>512</v>
      </c>
      <c r="C187" s="2" t="s">
        <v>21</v>
      </c>
      <c r="D187" s="483">
        <v>4047</v>
      </c>
      <c r="E187" s="2" t="s">
        <v>324</v>
      </c>
    </row>
    <row r="188" spans="1:5" x14ac:dyDescent="0.3">
      <c r="A188" s="2">
        <v>3379</v>
      </c>
      <c r="B188" s="2" t="s">
        <v>513</v>
      </c>
      <c r="C188" s="2" t="s">
        <v>328</v>
      </c>
      <c r="D188" s="483">
        <v>259112</v>
      </c>
      <c r="E188" s="2" t="s">
        <v>331</v>
      </c>
    </row>
    <row r="189" spans="1:5" x14ac:dyDescent="0.3">
      <c r="A189" s="2">
        <v>3380</v>
      </c>
      <c r="B189" s="2" t="s">
        <v>514</v>
      </c>
      <c r="C189" s="2" t="s">
        <v>328</v>
      </c>
      <c r="D189" s="483">
        <v>121479</v>
      </c>
      <c r="E189" s="2" t="s">
        <v>331</v>
      </c>
    </row>
    <row r="190" spans="1:5" x14ac:dyDescent="0.3">
      <c r="A190" s="2">
        <v>3382</v>
      </c>
      <c r="B190" s="2" t="s">
        <v>515</v>
      </c>
      <c r="C190" s="2" t="s">
        <v>328</v>
      </c>
      <c r="D190" s="483">
        <v>28757</v>
      </c>
      <c r="E190" s="2" t="s">
        <v>331</v>
      </c>
    </row>
    <row r="191" spans="1:5" x14ac:dyDescent="0.3">
      <c r="A191" s="2">
        <v>3385</v>
      </c>
      <c r="B191" s="2" t="s">
        <v>516</v>
      </c>
      <c r="C191" s="2" t="s">
        <v>328</v>
      </c>
      <c r="D191" s="483">
        <v>180239</v>
      </c>
      <c r="E191" s="2" t="s">
        <v>331</v>
      </c>
    </row>
    <row r="192" spans="1:5" x14ac:dyDescent="0.3">
      <c r="A192" s="2">
        <v>3388</v>
      </c>
      <c r="B192" s="2" t="s">
        <v>517</v>
      </c>
      <c r="C192" s="2" t="s">
        <v>328</v>
      </c>
      <c r="D192" s="483">
        <v>578052</v>
      </c>
      <c r="E192" s="2" t="s">
        <v>331</v>
      </c>
    </row>
    <row r="193" spans="1:5" x14ac:dyDescent="0.3">
      <c r="A193" s="2">
        <v>3391</v>
      </c>
      <c r="B193" s="2" t="s">
        <v>518</v>
      </c>
      <c r="C193" s="2" t="s">
        <v>32</v>
      </c>
      <c r="D193" s="483">
        <v>254971</v>
      </c>
      <c r="E193" s="2" t="s">
        <v>331</v>
      </c>
    </row>
    <row r="194" spans="1:5" x14ac:dyDescent="0.3">
      <c r="A194" s="2">
        <v>3393</v>
      </c>
      <c r="B194" s="2" t="s">
        <v>519</v>
      </c>
      <c r="C194" s="2" t="s">
        <v>32</v>
      </c>
      <c r="D194" s="483">
        <v>1561081</v>
      </c>
      <c r="E194" s="2" t="s">
        <v>331</v>
      </c>
    </row>
    <row r="195" spans="1:5" x14ac:dyDescent="0.3">
      <c r="A195" s="2">
        <v>3394</v>
      </c>
      <c r="B195" s="2" t="s">
        <v>520</v>
      </c>
      <c r="C195" s="2" t="s">
        <v>30</v>
      </c>
      <c r="D195" s="483">
        <v>875661</v>
      </c>
      <c r="E195" s="2" t="s">
        <v>331</v>
      </c>
    </row>
    <row r="196" spans="1:5" x14ac:dyDescent="0.3">
      <c r="A196" s="2">
        <v>3396</v>
      </c>
      <c r="B196" s="2" t="s">
        <v>521</v>
      </c>
      <c r="C196" s="2" t="s">
        <v>32</v>
      </c>
      <c r="D196" s="483">
        <v>715015</v>
      </c>
      <c r="E196" s="2" t="s">
        <v>331</v>
      </c>
    </row>
    <row r="197" spans="1:5" x14ac:dyDescent="0.3">
      <c r="A197" s="2">
        <v>3397</v>
      </c>
      <c r="B197" s="2" t="s">
        <v>522</v>
      </c>
      <c r="C197" s="2" t="s">
        <v>32</v>
      </c>
      <c r="D197" s="483">
        <v>447913</v>
      </c>
      <c r="E197" s="2" t="s">
        <v>331</v>
      </c>
    </row>
    <row r="198" spans="1:5" x14ac:dyDescent="0.3">
      <c r="A198" s="2">
        <v>3400</v>
      </c>
      <c r="B198" s="2" t="s">
        <v>523</v>
      </c>
      <c r="C198" s="2" t="s">
        <v>32</v>
      </c>
      <c r="D198" s="483">
        <v>251408</v>
      </c>
      <c r="E198" s="2" t="s">
        <v>331</v>
      </c>
    </row>
    <row r="199" spans="1:5" x14ac:dyDescent="0.3">
      <c r="A199" s="2">
        <v>3401</v>
      </c>
      <c r="B199" s="2" t="s">
        <v>524</v>
      </c>
      <c r="C199" s="2" t="s">
        <v>32</v>
      </c>
      <c r="D199" s="483">
        <v>500815</v>
      </c>
      <c r="E199" s="2" t="s">
        <v>331</v>
      </c>
    </row>
    <row r="200" spans="1:5" x14ac:dyDescent="0.3">
      <c r="A200" s="2">
        <v>3403</v>
      </c>
      <c r="B200" s="2" t="s">
        <v>525</v>
      </c>
      <c r="C200" s="2" t="s">
        <v>32</v>
      </c>
      <c r="D200" s="483">
        <v>919092</v>
      </c>
      <c r="E200" s="2" t="s">
        <v>331</v>
      </c>
    </row>
    <row r="201" spans="1:5" x14ac:dyDescent="0.3">
      <c r="A201" s="2">
        <v>3404</v>
      </c>
      <c r="B201" s="2" t="s">
        <v>526</v>
      </c>
      <c r="C201" s="2" t="s">
        <v>32</v>
      </c>
      <c r="D201" s="483">
        <v>151991</v>
      </c>
      <c r="E201" s="2" t="s">
        <v>331</v>
      </c>
    </row>
    <row r="202" spans="1:5" x14ac:dyDescent="0.3">
      <c r="A202" s="2">
        <v>3405</v>
      </c>
      <c r="B202" s="2" t="s">
        <v>527</v>
      </c>
      <c r="C202" s="2" t="s">
        <v>32</v>
      </c>
      <c r="D202" s="483">
        <v>297224</v>
      </c>
      <c r="E202" s="2" t="s">
        <v>331</v>
      </c>
    </row>
    <row r="203" spans="1:5" x14ac:dyDescent="0.3">
      <c r="A203" s="2">
        <v>3408</v>
      </c>
      <c r="B203" s="2" t="s">
        <v>528</v>
      </c>
      <c r="C203" s="2" t="s">
        <v>328</v>
      </c>
      <c r="D203" s="483">
        <v>386688</v>
      </c>
      <c r="E203" s="2" t="s">
        <v>331</v>
      </c>
    </row>
    <row r="204" spans="1:5" x14ac:dyDescent="0.3">
      <c r="A204" s="2">
        <v>3410</v>
      </c>
      <c r="B204" s="2" t="s">
        <v>529</v>
      </c>
      <c r="C204" s="2" t="s">
        <v>32</v>
      </c>
      <c r="D204" s="483">
        <v>8696535</v>
      </c>
      <c r="E204" s="2" t="s">
        <v>331</v>
      </c>
    </row>
    <row r="205" spans="1:5" x14ac:dyDescent="0.3">
      <c r="A205" s="2">
        <v>3411</v>
      </c>
      <c r="B205" s="2" t="s">
        <v>530</v>
      </c>
      <c r="C205" s="2" t="s">
        <v>32</v>
      </c>
      <c r="D205" s="483">
        <v>9016685</v>
      </c>
      <c r="E205" s="2" t="s">
        <v>331</v>
      </c>
    </row>
    <row r="206" spans="1:5" x14ac:dyDescent="0.3">
      <c r="A206" s="2">
        <v>3412</v>
      </c>
      <c r="B206" s="2" t="s">
        <v>531</v>
      </c>
      <c r="C206" s="2" t="s">
        <v>32</v>
      </c>
      <c r="D206" s="483">
        <v>507224</v>
      </c>
      <c r="E206" s="2" t="s">
        <v>331</v>
      </c>
    </row>
    <row r="207" spans="1:5" x14ac:dyDescent="0.3">
      <c r="A207" s="2">
        <v>3413</v>
      </c>
      <c r="B207" s="2" t="s">
        <v>532</v>
      </c>
      <c r="C207" s="2" t="s">
        <v>32</v>
      </c>
      <c r="D207" s="483">
        <v>12128</v>
      </c>
      <c r="E207" s="2" t="s">
        <v>331</v>
      </c>
    </row>
    <row r="208" spans="1:5" x14ac:dyDescent="0.3">
      <c r="A208" s="2">
        <v>3414</v>
      </c>
      <c r="B208" s="2" t="s">
        <v>533</v>
      </c>
      <c r="C208" s="2" t="s">
        <v>32</v>
      </c>
      <c r="D208" s="483">
        <v>21134</v>
      </c>
      <c r="E208" s="2" t="s">
        <v>331</v>
      </c>
    </row>
    <row r="209" spans="1:5" x14ac:dyDescent="0.3">
      <c r="A209" s="2">
        <v>3415</v>
      </c>
      <c r="B209" s="2" t="s">
        <v>534</v>
      </c>
      <c r="C209" s="2" t="s">
        <v>328</v>
      </c>
      <c r="D209" s="483">
        <v>52672</v>
      </c>
      <c r="E209" s="2" t="s">
        <v>331</v>
      </c>
    </row>
    <row r="210" spans="1:5" x14ac:dyDescent="0.3">
      <c r="A210" s="2">
        <v>3425</v>
      </c>
      <c r="B210" s="2" t="s">
        <v>535</v>
      </c>
      <c r="C210" s="2" t="s">
        <v>21</v>
      </c>
      <c r="D210" s="483">
        <v>83828</v>
      </c>
      <c r="E210" s="2" t="s">
        <v>331</v>
      </c>
    </row>
    <row r="211" spans="1:5" x14ac:dyDescent="0.3">
      <c r="A211" s="2">
        <v>3426</v>
      </c>
      <c r="B211" s="2" t="s">
        <v>536</v>
      </c>
      <c r="C211" s="2" t="s">
        <v>328</v>
      </c>
      <c r="D211" s="483">
        <v>47880</v>
      </c>
      <c r="E211" s="2" t="s">
        <v>331</v>
      </c>
    </row>
    <row r="212" spans="1:5" x14ac:dyDescent="0.3">
      <c r="A212" s="2">
        <v>3429</v>
      </c>
      <c r="B212" s="2" t="s">
        <v>537</v>
      </c>
      <c r="C212" s="2" t="s">
        <v>32</v>
      </c>
      <c r="D212" s="483">
        <v>623078</v>
      </c>
      <c r="E212" s="2" t="s">
        <v>331</v>
      </c>
    </row>
    <row r="213" spans="1:5" x14ac:dyDescent="0.3">
      <c r="A213" s="2">
        <v>3430</v>
      </c>
      <c r="B213" s="2" t="s">
        <v>538</v>
      </c>
      <c r="C213" s="2" t="s">
        <v>32</v>
      </c>
      <c r="D213" s="483">
        <v>453918</v>
      </c>
      <c r="E213" s="2" t="s">
        <v>331</v>
      </c>
    </row>
    <row r="214" spans="1:5" x14ac:dyDescent="0.3">
      <c r="A214" s="2">
        <v>3431</v>
      </c>
      <c r="B214" s="2" t="s">
        <v>539</v>
      </c>
      <c r="C214" s="2" t="s">
        <v>32</v>
      </c>
      <c r="D214" s="483">
        <v>570472</v>
      </c>
      <c r="E214" s="2" t="s">
        <v>331</v>
      </c>
    </row>
    <row r="215" spans="1:5" x14ac:dyDescent="0.3">
      <c r="A215" s="2">
        <v>3432</v>
      </c>
      <c r="B215" s="2" t="s">
        <v>540</v>
      </c>
      <c r="C215" s="2" t="s">
        <v>32</v>
      </c>
      <c r="D215" s="483">
        <v>745326</v>
      </c>
      <c r="E215" s="2" t="s">
        <v>331</v>
      </c>
    </row>
    <row r="216" spans="1:5" x14ac:dyDescent="0.3">
      <c r="A216" s="2">
        <v>3433</v>
      </c>
      <c r="B216" s="2" t="s">
        <v>541</v>
      </c>
      <c r="C216" s="2" t="s">
        <v>32</v>
      </c>
      <c r="D216" s="483">
        <v>9046</v>
      </c>
      <c r="E216" s="2" t="s">
        <v>324</v>
      </c>
    </row>
    <row r="217" spans="1:5" x14ac:dyDescent="0.3">
      <c r="A217" s="2">
        <v>3434</v>
      </c>
      <c r="B217" s="2" t="s">
        <v>542</v>
      </c>
      <c r="C217" s="2" t="s">
        <v>32</v>
      </c>
      <c r="D217" s="483">
        <v>77452</v>
      </c>
      <c r="E217" s="2" t="s">
        <v>331</v>
      </c>
    </row>
    <row r="218" spans="1:5" x14ac:dyDescent="0.3">
      <c r="A218" s="2">
        <v>3436</v>
      </c>
      <c r="B218" s="2" t="s">
        <v>543</v>
      </c>
      <c r="C218" s="2" t="s">
        <v>30</v>
      </c>
      <c r="D218" s="483">
        <v>122042</v>
      </c>
      <c r="E218" s="2" t="s">
        <v>331</v>
      </c>
    </row>
    <row r="219" spans="1:5" x14ac:dyDescent="0.3">
      <c r="A219" s="2">
        <v>3442</v>
      </c>
      <c r="B219" s="2" t="s">
        <v>544</v>
      </c>
      <c r="C219" s="2" t="s">
        <v>30</v>
      </c>
      <c r="D219" s="483">
        <v>625448</v>
      </c>
      <c r="E219" s="2" t="s">
        <v>331</v>
      </c>
    </row>
    <row r="220" spans="1:5" x14ac:dyDescent="0.3">
      <c r="A220" s="2">
        <v>3443</v>
      </c>
      <c r="B220" s="2" t="s">
        <v>545</v>
      </c>
      <c r="C220" s="2" t="s">
        <v>30</v>
      </c>
      <c r="D220" s="483">
        <v>95422</v>
      </c>
      <c r="E220" s="2" t="s">
        <v>331</v>
      </c>
    </row>
    <row r="221" spans="1:5" x14ac:dyDescent="0.3">
      <c r="A221" s="2">
        <v>3450</v>
      </c>
      <c r="B221" s="2" t="s">
        <v>546</v>
      </c>
      <c r="C221" s="2" t="s">
        <v>32</v>
      </c>
      <c r="D221" s="483">
        <v>436355</v>
      </c>
      <c r="E221" s="2" t="s">
        <v>331</v>
      </c>
    </row>
    <row r="222" spans="1:5" x14ac:dyDescent="0.3">
      <c r="A222" s="2">
        <v>3454</v>
      </c>
      <c r="B222" s="2" t="s">
        <v>547</v>
      </c>
      <c r="C222" s="2" t="s">
        <v>30</v>
      </c>
      <c r="D222" s="483">
        <v>117436</v>
      </c>
      <c r="E222" s="2" t="s">
        <v>331</v>
      </c>
    </row>
    <row r="223" spans="1:5" x14ac:dyDescent="0.3">
      <c r="A223" s="2">
        <v>3463</v>
      </c>
      <c r="B223" s="2" t="s">
        <v>548</v>
      </c>
      <c r="C223" s="2" t="s">
        <v>32</v>
      </c>
      <c r="D223" s="483">
        <v>279897</v>
      </c>
      <c r="E223" s="2" t="s">
        <v>331</v>
      </c>
    </row>
    <row r="224" spans="1:5" x14ac:dyDescent="0.3">
      <c r="A224" s="2">
        <v>3464</v>
      </c>
      <c r="B224" s="2" t="s">
        <v>549</v>
      </c>
      <c r="C224" s="2" t="s">
        <v>30</v>
      </c>
      <c r="D224" s="483">
        <v>46379</v>
      </c>
      <c r="E224" s="2" t="s">
        <v>324</v>
      </c>
    </row>
    <row r="225" spans="1:5" x14ac:dyDescent="0.3">
      <c r="A225" s="2">
        <v>3465</v>
      </c>
      <c r="B225" s="2" t="s">
        <v>550</v>
      </c>
      <c r="C225" s="2" t="s">
        <v>30</v>
      </c>
      <c r="D225" s="483">
        <v>546086</v>
      </c>
      <c r="E225" s="2" t="s">
        <v>331</v>
      </c>
    </row>
    <row r="226" spans="1:5" x14ac:dyDescent="0.3">
      <c r="A226" s="2">
        <v>3466</v>
      </c>
      <c r="B226" s="2" t="s">
        <v>551</v>
      </c>
      <c r="C226" s="2" t="s">
        <v>30</v>
      </c>
      <c r="D226" s="483">
        <v>562205</v>
      </c>
      <c r="E226" s="2" t="s">
        <v>331</v>
      </c>
    </row>
    <row r="227" spans="1:5" x14ac:dyDescent="0.3">
      <c r="A227" s="2">
        <v>3467</v>
      </c>
      <c r="B227" s="2" t="s">
        <v>552</v>
      </c>
      <c r="C227" s="2" t="s">
        <v>30</v>
      </c>
      <c r="D227" s="483">
        <v>545455</v>
      </c>
      <c r="E227" s="2" t="s">
        <v>331</v>
      </c>
    </row>
    <row r="228" spans="1:5" x14ac:dyDescent="0.3">
      <c r="A228" s="2">
        <v>3468</v>
      </c>
      <c r="B228" s="2" t="s">
        <v>553</v>
      </c>
      <c r="C228" s="2" t="s">
        <v>30</v>
      </c>
      <c r="D228" s="483">
        <v>476621</v>
      </c>
      <c r="E228" s="2" t="s">
        <v>331</v>
      </c>
    </row>
    <row r="229" spans="1:5" x14ac:dyDescent="0.3">
      <c r="A229" s="2">
        <v>3470</v>
      </c>
      <c r="B229" s="2" t="s">
        <v>554</v>
      </c>
      <c r="C229" s="2" t="s">
        <v>328</v>
      </c>
      <c r="D229" s="483">
        <v>1077292</v>
      </c>
      <c r="E229" s="2" t="s">
        <v>331</v>
      </c>
    </row>
    <row r="230" spans="1:5" x14ac:dyDescent="0.3">
      <c r="A230" s="2">
        <v>3471</v>
      </c>
      <c r="B230" s="2" t="s">
        <v>555</v>
      </c>
      <c r="C230" s="2" t="s">
        <v>328</v>
      </c>
      <c r="D230" s="483">
        <v>739808</v>
      </c>
      <c r="E230" s="2" t="s">
        <v>331</v>
      </c>
    </row>
    <row r="231" spans="1:5" x14ac:dyDescent="0.3">
      <c r="A231" s="2">
        <v>3472</v>
      </c>
      <c r="B231" s="2" t="s">
        <v>556</v>
      </c>
      <c r="C231" s="2" t="s">
        <v>32</v>
      </c>
      <c r="D231" s="483">
        <v>649494</v>
      </c>
      <c r="E231" s="2" t="s">
        <v>331</v>
      </c>
    </row>
    <row r="232" spans="1:5" x14ac:dyDescent="0.3">
      <c r="A232" s="2">
        <v>3473</v>
      </c>
      <c r="B232" s="2" t="s">
        <v>557</v>
      </c>
      <c r="C232" s="2" t="s">
        <v>32</v>
      </c>
      <c r="D232" s="483">
        <v>871613</v>
      </c>
      <c r="E232" s="2" t="s">
        <v>331</v>
      </c>
    </row>
    <row r="233" spans="1:5" x14ac:dyDescent="0.3">
      <c r="A233" s="2">
        <v>3474</v>
      </c>
      <c r="B233" s="2" t="s">
        <v>558</v>
      </c>
      <c r="C233" s="2" t="s">
        <v>32</v>
      </c>
      <c r="D233" s="483">
        <v>1076116</v>
      </c>
      <c r="E233" s="2" t="s">
        <v>331</v>
      </c>
    </row>
    <row r="234" spans="1:5" x14ac:dyDescent="0.3">
      <c r="A234" s="2">
        <v>3475</v>
      </c>
      <c r="B234" s="2" t="s">
        <v>559</v>
      </c>
      <c r="C234" s="2" t="s">
        <v>30</v>
      </c>
      <c r="D234" s="483">
        <v>404321</v>
      </c>
      <c r="E234" s="2" t="s">
        <v>331</v>
      </c>
    </row>
    <row r="235" spans="1:5" x14ac:dyDescent="0.3">
      <c r="A235" s="2">
        <v>3476</v>
      </c>
      <c r="B235" s="2" t="s">
        <v>560</v>
      </c>
      <c r="C235" s="2" t="s">
        <v>30</v>
      </c>
      <c r="D235" s="483">
        <v>455018</v>
      </c>
      <c r="E235" s="2" t="s">
        <v>331</v>
      </c>
    </row>
    <row r="236" spans="1:5" x14ac:dyDescent="0.3">
      <c r="A236" s="2">
        <v>3477</v>
      </c>
      <c r="B236" s="2" t="s">
        <v>561</v>
      </c>
      <c r="C236" s="2" t="s">
        <v>30</v>
      </c>
      <c r="D236" s="483">
        <v>558204</v>
      </c>
      <c r="E236" s="2" t="s">
        <v>331</v>
      </c>
    </row>
    <row r="237" spans="1:5" x14ac:dyDescent="0.3">
      <c r="A237" s="2">
        <v>3478</v>
      </c>
      <c r="B237" s="2" t="s">
        <v>562</v>
      </c>
      <c r="C237" s="2" t="s">
        <v>30</v>
      </c>
      <c r="D237" s="483">
        <v>156640</v>
      </c>
      <c r="E237" s="2" t="s">
        <v>331</v>
      </c>
    </row>
    <row r="238" spans="1:5" x14ac:dyDescent="0.3">
      <c r="A238" s="2">
        <v>3486</v>
      </c>
      <c r="B238" s="2" t="s">
        <v>563</v>
      </c>
      <c r="C238" s="2" t="s">
        <v>30</v>
      </c>
      <c r="D238" s="483">
        <v>187178</v>
      </c>
      <c r="E238" s="2" t="s">
        <v>324</v>
      </c>
    </row>
    <row r="239" spans="1:5" x14ac:dyDescent="0.3">
      <c r="A239" s="2">
        <v>3490</v>
      </c>
      <c r="B239" s="2" t="s">
        <v>564</v>
      </c>
      <c r="C239" s="2" t="s">
        <v>32</v>
      </c>
      <c r="D239" s="483">
        <v>60964</v>
      </c>
      <c r="E239" s="2" t="s">
        <v>367</v>
      </c>
    </row>
    <row r="240" spans="1:5" x14ac:dyDescent="0.3">
      <c r="A240" s="2">
        <v>3491</v>
      </c>
      <c r="B240" s="2" t="s">
        <v>565</v>
      </c>
      <c r="C240" s="2" t="s">
        <v>32</v>
      </c>
      <c r="D240" s="483">
        <v>48448</v>
      </c>
      <c r="E240" s="2" t="s">
        <v>367</v>
      </c>
    </row>
    <row r="241" spans="1:5" x14ac:dyDescent="0.3">
      <c r="A241" s="2">
        <v>3492</v>
      </c>
      <c r="B241" s="2" t="s">
        <v>566</v>
      </c>
      <c r="C241" s="2" t="s">
        <v>32</v>
      </c>
      <c r="D241" s="483">
        <v>88014</v>
      </c>
      <c r="E241" s="2" t="s">
        <v>367</v>
      </c>
    </row>
    <row r="242" spans="1:5" x14ac:dyDescent="0.3">
      <c r="A242" s="2">
        <v>3499</v>
      </c>
      <c r="B242" s="2" t="s">
        <v>567</v>
      </c>
      <c r="C242" s="2" t="s">
        <v>32</v>
      </c>
      <c r="D242" s="483">
        <v>462871</v>
      </c>
      <c r="E242" s="2" t="s">
        <v>331</v>
      </c>
    </row>
    <row r="243" spans="1:5" x14ac:dyDescent="0.3">
      <c r="A243" s="2">
        <v>3500</v>
      </c>
      <c r="B243" s="2" t="s">
        <v>568</v>
      </c>
      <c r="C243" s="2" t="s">
        <v>32</v>
      </c>
      <c r="D243" s="483">
        <v>977042</v>
      </c>
      <c r="E243" s="2" t="s">
        <v>331</v>
      </c>
    </row>
    <row r="244" spans="1:5" x14ac:dyDescent="0.3">
      <c r="A244" s="2">
        <v>3501</v>
      </c>
      <c r="B244" s="2" t="s">
        <v>569</v>
      </c>
      <c r="C244" s="2" t="s">
        <v>32</v>
      </c>
      <c r="D244" s="483">
        <v>1220798</v>
      </c>
      <c r="E244" s="2" t="s">
        <v>331</v>
      </c>
    </row>
    <row r="245" spans="1:5" x14ac:dyDescent="0.3">
      <c r="A245" s="2">
        <v>3502</v>
      </c>
      <c r="B245" s="2" t="s">
        <v>570</v>
      </c>
      <c r="C245" s="2" t="s">
        <v>32</v>
      </c>
      <c r="D245" s="483">
        <v>1444713</v>
      </c>
      <c r="E245" s="2" t="s">
        <v>331</v>
      </c>
    </row>
    <row r="246" spans="1:5" x14ac:dyDescent="0.3">
      <c r="A246" s="2">
        <v>3503</v>
      </c>
      <c r="B246" s="2" t="s">
        <v>571</v>
      </c>
      <c r="C246" s="2" t="s">
        <v>32</v>
      </c>
      <c r="D246" s="483">
        <v>1578067</v>
      </c>
      <c r="E246" s="2" t="s">
        <v>331</v>
      </c>
    </row>
    <row r="247" spans="1:5" x14ac:dyDescent="0.3">
      <c r="A247" s="2">
        <v>3504</v>
      </c>
      <c r="B247" s="2" t="s">
        <v>572</v>
      </c>
      <c r="C247" s="2" t="s">
        <v>32</v>
      </c>
      <c r="D247" s="483">
        <v>149399</v>
      </c>
      <c r="E247" s="2" t="s">
        <v>331</v>
      </c>
    </row>
    <row r="248" spans="1:5" x14ac:dyDescent="0.3">
      <c r="A248" s="2">
        <v>3505</v>
      </c>
      <c r="B248" s="2" t="s">
        <v>573</v>
      </c>
      <c r="C248" s="2" t="s">
        <v>32</v>
      </c>
      <c r="D248" s="483">
        <v>291613</v>
      </c>
      <c r="E248" s="2" t="s">
        <v>331</v>
      </c>
    </row>
    <row r="249" spans="1:5" x14ac:dyDescent="0.3">
      <c r="A249" s="2">
        <v>3506</v>
      </c>
      <c r="B249" s="2" t="s">
        <v>574</v>
      </c>
      <c r="C249" s="2" t="s">
        <v>32</v>
      </c>
      <c r="D249" s="483">
        <v>375063</v>
      </c>
      <c r="E249" s="2" t="s">
        <v>331</v>
      </c>
    </row>
    <row r="250" spans="1:5" x14ac:dyDescent="0.3">
      <c r="A250" s="2">
        <v>3507</v>
      </c>
      <c r="B250" s="2" t="s">
        <v>575</v>
      </c>
      <c r="C250" s="2" t="s">
        <v>32</v>
      </c>
      <c r="D250" s="483">
        <v>447088</v>
      </c>
      <c r="E250" s="2" t="s">
        <v>331</v>
      </c>
    </row>
    <row r="251" spans="1:5" x14ac:dyDescent="0.3">
      <c r="A251" s="2">
        <v>3508</v>
      </c>
      <c r="B251" s="2" t="s">
        <v>576</v>
      </c>
      <c r="C251" s="2" t="s">
        <v>32</v>
      </c>
      <c r="D251" s="483">
        <v>564653</v>
      </c>
      <c r="E251" s="2" t="s">
        <v>331</v>
      </c>
    </row>
    <row r="252" spans="1:5" x14ac:dyDescent="0.3">
      <c r="A252" s="2">
        <v>3509</v>
      </c>
      <c r="B252" s="2" t="s">
        <v>577</v>
      </c>
      <c r="C252" s="2" t="s">
        <v>32</v>
      </c>
      <c r="D252" s="483">
        <v>654849</v>
      </c>
      <c r="E252" s="2" t="s">
        <v>331</v>
      </c>
    </row>
    <row r="253" spans="1:5" x14ac:dyDescent="0.3">
      <c r="A253" s="2">
        <v>3510</v>
      </c>
      <c r="B253" s="2" t="s">
        <v>578</v>
      </c>
      <c r="C253" s="2" t="s">
        <v>32</v>
      </c>
      <c r="D253" s="483">
        <v>775104</v>
      </c>
      <c r="E253" s="2" t="s">
        <v>331</v>
      </c>
    </row>
    <row r="254" spans="1:5" x14ac:dyDescent="0.3">
      <c r="A254" s="2">
        <v>3511</v>
      </c>
      <c r="B254" s="2" t="s">
        <v>579</v>
      </c>
      <c r="C254" s="2" t="s">
        <v>32</v>
      </c>
      <c r="D254" s="483">
        <v>1110750</v>
      </c>
      <c r="E254" s="2" t="s">
        <v>331</v>
      </c>
    </row>
    <row r="255" spans="1:5" x14ac:dyDescent="0.3">
      <c r="A255" s="2">
        <v>3512</v>
      </c>
      <c r="B255" s="2" t="s">
        <v>580</v>
      </c>
      <c r="C255" s="2" t="s">
        <v>32</v>
      </c>
      <c r="D255" s="483">
        <v>49148</v>
      </c>
      <c r="E255" s="2" t="s">
        <v>331</v>
      </c>
    </row>
    <row r="256" spans="1:5" x14ac:dyDescent="0.3">
      <c r="A256" s="2">
        <v>3513</v>
      </c>
      <c r="B256" s="2" t="s">
        <v>581</v>
      </c>
      <c r="C256" s="2" t="s">
        <v>32</v>
      </c>
      <c r="D256" s="483">
        <v>101639</v>
      </c>
      <c r="E256" s="2" t="s">
        <v>331</v>
      </c>
    </row>
    <row r="257" spans="1:5" x14ac:dyDescent="0.3">
      <c r="A257" s="2">
        <v>3514</v>
      </c>
      <c r="B257" s="2" t="s">
        <v>582</v>
      </c>
      <c r="C257" s="2" t="s">
        <v>32</v>
      </c>
      <c r="D257" s="483">
        <v>139510</v>
      </c>
      <c r="E257" s="2" t="s">
        <v>331</v>
      </c>
    </row>
    <row r="258" spans="1:5" x14ac:dyDescent="0.3">
      <c r="A258" s="2">
        <v>3515</v>
      </c>
      <c r="B258" s="2" t="s">
        <v>583</v>
      </c>
      <c r="C258" s="2" t="s">
        <v>32</v>
      </c>
      <c r="D258" s="483">
        <v>184789</v>
      </c>
      <c r="E258" s="2" t="s">
        <v>331</v>
      </c>
    </row>
    <row r="259" spans="1:5" x14ac:dyDescent="0.3">
      <c r="A259" s="2">
        <v>3516</v>
      </c>
      <c r="B259" s="2" t="s">
        <v>584</v>
      </c>
      <c r="C259" s="2" t="s">
        <v>32</v>
      </c>
      <c r="D259" s="483">
        <v>373881</v>
      </c>
      <c r="E259" s="2" t="s">
        <v>331</v>
      </c>
    </row>
    <row r="260" spans="1:5" x14ac:dyDescent="0.3">
      <c r="A260" s="2">
        <v>3517</v>
      </c>
      <c r="B260" s="2" t="s">
        <v>585</v>
      </c>
      <c r="C260" s="2" t="s">
        <v>32</v>
      </c>
      <c r="D260" s="483">
        <v>1339391</v>
      </c>
      <c r="E260" s="2" t="s">
        <v>331</v>
      </c>
    </row>
    <row r="261" spans="1:5" x14ac:dyDescent="0.3">
      <c r="A261" s="2">
        <v>3518</v>
      </c>
      <c r="B261" s="2" t="s">
        <v>586</v>
      </c>
      <c r="C261" s="2" t="s">
        <v>32</v>
      </c>
      <c r="D261" s="483">
        <v>2899877</v>
      </c>
      <c r="E261" s="2" t="s">
        <v>331</v>
      </c>
    </row>
    <row r="262" spans="1:5" x14ac:dyDescent="0.3">
      <c r="A262" s="2">
        <v>3519</v>
      </c>
      <c r="B262" s="2" t="s">
        <v>587</v>
      </c>
      <c r="C262" s="2" t="s">
        <v>32</v>
      </c>
      <c r="D262" s="483">
        <v>3931520</v>
      </c>
      <c r="E262" s="2" t="s">
        <v>331</v>
      </c>
    </row>
    <row r="263" spans="1:5" x14ac:dyDescent="0.3">
      <c r="A263" s="2">
        <v>3520</v>
      </c>
      <c r="B263" s="2" t="s">
        <v>588</v>
      </c>
      <c r="C263" s="2" t="s">
        <v>32</v>
      </c>
      <c r="D263" s="483">
        <v>90668</v>
      </c>
      <c r="E263" s="2" t="s">
        <v>331</v>
      </c>
    </row>
    <row r="264" spans="1:5" x14ac:dyDescent="0.3">
      <c r="A264" s="2">
        <v>3521</v>
      </c>
      <c r="B264" s="2" t="s">
        <v>589</v>
      </c>
      <c r="C264" s="2" t="s">
        <v>32</v>
      </c>
      <c r="D264" s="483">
        <v>115729</v>
      </c>
      <c r="E264" s="2" t="s">
        <v>331</v>
      </c>
    </row>
    <row r="265" spans="1:5" x14ac:dyDescent="0.3">
      <c r="A265" s="2">
        <v>3522</v>
      </c>
      <c r="B265" s="2" t="s">
        <v>590</v>
      </c>
      <c r="C265" s="2" t="s">
        <v>32</v>
      </c>
      <c r="D265" s="483">
        <v>132713</v>
      </c>
      <c r="E265" s="2" t="s">
        <v>331</v>
      </c>
    </row>
    <row r="266" spans="1:5" x14ac:dyDescent="0.3">
      <c r="A266" s="2">
        <v>3523</v>
      </c>
      <c r="B266" s="2" t="s">
        <v>591</v>
      </c>
      <c r="C266" s="2" t="s">
        <v>32</v>
      </c>
      <c r="D266" s="483">
        <v>175153</v>
      </c>
      <c r="E266" s="2" t="s">
        <v>331</v>
      </c>
    </row>
    <row r="267" spans="1:5" x14ac:dyDescent="0.3">
      <c r="A267" s="2">
        <v>3524</v>
      </c>
      <c r="B267" s="2" t="s">
        <v>592</v>
      </c>
      <c r="C267" s="2" t="s">
        <v>32</v>
      </c>
      <c r="D267" s="483">
        <v>326175</v>
      </c>
      <c r="E267" s="2" t="s">
        <v>331</v>
      </c>
    </row>
    <row r="268" spans="1:5" x14ac:dyDescent="0.3">
      <c r="A268" s="2">
        <v>3525</v>
      </c>
      <c r="B268" s="2" t="s">
        <v>593</v>
      </c>
      <c r="C268" s="2" t="s">
        <v>32</v>
      </c>
      <c r="D268" s="483">
        <v>895088</v>
      </c>
      <c r="E268" s="2" t="s">
        <v>331</v>
      </c>
    </row>
    <row r="269" spans="1:5" x14ac:dyDescent="0.3">
      <c r="A269" s="2">
        <v>3526</v>
      </c>
      <c r="B269" s="2" t="s">
        <v>594</v>
      </c>
      <c r="C269" s="2" t="s">
        <v>32</v>
      </c>
      <c r="D269" s="483">
        <v>1904204</v>
      </c>
      <c r="E269" s="2" t="s">
        <v>331</v>
      </c>
    </row>
    <row r="270" spans="1:5" x14ac:dyDescent="0.3">
      <c r="A270" s="2">
        <v>3527</v>
      </c>
      <c r="B270" s="2" t="s">
        <v>595</v>
      </c>
      <c r="C270" s="2" t="s">
        <v>32</v>
      </c>
      <c r="D270" s="483">
        <v>2667843</v>
      </c>
      <c r="E270" s="2" t="s">
        <v>331</v>
      </c>
    </row>
    <row r="271" spans="1:5" x14ac:dyDescent="0.3">
      <c r="A271" s="2">
        <v>3528</v>
      </c>
      <c r="B271" s="2" t="s">
        <v>596</v>
      </c>
      <c r="C271" s="2" t="s">
        <v>32</v>
      </c>
      <c r="D271" s="483">
        <v>46813</v>
      </c>
      <c r="E271" s="2" t="s">
        <v>331</v>
      </c>
    </row>
    <row r="272" spans="1:5" x14ac:dyDescent="0.3">
      <c r="A272" s="2">
        <v>3529</v>
      </c>
      <c r="B272" s="2" t="s">
        <v>597</v>
      </c>
      <c r="C272" s="2" t="s">
        <v>32</v>
      </c>
      <c r="D272" s="483">
        <v>63835</v>
      </c>
      <c r="E272" s="2" t="s">
        <v>331</v>
      </c>
    </row>
    <row r="273" spans="1:5" x14ac:dyDescent="0.3">
      <c r="A273" s="2">
        <v>3530</v>
      </c>
      <c r="B273" s="2" t="s">
        <v>598</v>
      </c>
      <c r="C273" s="2" t="s">
        <v>32</v>
      </c>
      <c r="D273" s="483">
        <v>86247</v>
      </c>
      <c r="E273" s="2" t="s">
        <v>331</v>
      </c>
    </row>
    <row r="274" spans="1:5" x14ac:dyDescent="0.3">
      <c r="A274" s="2">
        <v>3531</v>
      </c>
      <c r="B274" s="2" t="s">
        <v>599</v>
      </c>
      <c r="C274" s="2" t="s">
        <v>32</v>
      </c>
      <c r="D274" s="483">
        <v>139710</v>
      </c>
      <c r="E274" s="2" t="s">
        <v>331</v>
      </c>
    </row>
    <row r="275" spans="1:5" x14ac:dyDescent="0.3">
      <c r="A275" s="2">
        <v>3532</v>
      </c>
      <c r="B275" s="2" t="s">
        <v>600</v>
      </c>
      <c r="C275" s="2" t="s">
        <v>32</v>
      </c>
      <c r="D275" s="483">
        <v>335988</v>
      </c>
      <c r="E275" s="2" t="s">
        <v>331</v>
      </c>
    </row>
    <row r="276" spans="1:5" x14ac:dyDescent="0.3">
      <c r="A276" s="2">
        <v>3533</v>
      </c>
      <c r="B276" s="2" t="s">
        <v>601</v>
      </c>
      <c r="C276" s="2" t="s">
        <v>32</v>
      </c>
      <c r="D276" s="483">
        <v>700014</v>
      </c>
      <c r="E276" s="2" t="s">
        <v>331</v>
      </c>
    </row>
    <row r="277" spans="1:5" x14ac:dyDescent="0.3">
      <c r="A277" s="2">
        <v>3534</v>
      </c>
      <c r="B277" s="2" t="s">
        <v>602</v>
      </c>
      <c r="C277" s="2" t="s">
        <v>32</v>
      </c>
      <c r="D277" s="483">
        <v>1554311</v>
      </c>
      <c r="E277" s="2" t="s">
        <v>331</v>
      </c>
    </row>
    <row r="278" spans="1:5" x14ac:dyDescent="0.3">
      <c r="A278" s="2">
        <v>3535</v>
      </c>
      <c r="B278" s="2" t="s">
        <v>603</v>
      </c>
      <c r="C278" s="2" t="s">
        <v>32</v>
      </c>
      <c r="D278" s="483">
        <v>2089166</v>
      </c>
      <c r="E278" s="2" t="s">
        <v>331</v>
      </c>
    </row>
    <row r="279" spans="1:5" x14ac:dyDescent="0.3">
      <c r="A279" s="2">
        <v>3536</v>
      </c>
      <c r="B279" s="2" t="s">
        <v>604</v>
      </c>
      <c r="C279" s="2" t="s">
        <v>32</v>
      </c>
      <c r="D279" s="483">
        <v>53240</v>
      </c>
      <c r="E279" s="2" t="s">
        <v>331</v>
      </c>
    </row>
    <row r="280" spans="1:5" x14ac:dyDescent="0.3">
      <c r="A280" s="2">
        <v>3537</v>
      </c>
      <c r="B280" s="2" t="s">
        <v>605</v>
      </c>
      <c r="C280" s="2" t="s">
        <v>32</v>
      </c>
      <c r="D280" s="483">
        <v>60669</v>
      </c>
      <c r="E280" s="2" t="s">
        <v>331</v>
      </c>
    </row>
    <row r="281" spans="1:5" x14ac:dyDescent="0.3">
      <c r="A281" s="2">
        <v>3538</v>
      </c>
      <c r="B281" s="2" t="s">
        <v>606</v>
      </c>
      <c r="C281" s="2" t="s">
        <v>32</v>
      </c>
      <c r="D281" s="483">
        <v>79146</v>
      </c>
      <c r="E281" s="2" t="s">
        <v>331</v>
      </c>
    </row>
    <row r="282" spans="1:5" x14ac:dyDescent="0.3">
      <c r="A282" s="2">
        <v>3539</v>
      </c>
      <c r="B282" s="2" t="s">
        <v>607</v>
      </c>
      <c r="C282" s="2" t="s">
        <v>32</v>
      </c>
      <c r="D282" s="483">
        <v>133138</v>
      </c>
      <c r="E282" s="2" t="s">
        <v>331</v>
      </c>
    </row>
    <row r="283" spans="1:5" x14ac:dyDescent="0.3">
      <c r="A283" s="2">
        <v>3540</v>
      </c>
      <c r="B283" s="2" t="s">
        <v>608</v>
      </c>
      <c r="C283" s="2" t="s">
        <v>32</v>
      </c>
      <c r="D283" s="483">
        <v>301751</v>
      </c>
      <c r="E283" s="2" t="s">
        <v>331</v>
      </c>
    </row>
    <row r="284" spans="1:5" x14ac:dyDescent="0.3">
      <c r="A284" s="2">
        <v>3541</v>
      </c>
      <c r="B284" s="2" t="s">
        <v>609</v>
      </c>
      <c r="C284" s="2" t="s">
        <v>32</v>
      </c>
      <c r="D284" s="483">
        <v>603302</v>
      </c>
      <c r="E284" s="2" t="s">
        <v>331</v>
      </c>
    </row>
    <row r="285" spans="1:5" x14ac:dyDescent="0.3">
      <c r="A285" s="2">
        <v>3542</v>
      </c>
      <c r="B285" s="2" t="s">
        <v>610</v>
      </c>
      <c r="C285" s="2" t="s">
        <v>32</v>
      </c>
      <c r="D285" s="483">
        <v>1275309</v>
      </c>
      <c r="E285" s="2" t="s">
        <v>331</v>
      </c>
    </row>
    <row r="286" spans="1:5" x14ac:dyDescent="0.3">
      <c r="A286" s="2">
        <v>3543</v>
      </c>
      <c r="B286" s="2" t="s">
        <v>611</v>
      </c>
      <c r="C286" s="2" t="s">
        <v>32</v>
      </c>
      <c r="D286" s="483">
        <v>1684626</v>
      </c>
      <c r="E286" s="2" t="s">
        <v>331</v>
      </c>
    </row>
    <row r="287" spans="1:5" x14ac:dyDescent="0.3">
      <c r="A287" s="2">
        <v>3544</v>
      </c>
      <c r="B287" s="2" t="s">
        <v>612</v>
      </c>
      <c r="C287" s="2" t="s">
        <v>32</v>
      </c>
      <c r="D287" s="483">
        <v>42733</v>
      </c>
      <c r="E287" s="2" t="s">
        <v>331</v>
      </c>
    </row>
    <row r="288" spans="1:5" x14ac:dyDescent="0.3">
      <c r="A288" s="2">
        <v>3545</v>
      </c>
      <c r="B288" s="2" t="s">
        <v>613</v>
      </c>
      <c r="C288" s="2" t="s">
        <v>32</v>
      </c>
      <c r="D288" s="483">
        <v>73139</v>
      </c>
      <c r="E288" s="2" t="s">
        <v>331</v>
      </c>
    </row>
    <row r="289" spans="1:5" x14ac:dyDescent="0.3">
      <c r="A289" s="2">
        <v>3546</v>
      </c>
      <c r="B289" s="2" t="s">
        <v>614</v>
      </c>
      <c r="C289" s="2" t="s">
        <v>32</v>
      </c>
      <c r="D289" s="483">
        <v>16441</v>
      </c>
      <c r="E289" s="2" t="s">
        <v>331</v>
      </c>
    </row>
    <row r="290" spans="1:5" x14ac:dyDescent="0.3">
      <c r="A290" s="2">
        <v>3548</v>
      </c>
      <c r="B290" s="2" t="s">
        <v>615</v>
      </c>
      <c r="C290" s="2" t="s">
        <v>32</v>
      </c>
      <c r="D290" s="483">
        <v>218497</v>
      </c>
      <c r="E290" s="2" t="s">
        <v>331</v>
      </c>
    </row>
    <row r="291" spans="1:5" x14ac:dyDescent="0.3">
      <c r="A291" s="2">
        <v>3549</v>
      </c>
      <c r="B291" s="2" t="s">
        <v>616</v>
      </c>
      <c r="C291" s="2" t="s">
        <v>32</v>
      </c>
      <c r="D291" s="483">
        <v>229387</v>
      </c>
      <c r="E291" s="2" t="s">
        <v>331</v>
      </c>
    </row>
    <row r="292" spans="1:5" x14ac:dyDescent="0.3">
      <c r="A292" s="2">
        <v>3550</v>
      </c>
      <c r="B292" s="2" t="s">
        <v>617</v>
      </c>
      <c r="C292" s="2" t="s">
        <v>32</v>
      </c>
      <c r="D292" s="483">
        <v>716210</v>
      </c>
      <c r="E292" s="2" t="s">
        <v>331</v>
      </c>
    </row>
    <row r="293" spans="1:5" x14ac:dyDescent="0.3">
      <c r="A293" s="2">
        <v>3551</v>
      </c>
      <c r="B293" s="2" t="s">
        <v>618</v>
      </c>
      <c r="C293" s="2" t="s">
        <v>32</v>
      </c>
      <c r="D293" s="483">
        <v>761204</v>
      </c>
      <c r="E293" s="2" t="s">
        <v>324</v>
      </c>
    </row>
    <row r="294" spans="1:5" x14ac:dyDescent="0.3">
      <c r="A294" s="2">
        <v>3552</v>
      </c>
      <c r="B294" s="2" t="s">
        <v>619</v>
      </c>
      <c r="C294" s="2" t="s">
        <v>32</v>
      </c>
      <c r="D294" s="483">
        <v>265093</v>
      </c>
      <c r="E294" s="2" t="s">
        <v>324</v>
      </c>
    </row>
    <row r="295" spans="1:5" x14ac:dyDescent="0.3">
      <c r="A295" s="2">
        <v>3554</v>
      </c>
      <c r="B295" s="2" t="s">
        <v>620</v>
      </c>
      <c r="C295" s="2" t="s">
        <v>32</v>
      </c>
      <c r="D295" s="483">
        <v>540362</v>
      </c>
      <c r="E295" s="2" t="s">
        <v>324</v>
      </c>
    </row>
    <row r="296" spans="1:5" x14ac:dyDescent="0.3">
      <c r="A296" s="2">
        <v>3555</v>
      </c>
      <c r="B296" s="2" t="s">
        <v>621</v>
      </c>
      <c r="C296" s="2" t="s">
        <v>32</v>
      </c>
      <c r="D296" s="483">
        <v>969193</v>
      </c>
      <c r="E296" s="2" t="s">
        <v>324</v>
      </c>
    </row>
    <row r="297" spans="1:5" x14ac:dyDescent="0.3">
      <c r="A297" s="2">
        <v>3556</v>
      </c>
      <c r="B297" s="2" t="s">
        <v>622</v>
      </c>
      <c r="C297" s="2" t="s">
        <v>32</v>
      </c>
      <c r="D297" s="483">
        <v>7522670</v>
      </c>
      <c r="E297" s="2" t="s">
        <v>331</v>
      </c>
    </row>
    <row r="298" spans="1:5" x14ac:dyDescent="0.3">
      <c r="A298" s="2">
        <v>3557</v>
      </c>
      <c r="B298" s="2" t="s">
        <v>623</v>
      </c>
      <c r="C298" s="2" t="s">
        <v>32</v>
      </c>
      <c r="D298" s="483">
        <v>9607226</v>
      </c>
      <c r="E298" s="2" t="s">
        <v>331</v>
      </c>
    </row>
    <row r="299" spans="1:5" x14ac:dyDescent="0.3">
      <c r="A299" s="2">
        <v>3559</v>
      </c>
      <c r="B299" s="2" t="s">
        <v>624</v>
      </c>
      <c r="C299" s="2" t="s">
        <v>32</v>
      </c>
      <c r="D299" s="483">
        <v>4945600</v>
      </c>
      <c r="E299" s="2" t="s">
        <v>331</v>
      </c>
    </row>
    <row r="300" spans="1:5" x14ac:dyDescent="0.3">
      <c r="A300" s="2">
        <v>3560</v>
      </c>
      <c r="B300" s="2" t="s">
        <v>625</v>
      </c>
      <c r="C300" s="2" t="s">
        <v>32</v>
      </c>
      <c r="D300" s="483">
        <v>193517</v>
      </c>
      <c r="E300" s="2" t="s">
        <v>331</v>
      </c>
    </row>
    <row r="301" spans="1:5" x14ac:dyDescent="0.3">
      <c r="A301" s="2">
        <v>3561</v>
      </c>
      <c r="B301" s="2" t="s">
        <v>626</v>
      </c>
      <c r="C301" s="2" t="s">
        <v>32</v>
      </c>
      <c r="D301" s="483">
        <v>238140</v>
      </c>
      <c r="E301" s="2" t="s">
        <v>331</v>
      </c>
    </row>
    <row r="302" spans="1:5" x14ac:dyDescent="0.3">
      <c r="A302" s="2">
        <v>3562</v>
      </c>
      <c r="B302" s="2" t="s">
        <v>627</v>
      </c>
      <c r="C302" s="2" t="s">
        <v>328</v>
      </c>
      <c r="D302" s="483">
        <v>268378</v>
      </c>
      <c r="E302" s="2" t="s">
        <v>331</v>
      </c>
    </row>
    <row r="303" spans="1:5" x14ac:dyDescent="0.3">
      <c r="A303" s="2">
        <v>3567</v>
      </c>
      <c r="B303" s="2" t="s">
        <v>628</v>
      </c>
      <c r="C303" s="2" t="s">
        <v>21</v>
      </c>
      <c r="D303" s="483">
        <v>107915</v>
      </c>
      <c r="E303" s="2" t="s">
        <v>331</v>
      </c>
    </row>
    <row r="304" spans="1:5" x14ac:dyDescent="0.3">
      <c r="A304" s="2">
        <v>3569</v>
      </c>
      <c r="B304" s="2" t="s">
        <v>629</v>
      </c>
      <c r="C304" s="2" t="s">
        <v>32</v>
      </c>
      <c r="D304" s="483">
        <v>3848626</v>
      </c>
      <c r="E304" s="2" t="s">
        <v>331</v>
      </c>
    </row>
    <row r="305" spans="1:5" x14ac:dyDescent="0.3">
      <c r="A305" s="2">
        <v>3589</v>
      </c>
      <c r="B305" s="2" t="s">
        <v>630</v>
      </c>
      <c r="C305" s="2" t="s">
        <v>32</v>
      </c>
      <c r="D305" s="483">
        <v>616089</v>
      </c>
      <c r="E305" s="2" t="s">
        <v>331</v>
      </c>
    </row>
    <row r="306" spans="1:5" x14ac:dyDescent="0.3">
      <c r="A306" s="2">
        <v>3591</v>
      </c>
      <c r="B306" s="2" t="s">
        <v>631</v>
      </c>
      <c r="C306" s="2" t="s">
        <v>328</v>
      </c>
      <c r="D306" s="483">
        <v>62720</v>
      </c>
      <c r="E306" s="2" t="s">
        <v>331</v>
      </c>
    </row>
    <row r="307" spans="1:5" x14ac:dyDescent="0.3">
      <c r="A307" s="2">
        <v>3599</v>
      </c>
      <c r="B307" s="2" t="s">
        <v>632</v>
      </c>
      <c r="C307" s="2" t="s">
        <v>328</v>
      </c>
      <c r="D307" s="483">
        <v>1076071</v>
      </c>
      <c r="E307" s="2" t="s">
        <v>331</v>
      </c>
    </row>
    <row r="308" spans="1:5" x14ac:dyDescent="0.3">
      <c r="A308" s="2">
        <v>3600</v>
      </c>
      <c r="B308" s="2" t="s">
        <v>633</v>
      </c>
      <c r="C308" s="2" t="s">
        <v>32</v>
      </c>
      <c r="D308" s="483">
        <v>47640</v>
      </c>
      <c r="E308" s="2" t="s">
        <v>331</v>
      </c>
    </row>
    <row r="309" spans="1:5" x14ac:dyDescent="0.3">
      <c r="A309" s="2">
        <v>3601</v>
      </c>
      <c r="B309" s="2" t="s">
        <v>634</v>
      </c>
      <c r="C309" s="2" t="s">
        <v>32</v>
      </c>
      <c r="D309" s="483">
        <v>75378</v>
      </c>
      <c r="E309" s="2" t="s">
        <v>331</v>
      </c>
    </row>
    <row r="310" spans="1:5" x14ac:dyDescent="0.3">
      <c r="A310" s="2">
        <v>3602</v>
      </c>
      <c r="B310" s="2" t="s">
        <v>635</v>
      </c>
      <c r="C310" s="2" t="s">
        <v>32</v>
      </c>
      <c r="D310" s="483">
        <v>108568</v>
      </c>
      <c r="E310" s="2" t="s">
        <v>331</v>
      </c>
    </row>
    <row r="311" spans="1:5" x14ac:dyDescent="0.3">
      <c r="A311" s="2">
        <v>3603</v>
      </c>
      <c r="B311" s="2" t="s">
        <v>636</v>
      </c>
      <c r="C311" s="2" t="s">
        <v>32</v>
      </c>
      <c r="D311" s="483">
        <v>246024</v>
      </c>
      <c r="E311" s="2" t="s">
        <v>331</v>
      </c>
    </row>
    <row r="312" spans="1:5" x14ac:dyDescent="0.3">
      <c r="A312" s="2">
        <v>3604</v>
      </c>
      <c r="B312" s="2" t="s">
        <v>637</v>
      </c>
      <c r="C312" s="2" t="s">
        <v>32</v>
      </c>
      <c r="D312" s="483">
        <v>448435</v>
      </c>
      <c r="E312" s="2" t="s">
        <v>331</v>
      </c>
    </row>
    <row r="313" spans="1:5" x14ac:dyDescent="0.3">
      <c r="A313" s="2">
        <v>3605</v>
      </c>
      <c r="B313" s="2" t="s">
        <v>638</v>
      </c>
      <c r="C313" s="2" t="s">
        <v>32</v>
      </c>
      <c r="D313" s="483">
        <v>807442</v>
      </c>
      <c r="E313" s="2" t="s">
        <v>331</v>
      </c>
    </row>
    <row r="314" spans="1:5" x14ac:dyDescent="0.3">
      <c r="A314" s="2">
        <v>3606</v>
      </c>
      <c r="B314" s="2" t="s">
        <v>639</v>
      </c>
      <c r="C314" s="2" t="s">
        <v>32</v>
      </c>
      <c r="D314" s="483">
        <v>1243245</v>
      </c>
      <c r="E314" s="2" t="s">
        <v>331</v>
      </c>
    </row>
    <row r="315" spans="1:5" x14ac:dyDescent="0.3">
      <c r="A315" s="2">
        <v>3607</v>
      </c>
      <c r="B315" s="2" t="s">
        <v>640</v>
      </c>
      <c r="C315" s="2" t="s">
        <v>32</v>
      </c>
      <c r="D315" s="483">
        <v>31063</v>
      </c>
      <c r="E315" s="2" t="s">
        <v>331</v>
      </c>
    </row>
    <row r="316" spans="1:5" x14ac:dyDescent="0.3">
      <c r="A316" s="2">
        <v>3611</v>
      </c>
      <c r="B316" s="2" t="s">
        <v>641</v>
      </c>
      <c r="C316" s="2" t="s">
        <v>30</v>
      </c>
      <c r="D316" s="483">
        <v>669101</v>
      </c>
      <c r="E316" s="2" t="s">
        <v>331</v>
      </c>
    </row>
    <row r="317" spans="1:5" x14ac:dyDescent="0.3">
      <c r="A317" s="2">
        <v>3618</v>
      </c>
      <c r="B317" s="2" t="s">
        <v>642</v>
      </c>
      <c r="C317" s="2" t="s">
        <v>32</v>
      </c>
      <c r="D317" s="483">
        <v>190788</v>
      </c>
      <c r="E317" s="2" t="s">
        <v>331</v>
      </c>
    </row>
    <row r="318" spans="1:5" x14ac:dyDescent="0.3">
      <c r="A318" s="2">
        <v>3619</v>
      </c>
      <c r="B318" s="2" t="s">
        <v>643</v>
      </c>
      <c r="C318" s="2" t="s">
        <v>32</v>
      </c>
      <c r="D318" s="483">
        <v>130755</v>
      </c>
      <c r="E318" s="2" t="s">
        <v>331</v>
      </c>
    </row>
    <row r="319" spans="1:5" x14ac:dyDescent="0.3">
      <c r="A319" s="2">
        <v>3620</v>
      </c>
      <c r="B319" s="2" t="s">
        <v>644</v>
      </c>
      <c r="C319" s="2" t="s">
        <v>32</v>
      </c>
      <c r="D319" s="483">
        <v>245748</v>
      </c>
      <c r="E319" s="2" t="s">
        <v>331</v>
      </c>
    </row>
    <row r="320" spans="1:5" x14ac:dyDescent="0.3">
      <c r="A320" s="2">
        <v>3621</v>
      </c>
      <c r="B320" s="2" t="s">
        <v>645</v>
      </c>
      <c r="C320" s="2" t="s">
        <v>32</v>
      </c>
      <c r="D320" s="483">
        <v>966133</v>
      </c>
      <c r="E320" s="2" t="s">
        <v>331</v>
      </c>
    </row>
    <row r="321" spans="1:5" x14ac:dyDescent="0.3">
      <c r="A321" s="2">
        <v>3636</v>
      </c>
      <c r="B321" s="2" t="s">
        <v>646</v>
      </c>
      <c r="C321" s="2" t="s">
        <v>30</v>
      </c>
      <c r="D321" s="483">
        <v>1126830</v>
      </c>
      <c r="E321" s="2" t="s">
        <v>331</v>
      </c>
    </row>
    <row r="322" spans="1:5" x14ac:dyDescent="0.3">
      <c r="A322" s="2">
        <v>3639</v>
      </c>
      <c r="B322" s="2" t="s">
        <v>647</v>
      </c>
      <c r="C322" s="2" t="s">
        <v>30</v>
      </c>
      <c r="D322" s="483">
        <v>896409</v>
      </c>
      <c r="E322" s="2" t="s">
        <v>331</v>
      </c>
    </row>
    <row r="323" spans="1:5" x14ac:dyDescent="0.3">
      <c r="A323" s="2">
        <v>3641</v>
      </c>
      <c r="B323" s="2" t="s">
        <v>648</v>
      </c>
      <c r="C323" s="2" t="s">
        <v>30</v>
      </c>
      <c r="D323" s="483">
        <v>963594</v>
      </c>
      <c r="E323" s="2" t="s">
        <v>331</v>
      </c>
    </row>
    <row r="324" spans="1:5" x14ac:dyDescent="0.3">
      <c r="A324" s="2">
        <v>3642</v>
      </c>
      <c r="B324" s="2" t="s">
        <v>649</v>
      </c>
      <c r="C324" s="2" t="s">
        <v>30</v>
      </c>
      <c r="D324" s="483">
        <v>963594</v>
      </c>
      <c r="E324" s="2" t="s">
        <v>331</v>
      </c>
    </row>
    <row r="325" spans="1:5" x14ac:dyDescent="0.3">
      <c r="A325" s="2">
        <v>3643</v>
      </c>
      <c r="B325" s="2" t="s">
        <v>650</v>
      </c>
      <c r="C325" s="2" t="s">
        <v>30</v>
      </c>
      <c r="D325" s="483">
        <v>961167</v>
      </c>
      <c r="E325" s="2" t="s">
        <v>331</v>
      </c>
    </row>
    <row r="326" spans="1:5" x14ac:dyDescent="0.3">
      <c r="A326" s="2">
        <v>3644</v>
      </c>
      <c r="B326" s="2" t="s">
        <v>651</v>
      </c>
      <c r="C326" s="2" t="s">
        <v>30</v>
      </c>
      <c r="D326" s="483">
        <v>1088947</v>
      </c>
      <c r="E326" s="2" t="s">
        <v>331</v>
      </c>
    </row>
    <row r="327" spans="1:5" x14ac:dyDescent="0.3">
      <c r="A327" s="2">
        <v>3645</v>
      </c>
      <c r="B327" s="2" t="s">
        <v>652</v>
      </c>
      <c r="C327" s="2" t="s">
        <v>30</v>
      </c>
      <c r="D327" s="483">
        <v>1025863</v>
      </c>
      <c r="E327" s="2" t="s">
        <v>331</v>
      </c>
    </row>
    <row r="328" spans="1:5" x14ac:dyDescent="0.3">
      <c r="A328" s="2">
        <v>3646</v>
      </c>
      <c r="B328" s="2" t="s">
        <v>653</v>
      </c>
      <c r="C328" s="2" t="s">
        <v>30</v>
      </c>
      <c r="D328" s="483">
        <v>922139</v>
      </c>
      <c r="E328" s="2" t="s">
        <v>331</v>
      </c>
    </row>
    <row r="329" spans="1:5" x14ac:dyDescent="0.3">
      <c r="A329" s="2">
        <v>3647</v>
      </c>
      <c r="B329" s="2" t="s">
        <v>654</v>
      </c>
      <c r="C329" s="2" t="s">
        <v>30</v>
      </c>
      <c r="D329" s="483">
        <v>760568</v>
      </c>
      <c r="E329" s="2" t="s">
        <v>331</v>
      </c>
    </row>
    <row r="330" spans="1:5" x14ac:dyDescent="0.3">
      <c r="A330" s="2">
        <v>3649</v>
      </c>
      <c r="B330" s="2" t="s">
        <v>655</v>
      </c>
      <c r="C330" s="2" t="s">
        <v>30</v>
      </c>
      <c r="D330" s="483">
        <v>466608</v>
      </c>
      <c r="E330" s="2" t="s">
        <v>331</v>
      </c>
    </row>
    <row r="331" spans="1:5" x14ac:dyDescent="0.3">
      <c r="A331" s="2">
        <v>3650</v>
      </c>
      <c r="B331" s="2" t="s">
        <v>656</v>
      </c>
      <c r="C331" s="2" t="s">
        <v>30</v>
      </c>
      <c r="D331" s="483">
        <v>428005</v>
      </c>
      <c r="E331" s="2" t="s">
        <v>331</v>
      </c>
    </row>
    <row r="332" spans="1:5" x14ac:dyDescent="0.3">
      <c r="A332" s="2">
        <v>3652</v>
      </c>
      <c r="B332" s="2" t="s">
        <v>657</v>
      </c>
      <c r="C332" s="2" t="s">
        <v>32</v>
      </c>
      <c r="D332" s="483">
        <v>4793225</v>
      </c>
      <c r="E332" s="2" t="s">
        <v>331</v>
      </c>
    </row>
    <row r="333" spans="1:5" x14ac:dyDescent="0.3">
      <c r="A333" s="2">
        <v>3653</v>
      </c>
      <c r="B333" s="2" t="s">
        <v>658</v>
      </c>
      <c r="C333" s="2" t="s">
        <v>32</v>
      </c>
      <c r="D333" s="483">
        <v>6604468</v>
      </c>
      <c r="E333" s="2" t="s">
        <v>331</v>
      </c>
    </row>
    <row r="334" spans="1:5" x14ac:dyDescent="0.3">
      <c r="A334" s="2">
        <v>3654</v>
      </c>
      <c r="B334" s="2" t="s">
        <v>659</v>
      </c>
      <c r="C334" s="2" t="s">
        <v>32</v>
      </c>
      <c r="D334" s="483">
        <v>4525546</v>
      </c>
      <c r="E334" s="2" t="s">
        <v>331</v>
      </c>
    </row>
    <row r="335" spans="1:5" x14ac:dyDescent="0.3">
      <c r="A335" s="2">
        <v>3655</v>
      </c>
      <c r="B335" s="2" t="s">
        <v>660</v>
      </c>
      <c r="C335" s="2" t="s">
        <v>32</v>
      </c>
      <c r="D335" s="483">
        <v>8091262</v>
      </c>
      <c r="E335" s="2" t="s">
        <v>331</v>
      </c>
    </row>
    <row r="336" spans="1:5" x14ac:dyDescent="0.3">
      <c r="A336" s="2">
        <v>3665</v>
      </c>
      <c r="B336" s="2" t="s">
        <v>661</v>
      </c>
      <c r="C336" s="2" t="s">
        <v>30</v>
      </c>
      <c r="D336" s="483">
        <v>419290</v>
      </c>
      <c r="E336" s="2" t="s">
        <v>331</v>
      </c>
    </row>
    <row r="337" spans="1:5" x14ac:dyDescent="0.3">
      <c r="A337" s="2">
        <v>3684</v>
      </c>
      <c r="B337" s="2" t="s">
        <v>662</v>
      </c>
      <c r="C337" s="2" t="s">
        <v>32</v>
      </c>
      <c r="D337" s="483">
        <v>195352</v>
      </c>
      <c r="E337" s="2" t="s">
        <v>331</v>
      </c>
    </row>
    <row r="338" spans="1:5" x14ac:dyDescent="0.3">
      <c r="A338" s="2">
        <v>3685</v>
      </c>
      <c r="B338" s="2" t="s">
        <v>663</v>
      </c>
      <c r="C338" s="2" t="s">
        <v>32</v>
      </c>
      <c r="D338" s="483">
        <v>655991</v>
      </c>
      <c r="E338" s="2" t="s">
        <v>331</v>
      </c>
    </row>
    <row r="339" spans="1:5" x14ac:dyDescent="0.3">
      <c r="A339" s="2">
        <v>3687</v>
      </c>
      <c r="B339" s="2" t="s">
        <v>664</v>
      </c>
      <c r="C339" s="2" t="s">
        <v>32</v>
      </c>
      <c r="D339" s="483">
        <v>264155</v>
      </c>
      <c r="E339" s="2" t="s">
        <v>331</v>
      </c>
    </row>
    <row r="340" spans="1:5" x14ac:dyDescent="0.3">
      <c r="A340" s="2">
        <v>3688</v>
      </c>
      <c r="B340" s="2" t="s">
        <v>665</v>
      </c>
      <c r="C340" s="2" t="s">
        <v>32</v>
      </c>
      <c r="D340" s="483">
        <v>59926</v>
      </c>
      <c r="E340" s="2" t="s">
        <v>331</v>
      </c>
    </row>
    <row r="341" spans="1:5" x14ac:dyDescent="0.3">
      <c r="A341" s="2">
        <v>3689</v>
      </c>
      <c r="B341" s="2" t="s">
        <v>666</v>
      </c>
      <c r="C341" s="2" t="s">
        <v>30</v>
      </c>
      <c r="D341" s="483">
        <v>140285</v>
      </c>
      <c r="E341" s="2" t="s">
        <v>331</v>
      </c>
    </row>
    <row r="342" spans="1:5" x14ac:dyDescent="0.3">
      <c r="A342" s="2">
        <v>3696</v>
      </c>
      <c r="B342" s="2" t="s">
        <v>667</v>
      </c>
      <c r="C342" s="2" t="s">
        <v>21</v>
      </c>
      <c r="D342" s="483">
        <v>92130</v>
      </c>
      <c r="E342" s="2" t="s">
        <v>331</v>
      </c>
    </row>
    <row r="343" spans="1:5" x14ac:dyDescent="0.3">
      <c r="A343" s="2">
        <v>3704</v>
      </c>
      <c r="B343" s="2" t="s">
        <v>668</v>
      </c>
      <c r="C343" s="2" t="s">
        <v>328</v>
      </c>
      <c r="D343" s="483">
        <v>282912</v>
      </c>
      <c r="E343" s="2" t="s">
        <v>331</v>
      </c>
    </row>
    <row r="344" spans="1:5" x14ac:dyDescent="0.3">
      <c r="A344" s="2">
        <v>3708</v>
      </c>
      <c r="B344" s="2" t="s">
        <v>669</v>
      </c>
      <c r="C344" s="2" t="s">
        <v>670</v>
      </c>
      <c r="D344" s="483">
        <v>5591</v>
      </c>
      <c r="E344" s="2" t="s">
        <v>331</v>
      </c>
    </row>
    <row r="345" spans="1:5" x14ac:dyDescent="0.3">
      <c r="A345" s="2">
        <v>3710</v>
      </c>
      <c r="B345" s="2" t="s">
        <v>671</v>
      </c>
      <c r="C345" s="2" t="s">
        <v>30</v>
      </c>
      <c r="D345" s="483">
        <v>5741</v>
      </c>
      <c r="E345" s="2" t="s">
        <v>331</v>
      </c>
    </row>
    <row r="346" spans="1:5" x14ac:dyDescent="0.3">
      <c r="A346" s="2">
        <v>3712</v>
      </c>
      <c r="B346" s="2" t="s">
        <v>672</v>
      </c>
      <c r="C346" s="2" t="s">
        <v>32</v>
      </c>
      <c r="D346" s="483">
        <v>5074043</v>
      </c>
      <c r="E346" s="2" t="s">
        <v>331</v>
      </c>
    </row>
    <row r="347" spans="1:5" x14ac:dyDescent="0.3">
      <c r="A347" s="2">
        <v>3716</v>
      </c>
      <c r="B347" s="2" t="s">
        <v>673</v>
      </c>
      <c r="C347" s="2" t="s">
        <v>32</v>
      </c>
      <c r="D347" s="483">
        <v>1685619</v>
      </c>
      <c r="E347" s="2" t="s">
        <v>331</v>
      </c>
    </row>
    <row r="348" spans="1:5" x14ac:dyDescent="0.3">
      <c r="A348" s="2">
        <v>3721</v>
      </c>
      <c r="B348" s="2" t="s">
        <v>674</v>
      </c>
      <c r="C348" s="2" t="s">
        <v>21</v>
      </c>
      <c r="D348" s="483">
        <v>32342</v>
      </c>
      <c r="E348" s="2" t="s">
        <v>324</v>
      </c>
    </row>
    <row r="349" spans="1:5" x14ac:dyDescent="0.3">
      <c r="A349" s="2">
        <v>3722</v>
      </c>
      <c r="B349" s="2" t="s">
        <v>675</v>
      </c>
      <c r="C349" s="2" t="s">
        <v>32</v>
      </c>
      <c r="D349" s="483">
        <v>135984</v>
      </c>
      <c r="E349" s="2" t="s">
        <v>331</v>
      </c>
    </row>
    <row r="350" spans="1:5" x14ac:dyDescent="0.3">
      <c r="A350" s="2">
        <v>3723</v>
      </c>
      <c r="B350" s="2" t="s">
        <v>676</v>
      </c>
      <c r="C350" s="2" t="s">
        <v>32</v>
      </c>
      <c r="D350" s="483">
        <v>104695</v>
      </c>
      <c r="E350" s="2" t="s">
        <v>331</v>
      </c>
    </row>
    <row r="351" spans="1:5" x14ac:dyDescent="0.3">
      <c r="A351" s="2">
        <v>3724</v>
      </c>
      <c r="B351" s="2" t="s">
        <v>677</v>
      </c>
      <c r="C351" s="2" t="s">
        <v>32</v>
      </c>
      <c r="D351" s="483">
        <v>104695</v>
      </c>
      <c r="E351" s="2" t="s">
        <v>331</v>
      </c>
    </row>
    <row r="352" spans="1:5" x14ac:dyDescent="0.3">
      <c r="A352" s="2">
        <v>3727</v>
      </c>
      <c r="B352" s="2" t="s">
        <v>678</v>
      </c>
      <c r="C352" s="2" t="s">
        <v>328</v>
      </c>
      <c r="D352" s="483">
        <v>7802</v>
      </c>
      <c r="E352" s="2" t="s">
        <v>331</v>
      </c>
    </row>
    <row r="353" spans="1:5" x14ac:dyDescent="0.3">
      <c r="A353" s="2">
        <v>3729</v>
      </c>
      <c r="B353" s="2" t="s">
        <v>679</v>
      </c>
      <c r="C353" s="2" t="s">
        <v>30</v>
      </c>
      <c r="D353" s="483">
        <v>609612</v>
      </c>
      <c r="E353" s="2" t="s">
        <v>331</v>
      </c>
    </row>
    <row r="354" spans="1:5" x14ac:dyDescent="0.3">
      <c r="A354" s="2">
        <v>3730</v>
      </c>
      <c r="B354" s="2" t="s">
        <v>680</v>
      </c>
      <c r="C354" s="2" t="s">
        <v>30</v>
      </c>
      <c r="D354" s="483">
        <v>643811</v>
      </c>
      <c r="E354" s="2" t="s">
        <v>331</v>
      </c>
    </row>
    <row r="355" spans="1:5" x14ac:dyDescent="0.3">
      <c r="A355" s="2">
        <v>3733</v>
      </c>
      <c r="B355" s="2" t="s">
        <v>681</v>
      </c>
      <c r="C355" s="2" t="s">
        <v>328</v>
      </c>
      <c r="D355" s="483">
        <v>2232467</v>
      </c>
      <c r="E355" s="2" t="s">
        <v>331</v>
      </c>
    </row>
    <row r="356" spans="1:5" x14ac:dyDescent="0.3">
      <c r="A356" s="2">
        <v>3735</v>
      </c>
      <c r="B356" s="2" t="s">
        <v>682</v>
      </c>
      <c r="C356" s="2" t="s">
        <v>328</v>
      </c>
      <c r="D356" s="483">
        <v>2625</v>
      </c>
      <c r="E356" s="2" t="s">
        <v>324</v>
      </c>
    </row>
    <row r="357" spans="1:5" x14ac:dyDescent="0.3">
      <c r="A357" s="2">
        <v>3745</v>
      </c>
      <c r="B357" s="2" t="s">
        <v>683</v>
      </c>
      <c r="C357" s="2" t="s">
        <v>21</v>
      </c>
      <c r="D357" s="483">
        <v>108842</v>
      </c>
      <c r="E357" s="2" t="s">
        <v>331</v>
      </c>
    </row>
    <row r="358" spans="1:5" x14ac:dyDescent="0.3">
      <c r="A358" s="2">
        <v>3748</v>
      </c>
      <c r="B358" s="2" t="s">
        <v>684</v>
      </c>
      <c r="C358" s="2" t="s">
        <v>30</v>
      </c>
      <c r="D358" s="483">
        <v>931131</v>
      </c>
      <c r="E358" s="2" t="s">
        <v>331</v>
      </c>
    </row>
    <row r="359" spans="1:5" x14ac:dyDescent="0.3">
      <c r="A359" s="2">
        <v>3749</v>
      </c>
      <c r="B359" s="2" t="s">
        <v>685</v>
      </c>
      <c r="C359" s="2" t="s">
        <v>30</v>
      </c>
      <c r="D359" s="483">
        <v>967796</v>
      </c>
      <c r="E359" s="2" t="s">
        <v>331</v>
      </c>
    </row>
    <row r="360" spans="1:5" x14ac:dyDescent="0.3">
      <c r="A360" s="2">
        <v>3751</v>
      </c>
      <c r="B360" s="2" t="s">
        <v>686</v>
      </c>
      <c r="C360" s="2" t="s">
        <v>328</v>
      </c>
      <c r="D360" s="483">
        <v>79194</v>
      </c>
      <c r="E360" s="2" t="s">
        <v>331</v>
      </c>
    </row>
    <row r="361" spans="1:5" x14ac:dyDescent="0.3">
      <c r="A361" s="2">
        <v>3753</v>
      </c>
      <c r="B361" s="2" t="s">
        <v>687</v>
      </c>
      <c r="C361" s="2" t="s">
        <v>328</v>
      </c>
      <c r="D361" s="483">
        <v>30678</v>
      </c>
      <c r="E361" s="2" t="s">
        <v>331</v>
      </c>
    </row>
    <row r="362" spans="1:5" x14ac:dyDescent="0.3">
      <c r="A362" s="2">
        <v>3758</v>
      </c>
      <c r="B362" s="2" t="s">
        <v>688</v>
      </c>
      <c r="C362" s="2" t="s">
        <v>328</v>
      </c>
      <c r="D362" s="483">
        <v>441663</v>
      </c>
      <c r="E362" s="2" t="s">
        <v>331</v>
      </c>
    </row>
    <row r="363" spans="1:5" x14ac:dyDescent="0.3">
      <c r="A363" s="2">
        <v>3760</v>
      </c>
      <c r="B363" s="2" t="s">
        <v>689</v>
      </c>
      <c r="C363" s="2" t="s">
        <v>328</v>
      </c>
      <c r="D363" s="483">
        <v>535463</v>
      </c>
      <c r="E363" s="2" t="s">
        <v>331</v>
      </c>
    </row>
    <row r="364" spans="1:5" x14ac:dyDescent="0.3">
      <c r="A364" s="2">
        <v>3761</v>
      </c>
      <c r="B364" s="2" t="s">
        <v>690</v>
      </c>
      <c r="C364" s="2" t="s">
        <v>328</v>
      </c>
      <c r="D364" s="483">
        <v>647628</v>
      </c>
      <c r="E364" s="2" t="s">
        <v>331</v>
      </c>
    </row>
    <row r="365" spans="1:5" x14ac:dyDescent="0.3">
      <c r="A365" s="2">
        <v>3770</v>
      </c>
      <c r="B365" s="2" t="s">
        <v>691</v>
      </c>
      <c r="C365" s="2" t="s">
        <v>692</v>
      </c>
      <c r="D365" s="483">
        <v>590226</v>
      </c>
      <c r="E365" s="2" t="s">
        <v>324</v>
      </c>
    </row>
    <row r="366" spans="1:5" x14ac:dyDescent="0.3">
      <c r="A366" s="2">
        <v>3776</v>
      </c>
      <c r="B366" s="2" t="s">
        <v>693</v>
      </c>
      <c r="C366" s="2" t="s">
        <v>21</v>
      </c>
      <c r="D366" s="483">
        <v>46594</v>
      </c>
      <c r="E366" s="2" t="s">
        <v>324</v>
      </c>
    </row>
    <row r="367" spans="1:5" x14ac:dyDescent="0.3">
      <c r="A367" s="2">
        <v>3777</v>
      </c>
      <c r="B367" s="2" t="s">
        <v>694</v>
      </c>
      <c r="C367" s="2" t="s">
        <v>32</v>
      </c>
      <c r="D367" s="483">
        <v>367794</v>
      </c>
      <c r="E367" s="2" t="s">
        <v>331</v>
      </c>
    </row>
    <row r="368" spans="1:5" x14ac:dyDescent="0.3">
      <c r="A368" s="2">
        <v>3779</v>
      </c>
      <c r="B368" s="2" t="s">
        <v>695</v>
      </c>
      <c r="C368" s="2" t="s">
        <v>32</v>
      </c>
      <c r="D368" s="483">
        <v>525103</v>
      </c>
      <c r="E368" s="2" t="s">
        <v>331</v>
      </c>
    </row>
    <row r="369" spans="1:5" x14ac:dyDescent="0.3">
      <c r="A369" s="2">
        <v>3780</v>
      </c>
      <c r="B369" s="2" t="s">
        <v>696</v>
      </c>
      <c r="C369" s="2" t="s">
        <v>328</v>
      </c>
      <c r="D369" s="483">
        <v>92100</v>
      </c>
      <c r="E369" s="2" t="s">
        <v>331</v>
      </c>
    </row>
    <row r="370" spans="1:5" x14ac:dyDescent="0.3">
      <c r="A370" s="2">
        <v>3784</v>
      </c>
      <c r="B370" s="2" t="s">
        <v>697</v>
      </c>
      <c r="C370" s="2" t="s">
        <v>328</v>
      </c>
      <c r="D370" s="483">
        <v>34992</v>
      </c>
      <c r="E370" s="2" t="s">
        <v>331</v>
      </c>
    </row>
    <row r="371" spans="1:5" x14ac:dyDescent="0.3">
      <c r="A371" s="2">
        <v>3787</v>
      </c>
      <c r="B371" s="2" t="s">
        <v>698</v>
      </c>
      <c r="C371" s="2" t="s">
        <v>328</v>
      </c>
      <c r="D371" s="483">
        <v>28244</v>
      </c>
      <c r="E371" s="2" t="s">
        <v>331</v>
      </c>
    </row>
    <row r="372" spans="1:5" x14ac:dyDescent="0.3">
      <c r="A372" s="2">
        <v>3795</v>
      </c>
      <c r="B372" s="2" t="s">
        <v>699</v>
      </c>
      <c r="C372" s="2" t="s">
        <v>328</v>
      </c>
      <c r="D372" s="483">
        <v>244066</v>
      </c>
      <c r="E372" s="2" t="s">
        <v>331</v>
      </c>
    </row>
    <row r="373" spans="1:5" x14ac:dyDescent="0.3">
      <c r="A373" s="2">
        <v>3796</v>
      </c>
      <c r="B373" s="2" t="s">
        <v>700</v>
      </c>
      <c r="C373" s="2" t="s">
        <v>328</v>
      </c>
      <c r="D373" s="483">
        <v>366380</v>
      </c>
      <c r="E373" s="2" t="s">
        <v>331</v>
      </c>
    </row>
    <row r="374" spans="1:5" x14ac:dyDescent="0.3">
      <c r="A374" s="2">
        <v>3797</v>
      </c>
      <c r="B374" s="2" t="s">
        <v>701</v>
      </c>
      <c r="C374" s="2" t="s">
        <v>328</v>
      </c>
      <c r="D374" s="483">
        <v>486432</v>
      </c>
      <c r="E374" s="2" t="s">
        <v>331</v>
      </c>
    </row>
    <row r="375" spans="1:5" x14ac:dyDescent="0.3">
      <c r="A375" s="2">
        <v>3798</v>
      </c>
      <c r="B375" s="2" t="s">
        <v>702</v>
      </c>
      <c r="C375" s="2" t="s">
        <v>328</v>
      </c>
      <c r="D375" s="483">
        <v>728278</v>
      </c>
      <c r="E375" s="2" t="s">
        <v>331</v>
      </c>
    </row>
    <row r="376" spans="1:5" x14ac:dyDescent="0.3">
      <c r="A376" s="2">
        <v>3800</v>
      </c>
      <c r="B376" s="2" t="s">
        <v>703</v>
      </c>
      <c r="C376" s="2" t="s">
        <v>21</v>
      </c>
      <c r="D376" s="483">
        <v>1757</v>
      </c>
      <c r="E376" s="2" t="s">
        <v>331</v>
      </c>
    </row>
    <row r="377" spans="1:5" x14ac:dyDescent="0.3">
      <c r="A377" s="2">
        <v>3806</v>
      </c>
      <c r="B377" s="2" t="s">
        <v>704</v>
      </c>
      <c r="C377" s="2" t="s">
        <v>21</v>
      </c>
      <c r="D377" s="483">
        <v>2554</v>
      </c>
      <c r="E377" s="2" t="s">
        <v>324</v>
      </c>
    </row>
    <row r="378" spans="1:5" x14ac:dyDescent="0.3">
      <c r="A378" s="2">
        <v>3811</v>
      </c>
      <c r="B378" s="2" t="s">
        <v>705</v>
      </c>
      <c r="C378" s="2" t="s">
        <v>328</v>
      </c>
      <c r="D378" s="483">
        <v>2659</v>
      </c>
      <c r="E378" s="2" t="s">
        <v>331</v>
      </c>
    </row>
    <row r="379" spans="1:5" x14ac:dyDescent="0.3">
      <c r="A379" s="2">
        <v>3819</v>
      </c>
      <c r="B379" s="2" t="s">
        <v>706</v>
      </c>
      <c r="C379" s="2" t="s">
        <v>328</v>
      </c>
      <c r="D379" s="483">
        <v>5774</v>
      </c>
      <c r="E379" s="2" t="s">
        <v>324</v>
      </c>
    </row>
    <row r="380" spans="1:5" x14ac:dyDescent="0.3">
      <c r="A380" s="2">
        <v>3837</v>
      </c>
      <c r="B380" s="2" t="s">
        <v>707</v>
      </c>
      <c r="C380" s="2" t="s">
        <v>328</v>
      </c>
      <c r="D380" s="483">
        <v>13778</v>
      </c>
      <c r="E380" s="2" t="s">
        <v>324</v>
      </c>
    </row>
    <row r="381" spans="1:5" x14ac:dyDescent="0.3">
      <c r="A381" s="2">
        <v>3841</v>
      </c>
      <c r="B381" s="2" t="s">
        <v>708</v>
      </c>
      <c r="C381" s="2" t="s">
        <v>30</v>
      </c>
      <c r="D381" s="483">
        <v>1341971</v>
      </c>
      <c r="E381" s="2" t="s">
        <v>331</v>
      </c>
    </row>
    <row r="382" spans="1:5" x14ac:dyDescent="0.3">
      <c r="A382" s="2">
        <v>3847</v>
      </c>
      <c r="B382" s="2" t="s">
        <v>709</v>
      </c>
      <c r="C382" s="2" t="s">
        <v>30</v>
      </c>
      <c r="D382" s="483">
        <v>156076</v>
      </c>
      <c r="E382" s="2" t="s">
        <v>331</v>
      </c>
    </row>
    <row r="383" spans="1:5" x14ac:dyDescent="0.3">
      <c r="A383" s="2">
        <v>3851</v>
      </c>
      <c r="B383" s="2" t="s">
        <v>710</v>
      </c>
      <c r="C383" s="2" t="s">
        <v>30</v>
      </c>
      <c r="D383" s="483">
        <v>112543</v>
      </c>
      <c r="E383" s="2" t="s">
        <v>331</v>
      </c>
    </row>
    <row r="384" spans="1:5" x14ac:dyDescent="0.3">
      <c r="A384" s="2">
        <v>3864</v>
      </c>
      <c r="B384" s="2" t="s">
        <v>711</v>
      </c>
      <c r="C384" s="2" t="s">
        <v>21</v>
      </c>
      <c r="D384" s="483">
        <v>3189</v>
      </c>
      <c r="E384" s="2" t="s">
        <v>331</v>
      </c>
    </row>
    <row r="385" spans="1:5" x14ac:dyDescent="0.3">
      <c r="A385" s="2">
        <v>3866</v>
      </c>
      <c r="B385" s="2" t="s">
        <v>712</v>
      </c>
      <c r="C385" s="2" t="s">
        <v>21</v>
      </c>
      <c r="D385" s="483">
        <v>3605</v>
      </c>
      <c r="E385" s="2" t="s">
        <v>331</v>
      </c>
    </row>
    <row r="386" spans="1:5" x14ac:dyDescent="0.3">
      <c r="A386" s="2">
        <v>3867</v>
      </c>
      <c r="B386" s="2" t="s">
        <v>713</v>
      </c>
      <c r="C386" s="2" t="s">
        <v>21</v>
      </c>
      <c r="D386" s="483">
        <v>3885</v>
      </c>
      <c r="E386" s="2" t="s">
        <v>331</v>
      </c>
    </row>
    <row r="387" spans="1:5" x14ac:dyDescent="0.3">
      <c r="A387" s="2">
        <v>3872</v>
      </c>
      <c r="B387" s="2" t="s">
        <v>714</v>
      </c>
      <c r="C387" s="2" t="s">
        <v>328</v>
      </c>
      <c r="D387" s="483">
        <v>2505</v>
      </c>
      <c r="E387" s="2" t="s">
        <v>367</v>
      </c>
    </row>
    <row r="388" spans="1:5" x14ac:dyDescent="0.3">
      <c r="A388" s="2">
        <v>3873</v>
      </c>
      <c r="B388" s="2" t="s">
        <v>715</v>
      </c>
      <c r="C388" s="2" t="s">
        <v>30</v>
      </c>
      <c r="D388" s="483">
        <v>354142</v>
      </c>
      <c r="E388" s="2" t="s">
        <v>331</v>
      </c>
    </row>
    <row r="389" spans="1:5" x14ac:dyDescent="0.3">
      <c r="A389" s="2">
        <v>3874</v>
      </c>
      <c r="B389" s="2" t="s">
        <v>716</v>
      </c>
      <c r="C389" s="2" t="s">
        <v>30</v>
      </c>
      <c r="D389" s="483">
        <v>367077</v>
      </c>
      <c r="E389" s="2" t="s">
        <v>331</v>
      </c>
    </row>
    <row r="390" spans="1:5" x14ac:dyDescent="0.3">
      <c r="A390" s="2">
        <v>3875</v>
      </c>
      <c r="B390" s="2" t="s">
        <v>717</v>
      </c>
      <c r="C390" s="2" t="s">
        <v>30</v>
      </c>
      <c r="D390" s="483">
        <v>555093</v>
      </c>
      <c r="E390" s="2" t="s">
        <v>331</v>
      </c>
    </row>
    <row r="391" spans="1:5" x14ac:dyDescent="0.3">
      <c r="A391" s="2">
        <v>3876</v>
      </c>
      <c r="B391" s="2" t="s">
        <v>718</v>
      </c>
      <c r="C391" s="2" t="s">
        <v>328</v>
      </c>
      <c r="D391" s="483">
        <v>185861</v>
      </c>
      <c r="E391" s="2" t="s">
        <v>331</v>
      </c>
    </row>
    <row r="392" spans="1:5" x14ac:dyDescent="0.3">
      <c r="A392" s="2">
        <v>3877</v>
      </c>
      <c r="B392" s="2" t="s">
        <v>719</v>
      </c>
      <c r="C392" s="2" t="s">
        <v>328</v>
      </c>
      <c r="D392" s="483">
        <v>284810</v>
      </c>
      <c r="E392" s="2" t="s">
        <v>331</v>
      </c>
    </row>
    <row r="393" spans="1:5" x14ac:dyDescent="0.3">
      <c r="A393" s="2">
        <v>3878</v>
      </c>
      <c r="B393" s="2" t="s">
        <v>720</v>
      </c>
      <c r="C393" s="2" t="s">
        <v>32</v>
      </c>
      <c r="D393" s="483">
        <v>1895915</v>
      </c>
      <c r="E393" s="2" t="s">
        <v>331</v>
      </c>
    </row>
    <row r="394" spans="1:5" x14ac:dyDescent="0.3">
      <c r="A394" s="2">
        <v>3879</v>
      </c>
      <c r="B394" s="2" t="s">
        <v>721</v>
      </c>
      <c r="C394" s="2" t="s">
        <v>32</v>
      </c>
      <c r="D394" s="483">
        <v>1127434</v>
      </c>
      <c r="E394" s="2" t="s">
        <v>331</v>
      </c>
    </row>
    <row r="395" spans="1:5" x14ac:dyDescent="0.3">
      <c r="A395" s="2">
        <v>3880</v>
      </c>
      <c r="B395" s="2" t="s">
        <v>722</v>
      </c>
      <c r="C395" s="2" t="s">
        <v>32</v>
      </c>
      <c r="D395" s="483">
        <v>947973</v>
      </c>
      <c r="E395" s="2" t="s">
        <v>331</v>
      </c>
    </row>
    <row r="396" spans="1:5" x14ac:dyDescent="0.3">
      <c r="A396" s="2">
        <v>3881</v>
      </c>
      <c r="B396" s="2" t="s">
        <v>723</v>
      </c>
      <c r="C396" s="2" t="s">
        <v>32</v>
      </c>
      <c r="D396" s="483">
        <v>702015</v>
      </c>
      <c r="E396" s="2" t="s">
        <v>331</v>
      </c>
    </row>
    <row r="397" spans="1:5" x14ac:dyDescent="0.3">
      <c r="A397" s="2">
        <v>3882</v>
      </c>
      <c r="B397" s="2" t="s">
        <v>724</v>
      </c>
      <c r="C397" s="2" t="s">
        <v>32</v>
      </c>
      <c r="D397" s="483">
        <v>3063053</v>
      </c>
      <c r="E397" s="2" t="s">
        <v>331</v>
      </c>
    </row>
    <row r="398" spans="1:5" x14ac:dyDescent="0.3">
      <c r="A398" s="2">
        <v>3883</v>
      </c>
      <c r="B398" s="2" t="s">
        <v>725</v>
      </c>
      <c r="C398" s="2" t="s">
        <v>32</v>
      </c>
      <c r="D398" s="483">
        <v>4191191</v>
      </c>
      <c r="E398" s="2" t="s">
        <v>331</v>
      </c>
    </row>
    <row r="399" spans="1:5" x14ac:dyDescent="0.3">
      <c r="A399" s="2">
        <v>3884</v>
      </c>
      <c r="B399" s="2" t="s">
        <v>726</v>
      </c>
      <c r="C399" s="2" t="s">
        <v>32</v>
      </c>
      <c r="D399" s="483">
        <v>3789269</v>
      </c>
      <c r="E399" s="2" t="s">
        <v>331</v>
      </c>
    </row>
    <row r="400" spans="1:5" x14ac:dyDescent="0.3">
      <c r="A400" s="2">
        <v>3885</v>
      </c>
      <c r="B400" s="2" t="s">
        <v>727</v>
      </c>
      <c r="C400" s="2" t="s">
        <v>32</v>
      </c>
      <c r="D400" s="483">
        <v>4761480</v>
      </c>
      <c r="E400" s="2" t="s">
        <v>331</v>
      </c>
    </row>
    <row r="401" spans="1:5" x14ac:dyDescent="0.3">
      <c r="A401" s="2">
        <v>3886</v>
      </c>
      <c r="B401" s="2" t="s">
        <v>728</v>
      </c>
      <c r="C401" s="2" t="s">
        <v>32</v>
      </c>
      <c r="D401" s="483">
        <v>4668189</v>
      </c>
      <c r="E401" s="2" t="s">
        <v>331</v>
      </c>
    </row>
    <row r="402" spans="1:5" x14ac:dyDescent="0.3">
      <c r="A402" s="2">
        <v>3887</v>
      </c>
      <c r="B402" s="2" t="s">
        <v>729</v>
      </c>
      <c r="C402" s="2" t="s">
        <v>32</v>
      </c>
      <c r="D402" s="483">
        <v>5089246</v>
      </c>
      <c r="E402" s="2" t="s">
        <v>331</v>
      </c>
    </row>
    <row r="403" spans="1:5" x14ac:dyDescent="0.3">
      <c r="A403" s="2">
        <v>3888</v>
      </c>
      <c r="B403" s="2" t="s">
        <v>730</v>
      </c>
      <c r="C403" s="2" t="s">
        <v>32</v>
      </c>
      <c r="D403" s="483">
        <v>5196419</v>
      </c>
      <c r="E403" s="2" t="s">
        <v>331</v>
      </c>
    </row>
    <row r="404" spans="1:5" x14ac:dyDescent="0.3">
      <c r="A404" s="2">
        <v>3889</v>
      </c>
      <c r="B404" s="2" t="s">
        <v>731</v>
      </c>
      <c r="C404" s="2" t="s">
        <v>32</v>
      </c>
      <c r="D404" s="483">
        <v>3174721</v>
      </c>
      <c r="E404" s="2" t="s">
        <v>331</v>
      </c>
    </row>
    <row r="405" spans="1:5" x14ac:dyDescent="0.3">
      <c r="A405" s="2">
        <v>3890</v>
      </c>
      <c r="B405" s="2" t="s">
        <v>732</v>
      </c>
      <c r="C405" s="2" t="s">
        <v>32</v>
      </c>
      <c r="D405" s="483">
        <v>3231639</v>
      </c>
      <c r="E405" s="2" t="s">
        <v>331</v>
      </c>
    </row>
    <row r="406" spans="1:5" x14ac:dyDescent="0.3">
      <c r="A406" s="2">
        <v>3891</v>
      </c>
      <c r="B406" s="2" t="s">
        <v>733</v>
      </c>
      <c r="C406" s="2" t="s">
        <v>32</v>
      </c>
      <c r="D406" s="483">
        <v>4101787</v>
      </c>
      <c r="E406" s="2" t="s">
        <v>331</v>
      </c>
    </row>
    <row r="407" spans="1:5" x14ac:dyDescent="0.3">
      <c r="A407" s="2">
        <v>3892</v>
      </c>
      <c r="B407" s="2" t="s">
        <v>734</v>
      </c>
      <c r="C407" s="2" t="s">
        <v>32</v>
      </c>
      <c r="D407" s="483">
        <v>5025200</v>
      </c>
      <c r="E407" s="2" t="s">
        <v>331</v>
      </c>
    </row>
    <row r="408" spans="1:5" x14ac:dyDescent="0.3">
      <c r="A408" s="2">
        <v>3893</v>
      </c>
      <c r="B408" s="2" t="s">
        <v>735</v>
      </c>
      <c r="C408" s="2" t="s">
        <v>32</v>
      </c>
      <c r="D408" s="483">
        <v>5132373</v>
      </c>
      <c r="E408" s="2" t="s">
        <v>331</v>
      </c>
    </row>
    <row r="409" spans="1:5" x14ac:dyDescent="0.3">
      <c r="A409" s="2">
        <v>3894</v>
      </c>
      <c r="B409" s="2" t="s">
        <v>736</v>
      </c>
      <c r="C409" s="2" t="s">
        <v>32</v>
      </c>
      <c r="D409" s="483">
        <v>5527940</v>
      </c>
      <c r="E409" s="2" t="s">
        <v>331</v>
      </c>
    </row>
    <row r="410" spans="1:5" x14ac:dyDescent="0.3">
      <c r="A410" s="2">
        <v>3895</v>
      </c>
      <c r="B410" s="2" t="s">
        <v>737</v>
      </c>
      <c r="C410" s="2" t="s">
        <v>32</v>
      </c>
      <c r="D410" s="483">
        <v>5648989</v>
      </c>
      <c r="E410" s="2" t="s">
        <v>331</v>
      </c>
    </row>
    <row r="411" spans="1:5" x14ac:dyDescent="0.3">
      <c r="A411" s="2">
        <v>3896</v>
      </c>
      <c r="B411" s="2" t="s">
        <v>738</v>
      </c>
      <c r="C411" s="2" t="s">
        <v>32</v>
      </c>
      <c r="D411" s="483">
        <v>3864790</v>
      </c>
      <c r="E411" s="2" t="s">
        <v>331</v>
      </c>
    </row>
    <row r="412" spans="1:5" x14ac:dyDescent="0.3">
      <c r="A412" s="2">
        <v>3897</v>
      </c>
      <c r="B412" s="2" t="s">
        <v>739</v>
      </c>
      <c r="C412" s="2" t="s">
        <v>32</v>
      </c>
      <c r="D412" s="483">
        <v>6733526</v>
      </c>
      <c r="E412" s="2" t="s">
        <v>331</v>
      </c>
    </row>
    <row r="413" spans="1:5" x14ac:dyDescent="0.3">
      <c r="A413" s="2">
        <v>3898</v>
      </c>
      <c r="B413" s="2" t="s">
        <v>740</v>
      </c>
      <c r="C413" s="2" t="s">
        <v>32</v>
      </c>
      <c r="D413" s="483">
        <v>8006243</v>
      </c>
      <c r="E413" s="2" t="s">
        <v>331</v>
      </c>
    </row>
    <row r="414" spans="1:5" x14ac:dyDescent="0.3">
      <c r="A414" s="2">
        <v>3899</v>
      </c>
      <c r="B414" s="2" t="s">
        <v>741</v>
      </c>
      <c r="C414" s="2" t="s">
        <v>32</v>
      </c>
      <c r="D414" s="483">
        <v>9240903</v>
      </c>
      <c r="E414" s="2" t="s">
        <v>331</v>
      </c>
    </row>
    <row r="415" spans="1:5" x14ac:dyDescent="0.3">
      <c r="A415" s="2">
        <v>3900</v>
      </c>
      <c r="B415" s="2" t="s">
        <v>742</v>
      </c>
      <c r="C415" s="2" t="s">
        <v>328</v>
      </c>
      <c r="D415" s="483">
        <v>2276482</v>
      </c>
      <c r="E415" s="2" t="s">
        <v>331</v>
      </c>
    </row>
    <row r="416" spans="1:5" x14ac:dyDescent="0.3">
      <c r="A416" s="2">
        <v>3901</v>
      </c>
      <c r="B416" s="2" t="s">
        <v>743</v>
      </c>
      <c r="C416" s="2" t="s">
        <v>328</v>
      </c>
      <c r="D416" s="483">
        <v>22517</v>
      </c>
      <c r="E416" s="2" t="s">
        <v>331</v>
      </c>
    </row>
    <row r="417" spans="1:5" x14ac:dyDescent="0.3">
      <c r="A417" s="2">
        <v>3902</v>
      </c>
      <c r="B417" s="2" t="s">
        <v>744</v>
      </c>
      <c r="C417" s="2" t="s">
        <v>328</v>
      </c>
      <c r="D417" s="483">
        <v>43913</v>
      </c>
      <c r="E417" s="2" t="s">
        <v>331</v>
      </c>
    </row>
    <row r="418" spans="1:5" x14ac:dyDescent="0.3">
      <c r="A418" s="2">
        <v>3903</v>
      </c>
      <c r="B418" s="2" t="s">
        <v>745</v>
      </c>
      <c r="C418" s="2" t="s">
        <v>328</v>
      </c>
      <c r="D418" s="483">
        <v>71728</v>
      </c>
      <c r="E418" s="2" t="s">
        <v>331</v>
      </c>
    </row>
    <row r="419" spans="1:5" x14ac:dyDescent="0.3">
      <c r="A419" s="2">
        <v>3904</v>
      </c>
      <c r="B419" s="2" t="s">
        <v>746</v>
      </c>
      <c r="C419" s="2" t="s">
        <v>328</v>
      </c>
      <c r="D419" s="483">
        <v>34395</v>
      </c>
      <c r="E419" s="2" t="s">
        <v>331</v>
      </c>
    </row>
    <row r="420" spans="1:5" x14ac:dyDescent="0.3">
      <c r="A420" s="2">
        <v>3905</v>
      </c>
      <c r="B420" s="2" t="s">
        <v>747</v>
      </c>
      <c r="C420" s="2" t="s">
        <v>328</v>
      </c>
      <c r="D420" s="483">
        <v>95229</v>
      </c>
      <c r="E420" s="2" t="s">
        <v>331</v>
      </c>
    </row>
    <row r="421" spans="1:5" x14ac:dyDescent="0.3">
      <c r="A421" s="2">
        <v>3906</v>
      </c>
      <c r="B421" s="2" t="s">
        <v>748</v>
      </c>
      <c r="C421" s="2" t="s">
        <v>328</v>
      </c>
      <c r="D421" s="483">
        <v>1839849</v>
      </c>
      <c r="E421" s="2" t="s">
        <v>331</v>
      </c>
    </row>
    <row r="422" spans="1:5" x14ac:dyDescent="0.3">
      <c r="A422" s="2">
        <v>3907</v>
      </c>
      <c r="B422" s="2" t="s">
        <v>749</v>
      </c>
      <c r="C422" s="2" t="s">
        <v>328</v>
      </c>
      <c r="D422" s="483">
        <v>1872668</v>
      </c>
      <c r="E422" s="2" t="s">
        <v>331</v>
      </c>
    </row>
    <row r="423" spans="1:5" x14ac:dyDescent="0.3">
      <c r="A423" s="2">
        <v>3908</v>
      </c>
      <c r="B423" s="2" t="s">
        <v>750</v>
      </c>
      <c r="C423" s="2" t="s">
        <v>32</v>
      </c>
      <c r="D423" s="483">
        <v>3711004</v>
      </c>
      <c r="E423" s="2" t="s">
        <v>331</v>
      </c>
    </row>
    <row r="424" spans="1:5" x14ac:dyDescent="0.3">
      <c r="A424" s="2">
        <v>3909</v>
      </c>
      <c r="B424" s="2" t="s">
        <v>751</v>
      </c>
      <c r="C424" s="2" t="s">
        <v>32</v>
      </c>
      <c r="D424" s="483">
        <v>3790616</v>
      </c>
      <c r="E424" s="2" t="s">
        <v>331</v>
      </c>
    </row>
    <row r="425" spans="1:5" x14ac:dyDescent="0.3">
      <c r="A425" s="2">
        <v>3910</v>
      </c>
      <c r="B425" s="2" t="s">
        <v>752</v>
      </c>
      <c r="C425" s="2" t="s">
        <v>30</v>
      </c>
      <c r="D425" s="483">
        <v>706696</v>
      </c>
      <c r="E425" s="2" t="s">
        <v>331</v>
      </c>
    </row>
    <row r="426" spans="1:5" x14ac:dyDescent="0.3">
      <c r="A426" s="2">
        <v>3919</v>
      </c>
      <c r="B426" s="2" t="s">
        <v>753</v>
      </c>
      <c r="C426" s="2" t="s">
        <v>328</v>
      </c>
      <c r="D426" s="483">
        <v>730384</v>
      </c>
      <c r="E426" s="2" t="s">
        <v>331</v>
      </c>
    </row>
    <row r="427" spans="1:5" x14ac:dyDescent="0.3">
      <c r="A427" s="2">
        <v>3920</v>
      </c>
      <c r="B427" s="2" t="s">
        <v>754</v>
      </c>
      <c r="C427" s="2" t="s">
        <v>328</v>
      </c>
      <c r="D427" s="483">
        <v>871849</v>
      </c>
      <c r="E427" s="2" t="s">
        <v>331</v>
      </c>
    </row>
    <row r="428" spans="1:5" x14ac:dyDescent="0.3">
      <c r="A428" s="2">
        <v>3921</v>
      </c>
      <c r="B428" s="2" t="s">
        <v>755</v>
      </c>
      <c r="C428" s="2" t="s">
        <v>328</v>
      </c>
      <c r="D428" s="483">
        <v>1067627</v>
      </c>
      <c r="E428" s="2" t="s">
        <v>331</v>
      </c>
    </row>
    <row r="429" spans="1:5" x14ac:dyDescent="0.3">
      <c r="A429" s="2">
        <v>3922</v>
      </c>
      <c r="B429" s="2" t="s">
        <v>756</v>
      </c>
      <c r="C429" s="2" t="s">
        <v>328</v>
      </c>
      <c r="D429" s="483">
        <v>1461126</v>
      </c>
      <c r="E429" s="2" t="s">
        <v>331</v>
      </c>
    </row>
    <row r="430" spans="1:5" x14ac:dyDescent="0.3">
      <c r="A430" s="2">
        <v>3923</v>
      </c>
      <c r="B430" s="2" t="s">
        <v>757</v>
      </c>
      <c r="C430" s="2" t="s">
        <v>328</v>
      </c>
      <c r="D430" s="483">
        <v>1948316</v>
      </c>
      <c r="E430" s="2" t="s">
        <v>331</v>
      </c>
    </row>
    <row r="431" spans="1:5" x14ac:dyDescent="0.3">
      <c r="A431" s="2">
        <v>3924</v>
      </c>
      <c r="B431" s="2" t="s">
        <v>758</v>
      </c>
      <c r="C431" s="2" t="s">
        <v>328</v>
      </c>
      <c r="D431" s="483">
        <v>2587705</v>
      </c>
      <c r="E431" s="2" t="s">
        <v>331</v>
      </c>
    </row>
    <row r="432" spans="1:5" x14ac:dyDescent="0.3">
      <c r="A432" s="2">
        <v>3925</v>
      </c>
      <c r="B432" s="2" t="s">
        <v>759</v>
      </c>
      <c r="C432" s="2" t="s">
        <v>328</v>
      </c>
      <c r="D432" s="483">
        <v>3020859</v>
      </c>
      <c r="E432" s="2" t="s">
        <v>331</v>
      </c>
    </row>
    <row r="433" spans="1:5" x14ac:dyDescent="0.3">
      <c r="A433" s="2">
        <v>3932</v>
      </c>
      <c r="B433" s="2" t="s">
        <v>760</v>
      </c>
      <c r="C433" s="2" t="s">
        <v>328</v>
      </c>
      <c r="D433" s="483">
        <v>73992</v>
      </c>
      <c r="E433" s="2" t="s">
        <v>331</v>
      </c>
    </row>
    <row r="434" spans="1:5" x14ac:dyDescent="0.3">
      <c r="A434" s="2">
        <v>3933</v>
      </c>
      <c r="B434" s="2" t="s">
        <v>761</v>
      </c>
      <c r="C434" s="2" t="s">
        <v>328</v>
      </c>
      <c r="D434" s="483">
        <v>114357</v>
      </c>
      <c r="E434" s="2" t="s">
        <v>331</v>
      </c>
    </row>
    <row r="435" spans="1:5" x14ac:dyDescent="0.3">
      <c r="A435" s="2">
        <v>3934</v>
      </c>
      <c r="B435" s="2" t="s">
        <v>762</v>
      </c>
      <c r="C435" s="2" t="s">
        <v>328</v>
      </c>
      <c r="D435" s="483">
        <v>198093</v>
      </c>
      <c r="E435" s="2" t="s">
        <v>331</v>
      </c>
    </row>
    <row r="436" spans="1:5" x14ac:dyDescent="0.3">
      <c r="A436" s="2">
        <v>3935</v>
      </c>
      <c r="B436" s="2" t="s">
        <v>763</v>
      </c>
      <c r="C436" s="2" t="s">
        <v>328</v>
      </c>
      <c r="D436" s="483">
        <v>250717</v>
      </c>
      <c r="E436" s="2" t="s">
        <v>331</v>
      </c>
    </row>
    <row r="437" spans="1:5" x14ac:dyDescent="0.3">
      <c r="A437" s="2">
        <v>3936</v>
      </c>
      <c r="B437" s="2" t="s">
        <v>764</v>
      </c>
      <c r="C437" s="2" t="s">
        <v>328</v>
      </c>
      <c r="D437" s="483">
        <v>320911</v>
      </c>
      <c r="E437" s="2" t="s">
        <v>331</v>
      </c>
    </row>
    <row r="438" spans="1:5" x14ac:dyDescent="0.3">
      <c r="A438" s="2">
        <v>3937</v>
      </c>
      <c r="B438" s="2" t="s">
        <v>765</v>
      </c>
      <c r="C438" s="2" t="s">
        <v>328</v>
      </c>
      <c r="D438" s="483">
        <v>421241</v>
      </c>
      <c r="E438" s="2" t="s">
        <v>331</v>
      </c>
    </row>
    <row r="439" spans="1:5" x14ac:dyDescent="0.3">
      <c r="A439" s="2">
        <v>3938</v>
      </c>
      <c r="B439" s="2" t="s">
        <v>766</v>
      </c>
      <c r="C439" s="2" t="s">
        <v>328</v>
      </c>
      <c r="D439" s="483">
        <v>505176</v>
      </c>
      <c r="E439" s="2" t="s">
        <v>331</v>
      </c>
    </row>
    <row r="440" spans="1:5" x14ac:dyDescent="0.3">
      <c r="A440" s="2">
        <v>3939</v>
      </c>
      <c r="B440" s="2" t="s">
        <v>767</v>
      </c>
      <c r="C440" s="2" t="s">
        <v>328</v>
      </c>
      <c r="D440" s="483">
        <v>717442</v>
      </c>
      <c r="E440" s="2" t="s">
        <v>331</v>
      </c>
    </row>
    <row r="441" spans="1:5" x14ac:dyDescent="0.3">
      <c r="A441" s="2">
        <v>3944</v>
      </c>
      <c r="B441" s="2" t="s">
        <v>768</v>
      </c>
      <c r="C441" s="2" t="s">
        <v>328</v>
      </c>
      <c r="D441" s="483">
        <v>775699</v>
      </c>
      <c r="E441" s="2" t="s">
        <v>331</v>
      </c>
    </row>
    <row r="442" spans="1:5" x14ac:dyDescent="0.3">
      <c r="A442" s="2">
        <v>3945</v>
      </c>
      <c r="B442" s="2" t="s">
        <v>769</v>
      </c>
      <c r="C442" s="2" t="s">
        <v>328</v>
      </c>
      <c r="D442" s="483">
        <v>940750</v>
      </c>
      <c r="E442" s="2" t="s">
        <v>331</v>
      </c>
    </row>
    <row r="443" spans="1:5" x14ac:dyDescent="0.3">
      <c r="A443" s="2">
        <v>3946</v>
      </c>
      <c r="B443" s="2" t="s">
        <v>770</v>
      </c>
      <c r="C443" s="2" t="s">
        <v>328</v>
      </c>
      <c r="D443" s="483">
        <v>1141927</v>
      </c>
      <c r="E443" s="2" t="s">
        <v>331</v>
      </c>
    </row>
    <row r="444" spans="1:5" x14ac:dyDescent="0.3">
      <c r="A444" s="2">
        <v>3947</v>
      </c>
      <c r="B444" s="2" t="s">
        <v>771</v>
      </c>
      <c r="C444" s="2" t="s">
        <v>328</v>
      </c>
      <c r="D444" s="483">
        <v>1435251</v>
      </c>
      <c r="E444" s="2" t="s">
        <v>331</v>
      </c>
    </row>
    <row r="445" spans="1:5" x14ac:dyDescent="0.3">
      <c r="A445" s="2">
        <v>3948</v>
      </c>
      <c r="B445" s="2" t="s">
        <v>772</v>
      </c>
      <c r="C445" s="2" t="s">
        <v>328</v>
      </c>
      <c r="D445" s="483">
        <v>1778984</v>
      </c>
      <c r="E445" s="2" t="s">
        <v>331</v>
      </c>
    </row>
    <row r="446" spans="1:5" x14ac:dyDescent="0.3">
      <c r="A446" s="2">
        <v>3949</v>
      </c>
      <c r="B446" s="2" t="s">
        <v>773</v>
      </c>
      <c r="C446" s="2" t="s">
        <v>328</v>
      </c>
      <c r="D446" s="483">
        <v>2013165</v>
      </c>
      <c r="E446" s="2" t="s">
        <v>331</v>
      </c>
    </row>
    <row r="447" spans="1:5" x14ac:dyDescent="0.3">
      <c r="A447" s="2">
        <v>3950</v>
      </c>
      <c r="B447" s="2" t="s">
        <v>774</v>
      </c>
      <c r="C447" s="2" t="s">
        <v>328</v>
      </c>
      <c r="D447" s="483">
        <v>2386327</v>
      </c>
      <c r="E447" s="2" t="s">
        <v>331</v>
      </c>
    </row>
    <row r="448" spans="1:5" x14ac:dyDescent="0.3">
      <c r="A448" s="2">
        <v>3951</v>
      </c>
      <c r="B448" s="2" t="s">
        <v>775</v>
      </c>
      <c r="C448" s="2" t="s">
        <v>328</v>
      </c>
      <c r="D448" s="483">
        <v>2680468</v>
      </c>
      <c r="E448" s="2" t="s">
        <v>331</v>
      </c>
    </row>
    <row r="449" spans="1:5" x14ac:dyDescent="0.3">
      <c r="A449" s="2">
        <v>3952</v>
      </c>
      <c r="B449" s="2" t="s">
        <v>776</v>
      </c>
      <c r="C449" s="2" t="s">
        <v>328</v>
      </c>
      <c r="D449" s="483">
        <v>3034446</v>
      </c>
      <c r="E449" s="2" t="s">
        <v>331</v>
      </c>
    </row>
    <row r="450" spans="1:5" x14ac:dyDescent="0.3">
      <c r="A450" s="2">
        <v>3953</v>
      </c>
      <c r="B450" s="2" t="s">
        <v>777</v>
      </c>
      <c r="C450" s="2" t="s">
        <v>328</v>
      </c>
      <c r="D450" s="483">
        <v>3395163</v>
      </c>
      <c r="E450" s="2" t="s">
        <v>331</v>
      </c>
    </row>
    <row r="451" spans="1:5" x14ac:dyDescent="0.3">
      <c r="A451" s="2">
        <v>3954</v>
      </c>
      <c r="B451" s="2" t="s">
        <v>778</v>
      </c>
      <c r="C451" s="2" t="s">
        <v>328</v>
      </c>
      <c r="D451" s="483">
        <v>3800414</v>
      </c>
      <c r="E451" s="2" t="s">
        <v>331</v>
      </c>
    </row>
    <row r="452" spans="1:5" x14ac:dyDescent="0.3">
      <c r="A452" s="2">
        <v>3955</v>
      </c>
      <c r="B452" s="2" t="s">
        <v>779</v>
      </c>
      <c r="C452" s="2" t="s">
        <v>328</v>
      </c>
      <c r="D452" s="483">
        <v>4252513</v>
      </c>
      <c r="E452" s="2" t="s">
        <v>331</v>
      </c>
    </row>
    <row r="453" spans="1:5" x14ac:dyDescent="0.3">
      <c r="A453" s="2">
        <v>3956</v>
      </c>
      <c r="B453" s="2" t="s">
        <v>780</v>
      </c>
      <c r="C453" s="2" t="s">
        <v>328</v>
      </c>
      <c r="D453" s="483">
        <v>4757043</v>
      </c>
      <c r="E453" s="2" t="s">
        <v>331</v>
      </c>
    </row>
    <row r="454" spans="1:5" x14ac:dyDescent="0.3">
      <c r="A454" s="2">
        <v>3957</v>
      </c>
      <c r="B454" s="2" t="s">
        <v>781</v>
      </c>
      <c r="C454" s="2" t="s">
        <v>328</v>
      </c>
      <c r="D454" s="483">
        <v>5893413</v>
      </c>
      <c r="E454" s="2" t="s">
        <v>331</v>
      </c>
    </row>
    <row r="455" spans="1:5" x14ac:dyDescent="0.3">
      <c r="A455" s="2">
        <v>3958</v>
      </c>
      <c r="B455" s="2" t="s">
        <v>782</v>
      </c>
      <c r="C455" s="2" t="s">
        <v>328</v>
      </c>
      <c r="D455" s="483">
        <v>6614913</v>
      </c>
      <c r="E455" s="2" t="s">
        <v>331</v>
      </c>
    </row>
    <row r="456" spans="1:5" x14ac:dyDescent="0.3">
      <c r="A456" s="2">
        <v>3959</v>
      </c>
      <c r="B456" s="2" t="s">
        <v>783</v>
      </c>
      <c r="C456" s="2" t="s">
        <v>328</v>
      </c>
      <c r="D456" s="483">
        <v>7406704</v>
      </c>
      <c r="E456" s="2" t="s">
        <v>331</v>
      </c>
    </row>
    <row r="457" spans="1:5" x14ac:dyDescent="0.3">
      <c r="A457" s="2">
        <v>3960</v>
      </c>
      <c r="B457" s="2" t="s">
        <v>784</v>
      </c>
      <c r="C457" s="2" t="s">
        <v>328</v>
      </c>
      <c r="D457" s="483">
        <v>775699</v>
      </c>
      <c r="E457" s="2" t="s">
        <v>331</v>
      </c>
    </row>
    <row r="458" spans="1:5" x14ac:dyDescent="0.3">
      <c r="A458" s="2">
        <v>3961</v>
      </c>
      <c r="B458" s="2" t="s">
        <v>785</v>
      </c>
      <c r="C458" s="2" t="s">
        <v>328</v>
      </c>
      <c r="D458" s="483">
        <v>965692</v>
      </c>
      <c r="E458" s="2" t="s">
        <v>331</v>
      </c>
    </row>
    <row r="459" spans="1:5" x14ac:dyDescent="0.3">
      <c r="A459" s="2">
        <v>3963</v>
      </c>
      <c r="B459" s="2" t="s">
        <v>786</v>
      </c>
      <c r="C459" s="2" t="s">
        <v>328</v>
      </c>
      <c r="D459" s="483">
        <v>1469904</v>
      </c>
      <c r="E459" s="2" t="s">
        <v>331</v>
      </c>
    </row>
    <row r="460" spans="1:5" x14ac:dyDescent="0.3">
      <c r="A460" s="2">
        <v>3964</v>
      </c>
      <c r="B460" s="2" t="s">
        <v>787</v>
      </c>
      <c r="C460" s="2" t="s">
        <v>328</v>
      </c>
      <c r="D460" s="483">
        <v>1823204</v>
      </c>
      <c r="E460" s="2" t="s">
        <v>331</v>
      </c>
    </row>
    <row r="461" spans="1:5" x14ac:dyDescent="0.3">
      <c r="A461" s="2">
        <v>3965</v>
      </c>
      <c r="B461" s="2" t="s">
        <v>788</v>
      </c>
      <c r="C461" s="2" t="s">
        <v>328</v>
      </c>
      <c r="D461" s="483">
        <v>2053673</v>
      </c>
      <c r="E461" s="2" t="s">
        <v>331</v>
      </c>
    </row>
    <row r="462" spans="1:5" x14ac:dyDescent="0.3">
      <c r="A462" s="2">
        <v>3966</v>
      </c>
      <c r="B462" s="2" t="s">
        <v>789</v>
      </c>
      <c r="C462" s="2" t="s">
        <v>328</v>
      </c>
      <c r="D462" s="483">
        <v>2444066</v>
      </c>
      <c r="E462" s="2" t="s">
        <v>331</v>
      </c>
    </row>
    <row r="463" spans="1:5" x14ac:dyDescent="0.3">
      <c r="A463" s="2">
        <v>3967</v>
      </c>
      <c r="B463" s="2" t="s">
        <v>790</v>
      </c>
      <c r="C463" s="2" t="s">
        <v>328</v>
      </c>
      <c r="D463" s="483">
        <v>2749726</v>
      </c>
      <c r="E463" s="2" t="s">
        <v>331</v>
      </c>
    </row>
    <row r="464" spans="1:5" x14ac:dyDescent="0.3">
      <c r="A464" s="2">
        <v>3968</v>
      </c>
      <c r="B464" s="2" t="s">
        <v>791</v>
      </c>
      <c r="C464" s="2" t="s">
        <v>328</v>
      </c>
      <c r="D464" s="483">
        <v>3075001</v>
      </c>
      <c r="E464" s="2" t="s">
        <v>331</v>
      </c>
    </row>
    <row r="465" spans="1:5" x14ac:dyDescent="0.3">
      <c r="A465" s="2">
        <v>3969</v>
      </c>
      <c r="B465" s="2" t="s">
        <v>792</v>
      </c>
      <c r="C465" s="2" t="s">
        <v>328</v>
      </c>
      <c r="D465" s="483">
        <v>3857169</v>
      </c>
      <c r="E465" s="2" t="s">
        <v>331</v>
      </c>
    </row>
    <row r="466" spans="1:5" x14ac:dyDescent="0.3">
      <c r="A466" s="2">
        <v>3970</v>
      </c>
      <c r="B466" s="2" t="s">
        <v>793</v>
      </c>
      <c r="C466" s="2" t="s">
        <v>328</v>
      </c>
      <c r="D466" s="483">
        <v>3888855</v>
      </c>
      <c r="E466" s="2" t="s">
        <v>331</v>
      </c>
    </row>
    <row r="467" spans="1:5" x14ac:dyDescent="0.3">
      <c r="A467" s="2">
        <v>3971</v>
      </c>
      <c r="B467" s="2" t="s">
        <v>794</v>
      </c>
      <c r="C467" s="2" t="s">
        <v>328</v>
      </c>
      <c r="D467" s="483">
        <v>4535399</v>
      </c>
      <c r="E467" s="2" t="s">
        <v>331</v>
      </c>
    </row>
    <row r="468" spans="1:5" x14ac:dyDescent="0.3">
      <c r="A468" s="2">
        <v>3972</v>
      </c>
      <c r="B468" s="2" t="s">
        <v>795</v>
      </c>
      <c r="C468" s="2" t="s">
        <v>328</v>
      </c>
      <c r="D468" s="483">
        <v>4778130</v>
      </c>
      <c r="E468" s="2" t="s">
        <v>331</v>
      </c>
    </row>
    <row r="469" spans="1:5" x14ac:dyDescent="0.3">
      <c r="A469" s="2">
        <v>3973</v>
      </c>
      <c r="B469" s="2" t="s">
        <v>796</v>
      </c>
      <c r="C469" s="2" t="s">
        <v>328</v>
      </c>
      <c r="D469" s="483">
        <v>5920307</v>
      </c>
      <c r="E469" s="2" t="s">
        <v>331</v>
      </c>
    </row>
    <row r="470" spans="1:5" x14ac:dyDescent="0.3">
      <c r="A470" s="2">
        <v>3974</v>
      </c>
      <c r="B470" s="2" t="s">
        <v>797</v>
      </c>
      <c r="C470" s="2" t="s">
        <v>328</v>
      </c>
      <c r="D470" s="483">
        <v>6718871</v>
      </c>
      <c r="E470" s="2" t="s">
        <v>331</v>
      </c>
    </row>
    <row r="471" spans="1:5" x14ac:dyDescent="0.3">
      <c r="A471" s="2">
        <v>3975</v>
      </c>
      <c r="B471" s="2" t="s">
        <v>798</v>
      </c>
      <c r="C471" s="2" t="s">
        <v>328</v>
      </c>
      <c r="D471" s="483">
        <v>775699</v>
      </c>
      <c r="E471" s="2" t="s">
        <v>331</v>
      </c>
    </row>
    <row r="472" spans="1:5" x14ac:dyDescent="0.3">
      <c r="A472" s="2">
        <v>3976</v>
      </c>
      <c r="B472" s="2" t="s">
        <v>799</v>
      </c>
      <c r="C472" s="2" t="s">
        <v>328</v>
      </c>
      <c r="D472" s="483">
        <v>1017910</v>
      </c>
      <c r="E472" s="2" t="s">
        <v>331</v>
      </c>
    </row>
    <row r="473" spans="1:5" x14ac:dyDescent="0.3">
      <c r="A473" s="2">
        <v>3978</v>
      </c>
      <c r="B473" s="2" t="s">
        <v>800</v>
      </c>
      <c r="C473" s="2" t="s">
        <v>328</v>
      </c>
      <c r="D473" s="483">
        <v>1548872</v>
      </c>
      <c r="E473" s="2" t="s">
        <v>331</v>
      </c>
    </row>
    <row r="474" spans="1:5" x14ac:dyDescent="0.3">
      <c r="A474" s="2">
        <v>3979</v>
      </c>
      <c r="B474" s="2" t="s">
        <v>801</v>
      </c>
      <c r="C474" s="2" t="s">
        <v>328</v>
      </c>
      <c r="D474" s="483">
        <v>1925116</v>
      </c>
      <c r="E474" s="2" t="s">
        <v>331</v>
      </c>
    </row>
    <row r="475" spans="1:5" x14ac:dyDescent="0.3">
      <c r="A475" s="2">
        <v>3980</v>
      </c>
      <c r="B475" s="2" t="s">
        <v>802</v>
      </c>
      <c r="C475" s="2" t="s">
        <v>328</v>
      </c>
      <c r="D475" s="483">
        <v>2165057</v>
      </c>
      <c r="E475" s="2" t="s">
        <v>331</v>
      </c>
    </row>
    <row r="476" spans="1:5" x14ac:dyDescent="0.3">
      <c r="A476" s="2">
        <v>3981</v>
      </c>
      <c r="B476" s="2" t="s">
        <v>803</v>
      </c>
      <c r="C476" s="2" t="s">
        <v>328</v>
      </c>
      <c r="D476" s="483">
        <v>2576965</v>
      </c>
      <c r="E476" s="2" t="s">
        <v>331</v>
      </c>
    </row>
    <row r="477" spans="1:5" x14ac:dyDescent="0.3">
      <c r="A477" s="2">
        <v>3982</v>
      </c>
      <c r="B477" s="2" t="s">
        <v>804</v>
      </c>
      <c r="C477" s="2" t="s">
        <v>328</v>
      </c>
      <c r="D477" s="483">
        <v>2896096</v>
      </c>
      <c r="E477" s="2" t="s">
        <v>331</v>
      </c>
    </row>
    <row r="478" spans="1:5" x14ac:dyDescent="0.3">
      <c r="A478" s="2">
        <v>3983</v>
      </c>
      <c r="B478" s="2" t="s">
        <v>805</v>
      </c>
      <c r="C478" s="2" t="s">
        <v>328</v>
      </c>
      <c r="D478" s="483">
        <v>3232843</v>
      </c>
      <c r="E478" s="2" t="s">
        <v>331</v>
      </c>
    </row>
    <row r="479" spans="1:5" x14ac:dyDescent="0.3">
      <c r="A479" s="2">
        <v>3984</v>
      </c>
      <c r="B479" s="2" t="s">
        <v>806</v>
      </c>
      <c r="C479" s="2" t="s">
        <v>328</v>
      </c>
      <c r="D479" s="483">
        <v>3458757</v>
      </c>
      <c r="E479" s="2" t="s">
        <v>331</v>
      </c>
    </row>
    <row r="480" spans="1:5" x14ac:dyDescent="0.3">
      <c r="A480" s="2">
        <v>3985</v>
      </c>
      <c r="B480" s="2" t="s">
        <v>807</v>
      </c>
      <c r="C480" s="2" t="s">
        <v>328</v>
      </c>
      <c r="D480" s="483">
        <v>4048601</v>
      </c>
      <c r="E480" s="2" t="s">
        <v>331</v>
      </c>
    </row>
    <row r="481" spans="1:5" x14ac:dyDescent="0.3">
      <c r="A481" s="2">
        <v>3986</v>
      </c>
      <c r="B481" s="2" t="s">
        <v>808</v>
      </c>
      <c r="C481" s="2" t="s">
        <v>328</v>
      </c>
      <c r="D481" s="483">
        <v>5242040</v>
      </c>
      <c r="E481" s="2" t="s">
        <v>331</v>
      </c>
    </row>
    <row r="482" spans="1:5" x14ac:dyDescent="0.3">
      <c r="A482" s="2">
        <v>3987</v>
      </c>
      <c r="B482" s="2" t="s">
        <v>809</v>
      </c>
      <c r="C482" s="2" t="s">
        <v>328</v>
      </c>
      <c r="D482" s="483">
        <v>4352520</v>
      </c>
      <c r="E482" s="2" t="s">
        <v>331</v>
      </c>
    </row>
    <row r="483" spans="1:5" x14ac:dyDescent="0.3">
      <c r="A483" s="2">
        <v>3988</v>
      </c>
      <c r="B483" s="2" t="s">
        <v>810</v>
      </c>
      <c r="C483" s="2" t="s">
        <v>328</v>
      </c>
      <c r="D483" s="483">
        <v>6164781</v>
      </c>
      <c r="E483" s="2" t="s">
        <v>331</v>
      </c>
    </row>
    <row r="484" spans="1:5" x14ac:dyDescent="0.3">
      <c r="A484" s="2">
        <v>3989</v>
      </c>
      <c r="B484" s="2" t="s">
        <v>811</v>
      </c>
      <c r="C484" s="2" t="s">
        <v>328</v>
      </c>
      <c r="D484" s="483">
        <v>6886281</v>
      </c>
      <c r="E484" s="2" t="s">
        <v>331</v>
      </c>
    </row>
    <row r="485" spans="1:5" x14ac:dyDescent="0.3">
      <c r="A485" s="2">
        <v>3990</v>
      </c>
      <c r="B485" s="2" t="s">
        <v>812</v>
      </c>
      <c r="C485" s="2" t="s">
        <v>328</v>
      </c>
      <c r="D485" s="483">
        <v>7522277</v>
      </c>
      <c r="E485" s="2" t="s">
        <v>331</v>
      </c>
    </row>
    <row r="486" spans="1:5" x14ac:dyDescent="0.3">
      <c r="A486" s="2">
        <v>3991</v>
      </c>
      <c r="B486" s="2" t="s">
        <v>813</v>
      </c>
      <c r="C486" s="2" t="s">
        <v>328</v>
      </c>
      <c r="D486" s="483">
        <v>7647322</v>
      </c>
      <c r="E486" s="2" t="s">
        <v>331</v>
      </c>
    </row>
    <row r="487" spans="1:5" x14ac:dyDescent="0.3">
      <c r="A487" s="2">
        <v>3992</v>
      </c>
      <c r="B487" s="2" t="s">
        <v>814</v>
      </c>
      <c r="C487" s="2" t="s">
        <v>328</v>
      </c>
      <c r="D487" s="483">
        <v>869995</v>
      </c>
      <c r="E487" s="2" t="s">
        <v>331</v>
      </c>
    </row>
    <row r="488" spans="1:5" x14ac:dyDescent="0.3">
      <c r="A488" s="2">
        <v>3993</v>
      </c>
      <c r="B488" s="2" t="s">
        <v>815</v>
      </c>
      <c r="C488" s="2" t="s">
        <v>328</v>
      </c>
      <c r="D488" s="483">
        <v>1146668</v>
      </c>
      <c r="E488" s="2" t="s">
        <v>331</v>
      </c>
    </row>
    <row r="489" spans="1:5" x14ac:dyDescent="0.3">
      <c r="A489" s="2">
        <v>3994</v>
      </c>
      <c r="B489" s="2" t="s">
        <v>816</v>
      </c>
      <c r="C489" s="2" t="s">
        <v>328</v>
      </c>
      <c r="D489" s="483">
        <v>1403632</v>
      </c>
      <c r="E489" s="2" t="s">
        <v>331</v>
      </c>
    </row>
    <row r="490" spans="1:5" x14ac:dyDescent="0.3">
      <c r="A490" s="2">
        <v>3995</v>
      </c>
      <c r="B490" s="2" t="s">
        <v>817</v>
      </c>
      <c r="C490" s="2" t="s">
        <v>328</v>
      </c>
      <c r="D490" s="483">
        <v>1758408</v>
      </c>
      <c r="E490" s="2" t="s">
        <v>331</v>
      </c>
    </row>
    <row r="491" spans="1:5" x14ac:dyDescent="0.3">
      <c r="A491" s="2">
        <v>3996</v>
      </c>
      <c r="B491" s="2" t="s">
        <v>818</v>
      </c>
      <c r="C491" s="2" t="s">
        <v>328</v>
      </c>
      <c r="D491" s="483">
        <v>2185059</v>
      </c>
      <c r="E491" s="2" t="s">
        <v>331</v>
      </c>
    </row>
    <row r="492" spans="1:5" x14ac:dyDescent="0.3">
      <c r="A492" s="2">
        <v>3997</v>
      </c>
      <c r="B492" s="2" t="s">
        <v>819</v>
      </c>
      <c r="C492" s="2" t="s">
        <v>328</v>
      </c>
      <c r="D492" s="483">
        <v>2457702</v>
      </c>
      <c r="E492" s="2" t="s">
        <v>331</v>
      </c>
    </row>
    <row r="493" spans="1:5" x14ac:dyDescent="0.3">
      <c r="A493" s="2">
        <v>3998</v>
      </c>
      <c r="B493" s="2" t="s">
        <v>820</v>
      </c>
      <c r="C493" s="2" t="s">
        <v>328</v>
      </c>
      <c r="D493" s="483">
        <v>2919780</v>
      </c>
      <c r="E493" s="2" t="s">
        <v>331</v>
      </c>
    </row>
    <row r="494" spans="1:5" x14ac:dyDescent="0.3">
      <c r="A494" s="2">
        <v>3999</v>
      </c>
      <c r="B494" s="2" t="s">
        <v>821</v>
      </c>
      <c r="C494" s="2" t="s">
        <v>328</v>
      </c>
      <c r="D494" s="483">
        <v>3300220</v>
      </c>
      <c r="E494" s="2" t="s">
        <v>331</v>
      </c>
    </row>
    <row r="495" spans="1:5" x14ac:dyDescent="0.3">
      <c r="A495" s="2">
        <v>4000</v>
      </c>
      <c r="B495" s="2" t="s">
        <v>822</v>
      </c>
      <c r="C495" s="2" t="s">
        <v>328</v>
      </c>
      <c r="D495" s="483">
        <v>3536864</v>
      </c>
      <c r="E495" s="2" t="s">
        <v>331</v>
      </c>
    </row>
    <row r="496" spans="1:5" x14ac:dyDescent="0.3">
      <c r="A496" s="2">
        <v>4001</v>
      </c>
      <c r="B496" s="2" t="s">
        <v>823</v>
      </c>
      <c r="C496" s="2" t="s">
        <v>328</v>
      </c>
      <c r="D496" s="483">
        <v>4066847</v>
      </c>
      <c r="E496" s="2" t="s">
        <v>331</v>
      </c>
    </row>
    <row r="497" spans="1:5" x14ac:dyDescent="0.3">
      <c r="A497" s="2">
        <v>4002</v>
      </c>
      <c r="B497" s="2" t="s">
        <v>824</v>
      </c>
      <c r="C497" s="2" t="s">
        <v>328</v>
      </c>
      <c r="D497" s="483">
        <v>4581768</v>
      </c>
      <c r="E497" s="2" t="s">
        <v>331</v>
      </c>
    </row>
    <row r="498" spans="1:5" x14ac:dyDescent="0.3">
      <c r="A498" s="2">
        <v>4004</v>
      </c>
      <c r="B498" s="2" t="s">
        <v>825</v>
      </c>
      <c r="C498" s="2" t="s">
        <v>328</v>
      </c>
      <c r="D498" s="483">
        <v>5141681</v>
      </c>
      <c r="E498" s="2" t="s">
        <v>331</v>
      </c>
    </row>
    <row r="499" spans="1:5" x14ac:dyDescent="0.3">
      <c r="A499" s="2">
        <v>4005</v>
      </c>
      <c r="B499" s="2" t="s">
        <v>826</v>
      </c>
      <c r="C499" s="2" t="s">
        <v>328</v>
      </c>
      <c r="D499" s="483">
        <v>5711852</v>
      </c>
      <c r="E499" s="2" t="s">
        <v>331</v>
      </c>
    </row>
    <row r="500" spans="1:5" x14ac:dyDescent="0.3">
      <c r="A500" s="2">
        <v>4006</v>
      </c>
      <c r="B500" s="2" t="s">
        <v>827</v>
      </c>
      <c r="C500" s="2" t="s">
        <v>328</v>
      </c>
      <c r="D500" s="483">
        <v>7000209</v>
      </c>
      <c r="E500" s="2" t="s">
        <v>331</v>
      </c>
    </row>
    <row r="501" spans="1:5" x14ac:dyDescent="0.3">
      <c r="A501" s="2">
        <v>4007</v>
      </c>
      <c r="B501" s="2" t="s">
        <v>828</v>
      </c>
      <c r="C501" s="2" t="s">
        <v>328</v>
      </c>
      <c r="D501" s="483">
        <v>8333606</v>
      </c>
      <c r="E501" s="2" t="s">
        <v>331</v>
      </c>
    </row>
    <row r="502" spans="1:5" x14ac:dyDescent="0.3">
      <c r="A502" s="2">
        <v>4008</v>
      </c>
      <c r="B502" s="2" t="s">
        <v>829</v>
      </c>
      <c r="C502" s="2" t="s">
        <v>328</v>
      </c>
      <c r="D502" s="483">
        <v>9079273</v>
      </c>
      <c r="E502" s="2" t="s">
        <v>331</v>
      </c>
    </row>
    <row r="503" spans="1:5" x14ac:dyDescent="0.3">
      <c r="A503" s="2">
        <v>4009</v>
      </c>
      <c r="B503" s="2" t="s">
        <v>830</v>
      </c>
      <c r="C503" s="2" t="s">
        <v>21</v>
      </c>
      <c r="D503" s="483">
        <v>11403</v>
      </c>
      <c r="E503" s="2" t="s">
        <v>324</v>
      </c>
    </row>
    <row r="504" spans="1:5" x14ac:dyDescent="0.3">
      <c r="A504" s="2">
        <v>4010</v>
      </c>
      <c r="B504" s="2" t="s">
        <v>831</v>
      </c>
      <c r="C504" s="2" t="s">
        <v>21</v>
      </c>
      <c r="D504" s="483">
        <v>13158</v>
      </c>
      <c r="E504" s="2" t="s">
        <v>324</v>
      </c>
    </row>
    <row r="505" spans="1:5" x14ac:dyDescent="0.3">
      <c r="A505" s="2">
        <v>4011</v>
      </c>
      <c r="B505" s="2" t="s">
        <v>832</v>
      </c>
      <c r="C505" s="2" t="s">
        <v>21</v>
      </c>
      <c r="D505" s="483">
        <v>17776</v>
      </c>
      <c r="E505" s="2" t="s">
        <v>324</v>
      </c>
    </row>
    <row r="506" spans="1:5" x14ac:dyDescent="0.3">
      <c r="A506" s="2">
        <v>4012</v>
      </c>
      <c r="B506" s="2" t="s">
        <v>833</v>
      </c>
      <c r="C506" s="2" t="s">
        <v>21</v>
      </c>
      <c r="D506" s="483">
        <v>21140</v>
      </c>
      <c r="E506" s="2" t="s">
        <v>324</v>
      </c>
    </row>
    <row r="507" spans="1:5" x14ac:dyDescent="0.3">
      <c r="A507" s="2">
        <v>4013</v>
      </c>
      <c r="B507" s="2" t="s">
        <v>834</v>
      </c>
      <c r="C507" s="2" t="s">
        <v>21</v>
      </c>
      <c r="D507" s="483">
        <v>25846</v>
      </c>
      <c r="E507" s="2" t="s">
        <v>324</v>
      </c>
    </row>
    <row r="508" spans="1:5" x14ac:dyDescent="0.3">
      <c r="A508" s="2">
        <v>4014</v>
      </c>
      <c r="B508" s="2" t="s">
        <v>835</v>
      </c>
      <c r="C508" s="2" t="s">
        <v>21</v>
      </c>
      <c r="D508" s="483">
        <v>11403</v>
      </c>
      <c r="E508" s="2" t="s">
        <v>324</v>
      </c>
    </row>
    <row r="509" spans="1:5" x14ac:dyDescent="0.3">
      <c r="A509" s="2">
        <v>4015</v>
      </c>
      <c r="B509" s="2" t="s">
        <v>836</v>
      </c>
      <c r="C509" s="2" t="s">
        <v>21</v>
      </c>
      <c r="D509" s="483">
        <v>13158</v>
      </c>
      <c r="E509" s="2" t="s">
        <v>324</v>
      </c>
    </row>
    <row r="510" spans="1:5" x14ac:dyDescent="0.3">
      <c r="A510" s="2">
        <v>4016</v>
      </c>
      <c r="B510" s="2" t="s">
        <v>837</v>
      </c>
      <c r="C510" s="2" t="s">
        <v>21</v>
      </c>
      <c r="D510" s="483">
        <v>17776</v>
      </c>
      <c r="E510" s="2" t="s">
        <v>324</v>
      </c>
    </row>
    <row r="511" spans="1:5" x14ac:dyDescent="0.3">
      <c r="A511" s="2">
        <v>4017</v>
      </c>
      <c r="B511" s="2" t="s">
        <v>838</v>
      </c>
      <c r="C511" s="2" t="s">
        <v>21</v>
      </c>
      <c r="D511" s="483">
        <v>21140</v>
      </c>
      <c r="E511" s="2" t="s">
        <v>324</v>
      </c>
    </row>
    <row r="512" spans="1:5" x14ac:dyDescent="0.3">
      <c r="A512" s="2">
        <v>4018</v>
      </c>
      <c r="B512" s="2" t="s">
        <v>839</v>
      </c>
      <c r="C512" s="2" t="s">
        <v>21</v>
      </c>
      <c r="D512" s="483">
        <v>25846</v>
      </c>
      <c r="E512" s="2" t="s">
        <v>324</v>
      </c>
    </row>
    <row r="513" spans="1:5" x14ac:dyDescent="0.3">
      <c r="A513" s="2">
        <v>4019</v>
      </c>
      <c r="B513" s="2" t="s">
        <v>840</v>
      </c>
      <c r="C513" s="2" t="s">
        <v>21</v>
      </c>
      <c r="D513" s="483">
        <v>10318</v>
      </c>
      <c r="E513" s="2" t="s">
        <v>324</v>
      </c>
    </row>
    <row r="514" spans="1:5" x14ac:dyDescent="0.3">
      <c r="A514" s="2">
        <v>4020</v>
      </c>
      <c r="B514" s="2" t="s">
        <v>841</v>
      </c>
      <c r="C514" s="2" t="s">
        <v>21</v>
      </c>
      <c r="D514" s="483">
        <v>11837</v>
      </c>
      <c r="E514" s="2" t="s">
        <v>324</v>
      </c>
    </row>
    <row r="515" spans="1:5" x14ac:dyDescent="0.3">
      <c r="A515" s="2">
        <v>4021</v>
      </c>
      <c r="B515" s="2" t="s">
        <v>842</v>
      </c>
      <c r="C515" s="2" t="s">
        <v>21</v>
      </c>
      <c r="D515" s="483">
        <v>13158</v>
      </c>
      <c r="E515" s="2" t="s">
        <v>324</v>
      </c>
    </row>
    <row r="516" spans="1:5" x14ac:dyDescent="0.3">
      <c r="A516" s="2">
        <v>4022</v>
      </c>
      <c r="B516" s="2" t="s">
        <v>843</v>
      </c>
      <c r="C516" s="2" t="s">
        <v>21</v>
      </c>
      <c r="D516" s="483">
        <v>17776</v>
      </c>
      <c r="E516" s="2" t="s">
        <v>324</v>
      </c>
    </row>
    <row r="517" spans="1:5" x14ac:dyDescent="0.3">
      <c r="A517" s="2">
        <v>4023</v>
      </c>
      <c r="B517" s="2" t="s">
        <v>844</v>
      </c>
      <c r="C517" s="2" t="s">
        <v>21</v>
      </c>
      <c r="D517" s="483">
        <v>21140</v>
      </c>
      <c r="E517" s="2" t="s">
        <v>324</v>
      </c>
    </row>
    <row r="518" spans="1:5" x14ac:dyDescent="0.3">
      <c r="A518" s="2">
        <v>4024</v>
      </c>
      <c r="B518" s="2" t="s">
        <v>845</v>
      </c>
      <c r="C518" s="2" t="s">
        <v>21</v>
      </c>
      <c r="D518" s="483">
        <v>25846</v>
      </c>
      <c r="E518" s="2" t="s">
        <v>324</v>
      </c>
    </row>
    <row r="519" spans="1:5" x14ac:dyDescent="0.3">
      <c r="A519" s="2">
        <v>4026</v>
      </c>
      <c r="B519" s="2" t="s">
        <v>846</v>
      </c>
      <c r="C519" s="2" t="s">
        <v>21</v>
      </c>
      <c r="D519" s="483">
        <v>9155</v>
      </c>
      <c r="E519" s="2" t="s">
        <v>324</v>
      </c>
    </row>
    <row r="520" spans="1:5" x14ac:dyDescent="0.3">
      <c r="A520" s="2">
        <v>4027</v>
      </c>
      <c r="B520" s="2" t="s">
        <v>847</v>
      </c>
      <c r="C520" s="2" t="s">
        <v>21</v>
      </c>
      <c r="D520" s="483">
        <v>9868</v>
      </c>
      <c r="E520" s="2" t="s">
        <v>324</v>
      </c>
    </row>
    <row r="521" spans="1:5" x14ac:dyDescent="0.3">
      <c r="A521" s="2">
        <v>4028</v>
      </c>
      <c r="B521" s="2" t="s">
        <v>848</v>
      </c>
      <c r="C521" s="2" t="s">
        <v>21</v>
      </c>
      <c r="D521" s="483">
        <v>16493</v>
      </c>
      <c r="E521" s="2" t="s">
        <v>324</v>
      </c>
    </row>
    <row r="522" spans="1:5" x14ac:dyDescent="0.3">
      <c r="A522" s="2">
        <v>4029</v>
      </c>
      <c r="B522" s="2" t="s">
        <v>849</v>
      </c>
      <c r="C522" s="2" t="s">
        <v>21</v>
      </c>
      <c r="D522" s="483">
        <v>30940</v>
      </c>
      <c r="E522" s="2" t="s">
        <v>324</v>
      </c>
    </row>
    <row r="523" spans="1:5" x14ac:dyDescent="0.3">
      <c r="A523" s="2">
        <v>4030</v>
      </c>
      <c r="B523" s="2" t="s">
        <v>850</v>
      </c>
      <c r="C523" s="2" t="s">
        <v>21</v>
      </c>
      <c r="D523" s="483">
        <v>9155</v>
      </c>
      <c r="E523" s="2" t="s">
        <v>324</v>
      </c>
    </row>
    <row r="524" spans="1:5" x14ac:dyDescent="0.3">
      <c r="A524" s="2">
        <v>4032</v>
      </c>
      <c r="B524" s="2" t="s">
        <v>851</v>
      </c>
      <c r="C524" s="2" t="s">
        <v>21</v>
      </c>
      <c r="D524" s="483">
        <v>9868</v>
      </c>
      <c r="E524" s="2" t="s">
        <v>324</v>
      </c>
    </row>
    <row r="525" spans="1:5" x14ac:dyDescent="0.3">
      <c r="A525" s="2">
        <v>4033</v>
      </c>
      <c r="B525" s="2" t="s">
        <v>852</v>
      </c>
      <c r="C525" s="2" t="s">
        <v>21</v>
      </c>
      <c r="D525" s="483">
        <v>16493</v>
      </c>
      <c r="E525" s="2" t="s">
        <v>324</v>
      </c>
    </row>
    <row r="526" spans="1:5" x14ac:dyDescent="0.3">
      <c r="A526" s="2">
        <v>4034</v>
      </c>
      <c r="B526" s="2" t="s">
        <v>853</v>
      </c>
      <c r="C526" s="2" t="s">
        <v>21</v>
      </c>
      <c r="D526" s="483">
        <v>30940</v>
      </c>
      <c r="E526" s="2" t="s">
        <v>324</v>
      </c>
    </row>
    <row r="527" spans="1:5" x14ac:dyDescent="0.3">
      <c r="A527" s="2">
        <v>4036</v>
      </c>
      <c r="B527" s="2" t="s">
        <v>854</v>
      </c>
      <c r="C527" s="2" t="s">
        <v>21</v>
      </c>
      <c r="D527" s="483">
        <v>9868</v>
      </c>
      <c r="E527" s="2" t="s">
        <v>324</v>
      </c>
    </row>
    <row r="528" spans="1:5" x14ac:dyDescent="0.3">
      <c r="A528" s="2">
        <v>4037</v>
      </c>
      <c r="B528" s="2" t="s">
        <v>855</v>
      </c>
      <c r="C528" s="2" t="s">
        <v>21</v>
      </c>
      <c r="D528" s="483">
        <v>16493</v>
      </c>
      <c r="E528" s="2" t="s">
        <v>324</v>
      </c>
    </row>
    <row r="529" spans="1:5" x14ac:dyDescent="0.3">
      <c r="A529" s="2">
        <v>4038</v>
      </c>
      <c r="B529" s="2" t="s">
        <v>856</v>
      </c>
      <c r="C529" s="2" t="s">
        <v>21</v>
      </c>
      <c r="D529" s="483">
        <v>30940</v>
      </c>
      <c r="E529" s="2" t="s">
        <v>324</v>
      </c>
    </row>
    <row r="530" spans="1:5" x14ac:dyDescent="0.3">
      <c r="A530" s="2">
        <v>4039</v>
      </c>
      <c r="B530" s="2" t="s">
        <v>857</v>
      </c>
      <c r="C530" s="2" t="s">
        <v>328</v>
      </c>
      <c r="D530" s="483">
        <v>31553</v>
      </c>
      <c r="E530" s="2" t="s">
        <v>331</v>
      </c>
    </row>
    <row r="531" spans="1:5" x14ac:dyDescent="0.3">
      <c r="A531" s="2">
        <v>4040</v>
      </c>
      <c r="B531" s="2" t="s">
        <v>858</v>
      </c>
      <c r="C531" s="2" t="s">
        <v>328</v>
      </c>
      <c r="D531" s="483">
        <v>36086</v>
      </c>
      <c r="E531" s="2" t="s">
        <v>331</v>
      </c>
    </row>
    <row r="532" spans="1:5" x14ac:dyDescent="0.3">
      <c r="A532" s="2">
        <v>4041</v>
      </c>
      <c r="B532" s="2" t="s">
        <v>859</v>
      </c>
      <c r="C532" s="2" t="s">
        <v>328</v>
      </c>
      <c r="D532" s="483">
        <v>49629</v>
      </c>
      <c r="E532" s="2" t="s">
        <v>331</v>
      </c>
    </row>
    <row r="533" spans="1:5" x14ac:dyDescent="0.3">
      <c r="A533" s="2">
        <v>4042</v>
      </c>
      <c r="B533" s="2" t="s">
        <v>860</v>
      </c>
      <c r="C533" s="2" t="s">
        <v>328</v>
      </c>
      <c r="D533" s="483">
        <v>39306</v>
      </c>
      <c r="E533" s="2" t="s">
        <v>331</v>
      </c>
    </row>
    <row r="534" spans="1:5" x14ac:dyDescent="0.3">
      <c r="A534" s="2">
        <v>4043</v>
      </c>
      <c r="B534" s="2" t="s">
        <v>861</v>
      </c>
      <c r="C534" s="2" t="s">
        <v>328</v>
      </c>
      <c r="D534" s="483">
        <v>40620</v>
      </c>
      <c r="E534" s="2" t="s">
        <v>331</v>
      </c>
    </row>
    <row r="535" spans="1:5" x14ac:dyDescent="0.3">
      <c r="A535" s="2">
        <v>4044</v>
      </c>
      <c r="B535" s="2" t="s">
        <v>862</v>
      </c>
      <c r="C535" s="2" t="s">
        <v>328</v>
      </c>
      <c r="D535" s="483">
        <v>468997</v>
      </c>
      <c r="E535" s="2" t="s">
        <v>331</v>
      </c>
    </row>
    <row r="536" spans="1:5" x14ac:dyDescent="0.3">
      <c r="A536" s="2">
        <v>4045</v>
      </c>
      <c r="B536" s="2" t="s">
        <v>863</v>
      </c>
      <c r="C536" s="2" t="s">
        <v>328</v>
      </c>
      <c r="D536" s="483">
        <v>353539</v>
      </c>
      <c r="E536" s="2" t="s">
        <v>331</v>
      </c>
    </row>
    <row r="537" spans="1:5" x14ac:dyDescent="0.3">
      <c r="A537" s="2">
        <v>4046</v>
      </c>
      <c r="B537" s="2" t="s">
        <v>864</v>
      </c>
      <c r="C537" s="2" t="s">
        <v>328</v>
      </c>
      <c r="D537" s="483">
        <v>461702</v>
      </c>
      <c r="E537" s="2" t="s">
        <v>331</v>
      </c>
    </row>
    <row r="538" spans="1:5" x14ac:dyDescent="0.3">
      <c r="A538" s="2">
        <v>4047</v>
      </c>
      <c r="B538" s="2" t="s">
        <v>865</v>
      </c>
      <c r="C538" s="2" t="s">
        <v>328</v>
      </c>
      <c r="D538" s="483">
        <v>67349</v>
      </c>
      <c r="E538" s="2" t="s">
        <v>331</v>
      </c>
    </row>
    <row r="539" spans="1:5" x14ac:dyDescent="0.3">
      <c r="A539" s="2">
        <v>4048</v>
      </c>
      <c r="B539" s="2" t="s">
        <v>866</v>
      </c>
      <c r="C539" s="2" t="s">
        <v>328</v>
      </c>
      <c r="D539" s="483">
        <v>64926</v>
      </c>
      <c r="E539" s="2" t="s">
        <v>331</v>
      </c>
    </row>
    <row r="540" spans="1:5" x14ac:dyDescent="0.3">
      <c r="A540" s="2">
        <v>4049</v>
      </c>
      <c r="B540" s="2" t="s">
        <v>867</v>
      </c>
      <c r="C540" s="2" t="s">
        <v>328</v>
      </c>
      <c r="D540" s="483">
        <v>81732</v>
      </c>
      <c r="E540" s="2" t="s">
        <v>331</v>
      </c>
    </row>
    <row r="541" spans="1:5" x14ac:dyDescent="0.3">
      <c r="A541" s="2">
        <v>4050</v>
      </c>
      <c r="B541" s="2" t="s">
        <v>868</v>
      </c>
      <c r="C541" s="2" t="s">
        <v>328</v>
      </c>
      <c r="D541" s="483">
        <v>75559</v>
      </c>
      <c r="E541" s="2" t="s">
        <v>331</v>
      </c>
    </row>
    <row r="542" spans="1:5" x14ac:dyDescent="0.3">
      <c r="A542" s="2">
        <v>4051</v>
      </c>
      <c r="B542" s="2" t="s">
        <v>869</v>
      </c>
      <c r="C542" s="2" t="s">
        <v>21</v>
      </c>
      <c r="D542" s="483">
        <v>80913</v>
      </c>
      <c r="E542" s="2" t="s">
        <v>331</v>
      </c>
    </row>
    <row r="543" spans="1:5" x14ac:dyDescent="0.3">
      <c r="A543" s="2">
        <v>4052</v>
      </c>
      <c r="B543" s="2" t="s">
        <v>870</v>
      </c>
      <c r="C543" s="2" t="s">
        <v>32</v>
      </c>
      <c r="D543" s="483">
        <v>59695</v>
      </c>
      <c r="E543" s="2" t="s">
        <v>331</v>
      </c>
    </row>
    <row r="544" spans="1:5" x14ac:dyDescent="0.3">
      <c r="A544" s="2">
        <v>4053</v>
      </c>
      <c r="B544" s="2" t="s">
        <v>871</v>
      </c>
      <c r="C544" s="2" t="s">
        <v>32</v>
      </c>
      <c r="D544" s="483">
        <v>57201</v>
      </c>
      <c r="E544" s="2" t="s">
        <v>331</v>
      </c>
    </row>
    <row r="545" spans="1:5" x14ac:dyDescent="0.3">
      <c r="A545" s="2">
        <v>4054</v>
      </c>
      <c r="B545" s="2" t="s">
        <v>872</v>
      </c>
      <c r="C545" s="2" t="s">
        <v>328</v>
      </c>
      <c r="D545" s="483">
        <v>82015</v>
      </c>
      <c r="E545" s="2" t="s">
        <v>331</v>
      </c>
    </row>
    <row r="546" spans="1:5" x14ac:dyDescent="0.3">
      <c r="A546" s="2">
        <v>4055</v>
      </c>
      <c r="B546" s="2" t="s">
        <v>873</v>
      </c>
      <c r="C546" s="2" t="s">
        <v>328</v>
      </c>
      <c r="D546" s="483">
        <v>77900</v>
      </c>
      <c r="E546" s="2" t="s">
        <v>331</v>
      </c>
    </row>
    <row r="547" spans="1:5" x14ac:dyDescent="0.3">
      <c r="A547" s="2">
        <v>4061</v>
      </c>
      <c r="B547" s="2" t="s">
        <v>874</v>
      </c>
      <c r="C547" s="2" t="s">
        <v>21</v>
      </c>
      <c r="D547" s="483">
        <v>95476</v>
      </c>
      <c r="E547" s="2" t="s">
        <v>331</v>
      </c>
    </row>
    <row r="548" spans="1:5" x14ac:dyDescent="0.3">
      <c r="A548" s="2">
        <v>4064</v>
      </c>
      <c r="B548" s="2" t="s">
        <v>875</v>
      </c>
      <c r="C548" s="2" t="s">
        <v>21</v>
      </c>
      <c r="D548" s="483">
        <v>78526</v>
      </c>
      <c r="E548" s="2" t="s">
        <v>331</v>
      </c>
    </row>
    <row r="549" spans="1:5" x14ac:dyDescent="0.3">
      <c r="A549" s="2">
        <v>4073</v>
      </c>
      <c r="B549" s="2" t="s">
        <v>876</v>
      </c>
      <c r="C549" s="2" t="s">
        <v>21</v>
      </c>
      <c r="D549" s="483">
        <v>124657</v>
      </c>
      <c r="E549" s="2" t="s">
        <v>331</v>
      </c>
    </row>
    <row r="550" spans="1:5" x14ac:dyDescent="0.3">
      <c r="A550" s="2">
        <v>4074</v>
      </c>
      <c r="B550" s="2" t="s">
        <v>877</v>
      </c>
      <c r="C550" s="2" t="s">
        <v>21</v>
      </c>
      <c r="D550" s="483">
        <v>104054</v>
      </c>
      <c r="E550" s="2" t="s">
        <v>331</v>
      </c>
    </row>
    <row r="551" spans="1:5" x14ac:dyDescent="0.3">
      <c r="A551" s="2">
        <v>4075</v>
      </c>
      <c r="B551" s="2" t="s">
        <v>878</v>
      </c>
      <c r="C551" s="2" t="s">
        <v>21</v>
      </c>
      <c r="D551" s="483">
        <v>114623</v>
      </c>
      <c r="E551" s="2" t="s">
        <v>331</v>
      </c>
    </row>
    <row r="552" spans="1:5" x14ac:dyDescent="0.3">
      <c r="A552" s="2">
        <v>4077</v>
      </c>
      <c r="B552" s="2" t="s">
        <v>879</v>
      </c>
      <c r="C552" s="2" t="s">
        <v>21</v>
      </c>
      <c r="D552" s="483">
        <v>116787</v>
      </c>
      <c r="E552" s="2" t="s">
        <v>331</v>
      </c>
    </row>
    <row r="553" spans="1:5" x14ac:dyDescent="0.3">
      <c r="A553" s="2">
        <v>4078</v>
      </c>
      <c r="B553" s="2" t="s">
        <v>880</v>
      </c>
      <c r="C553" s="2" t="s">
        <v>21</v>
      </c>
      <c r="D553" s="483">
        <v>127356</v>
      </c>
      <c r="E553" s="2" t="s">
        <v>331</v>
      </c>
    </row>
    <row r="554" spans="1:5" x14ac:dyDescent="0.3">
      <c r="A554" s="2">
        <v>4079</v>
      </c>
      <c r="B554" s="2" t="s">
        <v>881</v>
      </c>
      <c r="C554" s="2" t="s">
        <v>21</v>
      </c>
      <c r="D554" s="483">
        <v>138637</v>
      </c>
      <c r="E554" s="2" t="s">
        <v>331</v>
      </c>
    </row>
    <row r="555" spans="1:5" x14ac:dyDescent="0.3">
      <c r="A555" s="2">
        <v>4080</v>
      </c>
      <c r="B555" s="2" t="s">
        <v>882</v>
      </c>
      <c r="C555" s="2" t="s">
        <v>32</v>
      </c>
      <c r="D555" s="483">
        <v>222384</v>
      </c>
      <c r="E555" s="2" t="s">
        <v>331</v>
      </c>
    </row>
    <row r="556" spans="1:5" x14ac:dyDescent="0.3">
      <c r="A556" s="2">
        <v>4081</v>
      </c>
      <c r="B556" s="2" t="s">
        <v>883</v>
      </c>
      <c r="C556" s="2" t="s">
        <v>32</v>
      </c>
      <c r="D556" s="483">
        <v>193517</v>
      </c>
      <c r="E556" s="2" t="s">
        <v>331</v>
      </c>
    </row>
    <row r="557" spans="1:5" x14ac:dyDescent="0.3">
      <c r="A557" s="2">
        <v>4082</v>
      </c>
      <c r="B557" s="2" t="s">
        <v>884</v>
      </c>
      <c r="C557" s="2" t="s">
        <v>32</v>
      </c>
      <c r="D557" s="483">
        <v>236584</v>
      </c>
      <c r="E557" s="2" t="s">
        <v>331</v>
      </c>
    </row>
    <row r="558" spans="1:5" x14ac:dyDescent="0.3">
      <c r="A558" s="2">
        <v>4083</v>
      </c>
      <c r="B558" s="2" t="s">
        <v>885</v>
      </c>
      <c r="C558" s="2" t="s">
        <v>32</v>
      </c>
      <c r="D558" s="483">
        <v>220248</v>
      </c>
      <c r="E558" s="2" t="s">
        <v>331</v>
      </c>
    </row>
    <row r="559" spans="1:5" x14ac:dyDescent="0.3">
      <c r="A559" s="2">
        <v>4085</v>
      </c>
      <c r="B559" s="2" t="s">
        <v>886</v>
      </c>
      <c r="C559" s="2" t="s">
        <v>32</v>
      </c>
      <c r="D559" s="483">
        <v>103193</v>
      </c>
      <c r="E559" s="2" t="s">
        <v>331</v>
      </c>
    </row>
    <row r="560" spans="1:5" x14ac:dyDescent="0.3">
      <c r="A560" s="2">
        <v>4086</v>
      </c>
      <c r="B560" s="2" t="s">
        <v>887</v>
      </c>
      <c r="C560" s="2" t="s">
        <v>32</v>
      </c>
      <c r="D560" s="483">
        <v>96522</v>
      </c>
      <c r="E560" s="2" t="s">
        <v>331</v>
      </c>
    </row>
    <row r="561" spans="1:5" x14ac:dyDescent="0.3">
      <c r="A561" s="2">
        <v>4087</v>
      </c>
      <c r="B561" s="2" t="s">
        <v>888</v>
      </c>
      <c r="C561" s="2" t="s">
        <v>32</v>
      </c>
      <c r="D561" s="483">
        <v>100450</v>
      </c>
      <c r="E561" s="2" t="s">
        <v>331</v>
      </c>
    </row>
    <row r="562" spans="1:5" x14ac:dyDescent="0.3">
      <c r="A562" s="2">
        <v>4088</v>
      </c>
      <c r="B562" s="2" t="s">
        <v>889</v>
      </c>
      <c r="C562" s="2" t="s">
        <v>328</v>
      </c>
      <c r="D562" s="483">
        <v>65490</v>
      </c>
      <c r="E562" s="2" t="s">
        <v>331</v>
      </c>
    </row>
    <row r="563" spans="1:5" x14ac:dyDescent="0.3">
      <c r="A563" s="2">
        <v>4089</v>
      </c>
      <c r="B563" s="2" t="s">
        <v>890</v>
      </c>
      <c r="C563" s="2" t="s">
        <v>328</v>
      </c>
      <c r="D563" s="483">
        <v>63798</v>
      </c>
      <c r="E563" s="2" t="s">
        <v>331</v>
      </c>
    </row>
    <row r="564" spans="1:5" x14ac:dyDescent="0.3">
      <c r="A564" s="2">
        <v>4090</v>
      </c>
      <c r="B564" s="2" t="s">
        <v>891</v>
      </c>
      <c r="C564" s="2" t="s">
        <v>328</v>
      </c>
      <c r="D564" s="483">
        <v>61375</v>
      </c>
      <c r="E564" s="2" t="s">
        <v>331</v>
      </c>
    </row>
    <row r="565" spans="1:5" x14ac:dyDescent="0.3">
      <c r="A565" s="2">
        <v>4091</v>
      </c>
      <c r="B565" s="2" t="s">
        <v>892</v>
      </c>
      <c r="C565" s="2" t="s">
        <v>32</v>
      </c>
      <c r="D565" s="483">
        <v>915178</v>
      </c>
      <c r="E565" s="2" t="s">
        <v>331</v>
      </c>
    </row>
    <row r="566" spans="1:5" x14ac:dyDescent="0.3">
      <c r="A566" s="2">
        <v>4102</v>
      </c>
      <c r="B566" s="2" t="s">
        <v>893</v>
      </c>
      <c r="C566" s="2" t="s">
        <v>328</v>
      </c>
      <c r="D566" s="483">
        <v>166489</v>
      </c>
      <c r="E566" s="2" t="s">
        <v>331</v>
      </c>
    </row>
    <row r="567" spans="1:5" x14ac:dyDescent="0.3">
      <c r="A567" s="2">
        <v>4103</v>
      </c>
      <c r="B567" s="2" t="s">
        <v>894</v>
      </c>
      <c r="C567" s="2" t="s">
        <v>328</v>
      </c>
      <c r="D567" s="483">
        <v>180239</v>
      </c>
      <c r="E567" s="2" t="s">
        <v>331</v>
      </c>
    </row>
    <row r="568" spans="1:5" x14ac:dyDescent="0.3">
      <c r="A568" s="2">
        <v>4104</v>
      </c>
      <c r="B568" s="2" t="s">
        <v>895</v>
      </c>
      <c r="C568" s="2" t="s">
        <v>32</v>
      </c>
      <c r="D568" s="483">
        <v>812399</v>
      </c>
      <c r="E568" s="2" t="s">
        <v>331</v>
      </c>
    </row>
    <row r="569" spans="1:5" x14ac:dyDescent="0.3">
      <c r="A569" s="2">
        <v>4105</v>
      </c>
      <c r="B569" s="2" t="s">
        <v>896</v>
      </c>
      <c r="C569" s="2" t="s">
        <v>32</v>
      </c>
      <c r="D569" s="483">
        <v>1254255</v>
      </c>
      <c r="E569" s="2" t="s">
        <v>331</v>
      </c>
    </row>
    <row r="570" spans="1:5" x14ac:dyDescent="0.3">
      <c r="A570" s="2">
        <v>4106</v>
      </c>
      <c r="B570" s="2" t="s">
        <v>897</v>
      </c>
      <c r="C570" s="2" t="s">
        <v>32</v>
      </c>
      <c r="D570" s="483">
        <v>1220566</v>
      </c>
      <c r="E570" s="2" t="s">
        <v>331</v>
      </c>
    </row>
    <row r="571" spans="1:5" x14ac:dyDescent="0.3">
      <c r="A571" s="2">
        <v>4107</v>
      </c>
      <c r="B571" s="2" t="s">
        <v>898</v>
      </c>
      <c r="C571" s="2" t="s">
        <v>32</v>
      </c>
      <c r="D571" s="483">
        <v>1739380</v>
      </c>
      <c r="E571" s="2" t="s">
        <v>331</v>
      </c>
    </row>
    <row r="572" spans="1:5" x14ac:dyDescent="0.3">
      <c r="A572" s="2">
        <v>4108</v>
      </c>
      <c r="B572" s="2" t="s">
        <v>899</v>
      </c>
      <c r="C572" s="2" t="s">
        <v>32</v>
      </c>
      <c r="D572" s="483">
        <v>1636652</v>
      </c>
      <c r="E572" s="2" t="s">
        <v>331</v>
      </c>
    </row>
    <row r="573" spans="1:5" x14ac:dyDescent="0.3">
      <c r="A573" s="2">
        <v>4110</v>
      </c>
      <c r="B573" s="2" t="s">
        <v>900</v>
      </c>
      <c r="C573" s="2" t="s">
        <v>32</v>
      </c>
      <c r="D573" s="483">
        <v>3092626</v>
      </c>
      <c r="E573" s="2" t="s">
        <v>331</v>
      </c>
    </row>
    <row r="574" spans="1:5" x14ac:dyDescent="0.3">
      <c r="A574" s="2">
        <v>4111</v>
      </c>
      <c r="B574" s="2" t="s">
        <v>901</v>
      </c>
      <c r="C574" s="2" t="s">
        <v>30</v>
      </c>
      <c r="D574" s="483">
        <v>606608</v>
      </c>
      <c r="E574" s="2" t="s">
        <v>331</v>
      </c>
    </row>
    <row r="575" spans="1:5" x14ac:dyDescent="0.3">
      <c r="A575" s="2">
        <v>4113</v>
      </c>
      <c r="B575" s="2" t="s">
        <v>902</v>
      </c>
      <c r="C575" s="2" t="s">
        <v>32</v>
      </c>
      <c r="D575" s="483">
        <v>468998</v>
      </c>
      <c r="E575" s="2" t="s">
        <v>331</v>
      </c>
    </row>
    <row r="576" spans="1:5" x14ac:dyDescent="0.3">
      <c r="A576" s="2">
        <v>4114</v>
      </c>
      <c r="B576" s="2" t="s">
        <v>903</v>
      </c>
      <c r="C576" s="2" t="s">
        <v>32</v>
      </c>
      <c r="D576" s="483">
        <v>380027</v>
      </c>
      <c r="E576" s="2" t="s">
        <v>331</v>
      </c>
    </row>
    <row r="577" spans="1:5" x14ac:dyDescent="0.3">
      <c r="A577" s="2">
        <v>4115</v>
      </c>
      <c r="B577" s="2" t="s">
        <v>904</v>
      </c>
      <c r="C577" s="2" t="s">
        <v>32</v>
      </c>
      <c r="D577" s="483">
        <v>414504</v>
      </c>
      <c r="E577" s="2" t="s">
        <v>331</v>
      </c>
    </row>
    <row r="578" spans="1:5" x14ac:dyDescent="0.3">
      <c r="A578" s="2">
        <v>4116</v>
      </c>
      <c r="B578" s="2" t="s">
        <v>905</v>
      </c>
      <c r="C578" s="2" t="s">
        <v>32</v>
      </c>
      <c r="D578" s="483">
        <v>485680</v>
      </c>
      <c r="E578" s="2" t="s">
        <v>331</v>
      </c>
    </row>
    <row r="579" spans="1:5" x14ac:dyDescent="0.3">
      <c r="A579" s="2">
        <v>4117</v>
      </c>
      <c r="B579" s="2" t="s">
        <v>906</v>
      </c>
      <c r="C579" s="2" t="s">
        <v>32</v>
      </c>
      <c r="D579" s="483">
        <v>521268</v>
      </c>
      <c r="E579" s="2" t="s">
        <v>331</v>
      </c>
    </row>
    <row r="580" spans="1:5" x14ac:dyDescent="0.3">
      <c r="A580" s="2">
        <v>4118</v>
      </c>
      <c r="B580" s="2" t="s">
        <v>907</v>
      </c>
      <c r="C580" s="2" t="s">
        <v>32</v>
      </c>
      <c r="D580" s="483">
        <v>423401</v>
      </c>
      <c r="E580" s="2" t="s">
        <v>331</v>
      </c>
    </row>
    <row r="581" spans="1:5" x14ac:dyDescent="0.3">
      <c r="A581" s="2">
        <v>4119</v>
      </c>
      <c r="B581" s="2" t="s">
        <v>908</v>
      </c>
      <c r="C581" s="2" t="s">
        <v>32</v>
      </c>
      <c r="D581" s="483">
        <v>503474</v>
      </c>
      <c r="E581" s="2" t="s">
        <v>331</v>
      </c>
    </row>
    <row r="582" spans="1:5" x14ac:dyDescent="0.3">
      <c r="A582" s="2">
        <v>4120</v>
      </c>
      <c r="B582" s="2" t="s">
        <v>909</v>
      </c>
      <c r="C582" s="2" t="s">
        <v>32</v>
      </c>
      <c r="D582" s="483">
        <v>542398</v>
      </c>
      <c r="E582" s="2" t="s">
        <v>331</v>
      </c>
    </row>
    <row r="583" spans="1:5" x14ac:dyDescent="0.3">
      <c r="A583" s="2">
        <v>4121</v>
      </c>
      <c r="B583" s="2" t="s">
        <v>910</v>
      </c>
      <c r="C583" s="2" t="s">
        <v>32</v>
      </c>
      <c r="D583" s="483">
        <v>403382</v>
      </c>
      <c r="E583" s="2" t="s">
        <v>331</v>
      </c>
    </row>
    <row r="584" spans="1:5" x14ac:dyDescent="0.3">
      <c r="A584" s="2">
        <v>4122</v>
      </c>
      <c r="B584" s="2" t="s">
        <v>911</v>
      </c>
      <c r="C584" s="2" t="s">
        <v>32</v>
      </c>
      <c r="D584" s="483">
        <v>374467</v>
      </c>
      <c r="E584" s="2" t="s">
        <v>331</v>
      </c>
    </row>
    <row r="585" spans="1:5" x14ac:dyDescent="0.3">
      <c r="A585" s="2">
        <v>4123</v>
      </c>
      <c r="B585" s="2" t="s">
        <v>912</v>
      </c>
      <c r="C585" s="2" t="s">
        <v>32</v>
      </c>
      <c r="D585" s="483">
        <v>393373</v>
      </c>
      <c r="E585" s="2" t="s">
        <v>331</v>
      </c>
    </row>
    <row r="586" spans="1:5" x14ac:dyDescent="0.3">
      <c r="A586" s="2">
        <v>4124</v>
      </c>
      <c r="B586" s="2" t="s">
        <v>913</v>
      </c>
      <c r="C586" s="2" t="s">
        <v>32</v>
      </c>
      <c r="D586" s="483">
        <v>451204</v>
      </c>
      <c r="E586" s="2" t="s">
        <v>331</v>
      </c>
    </row>
    <row r="587" spans="1:5" x14ac:dyDescent="0.3">
      <c r="A587" s="2">
        <v>4125</v>
      </c>
      <c r="B587" s="2" t="s">
        <v>914</v>
      </c>
      <c r="C587" s="2" t="s">
        <v>32</v>
      </c>
      <c r="D587" s="483">
        <v>346161</v>
      </c>
      <c r="E587" s="2" t="s">
        <v>331</v>
      </c>
    </row>
    <row r="588" spans="1:5" x14ac:dyDescent="0.3">
      <c r="A588" s="2">
        <v>4126</v>
      </c>
      <c r="B588" s="2" t="s">
        <v>915</v>
      </c>
      <c r="C588" s="2" t="s">
        <v>32</v>
      </c>
      <c r="D588" s="483">
        <v>309867</v>
      </c>
      <c r="E588" s="2" t="s">
        <v>331</v>
      </c>
    </row>
    <row r="589" spans="1:5" x14ac:dyDescent="0.3">
      <c r="A589" s="2">
        <v>4127</v>
      </c>
      <c r="B589" s="2" t="s">
        <v>916</v>
      </c>
      <c r="C589" s="2" t="s">
        <v>32</v>
      </c>
      <c r="D589" s="483">
        <v>460370</v>
      </c>
      <c r="E589" s="2" t="s">
        <v>331</v>
      </c>
    </row>
    <row r="590" spans="1:5" x14ac:dyDescent="0.3">
      <c r="A590" s="2">
        <v>4128</v>
      </c>
      <c r="B590" s="2" t="s">
        <v>917</v>
      </c>
      <c r="C590" s="2" t="s">
        <v>328</v>
      </c>
      <c r="D590" s="483">
        <v>121479</v>
      </c>
      <c r="E590" s="2" t="s">
        <v>331</v>
      </c>
    </row>
    <row r="591" spans="1:5" x14ac:dyDescent="0.3">
      <c r="A591" s="2">
        <v>4129</v>
      </c>
      <c r="B591" s="2" t="s">
        <v>918</v>
      </c>
      <c r="C591" s="2" t="s">
        <v>328</v>
      </c>
      <c r="D591" s="483">
        <v>245903</v>
      </c>
      <c r="E591" s="2" t="s">
        <v>331</v>
      </c>
    </row>
    <row r="592" spans="1:5" x14ac:dyDescent="0.3">
      <c r="A592" s="2">
        <v>4130</v>
      </c>
      <c r="B592" s="2" t="s">
        <v>919</v>
      </c>
      <c r="C592" s="2" t="s">
        <v>32</v>
      </c>
      <c r="D592" s="483">
        <v>816886</v>
      </c>
      <c r="E592" s="2" t="s">
        <v>331</v>
      </c>
    </row>
    <row r="593" spans="1:5" x14ac:dyDescent="0.3">
      <c r="A593" s="2">
        <v>4131</v>
      </c>
      <c r="B593" s="2" t="s">
        <v>920</v>
      </c>
      <c r="C593" s="2" t="s">
        <v>32</v>
      </c>
      <c r="D593" s="483">
        <v>1317418</v>
      </c>
      <c r="E593" s="2" t="s">
        <v>331</v>
      </c>
    </row>
    <row r="594" spans="1:5" x14ac:dyDescent="0.3">
      <c r="A594" s="2">
        <v>4132</v>
      </c>
      <c r="B594" s="2" t="s">
        <v>921</v>
      </c>
      <c r="C594" s="2" t="s">
        <v>32</v>
      </c>
      <c r="D594" s="483">
        <v>2076812</v>
      </c>
      <c r="E594" s="2" t="s">
        <v>331</v>
      </c>
    </row>
    <row r="595" spans="1:5" x14ac:dyDescent="0.3">
      <c r="A595" s="2">
        <v>4133</v>
      </c>
      <c r="B595" s="2" t="s">
        <v>922</v>
      </c>
      <c r="C595" s="2" t="s">
        <v>32</v>
      </c>
      <c r="D595" s="483">
        <v>3015583</v>
      </c>
      <c r="E595" s="2" t="s">
        <v>331</v>
      </c>
    </row>
    <row r="596" spans="1:5" x14ac:dyDescent="0.3">
      <c r="A596" s="2">
        <v>4134</v>
      </c>
      <c r="B596" s="2" t="s">
        <v>923</v>
      </c>
      <c r="C596" s="2" t="s">
        <v>30</v>
      </c>
      <c r="D596" s="483">
        <v>665083</v>
      </c>
      <c r="E596" s="2" t="s">
        <v>331</v>
      </c>
    </row>
    <row r="597" spans="1:5" x14ac:dyDescent="0.3">
      <c r="A597" s="2">
        <v>4135</v>
      </c>
      <c r="B597" s="2" t="s">
        <v>924</v>
      </c>
      <c r="C597" s="2" t="s">
        <v>30</v>
      </c>
      <c r="D597" s="483">
        <v>686355</v>
      </c>
      <c r="E597" s="2" t="s">
        <v>331</v>
      </c>
    </row>
    <row r="598" spans="1:5" x14ac:dyDescent="0.3">
      <c r="A598" s="2">
        <v>4136</v>
      </c>
      <c r="B598" s="2" t="s">
        <v>925</v>
      </c>
      <c r="C598" s="2" t="s">
        <v>32</v>
      </c>
      <c r="D598" s="483">
        <v>6277</v>
      </c>
      <c r="E598" s="2" t="s">
        <v>331</v>
      </c>
    </row>
    <row r="599" spans="1:5" x14ac:dyDescent="0.3">
      <c r="A599" s="2">
        <v>4137</v>
      </c>
      <c r="B599" s="2" t="s">
        <v>926</v>
      </c>
      <c r="C599" s="2" t="s">
        <v>21</v>
      </c>
      <c r="D599" s="483">
        <v>143992</v>
      </c>
      <c r="E599" s="2" t="s">
        <v>331</v>
      </c>
    </row>
    <row r="600" spans="1:5" x14ac:dyDescent="0.3">
      <c r="A600" s="2">
        <v>4138</v>
      </c>
      <c r="B600" s="2" t="s">
        <v>927</v>
      </c>
      <c r="C600" s="2" t="s">
        <v>32</v>
      </c>
      <c r="D600" s="483">
        <v>187264</v>
      </c>
      <c r="E600" s="2" t="s">
        <v>331</v>
      </c>
    </row>
    <row r="601" spans="1:5" x14ac:dyDescent="0.3">
      <c r="A601" s="2">
        <v>4140</v>
      </c>
      <c r="B601" s="2" t="s">
        <v>928</v>
      </c>
      <c r="C601" s="2" t="s">
        <v>30</v>
      </c>
      <c r="D601" s="483">
        <v>210394</v>
      </c>
      <c r="E601" s="2" t="s">
        <v>331</v>
      </c>
    </row>
    <row r="602" spans="1:5" x14ac:dyDescent="0.3">
      <c r="A602" s="2">
        <v>4142</v>
      </c>
      <c r="B602" s="2" t="s">
        <v>929</v>
      </c>
      <c r="C602" s="2" t="s">
        <v>30</v>
      </c>
      <c r="D602" s="483">
        <v>188949</v>
      </c>
      <c r="E602" s="2" t="s">
        <v>331</v>
      </c>
    </row>
    <row r="603" spans="1:5" x14ac:dyDescent="0.3">
      <c r="A603" s="2">
        <v>4143</v>
      </c>
      <c r="B603" s="2" t="s">
        <v>930</v>
      </c>
      <c r="C603" s="2" t="s">
        <v>328</v>
      </c>
      <c r="D603" s="483">
        <v>45643</v>
      </c>
      <c r="E603" s="2" t="s">
        <v>331</v>
      </c>
    </row>
    <row r="604" spans="1:5" x14ac:dyDescent="0.3">
      <c r="A604" s="2">
        <v>4144</v>
      </c>
      <c r="B604" s="2" t="s">
        <v>931</v>
      </c>
      <c r="C604" s="2" t="s">
        <v>328</v>
      </c>
      <c r="D604" s="483">
        <v>92615</v>
      </c>
      <c r="E604" s="2" t="s">
        <v>331</v>
      </c>
    </row>
    <row r="605" spans="1:5" x14ac:dyDescent="0.3">
      <c r="A605" s="2">
        <v>4154</v>
      </c>
      <c r="B605" s="2" t="s">
        <v>932</v>
      </c>
      <c r="C605" s="2" t="s">
        <v>21</v>
      </c>
      <c r="D605" s="483">
        <v>969</v>
      </c>
      <c r="E605" s="2" t="s">
        <v>331</v>
      </c>
    </row>
    <row r="606" spans="1:5" x14ac:dyDescent="0.3">
      <c r="A606" s="2">
        <v>4155</v>
      </c>
      <c r="B606" s="2" t="s">
        <v>933</v>
      </c>
      <c r="C606" s="2" t="s">
        <v>30</v>
      </c>
      <c r="D606" s="483">
        <v>90628</v>
      </c>
      <c r="E606" s="2" t="s">
        <v>331</v>
      </c>
    </row>
    <row r="607" spans="1:5" x14ac:dyDescent="0.3">
      <c r="A607" s="2">
        <v>4156</v>
      </c>
      <c r="B607" s="2" t="s">
        <v>934</v>
      </c>
      <c r="C607" s="2" t="s">
        <v>30</v>
      </c>
      <c r="D607" s="483">
        <v>178654</v>
      </c>
      <c r="E607" s="2" t="s">
        <v>331</v>
      </c>
    </row>
    <row r="608" spans="1:5" x14ac:dyDescent="0.3">
      <c r="A608" s="2">
        <v>4157</v>
      </c>
      <c r="B608" s="2" t="s">
        <v>935</v>
      </c>
      <c r="C608" s="2" t="s">
        <v>30</v>
      </c>
      <c r="D608" s="483">
        <v>187846</v>
      </c>
      <c r="E608" s="2" t="s">
        <v>331</v>
      </c>
    </row>
    <row r="609" spans="1:5" x14ac:dyDescent="0.3">
      <c r="A609" s="2">
        <v>4158</v>
      </c>
      <c r="B609" s="2" t="s">
        <v>936</v>
      </c>
      <c r="C609" s="2" t="s">
        <v>30</v>
      </c>
      <c r="D609" s="483">
        <v>191915</v>
      </c>
      <c r="E609" s="2" t="s">
        <v>331</v>
      </c>
    </row>
    <row r="610" spans="1:5" x14ac:dyDescent="0.3">
      <c r="A610" s="2">
        <v>4159</v>
      </c>
      <c r="B610" s="2" t="s">
        <v>937</v>
      </c>
      <c r="C610" s="2" t="s">
        <v>30</v>
      </c>
      <c r="D610" s="483">
        <v>167049</v>
      </c>
      <c r="E610" s="2" t="s">
        <v>331</v>
      </c>
    </row>
    <row r="611" spans="1:5" x14ac:dyDescent="0.3">
      <c r="A611" s="2">
        <v>4160</v>
      </c>
      <c r="B611" s="2" t="s">
        <v>938</v>
      </c>
      <c r="C611" s="2" t="s">
        <v>30</v>
      </c>
      <c r="D611" s="483">
        <v>170143</v>
      </c>
      <c r="E611" s="2" t="s">
        <v>331</v>
      </c>
    </row>
    <row r="612" spans="1:5" x14ac:dyDescent="0.3">
      <c r="A612" s="2">
        <v>4161</v>
      </c>
      <c r="B612" s="2" t="s">
        <v>939</v>
      </c>
      <c r="C612" s="2" t="s">
        <v>30</v>
      </c>
      <c r="D612" s="483">
        <v>175866</v>
      </c>
      <c r="E612" s="2" t="s">
        <v>331</v>
      </c>
    </row>
    <row r="613" spans="1:5" x14ac:dyDescent="0.3">
      <c r="A613" s="2">
        <v>4195</v>
      </c>
      <c r="B613" s="2" t="s">
        <v>940</v>
      </c>
      <c r="C613" s="2" t="s">
        <v>21</v>
      </c>
      <c r="D613" s="483">
        <v>565</v>
      </c>
      <c r="E613" s="2" t="s">
        <v>331</v>
      </c>
    </row>
    <row r="614" spans="1:5" x14ac:dyDescent="0.3">
      <c r="A614" s="2">
        <v>4197</v>
      </c>
      <c r="B614" s="2" t="s">
        <v>941</v>
      </c>
      <c r="C614" s="2" t="s">
        <v>21</v>
      </c>
      <c r="D614" s="483">
        <v>4645</v>
      </c>
      <c r="E614" s="2" t="s">
        <v>331</v>
      </c>
    </row>
    <row r="615" spans="1:5" x14ac:dyDescent="0.3">
      <c r="A615" s="2">
        <v>4198</v>
      </c>
      <c r="B615" s="2" t="s">
        <v>942</v>
      </c>
      <c r="C615" s="2" t="s">
        <v>21</v>
      </c>
      <c r="D615" s="483">
        <v>4868</v>
      </c>
      <c r="E615" s="2" t="s">
        <v>331</v>
      </c>
    </row>
    <row r="616" spans="1:5" x14ac:dyDescent="0.3">
      <c r="A616" s="2">
        <v>4200</v>
      </c>
      <c r="B616" s="2" t="s">
        <v>943</v>
      </c>
      <c r="C616" s="2" t="s">
        <v>30</v>
      </c>
      <c r="D616" s="483">
        <v>1153387</v>
      </c>
      <c r="E616" s="2" t="s">
        <v>331</v>
      </c>
    </row>
    <row r="617" spans="1:5" x14ac:dyDescent="0.3">
      <c r="A617" s="2">
        <v>4203</v>
      </c>
      <c r="B617" s="2" t="s">
        <v>944</v>
      </c>
      <c r="C617" s="2" t="s">
        <v>30</v>
      </c>
      <c r="D617" s="483">
        <v>1369842</v>
      </c>
      <c r="E617" s="2" t="s">
        <v>331</v>
      </c>
    </row>
    <row r="618" spans="1:5" x14ac:dyDescent="0.3">
      <c r="A618" s="2">
        <v>4207</v>
      </c>
      <c r="B618" s="2" t="s">
        <v>945</v>
      </c>
      <c r="C618" s="2" t="s">
        <v>30</v>
      </c>
      <c r="D618" s="483">
        <v>1514156</v>
      </c>
      <c r="E618" s="2" t="s">
        <v>331</v>
      </c>
    </row>
    <row r="619" spans="1:5" x14ac:dyDescent="0.3">
      <c r="A619" s="2">
        <v>4229</v>
      </c>
      <c r="B619" s="2" t="s">
        <v>946</v>
      </c>
      <c r="C619" s="2" t="s">
        <v>30</v>
      </c>
      <c r="D619" s="483">
        <v>811122</v>
      </c>
      <c r="E619" s="2" t="s">
        <v>331</v>
      </c>
    </row>
    <row r="620" spans="1:5" x14ac:dyDescent="0.3">
      <c r="A620" s="2">
        <v>4230</v>
      </c>
      <c r="B620" s="2" t="s">
        <v>947</v>
      </c>
      <c r="C620" s="2" t="s">
        <v>30</v>
      </c>
      <c r="D620" s="483">
        <v>775938</v>
      </c>
      <c r="E620" s="2" t="s">
        <v>331</v>
      </c>
    </row>
    <row r="621" spans="1:5" x14ac:dyDescent="0.3">
      <c r="A621" s="2">
        <v>4232</v>
      </c>
      <c r="B621" s="2" t="s">
        <v>948</v>
      </c>
      <c r="C621" s="2" t="s">
        <v>670</v>
      </c>
      <c r="D621" s="483">
        <v>7346</v>
      </c>
      <c r="E621" s="2" t="s">
        <v>331</v>
      </c>
    </row>
    <row r="622" spans="1:5" x14ac:dyDescent="0.3">
      <c r="A622" s="2">
        <v>4233</v>
      </c>
      <c r="B622" s="2" t="s">
        <v>949</v>
      </c>
      <c r="C622" s="2" t="s">
        <v>670</v>
      </c>
      <c r="D622" s="483">
        <v>7346</v>
      </c>
      <c r="E622" s="2" t="s">
        <v>331</v>
      </c>
    </row>
    <row r="623" spans="1:5" x14ac:dyDescent="0.3">
      <c r="A623" s="2">
        <v>4234</v>
      </c>
      <c r="B623" s="2" t="s">
        <v>950</v>
      </c>
      <c r="C623" s="2" t="s">
        <v>670</v>
      </c>
      <c r="D623" s="483">
        <v>7346</v>
      </c>
      <c r="E623" s="2" t="s">
        <v>331</v>
      </c>
    </row>
    <row r="624" spans="1:5" x14ac:dyDescent="0.3">
      <c r="A624" s="2">
        <v>4235</v>
      </c>
      <c r="B624" s="2" t="s">
        <v>951</v>
      </c>
      <c r="C624" s="2" t="s">
        <v>670</v>
      </c>
      <c r="D624" s="483">
        <v>7346</v>
      </c>
      <c r="E624" s="2" t="s">
        <v>331</v>
      </c>
    </row>
    <row r="625" spans="1:5" x14ac:dyDescent="0.3">
      <c r="A625" s="2">
        <v>4236</v>
      </c>
      <c r="B625" s="2" t="s">
        <v>952</v>
      </c>
      <c r="C625" s="2" t="s">
        <v>670</v>
      </c>
      <c r="D625" s="483">
        <v>7346</v>
      </c>
      <c r="E625" s="2" t="s">
        <v>331</v>
      </c>
    </row>
    <row r="626" spans="1:5" x14ac:dyDescent="0.3">
      <c r="A626" s="2">
        <v>4237</v>
      </c>
      <c r="B626" s="2" t="s">
        <v>953</v>
      </c>
      <c r="C626" s="2" t="s">
        <v>670</v>
      </c>
      <c r="D626" s="483">
        <v>7346</v>
      </c>
      <c r="E626" s="2" t="s">
        <v>331</v>
      </c>
    </row>
    <row r="627" spans="1:5" x14ac:dyDescent="0.3">
      <c r="A627" s="2">
        <v>4238</v>
      </c>
      <c r="B627" s="2" t="s">
        <v>954</v>
      </c>
      <c r="C627" s="2" t="s">
        <v>670</v>
      </c>
      <c r="D627" s="483">
        <v>7346</v>
      </c>
      <c r="E627" s="2" t="s">
        <v>331</v>
      </c>
    </row>
    <row r="628" spans="1:5" x14ac:dyDescent="0.3">
      <c r="A628" s="2">
        <v>4239</v>
      </c>
      <c r="B628" s="2" t="s">
        <v>955</v>
      </c>
      <c r="C628" s="2" t="s">
        <v>328</v>
      </c>
      <c r="D628" s="483">
        <v>6643</v>
      </c>
      <c r="E628" s="2" t="s">
        <v>331</v>
      </c>
    </row>
    <row r="629" spans="1:5" x14ac:dyDescent="0.3">
      <c r="A629" s="2">
        <v>4240</v>
      </c>
      <c r="B629" s="2" t="s">
        <v>956</v>
      </c>
      <c r="C629" s="2" t="s">
        <v>328</v>
      </c>
      <c r="D629" s="483">
        <v>18177</v>
      </c>
      <c r="E629" s="2" t="s">
        <v>367</v>
      </c>
    </row>
    <row r="630" spans="1:5" x14ac:dyDescent="0.3">
      <c r="A630" s="2">
        <v>4241</v>
      </c>
      <c r="B630" s="2" t="s">
        <v>957</v>
      </c>
      <c r="C630" s="2" t="s">
        <v>328</v>
      </c>
      <c r="D630" s="483">
        <v>18177</v>
      </c>
      <c r="E630" s="2" t="s">
        <v>367</v>
      </c>
    </row>
    <row r="631" spans="1:5" x14ac:dyDescent="0.3">
      <c r="A631" s="2">
        <v>4242</v>
      </c>
      <c r="B631" s="2" t="s">
        <v>958</v>
      </c>
      <c r="C631" s="2" t="s">
        <v>328</v>
      </c>
      <c r="D631" s="483">
        <v>22721</v>
      </c>
      <c r="E631" s="2" t="s">
        <v>367</v>
      </c>
    </row>
    <row r="632" spans="1:5" x14ac:dyDescent="0.3">
      <c r="A632" s="2">
        <v>4243</v>
      </c>
      <c r="B632" s="2" t="s">
        <v>959</v>
      </c>
      <c r="C632" s="2" t="s">
        <v>328</v>
      </c>
      <c r="D632" s="483">
        <v>22721</v>
      </c>
      <c r="E632" s="2" t="s">
        <v>367</v>
      </c>
    </row>
    <row r="633" spans="1:5" x14ac:dyDescent="0.3">
      <c r="A633" s="2">
        <v>4244</v>
      </c>
      <c r="B633" s="2" t="s">
        <v>960</v>
      </c>
      <c r="C633" s="2" t="s">
        <v>32</v>
      </c>
      <c r="D633" s="483">
        <v>228720</v>
      </c>
      <c r="E633" s="2" t="s">
        <v>367</v>
      </c>
    </row>
    <row r="634" spans="1:5" x14ac:dyDescent="0.3">
      <c r="A634" s="2">
        <v>4245</v>
      </c>
      <c r="B634" s="2" t="s">
        <v>961</v>
      </c>
      <c r="C634" s="2" t="s">
        <v>32</v>
      </c>
      <c r="D634" s="483">
        <v>330205</v>
      </c>
      <c r="E634" s="2" t="s">
        <v>367</v>
      </c>
    </row>
    <row r="635" spans="1:5" x14ac:dyDescent="0.3">
      <c r="A635" s="2">
        <v>4246</v>
      </c>
      <c r="B635" s="2" t="s">
        <v>962</v>
      </c>
      <c r="C635" s="2" t="s">
        <v>32</v>
      </c>
      <c r="D635" s="483">
        <v>181765</v>
      </c>
      <c r="E635" s="2" t="s">
        <v>367</v>
      </c>
    </row>
    <row r="636" spans="1:5" x14ac:dyDescent="0.3">
      <c r="A636" s="2">
        <v>4247</v>
      </c>
      <c r="B636" s="2" t="s">
        <v>963</v>
      </c>
      <c r="C636" s="2" t="s">
        <v>21</v>
      </c>
      <c r="D636" s="483">
        <v>151470</v>
      </c>
      <c r="E636" s="2" t="s">
        <v>367</v>
      </c>
    </row>
    <row r="637" spans="1:5" x14ac:dyDescent="0.3">
      <c r="A637" s="2">
        <v>4248</v>
      </c>
      <c r="B637" s="2" t="s">
        <v>964</v>
      </c>
      <c r="C637" s="2" t="s">
        <v>21</v>
      </c>
      <c r="D637" s="483">
        <v>151470</v>
      </c>
      <c r="E637" s="2" t="s">
        <v>367</v>
      </c>
    </row>
    <row r="638" spans="1:5" x14ac:dyDescent="0.3">
      <c r="A638" s="2">
        <v>4249</v>
      </c>
      <c r="B638" s="2" t="s">
        <v>965</v>
      </c>
      <c r="C638" s="2" t="s">
        <v>328</v>
      </c>
      <c r="D638" s="483">
        <v>22721</v>
      </c>
      <c r="E638" s="2" t="s">
        <v>367</v>
      </c>
    </row>
    <row r="639" spans="1:5" x14ac:dyDescent="0.3">
      <c r="A639" s="2">
        <v>4252</v>
      </c>
      <c r="B639" s="2" t="s">
        <v>966</v>
      </c>
      <c r="C639" s="2" t="s">
        <v>32</v>
      </c>
      <c r="D639" s="483">
        <v>2180024</v>
      </c>
      <c r="E639" s="2" t="s">
        <v>331</v>
      </c>
    </row>
    <row r="640" spans="1:5" x14ac:dyDescent="0.3">
      <c r="A640" s="2">
        <v>4253</v>
      </c>
      <c r="B640" s="2" t="s">
        <v>967</v>
      </c>
      <c r="C640" s="2" t="s">
        <v>32</v>
      </c>
      <c r="D640" s="483">
        <v>905814</v>
      </c>
      <c r="E640" s="2" t="s">
        <v>331</v>
      </c>
    </row>
    <row r="641" spans="1:5" x14ac:dyDescent="0.3">
      <c r="A641" s="2">
        <v>4261</v>
      </c>
      <c r="B641" s="2" t="s">
        <v>968</v>
      </c>
      <c r="C641" s="2" t="s">
        <v>30</v>
      </c>
      <c r="D641" s="483">
        <v>705469</v>
      </c>
      <c r="E641" s="2" t="s">
        <v>331</v>
      </c>
    </row>
    <row r="642" spans="1:5" x14ac:dyDescent="0.3">
      <c r="A642" s="2">
        <v>4262</v>
      </c>
      <c r="B642" s="2" t="s">
        <v>969</v>
      </c>
      <c r="C642" s="2" t="s">
        <v>30</v>
      </c>
      <c r="D642" s="483">
        <v>5741</v>
      </c>
      <c r="E642" s="2" t="s">
        <v>331</v>
      </c>
    </row>
    <row r="643" spans="1:5" x14ac:dyDescent="0.3">
      <c r="A643" s="2">
        <v>4264</v>
      </c>
      <c r="B643" s="2" t="s">
        <v>970</v>
      </c>
      <c r="C643" s="2" t="s">
        <v>328</v>
      </c>
      <c r="D643" s="483">
        <v>63806</v>
      </c>
      <c r="E643" s="2" t="s">
        <v>331</v>
      </c>
    </row>
    <row r="644" spans="1:5" x14ac:dyDescent="0.3">
      <c r="A644" s="2">
        <v>4265</v>
      </c>
      <c r="B644" s="2" t="s">
        <v>971</v>
      </c>
      <c r="C644" s="2" t="s">
        <v>328</v>
      </c>
      <c r="D644" s="483">
        <v>143898</v>
      </c>
      <c r="E644" s="2" t="s">
        <v>331</v>
      </c>
    </row>
    <row r="645" spans="1:5" x14ac:dyDescent="0.3">
      <c r="A645" s="2">
        <v>4266</v>
      </c>
      <c r="B645" s="2" t="s">
        <v>972</v>
      </c>
      <c r="C645" s="2" t="s">
        <v>30</v>
      </c>
      <c r="D645" s="483">
        <v>60189</v>
      </c>
      <c r="E645" s="2" t="s">
        <v>324</v>
      </c>
    </row>
    <row r="646" spans="1:5" x14ac:dyDescent="0.3">
      <c r="A646" s="2">
        <v>4273</v>
      </c>
      <c r="B646" s="2" t="s">
        <v>973</v>
      </c>
      <c r="C646" s="2" t="s">
        <v>692</v>
      </c>
      <c r="D646" s="483">
        <v>193174</v>
      </c>
      <c r="E646" s="2" t="s">
        <v>324</v>
      </c>
    </row>
    <row r="647" spans="1:5" x14ac:dyDescent="0.3">
      <c r="A647" s="2">
        <v>4274</v>
      </c>
      <c r="B647" s="2" t="s">
        <v>974</v>
      </c>
      <c r="C647" s="2" t="s">
        <v>692</v>
      </c>
      <c r="D647" s="483">
        <v>272585</v>
      </c>
      <c r="E647" s="2" t="s">
        <v>324</v>
      </c>
    </row>
    <row r="648" spans="1:5" x14ac:dyDescent="0.3">
      <c r="A648" s="2">
        <v>4275</v>
      </c>
      <c r="B648" s="2" t="s">
        <v>975</v>
      </c>
      <c r="C648" s="2" t="s">
        <v>692</v>
      </c>
      <c r="D648" s="483">
        <v>210350</v>
      </c>
      <c r="E648" s="2" t="s">
        <v>324</v>
      </c>
    </row>
    <row r="649" spans="1:5" x14ac:dyDescent="0.3">
      <c r="A649" s="2">
        <v>4276</v>
      </c>
      <c r="B649" s="2" t="s">
        <v>976</v>
      </c>
      <c r="C649" s="2" t="s">
        <v>692</v>
      </c>
      <c r="D649" s="483">
        <v>289761</v>
      </c>
      <c r="E649" s="2" t="s">
        <v>324</v>
      </c>
    </row>
    <row r="650" spans="1:5" x14ac:dyDescent="0.3">
      <c r="A650" s="2">
        <v>4277</v>
      </c>
      <c r="B650" s="2" t="s">
        <v>977</v>
      </c>
      <c r="C650" s="2" t="s">
        <v>692</v>
      </c>
      <c r="D650" s="483">
        <v>210350</v>
      </c>
      <c r="E650" s="2" t="s">
        <v>324</v>
      </c>
    </row>
    <row r="651" spans="1:5" x14ac:dyDescent="0.3">
      <c r="A651" s="2">
        <v>4278</v>
      </c>
      <c r="B651" s="2" t="s">
        <v>978</v>
      </c>
      <c r="C651" s="2" t="s">
        <v>979</v>
      </c>
      <c r="D651" s="483">
        <v>24662</v>
      </c>
      <c r="E651" s="2" t="s">
        <v>324</v>
      </c>
    </row>
    <row r="652" spans="1:5" x14ac:dyDescent="0.3">
      <c r="A652" s="2">
        <v>4279</v>
      </c>
      <c r="B652" s="2" t="s">
        <v>980</v>
      </c>
      <c r="C652" s="2" t="s">
        <v>979</v>
      </c>
      <c r="D652" s="483">
        <v>34801</v>
      </c>
      <c r="E652" s="2" t="s">
        <v>324</v>
      </c>
    </row>
    <row r="653" spans="1:5" x14ac:dyDescent="0.3">
      <c r="A653" s="2">
        <v>4280</v>
      </c>
      <c r="B653" s="2" t="s">
        <v>981</v>
      </c>
      <c r="C653" s="2" t="s">
        <v>979</v>
      </c>
      <c r="D653" s="483">
        <v>26854</v>
      </c>
      <c r="E653" s="2" t="s">
        <v>324</v>
      </c>
    </row>
    <row r="654" spans="1:5" x14ac:dyDescent="0.3">
      <c r="A654" s="2">
        <v>4281</v>
      </c>
      <c r="B654" s="2" t="s">
        <v>982</v>
      </c>
      <c r="C654" s="2" t="s">
        <v>979</v>
      </c>
      <c r="D654" s="483">
        <v>36993</v>
      </c>
      <c r="E654" s="2" t="s">
        <v>324</v>
      </c>
    </row>
    <row r="655" spans="1:5" x14ac:dyDescent="0.3">
      <c r="A655" s="2">
        <v>4282</v>
      </c>
      <c r="B655" s="2" t="s">
        <v>983</v>
      </c>
      <c r="C655" s="2" t="s">
        <v>979</v>
      </c>
      <c r="D655" s="483">
        <v>26856</v>
      </c>
      <c r="E655" s="2" t="s">
        <v>324</v>
      </c>
    </row>
    <row r="656" spans="1:5" x14ac:dyDescent="0.3">
      <c r="A656" s="2">
        <v>4283</v>
      </c>
      <c r="B656" s="2" t="s">
        <v>984</v>
      </c>
      <c r="C656" s="2" t="s">
        <v>692</v>
      </c>
      <c r="D656" s="483">
        <v>289761</v>
      </c>
      <c r="E656" s="2" t="s">
        <v>324</v>
      </c>
    </row>
    <row r="657" spans="1:5" x14ac:dyDescent="0.3">
      <c r="A657" s="2">
        <v>4284</v>
      </c>
      <c r="B657" s="2" t="s">
        <v>985</v>
      </c>
      <c r="C657" s="2" t="s">
        <v>979</v>
      </c>
      <c r="D657" s="483">
        <v>55076</v>
      </c>
      <c r="E657" s="2" t="s">
        <v>324</v>
      </c>
    </row>
    <row r="658" spans="1:5" x14ac:dyDescent="0.3">
      <c r="A658" s="2">
        <v>4285</v>
      </c>
      <c r="B658" s="2" t="s">
        <v>986</v>
      </c>
      <c r="C658" s="2" t="s">
        <v>692</v>
      </c>
      <c r="D658" s="483">
        <v>431407</v>
      </c>
      <c r="E658" s="2" t="s">
        <v>324</v>
      </c>
    </row>
    <row r="659" spans="1:5" x14ac:dyDescent="0.3">
      <c r="A659" s="2">
        <v>4286</v>
      </c>
      <c r="B659" s="2" t="s">
        <v>987</v>
      </c>
      <c r="C659" s="2" t="s">
        <v>692</v>
      </c>
      <c r="D659" s="483">
        <v>817752</v>
      </c>
      <c r="E659" s="2" t="s">
        <v>324</v>
      </c>
    </row>
    <row r="660" spans="1:5" x14ac:dyDescent="0.3">
      <c r="A660" s="2">
        <v>4287</v>
      </c>
      <c r="B660" s="2" t="s">
        <v>988</v>
      </c>
      <c r="C660" s="2" t="s">
        <v>979</v>
      </c>
      <c r="D660" s="483">
        <v>44940</v>
      </c>
      <c r="E660" s="2" t="s">
        <v>324</v>
      </c>
    </row>
    <row r="661" spans="1:5" x14ac:dyDescent="0.3">
      <c r="A661" s="2">
        <v>4288</v>
      </c>
      <c r="B661" s="2" t="s">
        <v>989</v>
      </c>
      <c r="C661" s="2" t="s">
        <v>692</v>
      </c>
      <c r="D661" s="483">
        <v>351996</v>
      </c>
      <c r="E661" s="2" t="s">
        <v>324</v>
      </c>
    </row>
    <row r="662" spans="1:5" x14ac:dyDescent="0.3">
      <c r="A662" s="2">
        <v>4289</v>
      </c>
      <c r="B662" s="2" t="s">
        <v>990</v>
      </c>
      <c r="C662" s="2" t="s">
        <v>21</v>
      </c>
      <c r="D662" s="483">
        <v>29434</v>
      </c>
      <c r="E662" s="2" t="s">
        <v>324</v>
      </c>
    </row>
    <row r="663" spans="1:5" x14ac:dyDescent="0.3">
      <c r="A663" s="2">
        <v>4290</v>
      </c>
      <c r="B663" s="2" t="s">
        <v>991</v>
      </c>
      <c r="C663" s="2" t="s">
        <v>21</v>
      </c>
      <c r="D663" s="483">
        <v>41632</v>
      </c>
      <c r="E663" s="2" t="s">
        <v>324</v>
      </c>
    </row>
    <row r="664" spans="1:5" x14ac:dyDescent="0.3">
      <c r="A664" s="2">
        <v>4305</v>
      </c>
      <c r="B664" s="2" t="s">
        <v>992</v>
      </c>
      <c r="C664" s="2" t="s">
        <v>32</v>
      </c>
      <c r="D664" s="483">
        <v>441467</v>
      </c>
      <c r="E664" s="2" t="s">
        <v>331</v>
      </c>
    </row>
    <row r="665" spans="1:5" x14ac:dyDescent="0.3">
      <c r="A665" s="2">
        <v>4306</v>
      </c>
      <c r="B665" s="2" t="s">
        <v>993</v>
      </c>
      <c r="C665" s="2" t="s">
        <v>32</v>
      </c>
      <c r="D665" s="483">
        <v>1029566</v>
      </c>
      <c r="E665" s="2" t="s">
        <v>331</v>
      </c>
    </row>
    <row r="666" spans="1:5" x14ac:dyDescent="0.3">
      <c r="A666" s="2">
        <v>4307</v>
      </c>
      <c r="B666" s="2" t="s">
        <v>994</v>
      </c>
      <c r="C666" s="2" t="s">
        <v>32</v>
      </c>
      <c r="D666" s="483">
        <v>632002</v>
      </c>
      <c r="E666" s="2" t="s">
        <v>331</v>
      </c>
    </row>
    <row r="667" spans="1:5" x14ac:dyDescent="0.3">
      <c r="A667" s="2">
        <v>4308</v>
      </c>
      <c r="B667" s="2" t="s">
        <v>995</v>
      </c>
      <c r="C667" s="2" t="s">
        <v>32</v>
      </c>
      <c r="D667" s="483">
        <v>5801745</v>
      </c>
      <c r="E667" s="2" t="s">
        <v>331</v>
      </c>
    </row>
    <row r="668" spans="1:5" x14ac:dyDescent="0.3">
      <c r="A668" s="2">
        <v>4309</v>
      </c>
      <c r="B668" s="2" t="s">
        <v>996</v>
      </c>
      <c r="C668" s="2" t="s">
        <v>32</v>
      </c>
      <c r="D668" s="483">
        <v>5801745</v>
      </c>
      <c r="E668" s="2" t="s">
        <v>331</v>
      </c>
    </row>
    <row r="669" spans="1:5" x14ac:dyDescent="0.3">
      <c r="A669" s="2">
        <v>4310</v>
      </c>
      <c r="B669" s="2" t="s">
        <v>997</v>
      </c>
      <c r="C669" s="2" t="s">
        <v>32</v>
      </c>
      <c r="D669" s="483">
        <v>6319652</v>
      </c>
      <c r="E669" s="2" t="s">
        <v>331</v>
      </c>
    </row>
    <row r="670" spans="1:5" x14ac:dyDescent="0.3">
      <c r="A670" s="2">
        <v>4311</v>
      </c>
      <c r="B670" s="2" t="s">
        <v>998</v>
      </c>
      <c r="C670" s="2" t="s">
        <v>32</v>
      </c>
      <c r="D670" s="483">
        <v>5798325</v>
      </c>
      <c r="E670" s="2" t="s">
        <v>331</v>
      </c>
    </row>
    <row r="671" spans="1:5" x14ac:dyDescent="0.3">
      <c r="A671" s="2">
        <v>4312</v>
      </c>
      <c r="B671" s="2" t="s">
        <v>999</v>
      </c>
      <c r="C671" s="2" t="s">
        <v>32</v>
      </c>
      <c r="D671" s="483">
        <v>5798325</v>
      </c>
      <c r="E671" s="2" t="s">
        <v>331</v>
      </c>
    </row>
    <row r="672" spans="1:5" x14ac:dyDescent="0.3">
      <c r="A672" s="2">
        <v>4313</v>
      </c>
      <c r="B672" s="2" t="s">
        <v>1000</v>
      </c>
      <c r="C672" s="2" t="s">
        <v>32</v>
      </c>
      <c r="D672" s="483">
        <v>5794905</v>
      </c>
      <c r="E672" s="2" t="s">
        <v>331</v>
      </c>
    </row>
    <row r="673" spans="1:5" x14ac:dyDescent="0.3">
      <c r="A673" s="2">
        <v>4314</v>
      </c>
      <c r="B673" s="2" t="s">
        <v>1001</v>
      </c>
      <c r="C673" s="2" t="s">
        <v>32</v>
      </c>
      <c r="D673" s="483">
        <v>5274187</v>
      </c>
      <c r="E673" s="2" t="s">
        <v>331</v>
      </c>
    </row>
    <row r="674" spans="1:5" x14ac:dyDescent="0.3">
      <c r="A674" s="2">
        <v>4315</v>
      </c>
      <c r="B674" s="2" t="s">
        <v>1002</v>
      </c>
      <c r="C674" s="2" t="s">
        <v>32</v>
      </c>
      <c r="D674" s="483">
        <v>5274187</v>
      </c>
      <c r="E674" s="2" t="s">
        <v>331</v>
      </c>
    </row>
    <row r="675" spans="1:5" x14ac:dyDescent="0.3">
      <c r="A675" s="2">
        <v>4316</v>
      </c>
      <c r="B675" s="2" t="s">
        <v>1003</v>
      </c>
      <c r="C675" s="2" t="s">
        <v>32</v>
      </c>
      <c r="D675" s="483">
        <v>5831644</v>
      </c>
      <c r="E675" s="2" t="s">
        <v>331</v>
      </c>
    </row>
    <row r="676" spans="1:5" x14ac:dyDescent="0.3">
      <c r="A676" s="2">
        <v>4317</v>
      </c>
      <c r="B676" s="2" t="s">
        <v>1004</v>
      </c>
      <c r="C676" s="2" t="s">
        <v>32</v>
      </c>
      <c r="D676" s="483">
        <v>5258853</v>
      </c>
      <c r="E676" s="2" t="s">
        <v>331</v>
      </c>
    </row>
    <row r="677" spans="1:5" x14ac:dyDescent="0.3">
      <c r="A677" s="2">
        <v>4318</v>
      </c>
      <c r="B677" s="2" t="s">
        <v>1005</v>
      </c>
      <c r="C677" s="2" t="s">
        <v>32</v>
      </c>
      <c r="D677" s="483">
        <v>5258853</v>
      </c>
      <c r="E677" s="2" t="s">
        <v>331</v>
      </c>
    </row>
    <row r="678" spans="1:5" x14ac:dyDescent="0.3">
      <c r="A678" s="2">
        <v>4319</v>
      </c>
      <c r="B678" s="2" t="s">
        <v>1006</v>
      </c>
      <c r="C678" s="2" t="s">
        <v>32</v>
      </c>
      <c r="D678" s="483">
        <v>5253922</v>
      </c>
      <c r="E678" s="2" t="s">
        <v>331</v>
      </c>
    </row>
    <row r="679" spans="1:5" x14ac:dyDescent="0.3">
      <c r="A679" s="2">
        <v>4320</v>
      </c>
      <c r="B679" s="2" t="s">
        <v>1007</v>
      </c>
      <c r="C679" s="2" t="s">
        <v>32</v>
      </c>
      <c r="D679" s="483">
        <v>4451440</v>
      </c>
      <c r="E679" s="2" t="s">
        <v>331</v>
      </c>
    </row>
    <row r="680" spans="1:5" x14ac:dyDescent="0.3">
      <c r="A680" s="2">
        <v>4321</v>
      </c>
      <c r="B680" s="2" t="s">
        <v>1008</v>
      </c>
      <c r="C680" s="2" t="s">
        <v>32</v>
      </c>
      <c r="D680" s="483">
        <v>4451440</v>
      </c>
      <c r="E680" s="2" t="s">
        <v>331</v>
      </c>
    </row>
    <row r="681" spans="1:5" x14ac:dyDescent="0.3">
      <c r="A681" s="2">
        <v>4322</v>
      </c>
      <c r="B681" s="2" t="s">
        <v>1009</v>
      </c>
      <c r="C681" s="2" t="s">
        <v>32</v>
      </c>
      <c r="D681" s="483">
        <v>4451440</v>
      </c>
      <c r="E681" s="2" t="s">
        <v>331</v>
      </c>
    </row>
    <row r="682" spans="1:5" x14ac:dyDescent="0.3">
      <c r="A682" s="2">
        <v>4323</v>
      </c>
      <c r="B682" s="2" t="s">
        <v>1010</v>
      </c>
      <c r="C682" s="2" t="s">
        <v>32</v>
      </c>
      <c r="D682" s="483">
        <v>4430368</v>
      </c>
      <c r="E682" s="2" t="s">
        <v>331</v>
      </c>
    </row>
    <row r="683" spans="1:5" x14ac:dyDescent="0.3">
      <c r="A683" s="2">
        <v>4324</v>
      </c>
      <c r="B683" s="2" t="s">
        <v>1011</v>
      </c>
      <c r="C683" s="2" t="s">
        <v>32</v>
      </c>
      <c r="D683" s="483">
        <v>4430368</v>
      </c>
      <c r="E683" s="2" t="s">
        <v>331</v>
      </c>
    </row>
    <row r="684" spans="1:5" x14ac:dyDescent="0.3">
      <c r="A684" s="2">
        <v>4325</v>
      </c>
      <c r="B684" s="2" t="s">
        <v>1012</v>
      </c>
      <c r="C684" s="2" t="s">
        <v>32</v>
      </c>
      <c r="D684" s="483">
        <v>4425437</v>
      </c>
      <c r="E684" s="2" t="s">
        <v>331</v>
      </c>
    </row>
    <row r="685" spans="1:5" x14ac:dyDescent="0.3">
      <c r="A685" s="2">
        <v>4326</v>
      </c>
      <c r="B685" s="2" t="s">
        <v>1013</v>
      </c>
      <c r="C685" s="2" t="s">
        <v>32</v>
      </c>
      <c r="D685" s="483">
        <v>7353973</v>
      </c>
      <c r="E685" s="2" t="s">
        <v>331</v>
      </c>
    </row>
    <row r="686" spans="1:5" x14ac:dyDescent="0.3">
      <c r="A686" s="2">
        <v>4327</v>
      </c>
      <c r="B686" s="2" t="s">
        <v>1014</v>
      </c>
      <c r="C686" s="2" t="s">
        <v>32</v>
      </c>
      <c r="D686" s="483">
        <v>7302530</v>
      </c>
      <c r="E686" s="2" t="s">
        <v>331</v>
      </c>
    </row>
    <row r="687" spans="1:5" x14ac:dyDescent="0.3">
      <c r="A687" s="2">
        <v>4328</v>
      </c>
      <c r="B687" s="2" t="s">
        <v>1015</v>
      </c>
      <c r="C687" s="2" t="s">
        <v>32</v>
      </c>
      <c r="D687" s="483">
        <v>4057928</v>
      </c>
      <c r="E687" s="2" t="s">
        <v>331</v>
      </c>
    </row>
    <row r="688" spans="1:5" x14ac:dyDescent="0.3">
      <c r="A688" s="2">
        <v>4329</v>
      </c>
      <c r="B688" s="2" t="s">
        <v>1016</v>
      </c>
      <c r="C688" s="2" t="s">
        <v>32</v>
      </c>
      <c r="D688" s="483">
        <v>852173</v>
      </c>
      <c r="E688" s="2" t="s">
        <v>331</v>
      </c>
    </row>
    <row r="689" spans="1:5" x14ac:dyDescent="0.3">
      <c r="A689" s="2">
        <v>4330</v>
      </c>
      <c r="B689" s="2" t="s">
        <v>1017</v>
      </c>
      <c r="C689" s="2" t="s">
        <v>32</v>
      </c>
      <c r="D689" s="483">
        <v>1104278</v>
      </c>
      <c r="E689" s="2" t="s">
        <v>331</v>
      </c>
    </row>
    <row r="690" spans="1:5" x14ac:dyDescent="0.3">
      <c r="A690" s="2">
        <v>4331</v>
      </c>
      <c r="B690" s="2" t="s">
        <v>1018</v>
      </c>
      <c r="C690" s="2" t="s">
        <v>32</v>
      </c>
      <c r="D690" s="483">
        <v>1146081</v>
      </c>
      <c r="E690" s="2" t="s">
        <v>331</v>
      </c>
    </row>
    <row r="691" spans="1:5" x14ac:dyDescent="0.3">
      <c r="A691" s="2">
        <v>4332</v>
      </c>
      <c r="B691" s="2" t="s">
        <v>1019</v>
      </c>
      <c r="C691" s="2" t="s">
        <v>32</v>
      </c>
      <c r="D691" s="483">
        <v>3836264</v>
      </c>
      <c r="E691" s="2" t="s">
        <v>331</v>
      </c>
    </row>
    <row r="692" spans="1:5" x14ac:dyDescent="0.3">
      <c r="A692" s="2">
        <v>4333</v>
      </c>
      <c r="B692" s="2" t="s">
        <v>1020</v>
      </c>
      <c r="C692" s="2" t="s">
        <v>32</v>
      </c>
      <c r="D692" s="483">
        <v>3817604</v>
      </c>
      <c r="E692" s="2" t="s">
        <v>331</v>
      </c>
    </row>
    <row r="693" spans="1:5" x14ac:dyDescent="0.3">
      <c r="A693" s="2">
        <v>4334</v>
      </c>
      <c r="B693" s="2" t="s">
        <v>1021</v>
      </c>
      <c r="C693" s="2" t="s">
        <v>32</v>
      </c>
      <c r="D693" s="483">
        <v>3837509</v>
      </c>
      <c r="E693" s="2" t="s">
        <v>331</v>
      </c>
    </row>
    <row r="694" spans="1:5" x14ac:dyDescent="0.3">
      <c r="A694" s="2">
        <v>4335</v>
      </c>
      <c r="B694" s="2" t="s">
        <v>1022</v>
      </c>
      <c r="C694" s="2" t="s">
        <v>32</v>
      </c>
      <c r="D694" s="483">
        <v>3825224</v>
      </c>
      <c r="E694" s="2" t="s">
        <v>331</v>
      </c>
    </row>
    <row r="695" spans="1:5" x14ac:dyDescent="0.3">
      <c r="A695" s="2">
        <v>4336</v>
      </c>
      <c r="B695" s="2" t="s">
        <v>1023</v>
      </c>
      <c r="C695" s="2" t="s">
        <v>32</v>
      </c>
      <c r="D695" s="483">
        <v>2429998</v>
      </c>
      <c r="E695" s="2" t="s">
        <v>331</v>
      </c>
    </row>
    <row r="696" spans="1:5" x14ac:dyDescent="0.3">
      <c r="A696" s="2">
        <v>4337</v>
      </c>
      <c r="B696" s="2" t="s">
        <v>1024</v>
      </c>
      <c r="C696" s="2" t="s">
        <v>32</v>
      </c>
      <c r="D696" s="483">
        <v>441733</v>
      </c>
      <c r="E696" s="2" t="s">
        <v>331</v>
      </c>
    </row>
    <row r="697" spans="1:5" x14ac:dyDescent="0.3">
      <c r="A697" s="2">
        <v>4338</v>
      </c>
      <c r="B697" s="2" t="s">
        <v>1025</v>
      </c>
      <c r="C697" s="2" t="s">
        <v>32</v>
      </c>
      <c r="D697" s="483">
        <v>3817604</v>
      </c>
      <c r="E697" s="2" t="s">
        <v>331</v>
      </c>
    </row>
    <row r="698" spans="1:5" x14ac:dyDescent="0.3">
      <c r="A698" s="2">
        <v>4340</v>
      </c>
      <c r="B698" s="2" t="s">
        <v>1026</v>
      </c>
      <c r="C698" s="2" t="s">
        <v>328</v>
      </c>
      <c r="D698" s="483">
        <v>4157</v>
      </c>
      <c r="E698" s="2" t="s">
        <v>324</v>
      </c>
    </row>
    <row r="699" spans="1:5" x14ac:dyDescent="0.3">
      <c r="A699" s="2">
        <v>4341</v>
      </c>
      <c r="B699" s="2" t="s">
        <v>1027</v>
      </c>
      <c r="C699" s="2" t="s">
        <v>328</v>
      </c>
      <c r="D699" s="483">
        <v>251866</v>
      </c>
      <c r="E699" s="2" t="s">
        <v>331</v>
      </c>
    </row>
    <row r="700" spans="1:5" x14ac:dyDescent="0.3">
      <c r="A700" s="2">
        <v>4342</v>
      </c>
      <c r="B700" s="2" t="s">
        <v>1028</v>
      </c>
      <c r="C700" s="2" t="s">
        <v>328</v>
      </c>
      <c r="D700" s="483">
        <v>340070</v>
      </c>
      <c r="E700" s="2" t="s">
        <v>331</v>
      </c>
    </row>
    <row r="701" spans="1:5" x14ac:dyDescent="0.3">
      <c r="A701" s="2">
        <v>4343</v>
      </c>
      <c r="B701" s="2" t="s">
        <v>1029</v>
      </c>
      <c r="C701" s="2" t="s">
        <v>328</v>
      </c>
      <c r="D701" s="483">
        <v>554942</v>
      </c>
      <c r="E701" s="2" t="s">
        <v>331</v>
      </c>
    </row>
    <row r="702" spans="1:5" x14ac:dyDescent="0.3">
      <c r="A702" s="2">
        <v>4344</v>
      </c>
      <c r="B702" s="2" t="s">
        <v>1030</v>
      </c>
      <c r="C702" s="2" t="s">
        <v>328</v>
      </c>
      <c r="D702" s="483">
        <v>625544</v>
      </c>
      <c r="E702" s="2" t="s">
        <v>331</v>
      </c>
    </row>
    <row r="703" spans="1:5" x14ac:dyDescent="0.3">
      <c r="A703" s="2">
        <v>4345</v>
      </c>
      <c r="B703" s="2" t="s">
        <v>1031</v>
      </c>
      <c r="C703" s="2" t="s">
        <v>328</v>
      </c>
      <c r="D703" s="483">
        <v>652455</v>
      </c>
      <c r="E703" s="2" t="s">
        <v>331</v>
      </c>
    </row>
    <row r="704" spans="1:5" x14ac:dyDescent="0.3">
      <c r="A704" s="2">
        <v>4346</v>
      </c>
      <c r="B704" s="2" t="s">
        <v>1032</v>
      </c>
      <c r="C704" s="2" t="s">
        <v>328</v>
      </c>
      <c r="D704" s="483">
        <v>888185</v>
      </c>
      <c r="E704" s="2" t="s">
        <v>331</v>
      </c>
    </row>
    <row r="705" spans="1:5" x14ac:dyDescent="0.3">
      <c r="A705" s="2">
        <v>4347</v>
      </c>
      <c r="B705" s="2" t="s">
        <v>1033</v>
      </c>
      <c r="C705" s="2" t="s">
        <v>328</v>
      </c>
      <c r="D705" s="483">
        <v>1162057</v>
      </c>
      <c r="E705" s="2" t="s">
        <v>331</v>
      </c>
    </row>
    <row r="706" spans="1:5" x14ac:dyDescent="0.3">
      <c r="A706" s="2">
        <v>4348</v>
      </c>
      <c r="B706" s="2" t="s">
        <v>1034</v>
      </c>
      <c r="C706" s="2" t="s">
        <v>328</v>
      </c>
      <c r="D706" s="483">
        <v>1234240</v>
      </c>
      <c r="E706" s="2" t="s">
        <v>331</v>
      </c>
    </row>
    <row r="707" spans="1:5" x14ac:dyDescent="0.3">
      <c r="A707" s="2">
        <v>4349</v>
      </c>
      <c r="B707" s="2" t="s">
        <v>1035</v>
      </c>
      <c r="C707" s="2" t="s">
        <v>328</v>
      </c>
      <c r="D707" s="483">
        <v>1455274</v>
      </c>
      <c r="E707" s="2" t="s">
        <v>331</v>
      </c>
    </row>
    <row r="708" spans="1:5" x14ac:dyDescent="0.3">
      <c r="A708" s="2">
        <v>4350</v>
      </c>
      <c r="B708" s="2" t="s">
        <v>1036</v>
      </c>
      <c r="C708" s="2" t="s">
        <v>328</v>
      </c>
      <c r="D708" s="483">
        <v>2073593</v>
      </c>
      <c r="E708" s="2" t="s">
        <v>331</v>
      </c>
    </row>
    <row r="709" spans="1:5" x14ac:dyDescent="0.3">
      <c r="A709" s="2">
        <v>4351</v>
      </c>
      <c r="B709" s="2" t="s">
        <v>1037</v>
      </c>
      <c r="C709" s="2" t="s">
        <v>328</v>
      </c>
      <c r="D709" s="483">
        <v>356496</v>
      </c>
      <c r="E709" s="2" t="s">
        <v>331</v>
      </c>
    </row>
    <row r="710" spans="1:5" x14ac:dyDescent="0.3">
      <c r="A710" s="2">
        <v>4352</v>
      </c>
      <c r="B710" s="2" t="s">
        <v>1038</v>
      </c>
      <c r="C710" s="2" t="s">
        <v>328</v>
      </c>
      <c r="D710" s="483">
        <v>385035</v>
      </c>
      <c r="E710" s="2" t="s">
        <v>331</v>
      </c>
    </row>
    <row r="711" spans="1:5" x14ac:dyDescent="0.3">
      <c r="A711" s="2">
        <v>4353</v>
      </c>
      <c r="B711" s="2" t="s">
        <v>1039</v>
      </c>
      <c r="C711" s="2" t="s">
        <v>328</v>
      </c>
      <c r="D711" s="483">
        <v>533810</v>
      </c>
      <c r="E711" s="2" t="s">
        <v>331</v>
      </c>
    </row>
    <row r="712" spans="1:5" x14ac:dyDescent="0.3">
      <c r="A712" s="2">
        <v>4354</v>
      </c>
      <c r="B712" s="2" t="s">
        <v>1040</v>
      </c>
      <c r="C712" s="2" t="s">
        <v>328</v>
      </c>
      <c r="D712" s="483">
        <v>712222</v>
      </c>
      <c r="E712" s="2" t="s">
        <v>331</v>
      </c>
    </row>
    <row r="713" spans="1:5" x14ac:dyDescent="0.3">
      <c r="A713" s="2">
        <v>4355</v>
      </c>
      <c r="B713" s="2" t="s">
        <v>1041</v>
      </c>
      <c r="C713" s="2" t="s">
        <v>328</v>
      </c>
      <c r="D713" s="483">
        <v>680142</v>
      </c>
      <c r="E713" s="2" t="s">
        <v>331</v>
      </c>
    </row>
    <row r="714" spans="1:5" x14ac:dyDescent="0.3">
      <c r="A714" s="2">
        <v>4356</v>
      </c>
      <c r="B714" s="2" t="s">
        <v>1042</v>
      </c>
      <c r="C714" s="2" t="s">
        <v>328</v>
      </c>
      <c r="D714" s="483">
        <v>901760</v>
      </c>
      <c r="E714" s="2" t="s">
        <v>331</v>
      </c>
    </row>
    <row r="715" spans="1:5" x14ac:dyDescent="0.3">
      <c r="A715" s="2">
        <v>4357</v>
      </c>
      <c r="B715" s="2" t="s">
        <v>1043</v>
      </c>
      <c r="C715" s="2" t="s">
        <v>328</v>
      </c>
      <c r="D715" s="483">
        <v>504778</v>
      </c>
      <c r="E715" s="2" t="s">
        <v>331</v>
      </c>
    </row>
    <row r="716" spans="1:5" x14ac:dyDescent="0.3">
      <c r="A716" s="2">
        <v>4358</v>
      </c>
      <c r="B716" s="2" t="s">
        <v>1044</v>
      </c>
      <c r="C716" s="2" t="s">
        <v>328</v>
      </c>
      <c r="D716" s="483">
        <v>683081</v>
      </c>
      <c r="E716" s="2" t="s">
        <v>331</v>
      </c>
    </row>
    <row r="717" spans="1:5" x14ac:dyDescent="0.3">
      <c r="A717" s="2">
        <v>4359</v>
      </c>
      <c r="B717" s="2" t="s">
        <v>1045</v>
      </c>
      <c r="C717" s="2" t="s">
        <v>328</v>
      </c>
      <c r="D717" s="483">
        <v>537785</v>
      </c>
      <c r="E717" s="2" t="s">
        <v>331</v>
      </c>
    </row>
    <row r="718" spans="1:5" x14ac:dyDescent="0.3">
      <c r="A718" s="2">
        <v>4360</v>
      </c>
      <c r="B718" s="2" t="s">
        <v>1046</v>
      </c>
      <c r="C718" s="2" t="s">
        <v>328</v>
      </c>
      <c r="D718" s="483">
        <v>778127</v>
      </c>
      <c r="E718" s="2" t="s">
        <v>331</v>
      </c>
    </row>
    <row r="719" spans="1:5" x14ac:dyDescent="0.3">
      <c r="A719" s="2">
        <v>4361</v>
      </c>
      <c r="B719" s="2" t="s">
        <v>1047</v>
      </c>
      <c r="C719" s="2" t="s">
        <v>328</v>
      </c>
      <c r="D719" s="483">
        <v>802269</v>
      </c>
      <c r="E719" s="2" t="s">
        <v>331</v>
      </c>
    </row>
    <row r="720" spans="1:5" x14ac:dyDescent="0.3">
      <c r="A720" s="2">
        <v>4362</v>
      </c>
      <c r="B720" s="2" t="s">
        <v>1048</v>
      </c>
      <c r="C720" s="2" t="s">
        <v>328</v>
      </c>
      <c r="D720" s="483">
        <v>1036043</v>
      </c>
      <c r="E720" s="2" t="s">
        <v>331</v>
      </c>
    </row>
    <row r="721" spans="1:5" x14ac:dyDescent="0.3">
      <c r="A721" s="2">
        <v>4363</v>
      </c>
      <c r="B721" s="2" t="s">
        <v>1049</v>
      </c>
      <c r="C721" s="2" t="s">
        <v>328</v>
      </c>
      <c r="D721" s="483">
        <v>835587</v>
      </c>
      <c r="E721" s="2" t="s">
        <v>331</v>
      </c>
    </row>
    <row r="722" spans="1:5" x14ac:dyDescent="0.3">
      <c r="A722" s="2">
        <v>4384</v>
      </c>
      <c r="B722" s="2" t="s">
        <v>1050</v>
      </c>
      <c r="C722" s="2" t="s">
        <v>32</v>
      </c>
      <c r="D722" s="483">
        <v>200403</v>
      </c>
      <c r="E722" s="2" t="s">
        <v>324</v>
      </c>
    </row>
    <row r="723" spans="1:5" x14ac:dyDescent="0.3">
      <c r="A723" s="2">
        <v>4385</v>
      </c>
      <c r="B723" s="2" t="s">
        <v>1051</v>
      </c>
      <c r="C723" s="2" t="s">
        <v>32</v>
      </c>
      <c r="D723" s="483">
        <v>213758</v>
      </c>
      <c r="E723" s="2" t="s">
        <v>324</v>
      </c>
    </row>
    <row r="724" spans="1:5" x14ac:dyDescent="0.3">
      <c r="A724" s="2">
        <v>4386</v>
      </c>
      <c r="B724" s="2" t="s">
        <v>1052</v>
      </c>
      <c r="C724" s="2" t="s">
        <v>32</v>
      </c>
      <c r="D724" s="483">
        <v>393633</v>
      </c>
      <c r="E724" s="2" t="s">
        <v>324</v>
      </c>
    </row>
    <row r="725" spans="1:5" x14ac:dyDescent="0.3">
      <c r="A725" s="2">
        <v>4387</v>
      </c>
      <c r="B725" s="2" t="s">
        <v>1053</v>
      </c>
      <c r="C725" s="2" t="s">
        <v>32</v>
      </c>
      <c r="D725" s="483">
        <v>506689</v>
      </c>
      <c r="E725" s="2" t="s">
        <v>324</v>
      </c>
    </row>
    <row r="726" spans="1:5" x14ac:dyDescent="0.3">
      <c r="A726" s="2">
        <v>4388</v>
      </c>
      <c r="B726" s="2" t="s">
        <v>1054</v>
      </c>
      <c r="C726" s="2" t="s">
        <v>32</v>
      </c>
      <c r="D726" s="483">
        <v>781316</v>
      </c>
      <c r="E726" s="2" t="s">
        <v>324</v>
      </c>
    </row>
    <row r="727" spans="1:5" x14ac:dyDescent="0.3">
      <c r="A727" s="2">
        <v>4389</v>
      </c>
      <c r="B727" s="2" t="s">
        <v>1055</v>
      </c>
      <c r="C727" s="2" t="s">
        <v>32</v>
      </c>
      <c r="D727" s="483">
        <v>1126704</v>
      </c>
      <c r="E727" s="2" t="s">
        <v>331</v>
      </c>
    </row>
    <row r="728" spans="1:5" x14ac:dyDescent="0.3">
      <c r="A728" s="2">
        <v>4390</v>
      </c>
      <c r="B728" s="2" t="s">
        <v>1056</v>
      </c>
      <c r="C728" s="2" t="s">
        <v>30</v>
      </c>
      <c r="D728" s="483">
        <v>105659</v>
      </c>
      <c r="E728" s="2" t="s">
        <v>331</v>
      </c>
    </row>
    <row r="729" spans="1:5" x14ac:dyDescent="0.3">
      <c r="A729" s="2">
        <v>4391</v>
      </c>
      <c r="B729" s="2" t="s">
        <v>1057</v>
      </c>
      <c r="C729" s="2" t="s">
        <v>30</v>
      </c>
      <c r="D729" s="483">
        <v>155950</v>
      </c>
      <c r="E729" s="2" t="s">
        <v>331</v>
      </c>
    </row>
    <row r="730" spans="1:5" x14ac:dyDescent="0.3">
      <c r="A730" s="2">
        <v>4392</v>
      </c>
      <c r="B730" s="2" t="s">
        <v>1058</v>
      </c>
      <c r="C730" s="2" t="s">
        <v>979</v>
      </c>
      <c r="D730" s="483">
        <v>75352</v>
      </c>
      <c r="E730" s="2" t="s">
        <v>324</v>
      </c>
    </row>
    <row r="731" spans="1:5" x14ac:dyDescent="0.3">
      <c r="A731" s="2">
        <v>4393</v>
      </c>
      <c r="B731" s="2" t="s">
        <v>1059</v>
      </c>
      <c r="C731" s="2" t="s">
        <v>979</v>
      </c>
      <c r="D731" s="483">
        <v>104400</v>
      </c>
      <c r="E731" s="2" t="s">
        <v>324</v>
      </c>
    </row>
    <row r="732" spans="1:5" x14ac:dyDescent="0.3">
      <c r="A732" s="2">
        <v>4394</v>
      </c>
      <c r="B732" s="2" t="s">
        <v>1060</v>
      </c>
      <c r="C732" s="2" t="s">
        <v>21</v>
      </c>
      <c r="D732" s="483">
        <v>139936</v>
      </c>
      <c r="E732" s="2" t="s">
        <v>331</v>
      </c>
    </row>
    <row r="733" spans="1:5" x14ac:dyDescent="0.3">
      <c r="A733" s="2">
        <v>4395</v>
      </c>
      <c r="B733" s="2" t="s">
        <v>1061</v>
      </c>
      <c r="C733" s="2" t="s">
        <v>21</v>
      </c>
      <c r="D733" s="483">
        <v>109932</v>
      </c>
      <c r="E733" s="2" t="s">
        <v>331</v>
      </c>
    </row>
    <row r="734" spans="1:5" x14ac:dyDescent="0.3">
      <c r="A734" s="2">
        <v>4396</v>
      </c>
      <c r="B734" s="2" t="s">
        <v>1062</v>
      </c>
      <c r="C734" s="2" t="s">
        <v>21</v>
      </c>
      <c r="D734" s="483">
        <v>79616</v>
      </c>
      <c r="E734" s="2" t="s">
        <v>331</v>
      </c>
    </row>
    <row r="735" spans="1:5" x14ac:dyDescent="0.3">
      <c r="A735" s="2">
        <v>4402</v>
      </c>
      <c r="B735" s="2" t="s">
        <v>1063</v>
      </c>
      <c r="C735" s="2" t="s">
        <v>32</v>
      </c>
      <c r="D735" s="483">
        <v>1105442</v>
      </c>
      <c r="E735" s="2" t="s">
        <v>331</v>
      </c>
    </row>
    <row r="736" spans="1:5" x14ac:dyDescent="0.3">
      <c r="A736" s="2">
        <v>4403</v>
      </c>
      <c r="B736" s="2" t="s">
        <v>1064</v>
      </c>
      <c r="C736" s="2" t="s">
        <v>32</v>
      </c>
      <c r="D736" s="483">
        <v>7049121</v>
      </c>
      <c r="E736" s="2" t="s">
        <v>331</v>
      </c>
    </row>
    <row r="737" spans="1:5" x14ac:dyDescent="0.3">
      <c r="A737" s="2">
        <v>4404</v>
      </c>
      <c r="B737" s="2" t="s">
        <v>1065</v>
      </c>
      <c r="C737" s="2" t="s">
        <v>32</v>
      </c>
      <c r="D737" s="483">
        <v>130755</v>
      </c>
      <c r="E737" s="2" t="s">
        <v>331</v>
      </c>
    </row>
    <row r="738" spans="1:5" x14ac:dyDescent="0.3">
      <c r="A738" s="2">
        <v>4405</v>
      </c>
      <c r="B738" s="2" t="s">
        <v>1066</v>
      </c>
      <c r="C738" s="2" t="s">
        <v>32</v>
      </c>
      <c r="D738" s="483">
        <v>204580</v>
      </c>
      <c r="E738" s="2" t="s">
        <v>331</v>
      </c>
    </row>
    <row r="739" spans="1:5" x14ac:dyDescent="0.3">
      <c r="A739" s="2">
        <v>4406</v>
      </c>
      <c r="B739" s="2" t="s">
        <v>1067</v>
      </c>
      <c r="C739" s="2" t="s">
        <v>32</v>
      </c>
      <c r="D739" s="483">
        <v>463659</v>
      </c>
      <c r="E739" s="2" t="s">
        <v>331</v>
      </c>
    </row>
    <row r="740" spans="1:5" x14ac:dyDescent="0.3">
      <c r="A740" s="2">
        <v>4407</v>
      </c>
      <c r="B740" s="2" t="s">
        <v>1068</v>
      </c>
      <c r="C740" s="2" t="s">
        <v>32</v>
      </c>
      <c r="D740" s="483">
        <v>280012</v>
      </c>
      <c r="E740" s="2" t="s">
        <v>331</v>
      </c>
    </row>
    <row r="741" spans="1:5" x14ac:dyDescent="0.3">
      <c r="A741" s="2">
        <v>4408</v>
      </c>
      <c r="B741" s="2" t="s">
        <v>1069</v>
      </c>
      <c r="C741" s="2" t="s">
        <v>32</v>
      </c>
      <c r="D741" s="483">
        <v>682962</v>
      </c>
      <c r="E741" s="2" t="s">
        <v>331</v>
      </c>
    </row>
    <row r="742" spans="1:5" x14ac:dyDescent="0.3">
      <c r="A742" s="2">
        <v>4409</v>
      </c>
      <c r="B742" s="2" t="s">
        <v>1070</v>
      </c>
      <c r="C742" s="2" t="s">
        <v>32</v>
      </c>
      <c r="D742" s="483">
        <v>139144</v>
      </c>
      <c r="E742" s="2" t="s">
        <v>331</v>
      </c>
    </row>
    <row r="743" spans="1:5" x14ac:dyDescent="0.3">
      <c r="A743" s="2">
        <v>4410</v>
      </c>
      <c r="B743" s="2" t="s">
        <v>1071</v>
      </c>
      <c r="C743" s="2" t="s">
        <v>32</v>
      </c>
      <c r="D743" s="483">
        <v>146405</v>
      </c>
      <c r="E743" s="2" t="s">
        <v>331</v>
      </c>
    </row>
    <row r="744" spans="1:5" x14ac:dyDescent="0.3">
      <c r="A744" s="2">
        <v>4412</v>
      </c>
      <c r="B744" s="2" t="s">
        <v>1072</v>
      </c>
      <c r="C744" s="2" t="s">
        <v>32</v>
      </c>
      <c r="D744" s="483">
        <v>398237</v>
      </c>
      <c r="E744" s="2" t="s">
        <v>331</v>
      </c>
    </row>
    <row r="745" spans="1:5" x14ac:dyDescent="0.3">
      <c r="A745" s="2">
        <v>4413</v>
      </c>
      <c r="B745" s="2" t="s">
        <v>1073</v>
      </c>
      <c r="C745" s="2" t="s">
        <v>32</v>
      </c>
      <c r="D745" s="483">
        <v>1287148</v>
      </c>
      <c r="E745" s="2" t="s">
        <v>331</v>
      </c>
    </row>
    <row r="746" spans="1:5" x14ac:dyDescent="0.3">
      <c r="A746" s="2">
        <v>4414</v>
      </c>
      <c r="B746" s="2" t="s">
        <v>1074</v>
      </c>
      <c r="C746" s="2" t="s">
        <v>32</v>
      </c>
      <c r="D746" s="483">
        <v>1287148</v>
      </c>
      <c r="E746" s="2" t="s">
        <v>331</v>
      </c>
    </row>
    <row r="747" spans="1:5" x14ac:dyDescent="0.3">
      <c r="A747" s="2">
        <v>4415</v>
      </c>
      <c r="B747" s="2" t="s">
        <v>1075</v>
      </c>
      <c r="C747" s="2" t="s">
        <v>32</v>
      </c>
      <c r="D747" s="483">
        <v>84499</v>
      </c>
      <c r="E747" s="2" t="s">
        <v>331</v>
      </c>
    </row>
    <row r="748" spans="1:5" x14ac:dyDescent="0.3">
      <c r="A748" s="2">
        <v>4416</v>
      </c>
      <c r="B748" s="2" t="s">
        <v>1076</v>
      </c>
      <c r="C748" s="2" t="s">
        <v>32</v>
      </c>
      <c r="D748" s="483">
        <v>107734</v>
      </c>
      <c r="E748" s="2" t="s">
        <v>331</v>
      </c>
    </row>
    <row r="749" spans="1:5" x14ac:dyDescent="0.3">
      <c r="A749" s="2">
        <v>4417</v>
      </c>
      <c r="B749" s="2" t="s">
        <v>1077</v>
      </c>
      <c r="C749" s="2" t="s">
        <v>32</v>
      </c>
      <c r="D749" s="483">
        <v>240554</v>
      </c>
      <c r="E749" s="2" t="s">
        <v>331</v>
      </c>
    </row>
    <row r="750" spans="1:5" x14ac:dyDescent="0.3">
      <c r="A750" s="2">
        <v>4418</v>
      </c>
      <c r="B750" s="2" t="s">
        <v>1078</v>
      </c>
      <c r="C750" s="2" t="s">
        <v>32</v>
      </c>
      <c r="D750" s="483">
        <v>52833</v>
      </c>
      <c r="E750" s="2" t="s">
        <v>331</v>
      </c>
    </row>
    <row r="751" spans="1:5" x14ac:dyDescent="0.3">
      <c r="A751" s="2">
        <v>4419</v>
      </c>
      <c r="B751" s="2" t="s">
        <v>1079</v>
      </c>
      <c r="C751" s="2" t="s">
        <v>32</v>
      </c>
      <c r="D751" s="483">
        <v>81256</v>
      </c>
      <c r="E751" s="2" t="s">
        <v>331</v>
      </c>
    </row>
    <row r="752" spans="1:5" x14ac:dyDescent="0.3">
      <c r="A752" s="2">
        <v>4420</v>
      </c>
      <c r="B752" s="2" t="s">
        <v>1080</v>
      </c>
      <c r="C752" s="2" t="s">
        <v>32</v>
      </c>
      <c r="D752" s="483">
        <v>123528</v>
      </c>
      <c r="E752" s="2" t="s">
        <v>331</v>
      </c>
    </row>
    <row r="753" spans="1:5" x14ac:dyDescent="0.3">
      <c r="A753" s="2">
        <v>4421</v>
      </c>
      <c r="B753" s="2" t="s">
        <v>1081</v>
      </c>
      <c r="C753" s="2" t="s">
        <v>32</v>
      </c>
      <c r="D753" s="483">
        <v>181677</v>
      </c>
      <c r="E753" s="2" t="s">
        <v>324</v>
      </c>
    </row>
    <row r="754" spans="1:5" x14ac:dyDescent="0.3">
      <c r="A754" s="2">
        <v>4422</v>
      </c>
      <c r="B754" s="2" t="s">
        <v>1082</v>
      </c>
      <c r="C754" s="2" t="s">
        <v>32</v>
      </c>
      <c r="D754" s="483">
        <v>201978</v>
      </c>
      <c r="E754" s="2" t="s">
        <v>324</v>
      </c>
    </row>
    <row r="755" spans="1:5" x14ac:dyDescent="0.3">
      <c r="A755" s="2">
        <v>4423</v>
      </c>
      <c r="B755" s="2" t="s">
        <v>1083</v>
      </c>
      <c r="C755" s="2" t="s">
        <v>32</v>
      </c>
      <c r="D755" s="483">
        <v>412330</v>
      </c>
      <c r="E755" s="2" t="s">
        <v>324</v>
      </c>
    </row>
    <row r="756" spans="1:5" x14ac:dyDescent="0.3">
      <c r="A756" s="2">
        <v>4424</v>
      </c>
      <c r="B756" s="2" t="s">
        <v>1084</v>
      </c>
      <c r="C756" s="2" t="s">
        <v>32</v>
      </c>
      <c r="D756" s="483">
        <v>610174</v>
      </c>
      <c r="E756" s="2" t="s">
        <v>324</v>
      </c>
    </row>
    <row r="757" spans="1:5" x14ac:dyDescent="0.3">
      <c r="A757" s="2">
        <v>4425</v>
      </c>
      <c r="B757" s="2" t="s">
        <v>1085</v>
      </c>
      <c r="C757" s="2" t="s">
        <v>32</v>
      </c>
      <c r="D757" s="483">
        <v>879866</v>
      </c>
      <c r="E757" s="2" t="s">
        <v>324</v>
      </c>
    </row>
    <row r="758" spans="1:5" x14ac:dyDescent="0.3">
      <c r="A758" s="2">
        <v>4426</v>
      </c>
      <c r="B758" s="2" t="s">
        <v>1086</v>
      </c>
      <c r="C758" s="2" t="s">
        <v>32</v>
      </c>
      <c r="D758" s="483">
        <v>1155257</v>
      </c>
      <c r="E758" s="2" t="s">
        <v>331</v>
      </c>
    </row>
    <row r="759" spans="1:5" x14ac:dyDescent="0.3">
      <c r="A759" s="2">
        <v>4428</v>
      </c>
      <c r="B759" s="2" t="s">
        <v>1087</v>
      </c>
      <c r="C759" s="2" t="s">
        <v>328</v>
      </c>
      <c r="D759" s="483">
        <v>48941</v>
      </c>
      <c r="E759" s="2" t="s">
        <v>331</v>
      </c>
    </row>
    <row r="760" spans="1:5" x14ac:dyDescent="0.3">
      <c r="A760" s="2">
        <v>4429</v>
      </c>
      <c r="B760" s="2" t="s">
        <v>1088</v>
      </c>
      <c r="C760" s="2" t="s">
        <v>328</v>
      </c>
      <c r="D760" s="483">
        <v>57984</v>
      </c>
      <c r="E760" s="2" t="s">
        <v>331</v>
      </c>
    </row>
    <row r="761" spans="1:5" x14ac:dyDescent="0.3">
      <c r="A761" s="2">
        <v>4431</v>
      </c>
      <c r="B761" s="2" t="s">
        <v>1089</v>
      </c>
      <c r="C761" s="2" t="s">
        <v>21</v>
      </c>
      <c r="D761" s="483">
        <v>30531</v>
      </c>
      <c r="E761" s="2" t="s">
        <v>331</v>
      </c>
    </row>
    <row r="762" spans="1:5" x14ac:dyDescent="0.3">
      <c r="A762" s="2">
        <v>4433</v>
      </c>
      <c r="B762" s="2" t="s">
        <v>1090</v>
      </c>
      <c r="C762" s="2" t="s">
        <v>328</v>
      </c>
      <c r="D762" s="483">
        <v>1023129</v>
      </c>
      <c r="E762" s="2" t="s">
        <v>331</v>
      </c>
    </row>
    <row r="763" spans="1:5" x14ac:dyDescent="0.3">
      <c r="A763" s="2">
        <v>4434</v>
      </c>
      <c r="B763" s="2" t="s">
        <v>1091</v>
      </c>
      <c r="C763" s="2" t="s">
        <v>328</v>
      </c>
      <c r="D763" s="483">
        <v>1021480</v>
      </c>
      <c r="E763" s="2" t="s">
        <v>331</v>
      </c>
    </row>
    <row r="764" spans="1:5" x14ac:dyDescent="0.3">
      <c r="A764" s="2">
        <v>4435</v>
      </c>
      <c r="B764" s="2" t="s">
        <v>1092</v>
      </c>
      <c r="C764" s="2" t="s">
        <v>328</v>
      </c>
      <c r="D764" s="483">
        <v>1312430</v>
      </c>
      <c r="E764" s="2" t="s">
        <v>331</v>
      </c>
    </row>
    <row r="765" spans="1:5" x14ac:dyDescent="0.3">
      <c r="A765" s="2">
        <v>4436</v>
      </c>
      <c r="B765" s="2" t="s">
        <v>1093</v>
      </c>
      <c r="C765" s="2" t="s">
        <v>328</v>
      </c>
      <c r="D765" s="483">
        <v>1143276</v>
      </c>
      <c r="E765" s="2" t="s">
        <v>331</v>
      </c>
    </row>
    <row r="766" spans="1:5" x14ac:dyDescent="0.3">
      <c r="A766" s="2">
        <v>4437</v>
      </c>
      <c r="B766" s="2" t="s">
        <v>1094</v>
      </c>
      <c r="C766" s="2" t="s">
        <v>328</v>
      </c>
      <c r="D766" s="483">
        <v>1388002</v>
      </c>
      <c r="E766" s="2" t="s">
        <v>331</v>
      </c>
    </row>
    <row r="767" spans="1:5" x14ac:dyDescent="0.3">
      <c r="A767" s="2">
        <v>4438</v>
      </c>
      <c r="B767" s="2" t="s">
        <v>1095</v>
      </c>
      <c r="C767" s="2" t="s">
        <v>328</v>
      </c>
      <c r="D767" s="483">
        <v>1470532</v>
      </c>
      <c r="E767" s="2" t="s">
        <v>331</v>
      </c>
    </row>
    <row r="768" spans="1:5" x14ac:dyDescent="0.3">
      <c r="A768" s="2">
        <v>4439</v>
      </c>
      <c r="B768" s="2" t="s">
        <v>1096</v>
      </c>
      <c r="C768" s="2" t="s">
        <v>328</v>
      </c>
      <c r="D768" s="483">
        <v>1775838</v>
      </c>
      <c r="E768" s="2" t="s">
        <v>331</v>
      </c>
    </row>
    <row r="769" spans="1:5" x14ac:dyDescent="0.3">
      <c r="A769" s="2">
        <v>4440</v>
      </c>
      <c r="B769" s="2" t="s">
        <v>1097</v>
      </c>
      <c r="C769" s="2" t="s">
        <v>328</v>
      </c>
      <c r="D769" s="483">
        <v>1483196</v>
      </c>
      <c r="E769" s="2" t="s">
        <v>331</v>
      </c>
    </row>
    <row r="770" spans="1:5" x14ac:dyDescent="0.3">
      <c r="A770" s="2">
        <v>4441</v>
      </c>
      <c r="B770" s="2" t="s">
        <v>1098</v>
      </c>
      <c r="C770" s="2" t="s">
        <v>328</v>
      </c>
      <c r="D770" s="483">
        <v>1918334</v>
      </c>
      <c r="E770" s="2" t="s">
        <v>331</v>
      </c>
    </row>
    <row r="771" spans="1:5" x14ac:dyDescent="0.3">
      <c r="A771" s="2">
        <v>4442</v>
      </c>
      <c r="B771" s="2" t="s">
        <v>1099</v>
      </c>
      <c r="C771" s="2" t="s">
        <v>328</v>
      </c>
      <c r="D771" s="483">
        <v>449084</v>
      </c>
      <c r="E771" s="2" t="s">
        <v>331</v>
      </c>
    </row>
    <row r="772" spans="1:5" x14ac:dyDescent="0.3">
      <c r="A772" s="2">
        <v>4447</v>
      </c>
      <c r="B772" s="2" t="s">
        <v>1100</v>
      </c>
      <c r="C772" s="2" t="s">
        <v>328</v>
      </c>
      <c r="D772" s="483">
        <v>652406</v>
      </c>
      <c r="E772" s="2" t="s">
        <v>331</v>
      </c>
    </row>
    <row r="773" spans="1:5" x14ac:dyDescent="0.3">
      <c r="A773" s="2">
        <v>4461</v>
      </c>
      <c r="B773" s="2" t="s">
        <v>1101</v>
      </c>
      <c r="C773" s="2" t="s">
        <v>328</v>
      </c>
      <c r="D773" s="483">
        <v>547784</v>
      </c>
      <c r="E773" s="2" t="s">
        <v>331</v>
      </c>
    </row>
    <row r="774" spans="1:5" x14ac:dyDescent="0.3">
      <c r="A774" s="2">
        <v>4477</v>
      </c>
      <c r="B774" s="2" t="s">
        <v>1102</v>
      </c>
      <c r="C774" s="2" t="s">
        <v>30</v>
      </c>
      <c r="D774" s="483">
        <v>106251</v>
      </c>
      <c r="E774" s="2" t="s">
        <v>331</v>
      </c>
    </row>
    <row r="775" spans="1:5" x14ac:dyDescent="0.3">
      <c r="A775" s="2">
        <v>4478</v>
      </c>
      <c r="B775" s="2" t="s">
        <v>1103</v>
      </c>
      <c r="C775" s="2" t="s">
        <v>692</v>
      </c>
      <c r="D775" s="483">
        <v>158822</v>
      </c>
      <c r="E775" s="2" t="s">
        <v>324</v>
      </c>
    </row>
    <row r="776" spans="1:5" x14ac:dyDescent="0.3">
      <c r="A776" s="2">
        <v>4479</v>
      </c>
      <c r="B776" s="2" t="s">
        <v>1104</v>
      </c>
      <c r="C776" s="2" t="s">
        <v>979</v>
      </c>
      <c r="D776" s="483">
        <v>20278</v>
      </c>
      <c r="E776" s="2" t="s">
        <v>324</v>
      </c>
    </row>
    <row r="777" spans="1:5" x14ac:dyDescent="0.3">
      <c r="A777" s="2">
        <v>4485</v>
      </c>
      <c r="B777" s="2" t="s">
        <v>1105</v>
      </c>
      <c r="C777" s="2" t="s">
        <v>30</v>
      </c>
      <c r="D777" s="483">
        <v>1399993</v>
      </c>
      <c r="E777" s="2" t="s">
        <v>331</v>
      </c>
    </row>
    <row r="778" spans="1:5" x14ac:dyDescent="0.3">
      <c r="A778" s="2">
        <v>4486</v>
      </c>
      <c r="B778" s="2" t="s">
        <v>1106</v>
      </c>
      <c r="C778" s="2" t="s">
        <v>30</v>
      </c>
      <c r="D778" s="483">
        <v>1533742</v>
      </c>
      <c r="E778" s="2" t="s">
        <v>331</v>
      </c>
    </row>
    <row r="779" spans="1:5" x14ac:dyDescent="0.3">
      <c r="A779" s="2">
        <v>4487</v>
      </c>
      <c r="B779" s="2" t="s">
        <v>1107</v>
      </c>
      <c r="C779" s="2" t="s">
        <v>30</v>
      </c>
      <c r="D779" s="483">
        <v>198207</v>
      </c>
      <c r="E779" s="2" t="s">
        <v>331</v>
      </c>
    </row>
    <row r="780" spans="1:5" x14ac:dyDescent="0.3">
      <c r="A780" s="2">
        <v>4488</v>
      </c>
      <c r="B780" s="2" t="s">
        <v>1108</v>
      </c>
      <c r="C780" s="2" t="s">
        <v>30</v>
      </c>
      <c r="D780" s="483">
        <v>194138</v>
      </c>
      <c r="E780" s="2" t="s">
        <v>331</v>
      </c>
    </row>
    <row r="781" spans="1:5" x14ac:dyDescent="0.3">
      <c r="A781" s="2">
        <v>4489</v>
      </c>
      <c r="B781" s="2" t="s">
        <v>1109</v>
      </c>
      <c r="C781" s="2" t="s">
        <v>30</v>
      </c>
      <c r="D781" s="483">
        <v>176435</v>
      </c>
      <c r="E781" s="2" t="s">
        <v>331</v>
      </c>
    </row>
    <row r="782" spans="1:5" x14ac:dyDescent="0.3">
      <c r="A782" s="2">
        <v>4490</v>
      </c>
      <c r="B782" s="2" t="s">
        <v>1110</v>
      </c>
      <c r="C782" s="2" t="s">
        <v>21</v>
      </c>
      <c r="D782" s="483">
        <v>264180</v>
      </c>
      <c r="E782" s="2" t="s">
        <v>331</v>
      </c>
    </row>
    <row r="783" spans="1:5" x14ac:dyDescent="0.3">
      <c r="A783" s="2">
        <v>4491</v>
      </c>
      <c r="B783" s="2" t="s">
        <v>1111</v>
      </c>
      <c r="C783" s="2" t="s">
        <v>21</v>
      </c>
      <c r="D783" s="483">
        <v>320540</v>
      </c>
      <c r="E783" s="2" t="s">
        <v>331</v>
      </c>
    </row>
    <row r="784" spans="1:5" x14ac:dyDescent="0.3">
      <c r="A784" s="2">
        <v>4501</v>
      </c>
      <c r="B784" s="2" t="s">
        <v>1112</v>
      </c>
      <c r="C784" s="2" t="s">
        <v>21</v>
      </c>
      <c r="D784" s="483">
        <v>182351</v>
      </c>
      <c r="E784" s="2" t="s">
        <v>331</v>
      </c>
    </row>
    <row r="785" spans="1:5" x14ac:dyDescent="0.3">
      <c r="A785" s="2">
        <v>4502</v>
      </c>
      <c r="B785" s="2" t="s">
        <v>1113</v>
      </c>
      <c r="C785" s="2" t="s">
        <v>21</v>
      </c>
      <c r="D785" s="483">
        <v>293779</v>
      </c>
      <c r="E785" s="2" t="s">
        <v>331</v>
      </c>
    </row>
    <row r="786" spans="1:5" x14ac:dyDescent="0.3">
      <c r="A786" s="2">
        <v>4503</v>
      </c>
      <c r="B786" s="2" t="s">
        <v>1114</v>
      </c>
      <c r="C786" s="2" t="s">
        <v>21</v>
      </c>
      <c r="D786" s="483">
        <v>322073</v>
      </c>
      <c r="E786" s="2" t="s">
        <v>331</v>
      </c>
    </row>
    <row r="787" spans="1:5" x14ac:dyDescent="0.3">
      <c r="A787" s="2">
        <v>4504</v>
      </c>
      <c r="B787" s="2" t="s">
        <v>1115</v>
      </c>
      <c r="C787" s="2" t="s">
        <v>21</v>
      </c>
      <c r="D787" s="483">
        <v>369830</v>
      </c>
      <c r="E787" s="2" t="s">
        <v>331</v>
      </c>
    </row>
    <row r="788" spans="1:5" x14ac:dyDescent="0.3">
      <c r="A788" s="2">
        <v>4505</v>
      </c>
      <c r="B788" s="2" t="s">
        <v>1116</v>
      </c>
      <c r="C788" s="2" t="s">
        <v>21</v>
      </c>
      <c r="D788" s="483">
        <v>172828</v>
      </c>
      <c r="E788" s="2" t="s">
        <v>331</v>
      </c>
    </row>
    <row r="789" spans="1:5" x14ac:dyDescent="0.3">
      <c r="A789" s="2">
        <v>4506</v>
      </c>
      <c r="B789" s="2" t="s">
        <v>1117</v>
      </c>
      <c r="C789" s="2" t="s">
        <v>21</v>
      </c>
      <c r="D789" s="483">
        <v>246750</v>
      </c>
      <c r="E789" s="2" t="s">
        <v>331</v>
      </c>
    </row>
    <row r="790" spans="1:5" x14ac:dyDescent="0.3">
      <c r="A790" s="2">
        <v>4507</v>
      </c>
      <c r="B790" s="2" t="s">
        <v>1118</v>
      </c>
      <c r="C790" s="2" t="s">
        <v>21</v>
      </c>
      <c r="D790" s="483">
        <v>282980</v>
      </c>
      <c r="E790" s="2" t="s">
        <v>331</v>
      </c>
    </row>
    <row r="791" spans="1:5" x14ac:dyDescent="0.3">
      <c r="A791" s="2">
        <v>4508</v>
      </c>
      <c r="B791" s="2" t="s">
        <v>1119</v>
      </c>
      <c r="C791" s="2" t="s">
        <v>21</v>
      </c>
      <c r="D791" s="483">
        <v>281192</v>
      </c>
      <c r="E791" s="2" t="s">
        <v>331</v>
      </c>
    </row>
    <row r="792" spans="1:5" x14ac:dyDescent="0.3">
      <c r="A792" s="2">
        <v>4509</v>
      </c>
      <c r="B792" s="2" t="s">
        <v>1120</v>
      </c>
      <c r="C792" s="2" t="s">
        <v>21</v>
      </c>
      <c r="D792" s="483">
        <v>334069</v>
      </c>
      <c r="E792" s="2" t="s">
        <v>331</v>
      </c>
    </row>
    <row r="793" spans="1:5" x14ac:dyDescent="0.3">
      <c r="A793" s="2">
        <v>4510</v>
      </c>
      <c r="B793" s="2" t="s">
        <v>1121</v>
      </c>
      <c r="C793" s="2" t="s">
        <v>21</v>
      </c>
      <c r="D793" s="483">
        <v>155649</v>
      </c>
      <c r="E793" s="2" t="s">
        <v>331</v>
      </c>
    </row>
    <row r="794" spans="1:5" x14ac:dyDescent="0.3">
      <c r="A794" s="2">
        <v>4511</v>
      </c>
      <c r="B794" s="2" t="s">
        <v>1122</v>
      </c>
      <c r="C794" s="2" t="s">
        <v>21</v>
      </c>
      <c r="D794" s="483">
        <v>345096</v>
      </c>
      <c r="E794" s="2" t="s">
        <v>331</v>
      </c>
    </row>
    <row r="795" spans="1:5" x14ac:dyDescent="0.3">
      <c r="A795" s="2">
        <v>4512</v>
      </c>
      <c r="B795" s="2" t="s">
        <v>1123</v>
      </c>
      <c r="C795" s="2" t="s">
        <v>21</v>
      </c>
      <c r="D795" s="483">
        <v>372330</v>
      </c>
      <c r="E795" s="2" t="s">
        <v>331</v>
      </c>
    </row>
    <row r="796" spans="1:5" x14ac:dyDescent="0.3">
      <c r="A796" s="2">
        <v>4513</v>
      </c>
      <c r="B796" s="2" t="s">
        <v>1124</v>
      </c>
      <c r="C796" s="2" t="s">
        <v>30</v>
      </c>
      <c r="D796" s="483">
        <v>184943</v>
      </c>
      <c r="E796" s="2" t="s">
        <v>331</v>
      </c>
    </row>
    <row r="797" spans="1:5" x14ac:dyDescent="0.3">
      <c r="A797" s="2">
        <v>4514</v>
      </c>
      <c r="B797" s="2" t="s">
        <v>1125</v>
      </c>
      <c r="C797" s="2" t="s">
        <v>21</v>
      </c>
      <c r="D797" s="483">
        <v>231200</v>
      </c>
      <c r="E797" s="2" t="s">
        <v>331</v>
      </c>
    </row>
    <row r="798" spans="1:5" x14ac:dyDescent="0.3">
      <c r="A798" s="2">
        <v>4515</v>
      </c>
      <c r="B798" s="2" t="s">
        <v>1126</v>
      </c>
      <c r="C798" s="2" t="s">
        <v>21</v>
      </c>
      <c r="D798" s="483">
        <v>296209</v>
      </c>
      <c r="E798" s="2" t="s">
        <v>331</v>
      </c>
    </row>
    <row r="799" spans="1:5" x14ac:dyDescent="0.3">
      <c r="A799" s="2">
        <v>4516</v>
      </c>
      <c r="B799" s="2" t="s">
        <v>1127</v>
      </c>
      <c r="C799" s="2" t="s">
        <v>21</v>
      </c>
      <c r="D799" s="483">
        <v>209055</v>
      </c>
      <c r="E799" s="2" t="s">
        <v>331</v>
      </c>
    </row>
    <row r="800" spans="1:5" x14ac:dyDescent="0.3">
      <c r="A800" s="2">
        <v>4517</v>
      </c>
      <c r="B800" s="2" t="s">
        <v>1128</v>
      </c>
      <c r="C800" s="2" t="s">
        <v>21</v>
      </c>
      <c r="D800" s="483">
        <v>317330</v>
      </c>
      <c r="E800" s="2" t="s">
        <v>331</v>
      </c>
    </row>
    <row r="801" spans="1:5" x14ac:dyDescent="0.3">
      <c r="A801" s="2">
        <v>4518</v>
      </c>
      <c r="B801" s="2" t="s">
        <v>1129</v>
      </c>
      <c r="C801" s="2" t="s">
        <v>21</v>
      </c>
      <c r="D801" s="483">
        <v>65081</v>
      </c>
      <c r="E801" s="2" t="s">
        <v>331</v>
      </c>
    </row>
    <row r="802" spans="1:5" x14ac:dyDescent="0.3">
      <c r="A802" s="2">
        <v>4519</v>
      </c>
      <c r="B802" s="2" t="s">
        <v>1130</v>
      </c>
      <c r="C802" s="2" t="s">
        <v>21</v>
      </c>
      <c r="D802" s="483">
        <v>86705</v>
      </c>
      <c r="E802" s="2" t="s">
        <v>331</v>
      </c>
    </row>
    <row r="803" spans="1:5" x14ac:dyDescent="0.3">
      <c r="A803" s="2">
        <v>4520</v>
      </c>
      <c r="B803" s="2" t="s">
        <v>1131</v>
      </c>
      <c r="C803" s="2" t="s">
        <v>21</v>
      </c>
      <c r="D803" s="483">
        <v>96785</v>
      </c>
      <c r="E803" s="2" t="s">
        <v>331</v>
      </c>
    </row>
    <row r="804" spans="1:5" x14ac:dyDescent="0.3">
      <c r="A804" s="2">
        <v>4522</v>
      </c>
      <c r="B804" s="2" t="s">
        <v>1132</v>
      </c>
      <c r="C804" s="2" t="s">
        <v>21</v>
      </c>
      <c r="D804" s="483">
        <v>272326</v>
      </c>
      <c r="E804" s="2" t="s">
        <v>331</v>
      </c>
    </row>
    <row r="805" spans="1:5" x14ac:dyDescent="0.3">
      <c r="A805" s="2">
        <v>4523</v>
      </c>
      <c r="B805" s="2" t="s">
        <v>1133</v>
      </c>
      <c r="C805" s="2" t="s">
        <v>21</v>
      </c>
      <c r="D805" s="483">
        <v>252757</v>
      </c>
      <c r="E805" s="2" t="s">
        <v>331</v>
      </c>
    </row>
    <row r="806" spans="1:5" x14ac:dyDescent="0.3">
      <c r="A806" s="2">
        <v>4524</v>
      </c>
      <c r="B806" s="2" t="s">
        <v>1134</v>
      </c>
      <c r="C806" s="2" t="s">
        <v>21</v>
      </c>
      <c r="D806" s="483">
        <v>268732</v>
      </c>
      <c r="E806" s="2" t="s">
        <v>331</v>
      </c>
    </row>
    <row r="807" spans="1:5" x14ac:dyDescent="0.3">
      <c r="A807" s="2">
        <v>4525</v>
      </c>
      <c r="B807" s="2" t="s">
        <v>1135</v>
      </c>
      <c r="C807" s="2" t="s">
        <v>328</v>
      </c>
      <c r="D807" s="483">
        <v>7115</v>
      </c>
      <c r="E807" s="2" t="s">
        <v>331</v>
      </c>
    </row>
    <row r="808" spans="1:5" x14ac:dyDescent="0.3">
      <c r="A808" s="2">
        <v>4541</v>
      </c>
      <c r="B808" s="2" t="s">
        <v>1136</v>
      </c>
      <c r="C808" s="2" t="s">
        <v>30</v>
      </c>
      <c r="D808" s="483">
        <v>1595448</v>
      </c>
      <c r="E808" s="2" t="s">
        <v>331</v>
      </c>
    </row>
    <row r="809" spans="1:5" x14ac:dyDescent="0.3">
      <c r="A809" s="2">
        <v>4542</v>
      </c>
      <c r="B809" s="2" t="s">
        <v>1137</v>
      </c>
      <c r="C809" s="2" t="s">
        <v>30</v>
      </c>
      <c r="D809" s="483">
        <v>1595435</v>
      </c>
      <c r="E809" s="2" t="s">
        <v>331</v>
      </c>
    </row>
    <row r="810" spans="1:5" x14ac:dyDescent="0.3">
      <c r="A810" s="2">
        <v>4543</v>
      </c>
      <c r="B810" s="2" t="s">
        <v>1138</v>
      </c>
      <c r="C810" s="2" t="s">
        <v>328</v>
      </c>
      <c r="D810" s="483">
        <v>63798</v>
      </c>
      <c r="E810" s="2" t="s">
        <v>331</v>
      </c>
    </row>
    <row r="811" spans="1:5" x14ac:dyDescent="0.3">
      <c r="A811" s="2">
        <v>4544</v>
      </c>
      <c r="B811" s="2" t="s">
        <v>1139</v>
      </c>
      <c r="C811" s="2" t="s">
        <v>328</v>
      </c>
      <c r="D811" s="483">
        <v>65490</v>
      </c>
      <c r="E811" s="2" t="s">
        <v>331</v>
      </c>
    </row>
    <row r="812" spans="1:5" x14ac:dyDescent="0.3">
      <c r="A812" s="2">
        <v>4545</v>
      </c>
      <c r="B812" s="2" t="s">
        <v>1140</v>
      </c>
      <c r="C812" s="2" t="s">
        <v>328</v>
      </c>
      <c r="D812" s="483">
        <v>61375</v>
      </c>
      <c r="E812" s="2" t="s">
        <v>331</v>
      </c>
    </row>
    <row r="813" spans="1:5" x14ac:dyDescent="0.3">
      <c r="A813" s="2">
        <v>4549</v>
      </c>
      <c r="B813" s="2" t="s">
        <v>1141</v>
      </c>
      <c r="C813" s="2" t="s">
        <v>32</v>
      </c>
      <c r="D813" s="483">
        <v>7665397</v>
      </c>
      <c r="E813" s="2" t="s">
        <v>331</v>
      </c>
    </row>
    <row r="814" spans="1:5" x14ac:dyDescent="0.3">
      <c r="A814" s="2">
        <v>4550</v>
      </c>
      <c r="B814" s="2" t="s">
        <v>1142</v>
      </c>
      <c r="C814" s="2" t="s">
        <v>32</v>
      </c>
      <c r="D814" s="483">
        <v>5433023</v>
      </c>
      <c r="E814" s="2" t="s">
        <v>331</v>
      </c>
    </row>
    <row r="815" spans="1:5" x14ac:dyDescent="0.3">
      <c r="A815" s="2">
        <v>4551</v>
      </c>
      <c r="B815" s="2" t="s">
        <v>1143</v>
      </c>
      <c r="C815" s="2" t="s">
        <v>32</v>
      </c>
      <c r="D815" s="483">
        <v>6029553</v>
      </c>
      <c r="E815" s="2" t="s">
        <v>331</v>
      </c>
    </row>
    <row r="816" spans="1:5" x14ac:dyDescent="0.3">
      <c r="A816" s="2">
        <v>4553</v>
      </c>
      <c r="B816" s="2" t="s">
        <v>1144</v>
      </c>
      <c r="C816" s="2" t="s">
        <v>32</v>
      </c>
      <c r="D816" s="483">
        <v>3890709</v>
      </c>
      <c r="E816" s="2" t="s">
        <v>331</v>
      </c>
    </row>
    <row r="817" spans="1:5" x14ac:dyDescent="0.3">
      <c r="A817" s="2">
        <v>4555</v>
      </c>
      <c r="B817" s="2" t="s">
        <v>1145</v>
      </c>
      <c r="C817" s="2" t="s">
        <v>30</v>
      </c>
      <c r="D817" s="483">
        <v>1032833</v>
      </c>
      <c r="E817" s="2" t="s">
        <v>331</v>
      </c>
    </row>
    <row r="818" spans="1:5" x14ac:dyDescent="0.3">
      <c r="A818" s="2">
        <v>4556</v>
      </c>
      <c r="B818" s="2" t="s">
        <v>1146</v>
      </c>
      <c r="C818" s="2" t="s">
        <v>30</v>
      </c>
      <c r="D818" s="483">
        <v>182158</v>
      </c>
      <c r="E818" s="2" t="s">
        <v>331</v>
      </c>
    </row>
    <row r="819" spans="1:5" x14ac:dyDescent="0.3">
      <c r="A819" s="2">
        <v>4557</v>
      </c>
      <c r="B819" s="2" t="s">
        <v>1147</v>
      </c>
      <c r="C819" s="2" t="s">
        <v>30</v>
      </c>
      <c r="D819" s="483">
        <v>173341</v>
      </c>
      <c r="E819" s="2" t="s">
        <v>331</v>
      </c>
    </row>
    <row r="820" spans="1:5" x14ac:dyDescent="0.3">
      <c r="A820" s="2">
        <v>4558</v>
      </c>
      <c r="B820" s="2" t="s">
        <v>1148</v>
      </c>
      <c r="C820" s="2" t="s">
        <v>32</v>
      </c>
      <c r="D820" s="483">
        <v>7624362</v>
      </c>
      <c r="E820" s="2" t="s">
        <v>331</v>
      </c>
    </row>
    <row r="821" spans="1:5" x14ac:dyDescent="0.3">
      <c r="A821" s="2">
        <v>4559</v>
      </c>
      <c r="B821" s="2" t="s">
        <v>1149</v>
      </c>
      <c r="C821" s="2" t="s">
        <v>30</v>
      </c>
      <c r="D821" s="483">
        <v>431180</v>
      </c>
      <c r="E821" s="2" t="s">
        <v>331</v>
      </c>
    </row>
    <row r="822" spans="1:5" x14ac:dyDescent="0.3">
      <c r="A822" s="2">
        <v>4560</v>
      </c>
      <c r="B822" s="2" t="s">
        <v>1150</v>
      </c>
      <c r="C822" s="2" t="s">
        <v>30</v>
      </c>
      <c r="D822" s="483">
        <v>469885</v>
      </c>
      <c r="E822" s="2" t="s">
        <v>331</v>
      </c>
    </row>
    <row r="823" spans="1:5" x14ac:dyDescent="0.3">
      <c r="A823" s="2">
        <v>4561</v>
      </c>
      <c r="B823" s="2" t="s">
        <v>1151</v>
      </c>
      <c r="C823" s="2" t="s">
        <v>30</v>
      </c>
      <c r="D823" s="483">
        <v>548398</v>
      </c>
      <c r="E823" s="2" t="s">
        <v>331</v>
      </c>
    </row>
    <row r="824" spans="1:5" x14ac:dyDescent="0.3">
      <c r="A824" s="2">
        <v>4562</v>
      </c>
      <c r="B824" s="2" t="s">
        <v>1152</v>
      </c>
      <c r="C824" s="2" t="s">
        <v>30</v>
      </c>
      <c r="D824" s="483">
        <v>146577</v>
      </c>
      <c r="E824" s="2" t="s">
        <v>331</v>
      </c>
    </row>
    <row r="825" spans="1:5" x14ac:dyDescent="0.3">
      <c r="A825" s="2">
        <v>4563</v>
      </c>
      <c r="B825" s="2" t="s">
        <v>1153</v>
      </c>
      <c r="C825" s="2" t="s">
        <v>30</v>
      </c>
      <c r="D825" s="483">
        <v>101714</v>
      </c>
      <c r="E825" s="2" t="s">
        <v>331</v>
      </c>
    </row>
    <row r="826" spans="1:5" x14ac:dyDescent="0.3">
      <c r="A826" s="2">
        <v>4564</v>
      </c>
      <c r="B826" s="2" t="s">
        <v>1154</v>
      </c>
      <c r="C826" s="2" t="s">
        <v>30</v>
      </c>
      <c r="D826" s="483">
        <v>479088</v>
      </c>
      <c r="E826" s="2" t="s">
        <v>331</v>
      </c>
    </row>
    <row r="827" spans="1:5" x14ac:dyDescent="0.3">
      <c r="A827" s="2">
        <v>4565</v>
      </c>
      <c r="B827" s="2" t="s">
        <v>1155</v>
      </c>
      <c r="C827" s="2" t="s">
        <v>30</v>
      </c>
      <c r="D827" s="483">
        <v>546596</v>
      </c>
      <c r="E827" s="2" t="s">
        <v>331</v>
      </c>
    </row>
    <row r="828" spans="1:5" x14ac:dyDescent="0.3">
      <c r="A828" s="2">
        <v>4566</v>
      </c>
      <c r="B828" s="2" t="s">
        <v>1156</v>
      </c>
      <c r="C828" s="2" t="s">
        <v>30</v>
      </c>
      <c r="D828" s="483">
        <v>564517</v>
      </c>
      <c r="E828" s="2" t="s">
        <v>331</v>
      </c>
    </row>
    <row r="829" spans="1:5" x14ac:dyDescent="0.3">
      <c r="A829" s="2">
        <v>4567</v>
      </c>
      <c r="B829" s="2" t="s">
        <v>1157</v>
      </c>
      <c r="C829" s="2" t="s">
        <v>30</v>
      </c>
      <c r="D829" s="483">
        <v>1427864</v>
      </c>
      <c r="E829" s="2" t="s">
        <v>331</v>
      </c>
    </row>
    <row r="830" spans="1:5" x14ac:dyDescent="0.3">
      <c r="A830" s="2">
        <v>4568</v>
      </c>
      <c r="B830" s="2" t="s">
        <v>1158</v>
      </c>
      <c r="C830" s="2" t="s">
        <v>30</v>
      </c>
      <c r="D830" s="483">
        <v>1427864</v>
      </c>
      <c r="E830" s="2" t="s">
        <v>331</v>
      </c>
    </row>
    <row r="831" spans="1:5" x14ac:dyDescent="0.3">
      <c r="A831" s="2">
        <v>4569</v>
      </c>
      <c r="B831" s="2" t="s">
        <v>1159</v>
      </c>
      <c r="C831" s="2" t="s">
        <v>32</v>
      </c>
      <c r="D831" s="483">
        <v>10907</v>
      </c>
      <c r="E831" s="2" t="s">
        <v>324</v>
      </c>
    </row>
    <row r="832" spans="1:5" x14ac:dyDescent="0.3">
      <c r="A832" s="2">
        <v>4577</v>
      </c>
      <c r="B832" s="2" t="s">
        <v>1160</v>
      </c>
      <c r="C832" s="2" t="s">
        <v>21</v>
      </c>
      <c r="D832" s="483">
        <v>186580</v>
      </c>
      <c r="E832" s="2" t="s">
        <v>331</v>
      </c>
    </row>
    <row r="833" spans="1:5" x14ac:dyDescent="0.3">
      <c r="A833" s="2">
        <v>4578</v>
      </c>
      <c r="B833" s="2" t="s">
        <v>1161</v>
      </c>
      <c r="C833" s="2" t="s">
        <v>328</v>
      </c>
      <c r="D833" s="483">
        <v>95086</v>
      </c>
      <c r="E833" s="2" t="s">
        <v>331</v>
      </c>
    </row>
    <row r="834" spans="1:5" x14ac:dyDescent="0.3">
      <c r="A834" s="2">
        <v>4581</v>
      </c>
      <c r="B834" s="2" t="s">
        <v>1162</v>
      </c>
      <c r="C834" s="2" t="s">
        <v>21</v>
      </c>
      <c r="D834" s="483">
        <v>2923</v>
      </c>
      <c r="E834" s="2" t="s">
        <v>324</v>
      </c>
    </row>
    <row r="835" spans="1:5" x14ac:dyDescent="0.3">
      <c r="A835" s="2">
        <v>4585</v>
      </c>
      <c r="B835" s="2" t="s">
        <v>1163</v>
      </c>
      <c r="C835" s="2" t="s">
        <v>21</v>
      </c>
      <c r="D835" s="483">
        <v>260951</v>
      </c>
      <c r="E835" s="2" t="s">
        <v>331</v>
      </c>
    </row>
    <row r="836" spans="1:5" x14ac:dyDescent="0.3">
      <c r="A836" s="2">
        <v>4586</v>
      </c>
      <c r="B836" s="2" t="s">
        <v>1164</v>
      </c>
      <c r="C836" s="2" t="s">
        <v>21</v>
      </c>
      <c r="D836" s="483">
        <v>137098</v>
      </c>
      <c r="E836" s="2" t="s">
        <v>331</v>
      </c>
    </row>
    <row r="837" spans="1:5" x14ac:dyDescent="0.3">
      <c r="A837" s="2">
        <v>4588</v>
      </c>
      <c r="B837" s="2" t="s">
        <v>1165</v>
      </c>
      <c r="C837" s="2" t="s">
        <v>21</v>
      </c>
      <c r="D837" s="483">
        <v>445774</v>
      </c>
      <c r="E837" s="2" t="s">
        <v>331</v>
      </c>
    </row>
    <row r="838" spans="1:5" x14ac:dyDescent="0.3">
      <c r="A838" s="2">
        <v>4592</v>
      </c>
      <c r="B838" s="2" t="s">
        <v>1166</v>
      </c>
      <c r="C838" s="2" t="s">
        <v>21</v>
      </c>
      <c r="D838" s="483">
        <v>1760</v>
      </c>
      <c r="E838" s="2" t="s">
        <v>324</v>
      </c>
    </row>
    <row r="839" spans="1:5" x14ac:dyDescent="0.3">
      <c r="A839" s="2">
        <v>4593</v>
      </c>
      <c r="B839" s="2" t="s">
        <v>1167</v>
      </c>
      <c r="C839" s="2" t="s">
        <v>21</v>
      </c>
      <c r="D839" s="483">
        <v>106337</v>
      </c>
      <c r="E839" s="2" t="s">
        <v>331</v>
      </c>
    </row>
    <row r="840" spans="1:5" x14ac:dyDescent="0.3">
      <c r="A840" s="2">
        <v>4598</v>
      </c>
      <c r="B840" s="2" t="s">
        <v>1168</v>
      </c>
      <c r="C840" s="2" t="s">
        <v>328</v>
      </c>
      <c r="D840" s="483">
        <v>10386</v>
      </c>
      <c r="E840" s="2" t="s">
        <v>331</v>
      </c>
    </row>
    <row r="841" spans="1:5" x14ac:dyDescent="0.3">
      <c r="A841" s="2">
        <v>4599</v>
      </c>
      <c r="B841" s="2" t="s">
        <v>1169</v>
      </c>
      <c r="C841" s="2" t="s">
        <v>21</v>
      </c>
      <c r="D841" s="483">
        <v>60065</v>
      </c>
      <c r="E841" s="2" t="s">
        <v>331</v>
      </c>
    </row>
    <row r="842" spans="1:5" x14ac:dyDescent="0.3">
      <c r="A842" s="2">
        <v>4600</v>
      </c>
      <c r="B842" s="2" t="s">
        <v>1170</v>
      </c>
      <c r="C842" s="2" t="s">
        <v>21</v>
      </c>
      <c r="D842" s="483">
        <v>131155</v>
      </c>
      <c r="E842" s="2" t="s">
        <v>331</v>
      </c>
    </row>
    <row r="843" spans="1:5" x14ac:dyDescent="0.3">
      <c r="A843" s="2">
        <v>4601</v>
      </c>
      <c r="B843" s="2" t="s">
        <v>1171</v>
      </c>
      <c r="C843" s="2" t="s">
        <v>21</v>
      </c>
      <c r="D843" s="483">
        <v>73007</v>
      </c>
      <c r="E843" s="2" t="s">
        <v>331</v>
      </c>
    </row>
    <row r="844" spans="1:5" x14ac:dyDescent="0.3">
      <c r="A844" s="2">
        <v>4602</v>
      </c>
      <c r="B844" s="2" t="s">
        <v>1172</v>
      </c>
      <c r="C844" s="2" t="s">
        <v>21</v>
      </c>
      <c r="D844" s="483">
        <v>155326</v>
      </c>
      <c r="E844" s="2" t="s">
        <v>331</v>
      </c>
    </row>
    <row r="845" spans="1:5" x14ac:dyDescent="0.3">
      <c r="A845" s="2">
        <v>4603</v>
      </c>
      <c r="B845" s="2" t="s">
        <v>1173</v>
      </c>
      <c r="C845" s="2" t="s">
        <v>21</v>
      </c>
      <c r="D845" s="483">
        <v>1757</v>
      </c>
      <c r="E845" s="2" t="s">
        <v>331</v>
      </c>
    </row>
    <row r="846" spans="1:5" x14ac:dyDescent="0.3">
      <c r="A846" s="2">
        <v>4604</v>
      </c>
      <c r="B846" s="2" t="s">
        <v>1174</v>
      </c>
      <c r="C846" s="2" t="s">
        <v>21</v>
      </c>
      <c r="D846" s="483">
        <v>6897</v>
      </c>
      <c r="E846" s="2" t="s">
        <v>331</v>
      </c>
    </row>
    <row r="847" spans="1:5" x14ac:dyDescent="0.3">
      <c r="A847" s="2">
        <v>4605</v>
      </c>
      <c r="B847" s="2" t="s">
        <v>1175</v>
      </c>
      <c r="C847" s="2" t="s">
        <v>21</v>
      </c>
      <c r="D847" s="483">
        <v>301149</v>
      </c>
      <c r="E847" s="2" t="s">
        <v>331</v>
      </c>
    </row>
    <row r="848" spans="1:5" x14ac:dyDescent="0.3">
      <c r="A848" s="2">
        <v>4606</v>
      </c>
      <c r="B848" s="2" t="s">
        <v>1176</v>
      </c>
      <c r="C848" s="2" t="s">
        <v>21</v>
      </c>
      <c r="D848" s="483">
        <v>29168</v>
      </c>
      <c r="E848" s="2" t="s">
        <v>331</v>
      </c>
    </row>
    <row r="849" spans="1:5" x14ac:dyDescent="0.3">
      <c r="A849" s="2">
        <v>4607</v>
      </c>
      <c r="B849" s="2" t="s">
        <v>1177</v>
      </c>
      <c r="C849" s="2" t="s">
        <v>21</v>
      </c>
      <c r="D849" s="483">
        <v>69622</v>
      </c>
      <c r="E849" s="2" t="s">
        <v>331</v>
      </c>
    </row>
    <row r="850" spans="1:5" x14ac:dyDescent="0.3">
      <c r="A850" s="2">
        <v>4608</v>
      </c>
      <c r="B850" s="2" t="s">
        <v>1178</v>
      </c>
      <c r="C850" s="2" t="s">
        <v>21</v>
      </c>
      <c r="D850" s="483">
        <v>34812</v>
      </c>
      <c r="E850" s="2" t="s">
        <v>331</v>
      </c>
    </row>
    <row r="851" spans="1:5" x14ac:dyDescent="0.3">
      <c r="A851" s="2">
        <v>4609</v>
      </c>
      <c r="B851" s="2" t="s">
        <v>1179</v>
      </c>
      <c r="C851" s="2" t="s">
        <v>21</v>
      </c>
      <c r="D851" s="483">
        <v>130988</v>
      </c>
      <c r="E851" s="2" t="s">
        <v>331</v>
      </c>
    </row>
    <row r="852" spans="1:5" x14ac:dyDescent="0.3">
      <c r="A852" s="2">
        <v>4610</v>
      </c>
      <c r="B852" s="2" t="s">
        <v>1180</v>
      </c>
      <c r="C852" s="2" t="s">
        <v>21</v>
      </c>
      <c r="D852" s="483">
        <v>74899</v>
      </c>
      <c r="E852" s="2" t="s">
        <v>331</v>
      </c>
    </row>
    <row r="853" spans="1:5" x14ac:dyDescent="0.3">
      <c r="A853" s="2">
        <v>4611</v>
      </c>
      <c r="B853" s="2" t="s">
        <v>1181</v>
      </c>
      <c r="C853" s="2" t="s">
        <v>328</v>
      </c>
      <c r="D853" s="483">
        <v>235700</v>
      </c>
      <c r="E853" s="2" t="s">
        <v>331</v>
      </c>
    </row>
    <row r="854" spans="1:5" x14ac:dyDescent="0.3">
      <c r="A854" s="2">
        <v>4612</v>
      </c>
      <c r="B854" s="2" t="s">
        <v>1182</v>
      </c>
      <c r="C854" s="2" t="s">
        <v>328</v>
      </c>
      <c r="D854" s="483">
        <v>235700</v>
      </c>
      <c r="E854" s="2" t="s">
        <v>331</v>
      </c>
    </row>
    <row r="855" spans="1:5" x14ac:dyDescent="0.3">
      <c r="A855" s="2">
        <v>4613</v>
      </c>
      <c r="B855" s="2" t="s">
        <v>1183</v>
      </c>
      <c r="C855" s="2" t="s">
        <v>30</v>
      </c>
      <c r="D855" s="483">
        <v>58200</v>
      </c>
      <c r="E855" s="2" t="s">
        <v>331</v>
      </c>
    </row>
    <row r="856" spans="1:5" x14ac:dyDescent="0.3">
      <c r="A856" s="2">
        <v>4614</v>
      </c>
      <c r="B856" s="2" t="s">
        <v>1184</v>
      </c>
      <c r="C856" s="2" t="s">
        <v>328</v>
      </c>
      <c r="D856" s="483">
        <v>238084</v>
      </c>
      <c r="E856" s="2" t="s">
        <v>331</v>
      </c>
    </row>
    <row r="857" spans="1:5" x14ac:dyDescent="0.3">
      <c r="A857" s="2">
        <v>4615</v>
      </c>
      <c r="B857" s="2" t="s">
        <v>1185</v>
      </c>
      <c r="C857" s="2" t="s">
        <v>328</v>
      </c>
      <c r="D857" s="483">
        <v>298533</v>
      </c>
      <c r="E857" s="2" t="s">
        <v>331</v>
      </c>
    </row>
    <row r="858" spans="1:5" x14ac:dyDescent="0.3">
      <c r="A858" s="2">
        <v>4616</v>
      </c>
      <c r="B858" s="2" t="s">
        <v>1186</v>
      </c>
      <c r="C858" s="2" t="s">
        <v>328</v>
      </c>
      <c r="D858" s="483">
        <v>298533</v>
      </c>
      <c r="E858" s="2" t="s">
        <v>331</v>
      </c>
    </row>
    <row r="859" spans="1:5" x14ac:dyDescent="0.3">
      <c r="A859" s="2">
        <v>4617</v>
      </c>
      <c r="B859" s="2" t="s">
        <v>1187</v>
      </c>
      <c r="C859" s="2" t="s">
        <v>328</v>
      </c>
      <c r="D859" s="483">
        <v>309435</v>
      </c>
      <c r="E859" s="2" t="s">
        <v>331</v>
      </c>
    </row>
    <row r="860" spans="1:5" x14ac:dyDescent="0.3">
      <c r="A860" s="2">
        <v>4618</v>
      </c>
      <c r="B860" s="2" t="s">
        <v>1188</v>
      </c>
      <c r="C860" s="2" t="s">
        <v>328</v>
      </c>
      <c r="D860" s="483">
        <v>367524</v>
      </c>
      <c r="E860" s="2" t="s">
        <v>331</v>
      </c>
    </row>
    <row r="861" spans="1:5" x14ac:dyDescent="0.3">
      <c r="A861" s="2">
        <v>4619</v>
      </c>
      <c r="B861" s="2" t="s">
        <v>1189</v>
      </c>
      <c r="C861" s="2" t="s">
        <v>328</v>
      </c>
      <c r="D861" s="483">
        <v>406773</v>
      </c>
      <c r="E861" s="2" t="s">
        <v>331</v>
      </c>
    </row>
    <row r="862" spans="1:5" x14ac:dyDescent="0.3">
      <c r="A862" s="2">
        <v>4620</v>
      </c>
      <c r="B862" s="2" t="s">
        <v>1190</v>
      </c>
      <c r="C862" s="2" t="s">
        <v>328</v>
      </c>
      <c r="D862" s="483">
        <v>466773</v>
      </c>
      <c r="E862" s="2" t="s">
        <v>331</v>
      </c>
    </row>
    <row r="863" spans="1:5" x14ac:dyDescent="0.3">
      <c r="A863" s="2">
        <v>4621</v>
      </c>
      <c r="B863" s="2" t="s">
        <v>1191</v>
      </c>
      <c r="C863" s="2" t="s">
        <v>328</v>
      </c>
      <c r="D863" s="483">
        <v>414693</v>
      </c>
      <c r="E863" s="2" t="s">
        <v>331</v>
      </c>
    </row>
    <row r="864" spans="1:5" x14ac:dyDescent="0.3">
      <c r="A864" s="2">
        <v>4622</v>
      </c>
      <c r="B864" s="2" t="s">
        <v>1192</v>
      </c>
      <c r="C864" s="2" t="s">
        <v>328</v>
      </c>
      <c r="D864" s="483">
        <v>519440</v>
      </c>
      <c r="E864" s="2" t="s">
        <v>331</v>
      </c>
    </row>
    <row r="865" spans="1:5" x14ac:dyDescent="0.3">
      <c r="A865" s="2">
        <v>4624</v>
      </c>
      <c r="B865" s="2" t="s">
        <v>1193</v>
      </c>
      <c r="C865" s="2" t="s">
        <v>328</v>
      </c>
      <c r="D865" s="483">
        <v>405418</v>
      </c>
      <c r="E865" s="2" t="s">
        <v>331</v>
      </c>
    </row>
    <row r="866" spans="1:5" x14ac:dyDescent="0.3">
      <c r="A866" s="2">
        <v>4625</v>
      </c>
      <c r="B866" s="2" t="s">
        <v>1194</v>
      </c>
      <c r="C866" s="2" t="s">
        <v>328</v>
      </c>
      <c r="D866" s="483">
        <v>498798</v>
      </c>
      <c r="E866" s="2" t="s">
        <v>331</v>
      </c>
    </row>
    <row r="867" spans="1:5" x14ac:dyDescent="0.3">
      <c r="A867" s="2">
        <v>4626</v>
      </c>
      <c r="B867" s="2" t="s">
        <v>1195</v>
      </c>
      <c r="C867" s="2" t="s">
        <v>328</v>
      </c>
      <c r="D867" s="483">
        <v>635500</v>
      </c>
      <c r="E867" s="2" t="s">
        <v>331</v>
      </c>
    </row>
    <row r="868" spans="1:5" x14ac:dyDescent="0.3">
      <c r="A868" s="2">
        <v>4627</v>
      </c>
      <c r="B868" s="2" t="s">
        <v>1196</v>
      </c>
      <c r="C868" s="2" t="s">
        <v>328</v>
      </c>
      <c r="D868" s="483">
        <v>698663</v>
      </c>
      <c r="E868" s="2" t="s">
        <v>331</v>
      </c>
    </row>
    <row r="869" spans="1:5" x14ac:dyDescent="0.3">
      <c r="A869" s="2">
        <v>4628</v>
      </c>
      <c r="B869" s="2" t="s">
        <v>1197</v>
      </c>
      <c r="C869" s="2" t="s">
        <v>328</v>
      </c>
      <c r="D869" s="483">
        <v>863877</v>
      </c>
      <c r="E869" s="2" t="s">
        <v>331</v>
      </c>
    </row>
    <row r="870" spans="1:5" x14ac:dyDescent="0.3">
      <c r="A870" s="2">
        <v>4629</v>
      </c>
      <c r="B870" s="2" t="s">
        <v>1198</v>
      </c>
      <c r="C870" s="2" t="s">
        <v>328</v>
      </c>
      <c r="D870" s="483">
        <v>1004768</v>
      </c>
      <c r="E870" s="2" t="s">
        <v>331</v>
      </c>
    </row>
    <row r="871" spans="1:5" x14ac:dyDescent="0.3">
      <c r="A871" s="2">
        <v>4630</v>
      </c>
      <c r="B871" s="2" t="s">
        <v>1199</v>
      </c>
      <c r="C871" s="2" t="s">
        <v>328</v>
      </c>
      <c r="D871" s="483">
        <v>1257356</v>
      </c>
      <c r="E871" s="2" t="s">
        <v>331</v>
      </c>
    </row>
    <row r="872" spans="1:5" x14ac:dyDescent="0.3">
      <c r="A872" s="2">
        <v>4631</v>
      </c>
      <c r="B872" s="2" t="s">
        <v>1200</v>
      </c>
      <c r="C872" s="2" t="s">
        <v>328</v>
      </c>
      <c r="D872" s="483">
        <v>1570649</v>
      </c>
      <c r="E872" s="2" t="s">
        <v>331</v>
      </c>
    </row>
    <row r="873" spans="1:5" x14ac:dyDescent="0.3">
      <c r="A873" s="2">
        <v>4632</v>
      </c>
      <c r="B873" s="2" t="s">
        <v>1201</v>
      </c>
      <c r="C873" s="2" t="s">
        <v>328</v>
      </c>
      <c r="D873" s="483">
        <v>1779714</v>
      </c>
      <c r="E873" s="2" t="s">
        <v>331</v>
      </c>
    </row>
    <row r="874" spans="1:5" x14ac:dyDescent="0.3">
      <c r="A874" s="2">
        <v>4633</v>
      </c>
      <c r="B874" s="2" t="s">
        <v>1202</v>
      </c>
      <c r="C874" s="2" t="s">
        <v>328</v>
      </c>
      <c r="D874" s="483">
        <v>1961449</v>
      </c>
      <c r="E874" s="2" t="s">
        <v>331</v>
      </c>
    </row>
    <row r="875" spans="1:5" x14ac:dyDescent="0.3">
      <c r="A875" s="2">
        <v>4634</v>
      </c>
      <c r="B875" s="2" t="s">
        <v>1203</v>
      </c>
      <c r="C875" s="2" t="s">
        <v>328</v>
      </c>
      <c r="D875" s="483">
        <v>2202197</v>
      </c>
      <c r="E875" s="2" t="s">
        <v>331</v>
      </c>
    </row>
    <row r="876" spans="1:5" x14ac:dyDescent="0.3">
      <c r="A876" s="2">
        <v>4635</v>
      </c>
      <c r="B876" s="2" t="s">
        <v>1204</v>
      </c>
      <c r="C876" s="2" t="s">
        <v>328</v>
      </c>
      <c r="D876" s="483">
        <v>2789631</v>
      </c>
      <c r="E876" s="2" t="s">
        <v>331</v>
      </c>
    </row>
    <row r="877" spans="1:5" x14ac:dyDescent="0.3">
      <c r="A877" s="2">
        <v>4636</v>
      </c>
      <c r="B877" s="2" t="s">
        <v>1205</v>
      </c>
      <c r="C877" s="2" t="s">
        <v>328</v>
      </c>
      <c r="D877" s="483">
        <v>3091599</v>
      </c>
      <c r="E877" s="2" t="s">
        <v>331</v>
      </c>
    </row>
    <row r="878" spans="1:5" x14ac:dyDescent="0.3">
      <c r="A878" s="2">
        <v>4637</v>
      </c>
      <c r="B878" s="2" t="s">
        <v>1206</v>
      </c>
      <c r="C878" s="2" t="s">
        <v>328</v>
      </c>
      <c r="D878" s="483">
        <v>3409622</v>
      </c>
      <c r="E878" s="2" t="s">
        <v>331</v>
      </c>
    </row>
    <row r="879" spans="1:5" x14ac:dyDescent="0.3">
      <c r="A879" s="2">
        <v>4638</v>
      </c>
      <c r="B879" s="2" t="s">
        <v>1207</v>
      </c>
      <c r="C879" s="2" t="s">
        <v>328</v>
      </c>
      <c r="D879" s="483">
        <v>3738435</v>
      </c>
      <c r="E879" s="2" t="s">
        <v>331</v>
      </c>
    </row>
    <row r="880" spans="1:5" x14ac:dyDescent="0.3">
      <c r="A880" s="2">
        <v>4639</v>
      </c>
      <c r="B880" s="2" t="s">
        <v>1208</v>
      </c>
      <c r="C880" s="2" t="s">
        <v>21</v>
      </c>
      <c r="D880" s="483">
        <v>486764</v>
      </c>
      <c r="E880" s="2" t="s">
        <v>331</v>
      </c>
    </row>
    <row r="881" spans="1:5" x14ac:dyDescent="0.3">
      <c r="A881" s="2">
        <v>4640</v>
      </c>
      <c r="B881" s="2" t="s">
        <v>1209</v>
      </c>
      <c r="C881" s="2" t="s">
        <v>21</v>
      </c>
      <c r="D881" s="483">
        <v>451805</v>
      </c>
      <c r="E881" s="2" t="s">
        <v>331</v>
      </c>
    </row>
    <row r="882" spans="1:5" x14ac:dyDescent="0.3">
      <c r="A882" s="2">
        <v>4641</v>
      </c>
      <c r="B882" s="2" t="s">
        <v>1210</v>
      </c>
      <c r="C882" s="2" t="s">
        <v>32</v>
      </c>
      <c r="D882" s="483">
        <v>599543</v>
      </c>
      <c r="E882" s="2" t="s">
        <v>324</v>
      </c>
    </row>
    <row r="883" spans="1:5" x14ac:dyDescent="0.3">
      <c r="A883" s="2">
        <v>4642</v>
      </c>
      <c r="B883" s="2" t="s">
        <v>1211</v>
      </c>
      <c r="C883" s="2" t="s">
        <v>32</v>
      </c>
      <c r="D883" s="483">
        <v>622281</v>
      </c>
      <c r="E883" s="2" t="s">
        <v>324</v>
      </c>
    </row>
    <row r="884" spans="1:5" x14ac:dyDescent="0.3">
      <c r="A884" s="2">
        <v>4643</v>
      </c>
      <c r="B884" s="2" t="s">
        <v>1212</v>
      </c>
      <c r="C884" s="2" t="s">
        <v>32</v>
      </c>
      <c r="D884" s="483">
        <v>644079</v>
      </c>
      <c r="E884" s="2" t="s">
        <v>324</v>
      </c>
    </row>
    <row r="885" spans="1:5" x14ac:dyDescent="0.3">
      <c r="A885" s="2">
        <v>4644</v>
      </c>
      <c r="B885" s="2" t="s">
        <v>1213</v>
      </c>
      <c r="C885" s="2" t="s">
        <v>32</v>
      </c>
      <c r="D885" s="483">
        <v>679415</v>
      </c>
      <c r="E885" s="2" t="s">
        <v>324</v>
      </c>
    </row>
    <row r="886" spans="1:5" x14ac:dyDescent="0.3">
      <c r="A886" s="2">
        <v>4645</v>
      </c>
      <c r="B886" s="2" t="s">
        <v>1214</v>
      </c>
      <c r="C886" s="2" t="s">
        <v>32</v>
      </c>
      <c r="D886" s="483">
        <v>871352</v>
      </c>
      <c r="E886" s="2" t="s">
        <v>324</v>
      </c>
    </row>
    <row r="887" spans="1:5" x14ac:dyDescent="0.3">
      <c r="A887" s="2">
        <v>4646</v>
      </c>
      <c r="B887" s="2" t="s">
        <v>1215</v>
      </c>
      <c r="C887" s="2" t="s">
        <v>32</v>
      </c>
      <c r="D887" s="483">
        <v>931422</v>
      </c>
      <c r="E887" s="2" t="s">
        <v>324</v>
      </c>
    </row>
    <row r="888" spans="1:5" x14ac:dyDescent="0.3">
      <c r="A888" s="2">
        <v>4647</v>
      </c>
      <c r="B888" s="2" t="s">
        <v>1216</v>
      </c>
      <c r="C888" s="2" t="s">
        <v>32</v>
      </c>
      <c r="D888" s="483">
        <v>1005859</v>
      </c>
      <c r="E888" s="2" t="s">
        <v>324</v>
      </c>
    </row>
    <row r="889" spans="1:5" x14ac:dyDescent="0.3">
      <c r="A889" s="2">
        <v>4648</v>
      </c>
      <c r="B889" s="2" t="s">
        <v>1217</v>
      </c>
      <c r="C889" s="2" t="s">
        <v>32</v>
      </c>
      <c r="D889" s="483">
        <v>1082137</v>
      </c>
      <c r="E889" s="2" t="s">
        <v>324</v>
      </c>
    </row>
    <row r="890" spans="1:5" x14ac:dyDescent="0.3">
      <c r="A890" s="2">
        <v>4649</v>
      </c>
      <c r="B890" s="2" t="s">
        <v>1218</v>
      </c>
      <c r="C890" s="2" t="s">
        <v>32</v>
      </c>
      <c r="D890" s="483">
        <v>886403</v>
      </c>
      <c r="E890" s="2" t="s">
        <v>324</v>
      </c>
    </row>
    <row r="891" spans="1:5" x14ac:dyDescent="0.3">
      <c r="A891" s="2">
        <v>4650</v>
      </c>
      <c r="B891" s="2" t="s">
        <v>1219</v>
      </c>
      <c r="C891" s="2" t="s">
        <v>32</v>
      </c>
      <c r="D891" s="483">
        <v>925564</v>
      </c>
      <c r="E891" s="2" t="s">
        <v>324</v>
      </c>
    </row>
    <row r="892" spans="1:5" x14ac:dyDescent="0.3">
      <c r="A892" s="2">
        <v>4651</v>
      </c>
      <c r="B892" s="2" t="s">
        <v>1220</v>
      </c>
      <c r="C892" s="2" t="s">
        <v>32</v>
      </c>
      <c r="D892" s="483">
        <v>1032802</v>
      </c>
      <c r="E892" s="2" t="s">
        <v>324</v>
      </c>
    </row>
    <row r="893" spans="1:5" x14ac:dyDescent="0.3">
      <c r="A893" s="2">
        <v>4652</v>
      </c>
      <c r="B893" s="2" t="s">
        <v>1221</v>
      </c>
      <c r="C893" s="2" t="s">
        <v>32</v>
      </c>
      <c r="D893" s="483">
        <v>1250284</v>
      </c>
      <c r="E893" s="2" t="s">
        <v>324</v>
      </c>
    </row>
    <row r="894" spans="1:5" x14ac:dyDescent="0.3">
      <c r="A894" s="2">
        <v>4653</v>
      </c>
      <c r="B894" s="2" t="s">
        <v>1222</v>
      </c>
      <c r="C894" s="2" t="s">
        <v>32</v>
      </c>
      <c r="D894" s="483">
        <v>1309025</v>
      </c>
      <c r="E894" s="2" t="s">
        <v>324</v>
      </c>
    </row>
    <row r="895" spans="1:5" x14ac:dyDescent="0.3">
      <c r="A895" s="2">
        <v>4654</v>
      </c>
      <c r="B895" s="2" t="s">
        <v>1223</v>
      </c>
      <c r="C895" s="2" t="s">
        <v>32</v>
      </c>
      <c r="D895" s="483">
        <v>1402106</v>
      </c>
      <c r="E895" s="2" t="s">
        <v>324</v>
      </c>
    </row>
    <row r="896" spans="1:5" x14ac:dyDescent="0.3">
      <c r="A896" s="2">
        <v>4655</v>
      </c>
      <c r="B896" s="2" t="s">
        <v>1224</v>
      </c>
      <c r="C896" s="2" t="s">
        <v>32</v>
      </c>
      <c r="D896" s="483">
        <v>1580428</v>
      </c>
      <c r="E896" s="2" t="s">
        <v>324</v>
      </c>
    </row>
    <row r="897" spans="1:5" x14ac:dyDescent="0.3">
      <c r="A897" s="2">
        <v>4656</v>
      </c>
      <c r="B897" s="2" t="s">
        <v>1225</v>
      </c>
      <c r="C897" s="2" t="s">
        <v>32</v>
      </c>
      <c r="D897" s="483">
        <v>1638565</v>
      </c>
      <c r="E897" s="2" t="s">
        <v>324</v>
      </c>
    </row>
    <row r="898" spans="1:5" x14ac:dyDescent="0.3">
      <c r="A898" s="2">
        <v>4657</v>
      </c>
      <c r="B898" s="2" t="s">
        <v>1226</v>
      </c>
      <c r="C898" s="2" t="s">
        <v>32</v>
      </c>
      <c r="D898" s="483">
        <v>1899724</v>
      </c>
      <c r="E898" s="2" t="s">
        <v>324</v>
      </c>
    </row>
    <row r="899" spans="1:5" x14ac:dyDescent="0.3">
      <c r="A899" s="2">
        <v>4658</v>
      </c>
      <c r="B899" s="2" t="s">
        <v>1227</v>
      </c>
      <c r="C899" s="2" t="s">
        <v>32</v>
      </c>
      <c r="D899" s="483">
        <v>2021419</v>
      </c>
      <c r="E899" s="2" t="s">
        <v>324</v>
      </c>
    </row>
    <row r="900" spans="1:5" x14ac:dyDescent="0.3">
      <c r="A900" s="2">
        <v>4659</v>
      </c>
      <c r="B900" s="2" t="s">
        <v>1228</v>
      </c>
      <c r="C900" s="2" t="s">
        <v>328</v>
      </c>
      <c r="D900" s="483">
        <v>4110211</v>
      </c>
      <c r="E900" s="2" t="s">
        <v>331</v>
      </c>
    </row>
    <row r="901" spans="1:5" x14ac:dyDescent="0.3">
      <c r="A901" s="2">
        <v>4660</v>
      </c>
      <c r="B901" s="2" t="s">
        <v>1229</v>
      </c>
      <c r="C901" s="2" t="s">
        <v>328</v>
      </c>
      <c r="D901" s="483">
        <v>4838798</v>
      </c>
      <c r="E901" s="2" t="s">
        <v>331</v>
      </c>
    </row>
    <row r="902" spans="1:5" x14ac:dyDescent="0.3">
      <c r="A902" s="2">
        <v>4661</v>
      </c>
      <c r="B902" s="2" t="s">
        <v>1230</v>
      </c>
      <c r="C902" s="2" t="s">
        <v>328</v>
      </c>
      <c r="D902" s="483">
        <v>6541142</v>
      </c>
      <c r="E902" s="2" t="s">
        <v>331</v>
      </c>
    </row>
    <row r="903" spans="1:5" x14ac:dyDescent="0.3">
      <c r="A903" s="2">
        <v>4662</v>
      </c>
      <c r="B903" s="2" t="s">
        <v>1231</v>
      </c>
      <c r="C903" s="2" t="s">
        <v>32</v>
      </c>
      <c r="D903" s="483">
        <v>2327467</v>
      </c>
      <c r="E903" s="2" t="s">
        <v>324</v>
      </c>
    </row>
    <row r="904" spans="1:5" x14ac:dyDescent="0.3">
      <c r="A904" s="2">
        <v>4663</v>
      </c>
      <c r="B904" s="2" t="s">
        <v>1232</v>
      </c>
      <c r="C904" s="2" t="s">
        <v>21</v>
      </c>
      <c r="D904" s="483">
        <v>202014</v>
      </c>
      <c r="E904" s="2" t="s">
        <v>331</v>
      </c>
    </row>
    <row r="905" spans="1:5" x14ac:dyDescent="0.3">
      <c r="A905" s="2">
        <v>4664</v>
      </c>
      <c r="B905" s="2" t="s">
        <v>1233</v>
      </c>
      <c r="C905" s="2" t="s">
        <v>21</v>
      </c>
      <c r="D905" s="483">
        <v>382668</v>
      </c>
      <c r="E905" s="2" t="s">
        <v>331</v>
      </c>
    </row>
    <row r="906" spans="1:5" x14ac:dyDescent="0.3">
      <c r="A906" s="2">
        <v>4665</v>
      </c>
      <c r="B906" s="2" t="s">
        <v>1234</v>
      </c>
      <c r="C906" s="2" t="s">
        <v>21</v>
      </c>
      <c r="D906" s="483">
        <v>432280</v>
      </c>
      <c r="E906" s="2" t="s">
        <v>331</v>
      </c>
    </row>
    <row r="907" spans="1:5" x14ac:dyDescent="0.3">
      <c r="A907" s="2">
        <v>4666</v>
      </c>
      <c r="B907" s="2" t="s">
        <v>1235</v>
      </c>
      <c r="C907" s="2" t="s">
        <v>21</v>
      </c>
      <c r="D907" s="483">
        <v>331348</v>
      </c>
      <c r="E907" s="2" t="s">
        <v>331</v>
      </c>
    </row>
    <row r="908" spans="1:5" x14ac:dyDescent="0.3">
      <c r="A908" s="2">
        <v>4667</v>
      </c>
      <c r="B908" s="2" t="s">
        <v>1236</v>
      </c>
      <c r="C908" s="2" t="s">
        <v>21</v>
      </c>
      <c r="D908" s="483">
        <v>389330</v>
      </c>
      <c r="E908" s="2" t="s">
        <v>331</v>
      </c>
    </row>
    <row r="909" spans="1:5" x14ac:dyDescent="0.3">
      <c r="A909" s="2">
        <v>4671</v>
      </c>
      <c r="B909" s="2" t="s">
        <v>1237</v>
      </c>
      <c r="C909" s="2" t="s">
        <v>21</v>
      </c>
      <c r="D909" s="483">
        <v>9202</v>
      </c>
      <c r="E909" s="2" t="s">
        <v>324</v>
      </c>
    </row>
    <row r="910" spans="1:5" x14ac:dyDescent="0.3">
      <c r="A910" s="2">
        <v>4672</v>
      </c>
      <c r="B910" s="2" t="s">
        <v>1238</v>
      </c>
      <c r="C910" s="2" t="s">
        <v>21</v>
      </c>
      <c r="D910" s="483">
        <v>6484</v>
      </c>
      <c r="E910" s="2" t="s">
        <v>324</v>
      </c>
    </row>
    <row r="911" spans="1:5" x14ac:dyDescent="0.3">
      <c r="A911" s="2">
        <v>4674</v>
      </c>
      <c r="B911" s="2" t="s">
        <v>1239</v>
      </c>
      <c r="C911" s="2" t="s">
        <v>21</v>
      </c>
      <c r="D911" s="483">
        <v>8263</v>
      </c>
      <c r="E911" s="2" t="s">
        <v>324</v>
      </c>
    </row>
    <row r="912" spans="1:5" x14ac:dyDescent="0.3">
      <c r="A912" s="2">
        <v>4675</v>
      </c>
      <c r="B912" s="2" t="s">
        <v>1240</v>
      </c>
      <c r="C912" s="2" t="s">
        <v>32</v>
      </c>
      <c r="D912" s="483">
        <v>449532</v>
      </c>
      <c r="E912" s="2" t="s">
        <v>331</v>
      </c>
    </row>
    <row r="913" spans="1:5" x14ac:dyDescent="0.3">
      <c r="A913" s="2">
        <v>4676</v>
      </c>
      <c r="B913" s="2" t="s">
        <v>1241</v>
      </c>
      <c r="C913" s="2" t="s">
        <v>21</v>
      </c>
      <c r="D913" s="483">
        <v>9202</v>
      </c>
      <c r="E913" s="2" t="s">
        <v>324</v>
      </c>
    </row>
    <row r="914" spans="1:5" x14ac:dyDescent="0.3">
      <c r="A914" s="2">
        <v>4678</v>
      </c>
      <c r="B914" s="2" t="s">
        <v>1242</v>
      </c>
      <c r="C914" s="2" t="s">
        <v>21</v>
      </c>
      <c r="D914" s="483">
        <v>122197</v>
      </c>
      <c r="E914" s="2" t="s">
        <v>331</v>
      </c>
    </row>
    <row r="915" spans="1:5" x14ac:dyDescent="0.3">
      <c r="A915" s="2">
        <v>4686</v>
      </c>
      <c r="B915" s="2" t="s">
        <v>1243</v>
      </c>
      <c r="C915" s="2" t="s">
        <v>32</v>
      </c>
      <c r="D915" s="483">
        <v>238864</v>
      </c>
      <c r="E915" s="2" t="s">
        <v>331</v>
      </c>
    </row>
    <row r="916" spans="1:5" x14ac:dyDescent="0.3">
      <c r="A916" s="2">
        <v>4687</v>
      </c>
      <c r="B916" s="2" t="s">
        <v>1244</v>
      </c>
      <c r="C916" s="2" t="s">
        <v>32</v>
      </c>
      <c r="D916" s="483">
        <v>161019</v>
      </c>
      <c r="E916" s="2" t="s">
        <v>331</v>
      </c>
    </row>
    <row r="917" spans="1:5" x14ac:dyDescent="0.3">
      <c r="A917" s="2">
        <v>4688</v>
      </c>
      <c r="B917" s="2" t="s">
        <v>1245</v>
      </c>
      <c r="C917" s="2" t="s">
        <v>32</v>
      </c>
      <c r="D917" s="483">
        <v>261393</v>
      </c>
      <c r="E917" s="2" t="s">
        <v>331</v>
      </c>
    </row>
    <row r="918" spans="1:5" x14ac:dyDescent="0.3">
      <c r="A918" s="2">
        <v>4689</v>
      </c>
      <c r="B918" s="2" t="s">
        <v>1246</v>
      </c>
      <c r="C918" s="2" t="s">
        <v>32</v>
      </c>
      <c r="D918" s="483">
        <v>231485</v>
      </c>
      <c r="E918" s="2" t="s">
        <v>331</v>
      </c>
    </row>
    <row r="919" spans="1:5" x14ac:dyDescent="0.3">
      <c r="A919" s="2">
        <v>4690</v>
      </c>
      <c r="B919" s="2" t="s">
        <v>1247</v>
      </c>
      <c r="C919" s="2" t="s">
        <v>32</v>
      </c>
      <c r="D919" s="483">
        <v>233410</v>
      </c>
      <c r="E919" s="2" t="s">
        <v>331</v>
      </c>
    </row>
    <row r="920" spans="1:5" x14ac:dyDescent="0.3">
      <c r="A920" s="2">
        <v>4691</v>
      </c>
      <c r="B920" s="2" t="s">
        <v>1248</v>
      </c>
      <c r="C920" s="2" t="s">
        <v>32</v>
      </c>
      <c r="D920" s="483">
        <v>182628</v>
      </c>
      <c r="E920" s="2" t="s">
        <v>324</v>
      </c>
    </row>
    <row r="921" spans="1:5" x14ac:dyDescent="0.3">
      <c r="A921" s="2">
        <v>4692</v>
      </c>
      <c r="B921" s="2" t="s">
        <v>1249</v>
      </c>
      <c r="C921" s="2" t="s">
        <v>32</v>
      </c>
      <c r="D921" s="483">
        <v>202618</v>
      </c>
      <c r="E921" s="2" t="s">
        <v>331</v>
      </c>
    </row>
    <row r="922" spans="1:5" x14ac:dyDescent="0.3">
      <c r="A922" s="2">
        <v>4693</v>
      </c>
      <c r="B922" s="2" t="s">
        <v>1250</v>
      </c>
      <c r="C922" s="2" t="s">
        <v>32</v>
      </c>
      <c r="D922" s="483">
        <v>204543</v>
      </c>
      <c r="E922" s="2" t="s">
        <v>331</v>
      </c>
    </row>
    <row r="923" spans="1:5" x14ac:dyDescent="0.3">
      <c r="A923" s="2">
        <v>4694</v>
      </c>
      <c r="B923" s="2" t="s">
        <v>1251</v>
      </c>
      <c r="C923" s="2" t="s">
        <v>32</v>
      </c>
      <c r="D923" s="483">
        <v>161159</v>
      </c>
      <c r="E923" s="2" t="s">
        <v>324</v>
      </c>
    </row>
    <row r="924" spans="1:5" x14ac:dyDescent="0.3">
      <c r="A924" s="2">
        <v>4695</v>
      </c>
      <c r="B924" s="2" t="s">
        <v>1252</v>
      </c>
      <c r="C924" s="2" t="s">
        <v>670</v>
      </c>
      <c r="D924" s="483">
        <v>3061</v>
      </c>
      <c r="E924" s="2" t="s">
        <v>331</v>
      </c>
    </row>
    <row r="925" spans="1:5" x14ac:dyDescent="0.3">
      <c r="A925" s="2">
        <v>4696</v>
      </c>
      <c r="B925" s="2" t="s">
        <v>1253</v>
      </c>
      <c r="C925" s="2" t="s">
        <v>670</v>
      </c>
      <c r="D925" s="483">
        <v>3248</v>
      </c>
      <c r="E925" s="2" t="s">
        <v>324</v>
      </c>
    </row>
    <row r="926" spans="1:5" x14ac:dyDescent="0.3">
      <c r="A926" s="2">
        <v>4697</v>
      </c>
      <c r="B926" s="2" t="s">
        <v>1254</v>
      </c>
      <c r="C926" s="2" t="s">
        <v>32</v>
      </c>
      <c r="D926" s="483">
        <v>239034</v>
      </c>
      <c r="E926" s="2" t="s">
        <v>331</v>
      </c>
    </row>
    <row r="927" spans="1:5" x14ac:dyDescent="0.3">
      <c r="A927" s="2">
        <v>4698</v>
      </c>
      <c r="B927" s="2" t="s">
        <v>1255</v>
      </c>
      <c r="C927" s="2" t="s">
        <v>32</v>
      </c>
      <c r="D927" s="483">
        <v>238568</v>
      </c>
      <c r="E927" s="2" t="s">
        <v>331</v>
      </c>
    </row>
    <row r="928" spans="1:5" x14ac:dyDescent="0.3">
      <c r="A928" s="2">
        <v>4699</v>
      </c>
      <c r="B928" s="2" t="s">
        <v>1256</v>
      </c>
      <c r="C928" s="2" t="s">
        <v>32</v>
      </c>
      <c r="D928" s="483">
        <v>227107</v>
      </c>
      <c r="E928" s="2" t="s">
        <v>331</v>
      </c>
    </row>
    <row r="929" spans="1:5" x14ac:dyDescent="0.3">
      <c r="A929" s="2">
        <v>4700</v>
      </c>
      <c r="B929" s="2" t="s">
        <v>1257</v>
      </c>
      <c r="C929" s="2" t="s">
        <v>32</v>
      </c>
      <c r="D929" s="483">
        <v>220772</v>
      </c>
      <c r="E929" s="2" t="s">
        <v>331</v>
      </c>
    </row>
    <row r="930" spans="1:5" x14ac:dyDescent="0.3">
      <c r="A930" s="2">
        <v>4702</v>
      </c>
      <c r="B930" s="2" t="s">
        <v>1258</v>
      </c>
      <c r="C930" s="2" t="s">
        <v>21</v>
      </c>
      <c r="D930" s="483">
        <v>3265</v>
      </c>
      <c r="E930" s="2" t="s">
        <v>331</v>
      </c>
    </row>
    <row r="931" spans="1:5" x14ac:dyDescent="0.3">
      <c r="A931" s="2">
        <v>4703</v>
      </c>
      <c r="B931" s="2" t="s">
        <v>1259</v>
      </c>
      <c r="C931" s="2" t="s">
        <v>21</v>
      </c>
      <c r="D931" s="483">
        <v>2498</v>
      </c>
      <c r="E931" s="2" t="s">
        <v>324</v>
      </c>
    </row>
    <row r="932" spans="1:5" x14ac:dyDescent="0.3">
      <c r="A932" s="2">
        <v>4704</v>
      </c>
      <c r="B932" s="2" t="s">
        <v>1260</v>
      </c>
      <c r="C932" s="2" t="s">
        <v>21</v>
      </c>
      <c r="D932" s="483">
        <v>2697</v>
      </c>
      <c r="E932" s="2" t="s">
        <v>324</v>
      </c>
    </row>
    <row r="933" spans="1:5" x14ac:dyDescent="0.3">
      <c r="A933" s="2">
        <v>4708</v>
      </c>
      <c r="B933" s="2" t="s">
        <v>1261</v>
      </c>
      <c r="C933" s="2" t="s">
        <v>21</v>
      </c>
      <c r="D933" s="483">
        <v>530831</v>
      </c>
      <c r="E933" s="2" t="s">
        <v>331</v>
      </c>
    </row>
    <row r="934" spans="1:5" x14ac:dyDescent="0.3">
      <c r="A934" s="2">
        <v>4709</v>
      </c>
      <c r="B934" s="2" t="s">
        <v>1262</v>
      </c>
      <c r="C934" s="2" t="s">
        <v>21</v>
      </c>
      <c r="D934" s="483">
        <v>170895</v>
      </c>
      <c r="E934" s="2" t="s">
        <v>331</v>
      </c>
    </row>
    <row r="935" spans="1:5" x14ac:dyDescent="0.3">
      <c r="A935" s="2">
        <v>4710</v>
      </c>
      <c r="B935" s="2" t="s">
        <v>1263</v>
      </c>
      <c r="C935" s="2" t="s">
        <v>328</v>
      </c>
      <c r="D935" s="483">
        <v>15148</v>
      </c>
      <c r="E935" s="2" t="s">
        <v>367</v>
      </c>
    </row>
    <row r="936" spans="1:5" x14ac:dyDescent="0.3">
      <c r="A936" s="2">
        <v>4711</v>
      </c>
      <c r="B936" s="2" t="s">
        <v>1264</v>
      </c>
      <c r="C936" s="2" t="s">
        <v>32</v>
      </c>
      <c r="D936" s="483">
        <v>44533</v>
      </c>
      <c r="E936" s="2" t="s">
        <v>367</v>
      </c>
    </row>
    <row r="937" spans="1:5" x14ac:dyDescent="0.3">
      <c r="A937" s="2">
        <v>4712</v>
      </c>
      <c r="B937" s="2" t="s">
        <v>1265</v>
      </c>
      <c r="C937" s="2" t="s">
        <v>30</v>
      </c>
      <c r="D937" s="483">
        <v>1556215</v>
      </c>
      <c r="E937" s="2" t="s">
        <v>331</v>
      </c>
    </row>
    <row r="938" spans="1:5" x14ac:dyDescent="0.3">
      <c r="A938" s="2">
        <v>4737</v>
      </c>
      <c r="B938" s="2" t="s">
        <v>1266</v>
      </c>
      <c r="C938" s="2" t="s">
        <v>328</v>
      </c>
      <c r="D938" s="483">
        <v>978320</v>
      </c>
      <c r="E938" s="2" t="s">
        <v>331</v>
      </c>
    </row>
    <row r="939" spans="1:5" x14ac:dyDescent="0.3">
      <c r="A939" s="2">
        <v>4738</v>
      </c>
      <c r="B939" s="2" t="s">
        <v>1267</v>
      </c>
      <c r="C939" s="2" t="s">
        <v>328</v>
      </c>
      <c r="D939" s="483">
        <v>811919</v>
      </c>
      <c r="E939" s="2" t="s">
        <v>331</v>
      </c>
    </row>
    <row r="940" spans="1:5" x14ac:dyDescent="0.3">
      <c r="A940" s="2">
        <v>4739</v>
      </c>
      <c r="B940" s="2" t="s">
        <v>1268</v>
      </c>
      <c r="C940" s="2" t="s">
        <v>328</v>
      </c>
      <c r="D940" s="483">
        <v>1265048</v>
      </c>
      <c r="E940" s="2" t="s">
        <v>331</v>
      </c>
    </row>
    <row r="941" spans="1:5" x14ac:dyDescent="0.3">
      <c r="A941" s="2">
        <v>4740</v>
      </c>
      <c r="B941" s="2" t="s">
        <v>1269</v>
      </c>
      <c r="C941" s="2" t="s">
        <v>328</v>
      </c>
      <c r="D941" s="483">
        <v>1348028</v>
      </c>
      <c r="E941" s="2" t="s">
        <v>331</v>
      </c>
    </row>
    <row r="942" spans="1:5" x14ac:dyDescent="0.3">
      <c r="A942" s="2">
        <v>4741</v>
      </c>
      <c r="B942" s="2" t="s">
        <v>1270</v>
      </c>
      <c r="C942" s="2" t="s">
        <v>328</v>
      </c>
      <c r="D942" s="483">
        <v>1551335</v>
      </c>
      <c r="E942" s="2" t="s">
        <v>331</v>
      </c>
    </row>
    <row r="943" spans="1:5" x14ac:dyDescent="0.3">
      <c r="A943" s="2">
        <v>4742</v>
      </c>
      <c r="B943" s="2" t="s">
        <v>1271</v>
      </c>
      <c r="C943" s="2" t="s">
        <v>328</v>
      </c>
      <c r="D943" s="483">
        <v>1766945</v>
      </c>
      <c r="E943" s="2" t="s">
        <v>331</v>
      </c>
    </row>
    <row r="944" spans="1:5" x14ac:dyDescent="0.3">
      <c r="A944" s="2">
        <v>4743</v>
      </c>
      <c r="B944" s="2" t="s">
        <v>1272</v>
      </c>
      <c r="C944" s="2" t="s">
        <v>30</v>
      </c>
      <c r="D944" s="483">
        <v>175972</v>
      </c>
      <c r="E944" s="2" t="s">
        <v>331</v>
      </c>
    </row>
    <row r="945" spans="1:5" x14ac:dyDescent="0.3">
      <c r="A945" s="2">
        <v>4744</v>
      </c>
      <c r="B945" s="2" t="s">
        <v>1273</v>
      </c>
      <c r="C945" s="2" t="s">
        <v>30</v>
      </c>
      <c r="D945" s="483">
        <v>192883</v>
      </c>
      <c r="E945" s="2" t="s">
        <v>331</v>
      </c>
    </row>
    <row r="946" spans="1:5" x14ac:dyDescent="0.3">
      <c r="A946" s="2">
        <v>4745</v>
      </c>
      <c r="B946" s="2" t="s">
        <v>1274</v>
      </c>
      <c r="C946" s="2" t="s">
        <v>30</v>
      </c>
      <c r="D946" s="483">
        <v>167969</v>
      </c>
      <c r="E946" s="2" t="s">
        <v>331</v>
      </c>
    </row>
    <row r="947" spans="1:5" x14ac:dyDescent="0.3">
      <c r="A947" s="2">
        <v>4746</v>
      </c>
      <c r="B947" s="2" t="s">
        <v>1275</v>
      </c>
      <c r="C947" s="2" t="s">
        <v>30</v>
      </c>
      <c r="D947" s="483">
        <v>166345</v>
      </c>
      <c r="E947" s="2" t="s">
        <v>331</v>
      </c>
    </row>
    <row r="948" spans="1:5" x14ac:dyDescent="0.3">
      <c r="A948" s="2">
        <v>4747</v>
      </c>
      <c r="B948" s="2" t="s">
        <v>1276</v>
      </c>
      <c r="C948" s="2" t="s">
        <v>30</v>
      </c>
      <c r="D948" s="483">
        <v>163490</v>
      </c>
      <c r="E948" s="2" t="s">
        <v>331</v>
      </c>
    </row>
    <row r="949" spans="1:5" x14ac:dyDescent="0.3">
      <c r="A949" s="2">
        <v>4748</v>
      </c>
      <c r="B949" s="2" t="s">
        <v>1277</v>
      </c>
      <c r="C949" s="2" t="s">
        <v>30</v>
      </c>
      <c r="D949" s="483">
        <v>155755</v>
      </c>
      <c r="E949" s="2" t="s">
        <v>331</v>
      </c>
    </row>
    <row r="950" spans="1:5" x14ac:dyDescent="0.3">
      <c r="A950" s="2">
        <v>4749</v>
      </c>
      <c r="B950" s="2" t="s">
        <v>1278</v>
      </c>
      <c r="C950" s="2" t="s">
        <v>30</v>
      </c>
      <c r="D950" s="483">
        <v>173487</v>
      </c>
      <c r="E950" s="2" t="s">
        <v>331</v>
      </c>
    </row>
    <row r="951" spans="1:5" x14ac:dyDescent="0.3">
      <c r="A951" s="2">
        <v>4750</v>
      </c>
      <c r="B951" s="2" t="s">
        <v>1279</v>
      </c>
      <c r="C951" s="2" t="s">
        <v>30</v>
      </c>
      <c r="D951" s="483">
        <v>558734</v>
      </c>
      <c r="E951" s="2" t="s">
        <v>331</v>
      </c>
    </row>
    <row r="952" spans="1:5" x14ac:dyDescent="0.3">
      <c r="A952" s="2">
        <v>4751</v>
      </c>
      <c r="B952" s="2" t="s">
        <v>1280</v>
      </c>
      <c r="C952" s="2" t="s">
        <v>328</v>
      </c>
      <c r="D952" s="483">
        <v>15013</v>
      </c>
      <c r="E952" s="2" t="s">
        <v>331</v>
      </c>
    </row>
    <row r="953" spans="1:5" x14ac:dyDescent="0.3">
      <c r="A953" s="2">
        <v>4753</v>
      </c>
      <c r="B953" s="2" t="s">
        <v>1281</v>
      </c>
      <c r="C953" s="2" t="s">
        <v>30</v>
      </c>
      <c r="D953" s="483">
        <v>172637</v>
      </c>
      <c r="E953" s="2" t="s">
        <v>331</v>
      </c>
    </row>
    <row r="954" spans="1:5" x14ac:dyDescent="0.3">
      <c r="A954" s="2">
        <v>4754</v>
      </c>
      <c r="B954" s="2" t="s">
        <v>1282</v>
      </c>
      <c r="C954" s="2" t="s">
        <v>30</v>
      </c>
      <c r="D954" s="483">
        <v>169782</v>
      </c>
      <c r="E954" s="2" t="s">
        <v>331</v>
      </c>
    </row>
    <row r="955" spans="1:5" x14ac:dyDescent="0.3">
      <c r="A955" s="2">
        <v>4755</v>
      </c>
      <c r="B955" s="2" t="s">
        <v>1283</v>
      </c>
      <c r="C955" s="2" t="s">
        <v>30</v>
      </c>
      <c r="D955" s="483">
        <v>162047</v>
      </c>
      <c r="E955" s="2" t="s">
        <v>331</v>
      </c>
    </row>
    <row r="956" spans="1:5" x14ac:dyDescent="0.3">
      <c r="A956" s="2">
        <v>4758</v>
      </c>
      <c r="B956" s="2" t="s">
        <v>1284</v>
      </c>
      <c r="C956" s="2" t="s">
        <v>328</v>
      </c>
      <c r="D956" s="483">
        <v>8877</v>
      </c>
      <c r="E956" s="2" t="s">
        <v>331</v>
      </c>
    </row>
    <row r="957" spans="1:5" x14ac:dyDescent="0.3">
      <c r="A957" s="2">
        <v>4759</v>
      </c>
      <c r="B957" s="2" t="s">
        <v>1285</v>
      </c>
      <c r="C957" s="2" t="s">
        <v>328</v>
      </c>
      <c r="D957" s="483">
        <v>52629</v>
      </c>
      <c r="E957" s="2" t="s">
        <v>324</v>
      </c>
    </row>
    <row r="958" spans="1:5" x14ac:dyDescent="0.3">
      <c r="A958" s="2">
        <v>4762</v>
      </c>
      <c r="B958" s="2" t="s">
        <v>1286</v>
      </c>
      <c r="C958" s="2" t="s">
        <v>328</v>
      </c>
      <c r="D958" s="483">
        <v>47000</v>
      </c>
      <c r="E958" s="2" t="s">
        <v>324</v>
      </c>
    </row>
    <row r="959" spans="1:5" x14ac:dyDescent="0.3">
      <c r="A959" s="2">
        <v>4764</v>
      </c>
      <c r="B959" s="2" t="s">
        <v>1287</v>
      </c>
      <c r="C959" s="2" t="s">
        <v>32</v>
      </c>
      <c r="D959" s="483">
        <v>1922</v>
      </c>
      <c r="E959" s="2" t="s">
        <v>324</v>
      </c>
    </row>
    <row r="960" spans="1:5" x14ac:dyDescent="0.3">
      <c r="A960" s="2">
        <v>4765</v>
      </c>
      <c r="B960" s="2" t="s">
        <v>1288</v>
      </c>
      <c r="C960" s="2" t="s">
        <v>32</v>
      </c>
      <c r="D960" s="483">
        <v>2247</v>
      </c>
      <c r="E960" s="2" t="s">
        <v>331</v>
      </c>
    </row>
    <row r="961" spans="1:5" x14ac:dyDescent="0.3">
      <c r="A961" s="2">
        <v>4776</v>
      </c>
      <c r="B961" s="2" t="s">
        <v>1289</v>
      </c>
      <c r="C961" s="2" t="s">
        <v>21</v>
      </c>
      <c r="D961" s="483">
        <v>2623</v>
      </c>
      <c r="E961" s="2" t="s">
        <v>324</v>
      </c>
    </row>
    <row r="962" spans="1:5" x14ac:dyDescent="0.3">
      <c r="A962" s="2">
        <v>4777</v>
      </c>
      <c r="B962" s="2" t="s">
        <v>1290</v>
      </c>
      <c r="C962" s="2" t="s">
        <v>21</v>
      </c>
      <c r="D962" s="483">
        <v>10179</v>
      </c>
      <c r="E962" s="2" t="s">
        <v>324</v>
      </c>
    </row>
    <row r="963" spans="1:5" x14ac:dyDescent="0.3">
      <c r="A963" s="2">
        <v>4778</v>
      </c>
      <c r="B963" s="2" t="s">
        <v>1291</v>
      </c>
      <c r="C963" s="2" t="s">
        <v>32</v>
      </c>
      <c r="D963" s="483">
        <v>71968</v>
      </c>
      <c r="E963" s="2" t="s">
        <v>324</v>
      </c>
    </row>
    <row r="964" spans="1:5" x14ac:dyDescent="0.3">
      <c r="A964" s="2">
        <v>4779</v>
      </c>
      <c r="B964" s="2" t="s">
        <v>1292</v>
      </c>
      <c r="C964" s="2" t="s">
        <v>32</v>
      </c>
      <c r="D964" s="483">
        <v>166665</v>
      </c>
      <c r="E964" s="2" t="s">
        <v>324</v>
      </c>
    </row>
    <row r="965" spans="1:5" x14ac:dyDescent="0.3">
      <c r="A965" s="2">
        <v>4780</v>
      </c>
      <c r="B965" s="2" t="s">
        <v>1293</v>
      </c>
      <c r="C965" s="2" t="s">
        <v>1294</v>
      </c>
      <c r="D965" s="483">
        <v>410105</v>
      </c>
      <c r="E965" s="2" t="s">
        <v>324</v>
      </c>
    </row>
    <row r="966" spans="1:5" x14ac:dyDescent="0.3">
      <c r="A966" s="2">
        <v>4781</v>
      </c>
      <c r="B966" s="2" t="s">
        <v>1295</v>
      </c>
      <c r="C966" s="2" t="s">
        <v>30</v>
      </c>
      <c r="D966" s="483">
        <v>16207</v>
      </c>
      <c r="E966" s="2" t="s">
        <v>324</v>
      </c>
    </row>
    <row r="967" spans="1:5" x14ac:dyDescent="0.3">
      <c r="A967" s="2">
        <v>4782</v>
      </c>
      <c r="B967" s="2" t="s">
        <v>1296</v>
      </c>
      <c r="C967" s="2" t="s">
        <v>21</v>
      </c>
      <c r="D967" s="483">
        <v>1216</v>
      </c>
      <c r="E967" s="2" t="s">
        <v>331</v>
      </c>
    </row>
    <row r="968" spans="1:5" x14ac:dyDescent="0.3">
      <c r="A968" s="2">
        <v>4783</v>
      </c>
      <c r="B968" s="2" t="s">
        <v>1297</v>
      </c>
      <c r="C968" s="2" t="s">
        <v>30</v>
      </c>
      <c r="D968" s="483">
        <v>749962</v>
      </c>
      <c r="E968" s="2" t="s">
        <v>331</v>
      </c>
    </row>
    <row r="969" spans="1:5" x14ac:dyDescent="0.3">
      <c r="A969" s="2">
        <v>4784</v>
      </c>
      <c r="B969" s="2" t="s">
        <v>1298</v>
      </c>
      <c r="C969" s="2" t="s">
        <v>30</v>
      </c>
      <c r="D969" s="483">
        <v>23175</v>
      </c>
      <c r="E969" s="2" t="s">
        <v>331</v>
      </c>
    </row>
    <row r="970" spans="1:5" x14ac:dyDescent="0.3">
      <c r="A970" s="2">
        <v>4786</v>
      </c>
      <c r="B970" s="2" t="s">
        <v>1299</v>
      </c>
      <c r="C970" s="2" t="s">
        <v>328</v>
      </c>
      <c r="D970" s="483">
        <v>345017</v>
      </c>
      <c r="E970" s="2" t="s">
        <v>331</v>
      </c>
    </row>
    <row r="971" spans="1:5" x14ac:dyDescent="0.3">
      <c r="A971" s="2">
        <v>4787</v>
      </c>
      <c r="B971" s="2" t="s">
        <v>1300</v>
      </c>
      <c r="C971" s="2" t="s">
        <v>32</v>
      </c>
      <c r="D971" s="483">
        <v>18811</v>
      </c>
      <c r="E971" s="2" t="s">
        <v>331</v>
      </c>
    </row>
    <row r="972" spans="1:5" x14ac:dyDescent="0.3">
      <c r="A972" s="2">
        <v>4788</v>
      </c>
      <c r="B972" s="2" t="s">
        <v>1301</v>
      </c>
      <c r="C972" s="2" t="s">
        <v>328</v>
      </c>
      <c r="D972" s="483">
        <v>49536</v>
      </c>
      <c r="E972" s="2" t="s">
        <v>324</v>
      </c>
    </row>
    <row r="973" spans="1:5" x14ac:dyDescent="0.3">
      <c r="A973" s="2">
        <v>4789</v>
      </c>
      <c r="B973" s="2" t="s">
        <v>1302</v>
      </c>
      <c r="C973" s="2" t="s">
        <v>328</v>
      </c>
      <c r="D973" s="483">
        <v>13782</v>
      </c>
      <c r="E973" s="2" t="s">
        <v>331</v>
      </c>
    </row>
    <row r="974" spans="1:5" x14ac:dyDescent="0.3">
      <c r="A974" s="2">
        <v>4790</v>
      </c>
      <c r="B974" s="2" t="s">
        <v>1303</v>
      </c>
      <c r="C974" s="2" t="s">
        <v>328</v>
      </c>
      <c r="D974" s="483">
        <v>13894</v>
      </c>
      <c r="E974" s="2" t="s">
        <v>331</v>
      </c>
    </row>
    <row r="975" spans="1:5" x14ac:dyDescent="0.3">
      <c r="A975" s="2">
        <v>4791</v>
      </c>
      <c r="B975" s="2" t="s">
        <v>1304</v>
      </c>
      <c r="C975" s="2" t="s">
        <v>328</v>
      </c>
      <c r="D975" s="483">
        <v>32971</v>
      </c>
      <c r="E975" s="2" t="s">
        <v>331</v>
      </c>
    </row>
    <row r="976" spans="1:5" x14ac:dyDescent="0.3">
      <c r="A976" s="2">
        <v>4792</v>
      </c>
      <c r="B976" s="2" t="s">
        <v>1305</v>
      </c>
      <c r="C976" s="2" t="s">
        <v>30</v>
      </c>
      <c r="D976" s="483">
        <v>100367</v>
      </c>
      <c r="E976" s="2" t="s">
        <v>331</v>
      </c>
    </row>
    <row r="977" spans="1:5" x14ac:dyDescent="0.3">
      <c r="A977" s="2">
        <v>4794</v>
      </c>
      <c r="B977" s="2" t="s">
        <v>1306</v>
      </c>
      <c r="C977" s="2" t="s">
        <v>21</v>
      </c>
      <c r="D977" s="483">
        <v>70570</v>
      </c>
      <c r="E977" s="2" t="s">
        <v>331</v>
      </c>
    </row>
    <row r="978" spans="1:5" x14ac:dyDescent="0.3">
      <c r="A978" s="2">
        <v>4795</v>
      </c>
      <c r="B978" s="2" t="s">
        <v>1307</v>
      </c>
      <c r="C978" s="2" t="s">
        <v>21</v>
      </c>
      <c r="D978" s="483">
        <v>64738</v>
      </c>
      <c r="E978" s="2" t="s">
        <v>331</v>
      </c>
    </row>
    <row r="979" spans="1:5" x14ac:dyDescent="0.3">
      <c r="A979" s="2">
        <v>4797</v>
      </c>
      <c r="B979" s="2" t="s">
        <v>1308</v>
      </c>
      <c r="C979" s="2" t="s">
        <v>32</v>
      </c>
      <c r="D979" s="483">
        <v>235594</v>
      </c>
      <c r="E979" s="2" t="s">
        <v>331</v>
      </c>
    </row>
    <row r="980" spans="1:5" x14ac:dyDescent="0.3">
      <c r="A980" s="2">
        <v>4798</v>
      </c>
      <c r="B980" s="2" t="s">
        <v>1309</v>
      </c>
      <c r="C980" s="2" t="s">
        <v>32</v>
      </c>
      <c r="D980" s="483">
        <v>178113</v>
      </c>
      <c r="E980" s="2" t="s">
        <v>331</v>
      </c>
    </row>
    <row r="981" spans="1:5" x14ac:dyDescent="0.3">
      <c r="A981" s="2">
        <v>4800</v>
      </c>
      <c r="B981" s="2" t="s">
        <v>1310</v>
      </c>
      <c r="C981" s="2" t="s">
        <v>32</v>
      </c>
      <c r="D981" s="483">
        <v>236343</v>
      </c>
      <c r="E981" s="2" t="s">
        <v>331</v>
      </c>
    </row>
    <row r="982" spans="1:5" x14ac:dyDescent="0.3">
      <c r="A982" s="2">
        <v>4801</v>
      </c>
      <c r="B982" s="2" t="s">
        <v>1311</v>
      </c>
      <c r="C982" s="2" t="s">
        <v>328</v>
      </c>
      <c r="D982" s="483">
        <v>20207</v>
      </c>
      <c r="E982" s="2" t="s">
        <v>331</v>
      </c>
    </row>
    <row r="983" spans="1:5" x14ac:dyDescent="0.3">
      <c r="A983" s="2">
        <v>4802</v>
      </c>
      <c r="B983" s="2" t="s">
        <v>1312</v>
      </c>
      <c r="C983" s="2" t="s">
        <v>32</v>
      </c>
      <c r="D983" s="483">
        <v>1000000</v>
      </c>
      <c r="E983" s="2" t="s">
        <v>367</v>
      </c>
    </row>
    <row r="984" spans="1:5" x14ac:dyDescent="0.3">
      <c r="A984" s="2">
        <v>4803</v>
      </c>
      <c r="B984" s="2" t="s">
        <v>1313</v>
      </c>
      <c r="C984" s="2" t="s">
        <v>32</v>
      </c>
      <c r="D984" s="483">
        <v>1500000</v>
      </c>
      <c r="E984" s="2" t="s">
        <v>367</v>
      </c>
    </row>
    <row r="985" spans="1:5" x14ac:dyDescent="0.3">
      <c r="A985" s="2">
        <v>4804</v>
      </c>
      <c r="B985" s="2" t="s">
        <v>1314</v>
      </c>
      <c r="C985" s="2" t="s">
        <v>32</v>
      </c>
      <c r="D985" s="483">
        <v>2000000</v>
      </c>
      <c r="E985" s="2" t="s">
        <v>367</v>
      </c>
    </row>
    <row r="986" spans="1:5" x14ac:dyDescent="0.3">
      <c r="A986" s="2">
        <v>4805</v>
      </c>
      <c r="B986" s="2" t="s">
        <v>1315</v>
      </c>
      <c r="C986" s="2" t="s">
        <v>328</v>
      </c>
      <c r="D986" s="483">
        <v>153855</v>
      </c>
      <c r="E986" s="2" t="s">
        <v>331</v>
      </c>
    </row>
    <row r="987" spans="1:5" x14ac:dyDescent="0.3">
      <c r="A987" s="2">
        <v>4806</v>
      </c>
      <c r="B987" s="2" t="s">
        <v>1316</v>
      </c>
      <c r="C987" s="2" t="s">
        <v>692</v>
      </c>
      <c r="D987" s="483">
        <v>448583</v>
      </c>
      <c r="E987" s="2" t="s">
        <v>324</v>
      </c>
    </row>
    <row r="988" spans="1:5" x14ac:dyDescent="0.3">
      <c r="A988" s="2">
        <v>4807</v>
      </c>
      <c r="B988" s="2" t="s">
        <v>1317</v>
      </c>
      <c r="C988" s="2" t="s">
        <v>979</v>
      </c>
      <c r="D988" s="483">
        <v>57268</v>
      </c>
      <c r="E988" s="2" t="s">
        <v>324</v>
      </c>
    </row>
    <row r="989" spans="1:5" x14ac:dyDescent="0.3">
      <c r="A989" s="2">
        <v>4808</v>
      </c>
      <c r="B989" s="2" t="s">
        <v>1318</v>
      </c>
      <c r="C989" s="2" t="s">
        <v>328</v>
      </c>
      <c r="D989" s="483">
        <v>193159</v>
      </c>
      <c r="E989" s="2" t="s">
        <v>331</v>
      </c>
    </row>
    <row r="990" spans="1:5" x14ac:dyDescent="0.3">
      <c r="A990" s="2">
        <v>4809</v>
      </c>
      <c r="B990" s="2" t="s">
        <v>1319</v>
      </c>
      <c r="C990" s="2" t="s">
        <v>328</v>
      </c>
      <c r="D990" s="483">
        <v>381188</v>
      </c>
      <c r="E990" s="2" t="s">
        <v>331</v>
      </c>
    </row>
    <row r="991" spans="1:5" x14ac:dyDescent="0.3">
      <c r="A991" s="2">
        <v>4810</v>
      </c>
      <c r="B991" s="2" t="s">
        <v>1320</v>
      </c>
      <c r="C991" s="2" t="s">
        <v>328</v>
      </c>
      <c r="D991" s="483">
        <v>642795</v>
      </c>
      <c r="E991" s="2" t="s">
        <v>331</v>
      </c>
    </row>
    <row r="992" spans="1:5" x14ac:dyDescent="0.3">
      <c r="A992" s="2">
        <v>4812</v>
      </c>
      <c r="B992" s="2" t="s">
        <v>1321</v>
      </c>
      <c r="C992" s="2" t="s">
        <v>328</v>
      </c>
      <c r="D992" s="483">
        <v>153128</v>
      </c>
      <c r="E992" s="2" t="s">
        <v>331</v>
      </c>
    </row>
    <row r="993" spans="1:5" x14ac:dyDescent="0.3">
      <c r="A993" s="2">
        <v>4813</v>
      </c>
      <c r="B993" s="2" t="s">
        <v>1322</v>
      </c>
      <c r="C993" s="2" t="s">
        <v>32</v>
      </c>
      <c r="D993" s="483">
        <v>31647</v>
      </c>
      <c r="E993" s="2" t="s">
        <v>331</v>
      </c>
    </row>
    <row r="994" spans="1:5" x14ac:dyDescent="0.3">
      <c r="A994" s="2">
        <v>4814</v>
      </c>
      <c r="B994" s="2" t="s">
        <v>1323</v>
      </c>
      <c r="C994" s="2" t="s">
        <v>328</v>
      </c>
      <c r="D994" s="483">
        <v>12577</v>
      </c>
      <c r="E994" s="2" t="s">
        <v>331</v>
      </c>
    </row>
    <row r="995" spans="1:5" x14ac:dyDescent="0.3">
      <c r="A995" s="2">
        <v>4826</v>
      </c>
      <c r="B995" s="2" t="s">
        <v>1324</v>
      </c>
      <c r="C995" s="2" t="s">
        <v>32</v>
      </c>
      <c r="D995" s="483">
        <v>145412</v>
      </c>
      <c r="E995" s="2" t="s">
        <v>367</v>
      </c>
    </row>
    <row r="996" spans="1:5" x14ac:dyDescent="0.3">
      <c r="A996" s="2">
        <v>4827</v>
      </c>
      <c r="B996" s="2" t="s">
        <v>1325</v>
      </c>
      <c r="C996" s="2" t="s">
        <v>32</v>
      </c>
      <c r="D996" s="483">
        <v>6460</v>
      </c>
      <c r="E996" s="2" t="s">
        <v>367</v>
      </c>
    </row>
    <row r="997" spans="1:5" x14ac:dyDescent="0.3">
      <c r="A997" s="2">
        <v>4828</v>
      </c>
      <c r="B997" s="2" t="s">
        <v>1326</v>
      </c>
      <c r="C997" s="2" t="s">
        <v>328</v>
      </c>
      <c r="D997" s="483">
        <v>36730</v>
      </c>
      <c r="E997" s="2" t="s">
        <v>324</v>
      </c>
    </row>
    <row r="998" spans="1:5" x14ac:dyDescent="0.3">
      <c r="A998" s="2">
        <v>4829</v>
      </c>
      <c r="B998" s="2" t="s">
        <v>1327</v>
      </c>
      <c r="C998" s="2" t="s">
        <v>30</v>
      </c>
      <c r="D998" s="483">
        <v>1169555</v>
      </c>
      <c r="E998" s="2" t="s">
        <v>331</v>
      </c>
    </row>
    <row r="999" spans="1:5" x14ac:dyDescent="0.3">
      <c r="A999" s="2">
        <v>4830</v>
      </c>
      <c r="B999" s="2" t="s">
        <v>1328</v>
      </c>
      <c r="C999" s="2" t="s">
        <v>21</v>
      </c>
      <c r="D999" s="483">
        <v>10048</v>
      </c>
      <c r="E999" s="2" t="s">
        <v>331</v>
      </c>
    </row>
    <row r="1000" spans="1:5" x14ac:dyDescent="0.3">
      <c r="A1000" s="2">
        <v>4831</v>
      </c>
      <c r="B1000" s="2" t="s">
        <v>1329</v>
      </c>
      <c r="C1000" s="2" t="s">
        <v>21</v>
      </c>
      <c r="D1000" s="483">
        <v>186558</v>
      </c>
      <c r="E1000" s="2" t="s">
        <v>331</v>
      </c>
    </row>
    <row r="1001" spans="1:5" x14ac:dyDescent="0.3">
      <c r="A1001" s="2">
        <v>4832</v>
      </c>
      <c r="B1001" s="2" t="s">
        <v>1330</v>
      </c>
      <c r="C1001" s="2" t="s">
        <v>32</v>
      </c>
      <c r="D1001" s="483">
        <v>71715</v>
      </c>
      <c r="E1001" s="2" t="s">
        <v>331</v>
      </c>
    </row>
    <row r="1002" spans="1:5" x14ac:dyDescent="0.3">
      <c r="A1002" s="2">
        <v>4833</v>
      </c>
      <c r="B1002" s="2" t="s">
        <v>1331</v>
      </c>
      <c r="C1002" s="2" t="s">
        <v>32</v>
      </c>
      <c r="D1002" s="483">
        <v>13558</v>
      </c>
      <c r="E1002" s="2" t="s">
        <v>331</v>
      </c>
    </row>
    <row r="1003" spans="1:5" x14ac:dyDescent="0.3">
      <c r="A1003" s="2">
        <v>4834</v>
      </c>
      <c r="B1003" s="2" t="s">
        <v>1332</v>
      </c>
      <c r="C1003" s="2" t="s">
        <v>32</v>
      </c>
      <c r="D1003" s="483">
        <v>152852</v>
      </c>
      <c r="E1003" s="2" t="s">
        <v>331</v>
      </c>
    </row>
    <row r="1004" spans="1:5" x14ac:dyDescent="0.3">
      <c r="A1004" s="2">
        <v>4835</v>
      </c>
      <c r="B1004" s="2" t="s">
        <v>1333</v>
      </c>
      <c r="C1004" s="2" t="s">
        <v>30</v>
      </c>
      <c r="D1004" s="483">
        <v>314306</v>
      </c>
      <c r="E1004" s="2" t="s">
        <v>331</v>
      </c>
    </row>
    <row r="1005" spans="1:5" x14ac:dyDescent="0.3">
      <c r="A1005" s="2">
        <v>4836</v>
      </c>
      <c r="B1005" s="2" t="s">
        <v>1334</v>
      </c>
      <c r="C1005" s="2" t="s">
        <v>30</v>
      </c>
      <c r="D1005" s="483">
        <v>471311</v>
      </c>
      <c r="E1005" s="2" t="s">
        <v>331</v>
      </c>
    </row>
    <row r="1006" spans="1:5" x14ac:dyDescent="0.3">
      <c r="A1006" s="2">
        <v>4837</v>
      </c>
      <c r="B1006" s="2" t="s">
        <v>1335</v>
      </c>
      <c r="C1006" s="2" t="s">
        <v>30</v>
      </c>
      <c r="D1006" s="483">
        <v>214107</v>
      </c>
      <c r="E1006" s="2" t="s">
        <v>331</v>
      </c>
    </row>
    <row r="1007" spans="1:5" x14ac:dyDescent="0.3">
      <c r="A1007" s="2">
        <v>4838</v>
      </c>
      <c r="B1007" s="2" t="s">
        <v>1336</v>
      </c>
      <c r="C1007" s="2" t="s">
        <v>30</v>
      </c>
      <c r="D1007" s="483">
        <v>188819</v>
      </c>
      <c r="E1007" s="2" t="s">
        <v>331</v>
      </c>
    </row>
    <row r="1008" spans="1:5" x14ac:dyDescent="0.3">
      <c r="A1008" s="2">
        <v>4839</v>
      </c>
      <c r="B1008" s="2" t="s">
        <v>1337</v>
      </c>
      <c r="C1008" s="2" t="s">
        <v>32</v>
      </c>
      <c r="D1008" s="483">
        <v>660522</v>
      </c>
      <c r="E1008" s="2" t="s">
        <v>331</v>
      </c>
    </row>
    <row r="1009" spans="1:5" x14ac:dyDescent="0.3">
      <c r="A1009" s="2">
        <v>4840</v>
      </c>
      <c r="B1009" s="2" t="s">
        <v>1338</v>
      </c>
      <c r="C1009" s="2" t="s">
        <v>32</v>
      </c>
      <c r="D1009" s="483">
        <v>204375</v>
      </c>
      <c r="E1009" s="2" t="s">
        <v>331</v>
      </c>
    </row>
    <row r="1010" spans="1:5" x14ac:dyDescent="0.3">
      <c r="A1010" s="2">
        <v>4841</v>
      </c>
      <c r="B1010" s="2" t="s">
        <v>1339</v>
      </c>
      <c r="C1010" s="2" t="s">
        <v>32</v>
      </c>
      <c r="D1010" s="483">
        <v>291176</v>
      </c>
      <c r="E1010" s="2" t="s">
        <v>331</v>
      </c>
    </row>
    <row r="1011" spans="1:5" x14ac:dyDescent="0.3">
      <c r="A1011" s="2">
        <v>4842</v>
      </c>
      <c r="B1011" s="2" t="s">
        <v>1340</v>
      </c>
      <c r="C1011" s="2" t="s">
        <v>32</v>
      </c>
      <c r="D1011" s="483">
        <v>437205</v>
      </c>
      <c r="E1011" s="2" t="s">
        <v>331</v>
      </c>
    </row>
    <row r="1012" spans="1:5" x14ac:dyDescent="0.3">
      <c r="A1012" s="2">
        <v>4843</v>
      </c>
      <c r="B1012" s="2" t="s">
        <v>1341</v>
      </c>
      <c r="C1012" s="2" t="s">
        <v>32</v>
      </c>
      <c r="D1012" s="483">
        <v>323595</v>
      </c>
      <c r="E1012" s="2" t="s">
        <v>331</v>
      </c>
    </row>
    <row r="1013" spans="1:5" x14ac:dyDescent="0.3">
      <c r="A1013" s="2">
        <v>4844</v>
      </c>
      <c r="B1013" s="2" t="s">
        <v>1342</v>
      </c>
      <c r="C1013" s="2" t="s">
        <v>32</v>
      </c>
      <c r="D1013" s="483">
        <v>3376874</v>
      </c>
      <c r="E1013" s="2" t="s">
        <v>331</v>
      </c>
    </row>
    <row r="1014" spans="1:5" x14ac:dyDescent="0.3">
      <c r="A1014" s="2">
        <v>4845</v>
      </c>
      <c r="B1014" s="2" t="s">
        <v>1343</v>
      </c>
      <c r="C1014" s="2" t="s">
        <v>32</v>
      </c>
      <c r="D1014" s="483">
        <v>1199492</v>
      </c>
      <c r="E1014" s="2" t="s">
        <v>331</v>
      </c>
    </row>
    <row r="1015" spans="1:5" x14ac:dyDescent="0.3">
      <c r="A1015" s="2">
        <v>4846</v>
      </c>
      <c r="B1015" s="2" t="s">
        <v>1344</v>
      </c>
      <c r="C1015" s="2" t="s">
        <v>32</v>
      </c>
      <c r="D1015" s="483">
        <v>169067</v>
      </c>
      <c r="E1015" s="2" t="s">
        <v>324</v>
      </c>
    </row>
    <row r="1016" spans="1:5" x14ac:dyDescent="0.3">
      <c r="A1016" s="2">
        <v>4848</v>
      </c>
      <c r="B1016" s="2" t="s">
        <v>1345</v>
      </c>
      <c r="C1016" s="2" t="s">
        <v>328</v>
      </c>
      <c r="D1016" s="483">
        <v>10836</v>
      </c>
      <c r="E1016" s="2" t="s">
        <v>324</v>
      </c>
    </row>
    <row r="1017" spans="1:5" x14ac:dyDescent="0.3">
      <c r="A1017" s="2">
        <v>4849</v>
      </c>
      <c r="B1017" s="2" t="s">
        <v>1346</v>
      </c>
      <c r="C1017" s="2" t="s">
        <v>328</v>
      </c>
      <c r="D1017" s="483">
        <v>3383</v>
      </c>
      <c r="E1017" s="2" t="s">
        <v>324</v>
      </c>
    </row>
    <row r="1018" spans="1:5" x14ac:dyDescent="0.3">
      <c r="A1018" s="2">
        <v>4850</v>
      </c>
      <c r="B1018" s="2" t="s">
        <v>1347</v>
      </c>
      <c r="C1018" s="2" t="s">
        <v>30</v>
      </c>
      <c r="D1018" s="483">
        <v>304921</v>
      </c>
      <c r="E1018" s="2" t="s">
        <v>324</v>
      </c>
    </row>
    <row r="1019" spans="1:5" x14ac:dyDescent="0.3">
      <c r="A1019" s="2">
        <v>4851</v>
      </c>
      <c r="B1019" s="2" t="s">
        <v>1348</v>
      </c>
      <c r="C1019" s="2" t="s">
        <v>32</v>
      </c>
      <c r="D1019" s="483">
        <v>32025</v>
      </c>
      <c r="E1019" s="2" t="s">
        <v>331</v>
      </c>
    </row>
    <row r="1020" spans="1:5" x14ac:dyDescent="0.3">
      <c r="A1020" s="2">
        <v>4853</v>
      </c>
      <c r="B1020" s="2" t="s">
        <v>1349</v>
      </c>
      <c r="C1020" s="2" t="s">
        <v>30</v>
      </c>
      <c r="D1020" s="483">
        <v>728719</v>
      </c>
      <c r="E1020" s="2" t="s">
        <v>331</v>
      </c>
    </row>
    <row r="1021" spans="1:5" x14ac:dyDescent="0.3">
      <c r="A1021" s="2">
        <v>4854</v>
      </c>
      <c r="B1021" s="2" t="s">
        <v>1350</v>
      </c>
      <c r="C1021" s="2" t="s">
        <v>30</v>
      </c>
      <c r="D1021" s="483">
        <v>750857</v>
      </c>
      <c r="E1021" s="2" t="s">
        <v>331</v>
      </c>
    </row>
    <row r="1022" spans="1:5" x14ac:dyDescent="0.3">
      <c r="A1022" s="2">
        <v>4855</v>
      </c>
      <c r="B1022" s="2" t="s">
        <v>1351</v>
      </c>
      <c r="C1022" s="2" t="s">
        <v>21</v>
      </c>
      <c r="D1022" s="483">
        <v>61164</v>
      </c>
      <c r="E1022" s="2" t="s">
        <v>331</v>
      </c>
    </row>
    <row r="1023" spans="1:5" x14ac:dyDescent="0.3">
      <c r="A1023" s="2">
        <v>4856</v>
      </c>
      <c r="B1023" s="2" t="s">
        <v>1352</v>
      </c>
      <c r="C1023" s="2" t="s">
        <v>21</v>
      </c>
      <c r="D1023" s="483">
        <v>115568</v>
      </c>
      <c r="E1023" s="2" t="s">
        <v>331</v>
      </c>
    </row>
    <row r="1024" spans="1:5" x14ac:dyDescent="0.3">
      <c r="A1024" s="2">
        <v>4857</v>
      </c>
      <c r="B1024" s="2" t="s">
        <v>1353</v>
      </c>
      <c r="C1024" s="2" t="s">
        <v>21</v>
      </c>
      <c r="D1024" s="483">
        <v>3508</v>
      </c>
      <c r="E1024" s="2" t="s">
        <v>331</v>
      </c>
    </row>
    <row r="1025" spans="1:5" x14ac:dyDescent="0.3">
      <c r="A1025" s="2">
        <v>4858</v>
      </c>
      <c r="B1025" s="2" t="s">
        <v>1354</v>
      </c>
      <c r="C1025" s="2" t="s">
        <v>32</v>
      </c>
      <c r="D1025" s="483">
        <v>1318191</v>
      </c>
      <c r="E1025" s="2" t="s">
        <v>324</v>
      </c>
    </row>
    <row r="1026" spans="1:5" x14ac:dyDescent="0.3">
      <c r="A1026" s="2">
        <v>4859</v>
      </c>
      <c r="B1026" s="2" t="s">
        <v>1355</v>
      </c>
      <c r="C1026" s="2" t="s">
        <v>328</v>
      </c>
      <c r="D1026" s="483">
        <v>44130</v>
      </c>
      <c r="E1026" s="2" t="s">
        <v>331</v>
      </c>
    </row>
    <row r="1027" spans="1:5" x14ac:dyDescent="0.3">
      <c r="A1027" s="2">
        <v>4860</v>
      </c>
      <c r="B1027" s="2" t="s">
        <v>1356</v>
      </c>
      <c r="C1027" s="2" t="s">
        <v>32</v>
      </c>
      <c r="D1027" s="483">
        <v>217208</v>
      </c>
      <c r="E1027" s="2" t="s">
        <v>367</v>
      </c>
    </row>
    <row r="1028" spans="1:5" x14ac:dyDescent="0.3">
      <c r="A1028" s="2">
        <v>4861</v>
      </c>
      <c r="B1028" s="2" t="s">
        <v>1357</v>
      </c>
      <c r="C1028" s="2" t="s">
        <v>21</v>
      </c>
      <c r="D1028" s="483">
        <v>142575</v>
      </c>
      <c r="E1028" s="2" t="s">
        <v>331</v>
      </c>
    </row>
    <row r="1029" spans="1:5" x14ac:dyDescent="0.3">
      <c r="A1029" s="2">
        <v>4862</v>
      </c>
      <c r="B1029" s="2" t="s">
        <v>1358</v>
      </c>
      <c r="C1029" s="2" t="s">
        <v>328</v>
      </c>
      <c r="D1029" s="483">
        <v>1282416</v>
      </c>
      <c r="E1029" s="2" t="s">
        <v>331</v>
      </c>
    </row>
    <row r="1030" spans="1:5" x14ac:dyDescent="0.3">
      <c r="A1030" s="2">
        <v>4863</v>
      </c>
      <c r="B1030" s="2" t="s">
        <v>1359</v>
      </c>
      <c r="C1030" s="2" t="s">
        <v>328</v>
      </c>
      <c r="D1030" s="483">
        <v>45442</v>
      </c>
      <c r="E1030" s="2" t="s">
        <v>367</v>
      </c>
    </row>
    <row r="1031" spans="1:5" x14ac:dyDescent="0.3">
      <c r="A1031" s="2">
        <v>4864</v>
      </c>
      <c r="B1031" s="2" t="s">
        <v>1360</v>
      </c>
      <c r="C1031" s="2" t="s">
        <v>328</v>
      </c>
      <c r="D1031" s="483">
        <v>60589</v>
      </c>
      <c r="E1031" s="2" t="s">
        <v>367</v>
      </c>
    </row>
    <row r="1032" spans="1:5" x14ac:dyDescent="0.3">
      <c r="A1032" s="2">
        <v>4865</v>
      </c>
      <c r="B1032" s="2" t="s">
        <v>1361</v>
      </c>
      <c r="C1032" s="2" t="s">
        <v>328</v>
      </c>
      <c r="D1032" s="483">
        <v>30295</v>
      </c>
      <c r="E1032" s="2" t="s">
        <v>367</v>
      </c>
    </row>
    <row r="1033" spans="1:5" x14ac:dyDescent="0.3">
      <c r="A1033" s="2">
        <v>4866</v>
      </c>
      <c r="B1033" s="2" t="s">
        <v>1362</v>
      </c>
      <c r="C1033" s="2" t="s">
        <v>328</v>
      </c>
      <c r="D1033" s="483">
        <v>60589</v>
      </c>
      <c r="E1033" s="2" t="s">
        <v>367</v>
      </c>
    </row>
    <row r="1034" spans="1:5" x14ac:dyDescent="0.3">
      <c r="A1034" s="2">
        <v>4867</v>
      </c>
      <c r="B1034" s="2" t="s">
        <v>1363</v>
      </c>
      <c r="C1034" s="2" t="s">
        <v>328</v>
      </c>
      <c r="D1034" s="483">
        <v>90883</v>
      </c>
      <c r="E1034" s="2" t="s">
        <v>367</v>
      </c>
    </row>
    <row r="1035" spans="1:5" x14ac:dyDescent="0.3">
      <c r="A1035" s="2">
        <v>4869</v>
      </c>
      <c r="B1035" s="2" t="s">
        <v>1364</v>
      </c>
      <c r="C1035" s="2" t="s">
        <v>32</v>
      </c>
      <c r="D1035" s="483">
        <v>84535</v>
      </c>
      <c r="E1035" s="2" t="s">
        <v>324</v>
      </c>
    </row>
    <row r="1036" spans="1:5" x14ac:dyDescent="0.3">
      <c r="A1036" s="2">
        <v>4870</v>
      </c>
      <c r="B1036" s="2" t="s">
        <v>1365</v>
      </c>
      <c r="C1036" s="2" t="s">
        <v>32</v>
      </c>
      <c r="D1036" s="483">
        <v>84535</v>
      </c>
      <c r="E1036" s="2" t="s">
        <v>324</v>
      </c>
    </row>
    <row r="1037" spans="1:5" x14ac:dyDescent="0.3">
      <c r="A1037" s="2">
        <v>4871</v>
      </c>
      <c r="B1037" s="2" t="s">
        <v>1366</v>
      </c>
      <c r="C1037" s="2" t="s">
        <v>32</v>
      </c>
      <c r="D1037" s="483">
        <v>42268</v>
      </c>
      <c r="E1037" s="2" t="s">
        <v>324</v>
      </c>
    </row>
    <row r="1038" spans="1:5" x14ac:dyDescent="0.3">
      <c r="A1038" s="2">
        <v>4872</v>
      </c>
      <c r="B1038" s="2" t="s">
        <v>1367</v>
      </c>
      <c r="C1038" s="2" t="s">
        <v>32</v>
      </c>
      <c r="D1038" s="483">
        <v>208173</v>
      </c>
      <c r="E1038" s="2" t="s">
        <v>331</v>
      </c>
    </row>
    <row r="1039" spans="1:5" x14ac:dyDescent="0.3">
      <c r="A1039" s="2">
        <v>4873</v>
      </c>
      <c r="B1039" s="2" t="s">
        <v>1368</v>
      </c>
      <c r="C1039" s="2" t="s">
        <v>32</v>
      </c>
      <c r="D1039" s="483">
        <v>642152</v>
      </c>
      <c r="E1039" s="2" t="s">
        <v>331</v>
      </c>
    </row>
    <row r="1040" spans="1:5" x14ac:dyDescent="0.3">
      <c r="A1040" s="2">
        <v>4874</v>
      </c>
      <c r="B1040" s="2" t="s">
        <v>1369</v>
      </c>
      <c r="C1040" s="2" t="s">
        <v>32</v>
      </c>
      <c r="D1040" s="483">
        <v>482179</v>
      </c>
      <c r="E1040" s="2" t="s">
        <v>331</v>
      </c>
    </row>
    <row r="1041" spans="1:5" x14ac:dyDescent="0.3">
      <c r="A1041" s="2">
        <v>4875</v>
      </c>
      <c r="B1041" s="2" t="s">
        <v>1370</v>
      </c>
      <c r="C1041" s="2" t="s">
        <v>32</v>
      </c>
      <c r="D1041" s="483">
        <v>179212</v>
      </c>
      <c r="E1041" s="2" t="s">
        <v>331</v>
      </c>
    </row>
    <row r="1042" spans="1:5" x14ac:dyDescent="0.3">
      <c r="A1042" s="2">
        <v>4876</v>
      </c>
      <c r="B1042" s="2" t="s">
        <v>1371</v>
      </c>
      <c r="C1042" s="2" t="s">
        <v>32</v>
      </c>
      <c r="D1042" s="483">
        <v>432527</v>
      </c>
      <c r="E1042" s="2" t="s">
        <v>331</v>
      </c>
    </row>
    <row r="1043" spans="1:5" x14ac:dyDescent="0.3">
      <c r="A1043" s="2">
        <v>4877</v>
      </c>
      <c r="B1043" s="2" t="s">
        <v>1372</v>
      </c>
      <c r="C1043" s="2" t="s">
        <v>32</v>
      </c>
      <c r="D1043" s="483">
        <v>406077</v>
      </c>
      <c r="E1043" s="2" t="s">
        <v>331</v>
      </c>
    </row>
    <row r="1044" spans="1:5" x14ac:dyDescent="0.3">
      <c r="A1044" s="2">
        <v>4878</v>
      </c>
      <c r="B1044" s="2" t="s">
        <v>1373</v>
      </c>
      <c r="C1044" s="2" t="s">
        <v>32</v>
      </c>
      <c r="D1044" s="483">
        <v>222015</v>
      </c>
      <c r="E1044" s="2" t="s">
        <v>331</v>
      </c>
    </row>
    <row r="1045" spans="1:5" x14ac:dyDescent="0.3">
      <c r="A1045" s="2">
        <v>4879</v>
      </c>
      <c r="B1045" s="2" t="s">
        <v>1374</v>
      </c>
      <c r="C1045" s="2" t="s">
        <v>32</v>
      </c>
      <c r="D1045" s="483">
        <v>374504</v>
      </c>
      <c r="E1045" s="2" t="s">
        <v>331</v>
      </c>
    </row>
    <row r="1046" spans="1:5" x14ac:dyDescent="0.3">
      <c r="A1046" s="2">
        <v>4880</v>
      </c>
      <c r="B1046" s="2" t="s">
        <v>1375</v>
      </c>
      <c r="C1046" s="2" t="s">
        <v>328</v>
      </c>
      <c r="D1046" s="483">
        <v>806799</v>
      </c>
      <c r="E1046" s="2" t="s">
        <v>331</v>
      </c>
    </row>
    <row r="1047" spans="1:5" x14ac:dyDescent="0.3">
      <c r="A1047" s="2">
        <v>4882</v>
      </c>
      <c r="B1047" s="2" t="s">
        <v>1376</v>
      </c>
      <c r="C1047" s="2" t="s">
        <v>32</v>
      </c>
      <c r="D1047" s="483">
        <v>251974</v>
      </c>
      <c r="E1047" s="2" t="s">
        <v>331</v>
      </c>
    </row>
    <row r="1048" spans="1:5" x14ac:dyDescent="0.3">
      <c r="A1048" s="2">
        <v>4883</v>
      </c>
      <c r="B1048" s="2" t="s">
        <v>1377</v>
      </c>
      <c r="C1048" s="2" t="s">
        <v>21</v>
      </c>
      <c r="D1048" s="483">
        <v>11033</v>
      </c>
      <c r="E1048" s="2" t="s">
        <v>367</v>
      </c>
    </row>
    <row r="1049" spans="1:5" x14ac:dyDescent="0.3">
      <c r="A1049" s="2">
        <v>4884</v>
      </c>
      <c r="B1049" s="2" t="s">
        <v>1378</v>
      </c>
      <c r="C1049" s="2" t="s">
        <v>32</v>
      </c>
      <c r="D1049" s="483">
        <v>211108</v>
      </c>
      <c r="E1049" s="2" t="s">
        <v>331</v>
      </c>
    </row>
    <row r="1050" spans="1:5" x14ac:dyDescent="0.3">
      <c r="A1050" s="2">
        <v>4885</v>
      </c>
      <c r="B1050" s="2" t="s">
        <v>1379</v>
      </c>
      <c r="C1050" s="2" t="s">
        <v>32</v>
      </c>
      <c r="D1050" s="483">
        <v>218043</v>
      </c>
      <c r="E1050" s="2" t="s">
        <v>331</v>
      </c>
    </row>
    <row r="1051" spans="1:5" x14ac:dyDescent="0.3">
      <c r="A1051" s="2">
        <v>4886</v>
      </c>
      <c r="B1051" s="2" t="s">
        <v>1380</v>
      </c>
      <c r="C1051" s="2" t="s">
        <v>32</v>
      </c>
      <c r="D1051" s="483">
        <v>248222</v>
      </c>
      <c r="E1051" s="2" t="s">
        <v>331</v>
      </c>
    </row>
    <row r="1052" spans="1:5" x14ac:dyDescent="0.3">
      <c r="A1052" s="2">
        <v>4887</v>
      </c>
      <c r="B1052" s="2" t="s">
        <v>1381</v>
      </c>
      <c r="C1052" s="2" t="s">
        <v>32</v>
      </c>
      <c r="D1052" s="483">
        <v>522250</v>
      </c>
      <c r="E1052" s="2" t="s">
        <v>331</v>
      </c>
    </row>
    <row r="1053" spans="1:5" x14ac:dyDescent="0.3">
      <c r="A1053" s="2">
        <v>4888</v>
      </c>
      <c r="B1053" s="2" t="s">
        <v>1382</v>
      </c>
      <c r="C1053" s="2" t="s">
        <v>32</v>
      </c>
      <c r="D1053" s="483">
        <v>238844</v>
      </c>
      <c r="E1053" s="2" t="s">
        <v>331</v>
      </c>
    </row>
    <row r="1054" spans="1:5" x14ac:dyDescent="0.3">
      <c r="A1054" s="2">
        <v>4889</v>
      </c>
      <c r="B1054" s="2" t="s">
        <v>1383</v>
      </c>
      <c r="C1054" s="2" t="s">
        <v>32</v>
      </c>
      <c r="D1054" s="483">
        <v>1617650</v>
      </c>
      <c r="E1054" s="2" t="s">
        <v>331</v>
      </c>
    </row>
    <row r="1055" spans="1:5" x14ac:dyDescent="0.3">
      <c r="A1055" s="2">
        <v>4890</v>
      </c>
      <c r="B1055" s="2" t="s">
        <v>1384</v>
      </c>
      <c r="C1055" s="2" t="s">
        <v>32</v>
      </c>
      <c r="D1055" s="483">
        <v>636535</v>
      </c>
      <c r="E1055" s="2" t="s">
        <v>331</v>
      </c>
    </row>
    <row r="1056" spans="1:5" x14ac:dyDescent="0.3">
      <c r="A1056" s="2">
        <v>4891</v>
      </c>
      <c r="B1056" s="2" t="s">
        <v>1385</v>
      </c>
      <c r="C1056" s="2" t="s">
        <v>32</v>
      </c>
      <c r="D1056" s="483">
        <v>835334</v>
      </c>
      <c r="E1056" s="2" t="s">
        <v>331</v>
      </c>
    </row>
    <row r="1057" spans="1:5" x14ac:dyDescent="0.3">
      <c r="A1057" s="2">
        <v>4892</v>
      </c>
      <c r="B1057" s="2" t="s">
        <v>1386</v>
      </c>
      <c r="C1057" s="2" t="s">
        <v>328</v>
      </c>
      <c r="D1057" s="483">
        <v>361658</v>
      </c>
      <c r="E1057" s="2" t="s">
        <v>331</v>
      </c>
    </row>
    <row r="1058" spans="1:5" x14ac:dyDescent="0.3">
      <c r="A1058" s="2">
        <v>4894</v>
      </c>
      <c r="B1058" s="2" t="s">
        <v>1387</v>
      </c>
      <c r="C1058" s="2" t="s">
        <v>692</v>
      </c>
      <c r="D1058" s="483">
        <v>369172</v>
      </c>
      <c r="E1058" s="2" t="s">
        <v>324</v>
      </c>
    </row>
    <row r="1059" spans="1:5" x14ac:dyDescent="0.3">
      <c r="A1059" s="2">
        <v>4895</v>
      </c>
      <c r="B1059" s="2" t="s">
        <v>1388</v>
      </c>
      <c r="C1059" s="2" t="s">
        <v>979</v>
      </c>
      <c r="D1059" s="483">
        <v>47132</v>
      </c>
      <c r="E1059" s="2" t="s">
        <v>324</v>
      </c>
    </row>
    <row r="1060" spans="1:5" x14ac:dyDescent="0.3">
      <c r="A1060" s="2">
        <v>4896</v>
      </c>
      <c r="B1060" s="2" t="s">
        <v>1389</v>
      </c>
      <c r="C1060" s="2" t="s">
        <v>328</v>
      </c>
      <c r="D1060" s="483">
        <v>450464</v>
      </c>
      <c r="E1060" s="2" t="s">
        <v>331</v>
      </c>
    </row>
    <row r="1061" spans="1:5" x14ac:dyDescent="0.3">
      <c r="A1061" s="2">
        <v>4898</v>
      </c>
      <c r="B1061" s="2" t="s">
        <v>1390</v>
      </c>
      <c r="C1061" s="2" t="s">
        <v>32</v>
      </c>
      <c r="D1061" s="483">
        <v>172269</v>
      </c>
      <c r="E1061" s="2" t="s">
        <v>324</v>
      </c>
    </row>
    <row r="1062" spans="1:5" x14ac:dyDescent="0.3">
      <c r="A1062" s="2">
        <v>4899</v>
      </c>
      <c r="B1062" s="2" t="s">
        <v>1391</v>
      </c>
      <c r="C1062" s="2" t="s">
        <v>32</v>
      </c>
      <c r="D1062" s="483">
        <v>197259</v>
      </c>
      <c r="E1062" s="2" t="s">
        <v>324</v>
      </c>
    </row>
    <row r="1063" spans="1:5" x14ac:dyDescent="0.3">
      <c r="A1063" s="2">
        <v>4900</v>
      </c>
      <c r="B1063" s="2" t="s">
        <v>1392</v>
      </c>
      <c r="C1063" s="2" t="s">
        <v>32</v>
      </c>
      <c r="D1063" s="483">
        <v>606619</v>
      </c>
      <c r="E1063" s="2" t="s">
        <v>324</v>
      </c>
    </row>
    <row r="1064" spans="1:5" x14ac:dyDescent="0.3">
      <c r="A1064" s="2">
        <v>4901</v>
      </c>
      <c r="B1064" s="2" t="s">
        <v>1393</v>
      </c>
      <c r="C1064" s="2" t="s">
        <v>32</v>
      </c>
      <c r="D1064" s="483">
        <v>1196880</v>
      </c>
      <c r="E1064" s="2" t="s">
        <v>324</v>
      </c>
    </row>
    <row r="1065" spans="1:5" x14ac:dyDescent="0.3">
      <c r="A1065" s="2">
        <v>4902</v>
      </c>
      <c r="B1065" s="2" t="s">
        <v>1394</v>
      </c>
      <c r="C1065" s="2" t="s">
        <v>32</v>
      </c>
      <c r="D1065" s="483">
        <v>1256479</v>
      </c>
      <c r="E1065" s="2" t="s">
        <v>331</v>
      </c>
    </row>
    <row r="1066" spans="1:5" x14ac:dyDescent="0.3">
      <c r="A1066" s="2">
        <v>4903</v>
      </c>
      <c r="B1066" s="2" t="s">
        <v>1395</v>
      </c>
      <c r="C1066" s="2" t="s">
        <v>32</v>
      </c>
      <c r="D1066" s="483">
        <v>137343</v>
      </c>
      <c r="E1066" s="2" t="s">
        <v>331</v>
      </c>
    </row>
    <row r="1067" spans="1:5" x14ac:dyDescent="0.3">
      <c r="A1067" s="2">
        <v>4905</v>
      </c>
      <c r="B1067" s="2" t="s">
        <v>1396</v>
      </c>
      <c r="C1067" s="2" t="s">
        <v>328</v>
      </c>
      <c r="D1067" s="483">
        <v>119646</v>
      </c>
      <c r="E1067" s="2" t="s">
        <v>331</v>
      </c>
    </row>
    <row r="1068" spans="1:5" x14ac:dyDescent="0.3">
      <c r="A1068" s="2">
        <v>4907</v>
      </c>
      <c r="B1068" s="2" t="s">
        <v>1397</v>
      </c>
      <c r="C1068" s="2" t="s">
        <v>30</v>
      </c>
      <c r="D1068" s="483">
        <v>166688</v>
      </c>
      <c r="E1068" s="2" t="s">
        <v>331</v>
      </c>
    </row>
    <row r="1069" spans="1:5" x14ac:dyDescent="0.3">
      <c r="A1069" s="2">
        <v>4908</v>
      </c>
      <c r="B1069" s="2" t="s">
        <v>1398</v>
      </c>
      <c r="C1069" s="2" t="s">
        <v>30</v>
      </c>
      <c r="D1069" s="483">
        <v>113662</v>
      </c>
      <c r="E1069" s="2" t="s">
        <v>331</v>
      </c>
    </row>
    <row r="1070" spans="1:5" x14ac:dyDescent="0.3">
      <c r="A1070" s="2">
        <v>4909</v>
      </c>
      <c r="B1070" s="2" t="s">
        <v>1399</v>
      </c>
      <c r="C1070" s="2" t="s">
        <v>21</v>
      </c>
      <c r="D1070" s="483">
        <v>202119</v>
      </c>
      <c r="E1070" s="2" t="s">
        <v>331</v>
      </c>
    </row>
    <row r="1071" spans="1:5" x14ac:dyDescent="0.3">
      <c r="A1071" s="2">
        <v>4910</v>
      </c>
      <c r="B1071" s="2" t="s">
        <v>1400</v>
      </c>
      <c r="C1071" s="2" t="s">
        <v>21</v>
      </c>
      <c r="D1071" s="483">
        <v>168501</v>
      </c>
      <c r="E1071" s="2" t="s">
        <v>331</v>
      </c>
    </row>
    <row r="1072" spans="1:5" x14ac:dyDescent="0.3">
      <c r="A1072" s="2">
        <v>4911</v>
      </c>
      <c r="B1072" s="2" t="s">
        <v>1401</v>
      </c>
      <c r="C1072" s="2" t="s">
        <v>328</v>
      </c>
      <c r="D1072" s="483">
        <v>68520</v>
      </c>
      <c r="E1072" s="2" t="s">
        <v>331</v>
      </c>
    </row>
    <row r="1073" spans="1:5" x14ac:dyDescent="0.3">
      <c r="A1073" s="2">
        <v>4912</v>
      </c>
      <c r="B1073" s="2" t="s">
        <v>1402</v>
      </c>
      <c r="C1073" s="2" t="s">
        <v>32</v>
      </c>
      <c r="D1073" s="483">
        <v>2625953</v>
      </c>
      <c r="E1073" s="2" t="s">
        <v>331</v>
      </c>
    </row>
    <row r="1074" spans="1:5" x14ac:dyDescent="0.3">
      <c r="A1074" s="2">
        <v>4914</v>
      </c>
      <c r="B1074" s="2" t="s">
        <v>1403</v>
      </c>
      <c r="C1074" s="2" t="s">
        <v>32</v>
      </c>
      <c r="D1074" s="483">
        <v>1221318</v>
      </c>
      <c r="E1074" s="2" t="s">
        <v>331</v>
      </c>
    </row>
    <row r="1075" spans="1:5" x14ac:dyDescent="0.3">
      <c r="A1075" s="2">
        <v>4915</v>
      </c>
      <c r="B1075" s="2" t="s">
        <v>1404</v>
      </c>
      <c r="C1075" s="2" t="s">
        <v>328</v>
      </c>
      <c r="D1075" s="483">
        <v>62378</v>
      </c>
      <c r="E1075" s="2" t="s">
        <v>331</v>
      </c>
    </row>
    <row r="1076" spans="1:5" x14ac:dyDescent="0.3">
      <c r="A1076" s="2">
        <v>4919</v>
      </c>
      <c r="B1076" s="2" t="s">
        <v>1405</v>
      </c>
      <c r="C1076" s="2" t="s">
        <v>21</v>
      </c>
      <c r="D1076" s="483">
        <v>128641</v>
      </c>
      <c r="E1076" s="2" t="s">
        <v>331</v>
      </c>
    </row>
    <row r="1077" spans="1:5" x14ac:dyDescent="0.3">
      <c r="A1077" s="2">
        <v>4920</v>
      </c>
      <c r="B1077" s="2" t="s">
        <v>1406</v>
      </c>
      <c r="C1077" s="2" t="s">
        <v>32</v>
      </c>
      <c r="D1077" s="483">
        <v>876939</v>
      </c>
      <c r="E1077" s="2" t="s">
        <v>331</v>
      </c>
    </row>
    <row r="1078" spans="1:5" x14ac:dyDescent="0.3">
      <c r="A1078" s="2">
        <v>4921</v>
      </c>
      <c r="B1078" s="2" t="s">
        <v>1407</v>
      </c>
      <c r="C1078" s="2" t="s">
        <v>32</v>
      </c>
      <c r="D1078" s="483">
        <v>144238</v>
      </c>
      <c r="E1078" s="2" t="s">
        <v>331</v>
      </c>
    </row>
    <row r="1079" spans="1:5" x14ac:dyDescent="0.3">
      <c r="A1079" s="2">
        <v>4922</v>
      </c>
      <c r="B1079" s="2" t="s">
        <v>1408</v>
      </c>
      <c r="C1079" s="2" t="s">
        <v>692</v>
      </c>
      <c r="D1079" s="483">
        <v>238233</v>
      </c>
      <c r="E1079" s="2" t="s">
        <v>324</v>
      </c>
    </row>
    <row r="1080" spans="1:5" x14ac:dyDescent="0.3">
      <c r="A1080" s="2">
        <v>4923</v>
      </c>
      <c r="B1080" s="2" t="s">
        <v>1409</v>
      </c>
      <c r="C1080" s="2" t="s">
        <v>979</v>
      </c>
      <c r="D1080" s="483">
        <v>30417</v>
      </c>
      <c r="E1080" s="2" t="s">
        <v>324</v>
      </c>
    </row>
    <row r="1081" spans="1:5" x14ac:dyDescent="0.3">
      <c r="A1081" s="2">
        <v>4925</v>
      </c>
      <c r="B1081" s="2" t="s">
        <v>1410</v>
      </c>
      <c r="C1081" s="2" t="s">
        <v>30</v>
      </c>
      <c r="D1081" s="483">
        <v>326071</v>
      </c>
      <c r="E1081" s="2" t="s">
        <v>331</v>
      </c>
    </row>
    <row r="1082" spans="1:5" x14ac:dyDescent="0.3">
      <c r="A1082" s="2">
        <v>4926</v>
      </c>
      <c r="B1082" s="2" t="s">
        <v>1411</v>
      </c>
      <c r="C1082" s="2" t="s">
        <v>30</v>
      </c>
      <c r="D1082" s="483">
        <v>272071</v>
      </c>
      <c r="E1082" s="2" t="s">
        <v>331</v>
      </c>
    </row>
    <row r="1083" spans="1:5" x14ac:dyDescent="0.3">
      <c r="A1083" s="2">
        <v>4928</v>
      </c>
      <c r="B1083" s="2" t="s">
        <v>306</v>
      </c>
      <c r="C1083" s="2" t="s">
        <v>307</v>
      </c>
      <c r="D1083" s="483">
        <v>8935</v>
      </c>
      <c r="E1083" s="2" t="s">
        <v>324</v>
      </c>
    </row>
    <row r="1084" spans="1:5" x14ac:dyDescent="0.3">
      <c r="A1084" s="2">
        <v>4930</v>
      </c>
      <c r="B1084" s="2" t="s">
        <v>1412</v>
      </c>
      <c r="C1084" s="2" t="s">
        <v>1413</v>
      </c>
      <c r="D1084" s="483">
        <v>2485256</v>
      </c>
      <c r="E1084" s="2" t="s">
        <v>324</v>
      </c>
    </row>
    <row r="1085" spans="1:5" x14ac:dyDescent="0.3">
      <c r="A1085" s="2">
        <v>4931</v>
      </c>
      <c r="B1085" s="2" t="s">
        <v>1414</v>
      </c>
      <c r="C1085" s="2" t="s">
        <v>307</v>
      </c>
      <c r="D1085" s="483">
        <v>33605</v>
      </c>
      <c r="E1085" s="2" t="s">
        <v>367</v>
      </c>
    </row>
    <row r="1086" spans="1:5" x14ac:dyDescent="0.3">
      <c r="A1086" s="2">
        <v>4934</v>
      </c>
      <c r="B1086" s="2" t="s">
        <v>1415</v>
      </c>
      <c r="C1086" s="2" t="s">
        <v>307</v>
      </c>
      <c r="D1086" s="483">
        <v>163756</v>
      </c>
      <c r="E1086" s="2" t="s">
        <v>1416</v>
      </c>
    </row>
    <row r="1087" spans="1:5" x14ac:dyDescent="0.3">
      <c r="A1087" s="2">
        <v>4936</v>
      </c>
      <c r="B1087" s="2" t="s">
        <v>1417</v>
      </c>
      <c r="C1087" s="2" t="s">
        <v>32</v>
      </c>
      <c r="D1087" s="483">
        <v>37482</v>
      </c>
      <c r="E1087" s="2" t="s">
        <v>324</v>
      </c>
    </row>
    <row r="1088" spans="1:5" x14ac:dyDescent="0.3">
      <c r="A1088" s="2">
        <v>4937</v>
      </c>
      <c r="B1088" s="2" t="s">
        <v>1418</v>
      </c>
      <c r="C1088" s="2" t="s">
        <v>21</v>
      </c>
      <c r="D1088" s="483">
        <v>11891</v>
      </c>
      <c r="E1088" s="2" t="s">
        <v>331</v>
      </c>
    </row>
    <row r="1089" spans="1:5" x14ac:dyDescent="0.3">
      <c r="A1089" s="2">
        <v>4945</v>
      </c>
      <c r="B1089" s="2" t="s">
        <v>1419</v>
      </c>
      <c r="C1089" s="2" t="s">
        <v>1420</v>
      </c>
      <c r="D1089" s="483">
        <v>12022</v>
      </c>
      <c r="E1089" s="2" t="s">
        <v>331</v>
      </c>
    </row>
    <row r="1090" spans="1:5" x14ac:dyDescent="0.3">
      <c r="A1090" s="2">
        <v>4946</v>
      </c>
      <c r="B1090" s="2" t="s">
        <v>1421</v>
      </c>
      <c r="C1090" s="2" t="s">
        <v>1420</v>
      </c>
      <c r="D1090" s="483">
        <v>32138</v>
      </c>
      <c r="E1090" s="2" t="s">
        <v>331</v>
      </c>
    </row>
    <row r="1091" spans="1:5" x14ac:dyDescent="0.3">
      <c r="A1091" s="2">
        <v>4949</v>
      </c>
      <c r="B1091" s="2" t="s">
        <v>1422</v>
      </c>
      <c r="C1091" s="2" t="s">
        <v>32</v>
      </c>
      <c r="D1091" s="483">
        <v>1052263</v>
      </c>
      <c r="E1091" s="2" t="s">
        <v>331</v>
      </c>
    </row>
    <row r="1092" spans="1:5" x14ac:dyDescent="0.3">
      <c r="A1092" s="2">
        <v>4951</v>
      </c>
      <c r="B1092" s="2" t="s">
        <v>1423</v>
      </c>
      <c r="C1092" s="2" t="s">
        <v>32</v>
      </c>
      <c r="D1092" s="483">
        <v>3021452</v>
      </c>
      <c r="E1092" s="2" t="s">
        <v>1416</v>
      </c>
    </row>
    <row r="1093" spans="1:5" x14ac:dyDescent="0.3">
      <c r="A1093" s="2">
        <v>4952</v>
      </c>
      <c r="B1093" s="2" t="s">
        <v>1424</v>
      </c>
      <c r="C1093" s="2" t="s">
        <v>32</v>
      </c>
      <c r="D1093" s="483">
        <v>2891348</v>
      </c>
      <c r="E1093" s="2" t="s">
        <v>1416</v>
      </c>
    </row>
    <row r="1094" spans="1:5" x14ac:dyDescent="0.3">
      <c r="A1094" s="2">
        <v>4953</v>
      </c>
      <c r="B1094" s="2" t="s">
        <v>1425</v>
      </c>
      <c r="C1094" s="2" t="s">
        <v>32</v>
      </c>
      <c r="D1094" s="483">
        <v>6427190</v>
      </c>
      <c r="E1094" s="2" t="s">
        <v>1416</v>
      </c>
    </row>
    <row r="1095" spans="1:5" x14ac:dyDescent="0.3">
      <c r="A1095" s="2">
        <v>4959</v>
      </c>
      <c r="B1095" s="2" t="s">
        <v>1426</v>
      </c>
      <c r="C1095" s="2" t="s">
        <v>670</v>
      </c>
      <c r="D1095" s="483">
        <v>8404</v>
      </c>
      <c r="E1095" s="2" t="s">
        <v>331</v>
      </c>
    </row>
    <row r="1096" spans="1:5" x14ac:dyDescent="0.3">
      <c r="A1096" s="2">
        <v>4960</v>
      </c>
      <c r="B1096" s="2" t="s">
        <v>1427</v>
      </c>
      <c r="C1096" s="2" t="s">
        <v>32</v>
      </c>
      <c r="D1096" s="483">
        <v>330205</v>
      </c>
      <c r="E1096" s="2" t="s">
        <v>367</v>
      </c>
    </row>
    <row r="1097" spans="1:5" x14ac:dyDescent="0.3">
      <c r="A1097" s="2">
        <v>4961</v>
      </c>
      <c r="B1097" s="2" t="s">
        <v>1428</v>
      </c>
      <c r="C1097" s="2" t="s">
        <v>328</v>
      </c>
      <c r="D1097" s="483">
        <v>60589</v>
      </c>
      <c r="E1097" s="2" t="s">
        <v>367</v>
      </c>
    </row>
    <row r="1098" spans="1:5" x14ac:dyDescent="0.3">
      <c r="A1098" s="2">
        <v>4962</v>
      </c>
      <c r="B1098" s="2" t="s">
        <v>1429</v>
      </c>
      <c r="C1098" s="2" t="s">
        <v>328</v>
      </c>
      <c r="D1098" s="483">
        <v>15148</v>
      </c>
      <c r="E1098" s="2" t="s">
        <v>367</v>
      </c>
    </row>
    <row r="1099" spans="1:5" x14ac:dyDescent="0.3">
      <c r="A1099" s="2">
        <v>4963</v>
      </c>
      <c r="B1099" s="2" t="s">
        <v>1430</v>
      </c>
      <c r="C1099" s="2" t="s">
        <v>328</v>
      </c>
      <c r="D1099" s="483">
        <v>15148</v>
      </c>
      <c r="E1099" s="2" t="s">
        <v>367</v>
      </c>
    </row>
    <row r="1100" spans="1:5" x14ac:dyDescent="0.3">
      <c r="A1100" s="2">
        <v>4964</v>
      </c>
      <c r="B1100" s="2" t="s">
        <v>1431</v>
      </c>
      <c r="C1100" s="2" t="s">
        <v>328</v>
      </c>
      <c r="D1100" s="483">
        <v>15148</v>
      </c>
      <c r="E1100" s="2" t="s">
        <v>367</v>
      </c>
    </row>
    <row r="1101" spans="1:5" x14ac:dyDescent="0.3">
      <c r="A1101" s="2">
        <v>4965</v>
      </c>
      <c r="B1101" s="2" t="s">
        <v>1432</v>
      </c>
      <c r="C1101" s="2" t="s">
        <v>32</v>
      </c>
      <c r="D1101" s="483">
        <v>750866</v>
      </c>
      <c r="E1101" s="2" t="s">
        <v>331</v>
      </c>
    </row>
    <row r="1102" spans="1:5" x14ac:dyDescent="0.3">
      <c r="A1102" s="2">
        <v>4966</v>
      </c>
      <c r="B1102" s="2" t="s">
        <v>1433</v>
      </c>
      <c r="C1102" s="2" t="s">
        <v>32</v>
      </c>
      <c r="D1102" s="483">
        <v>5163</v>
      </c>
      <c r="E1102" s="2" t="s">
        <v>324</v>
      </c>
    </row>
    <row r="1103" spans="1:5" x14ac:dyDescent="0.3">
      <c r="A1103" s="2">
        <v>4967</v>
      </c>
      <c r="B1103" s="2" t="s">
        <v>1434</v>
      </c>
      <c r="C1103" s="2" t="s">
        <v>32</v>
      </c>
      <c r="D1103" s="483">
        <v>1226569</v>
      </c>
      <c r="E1103" s="2" t="s">
        <v>331</v>
      </c>
    </row>
    <row r="1104" spans="1:5" x14ac:dyDescent="0.3">
      <c r="A1104" s="2">
        <v>4968</v>
      </c>
      <c r="B1104" s="2" t="s">
        <v>1435</v>
      </c>
      <c r="C1104" s="2" t="s">
        <v>32</v>
      </c>
      <c r="D1104" s="483">
        <v>395797</v>
      </c>
      <c r="E1104" s="2" t="s">
        <v>331</v>
      </c>
    </row>
    <row r="1105" spans="1:5" x14ac:dyDescent="0.3">
      <c r="A1105" s="2">
        <v>4969</v>
      </c>
      <c r="B1105" s="2" t="s">
        <v>1436</v>
      </c>
      <c r="C1105" s="2" t="s">
        <v>32</v>
      </c>
      <c r="D1105" s="483">
        <v>320498</v>
      </c>
      <c r="E1105" s="2" t="s">
        <v>331</v>
      </c>
    </row>
    <row r="1106" spans="1:5" x14ac:dyDescent="0.3">
      <c r="A1106" s="2">
        <v>4970</v>
      </c>
      <c r="B1106" s="2" t="s">
        <v>1437</v>
      </c>
      <c r="C1106" s="2" t="s">
        <v>32</v>
      </c>
      <c r="D1106" s="483">
        <v>721254</v>
      </c>
      <c r="E1106" s="2" t="s">
        <v>331</v>
      </c>
    </row>
    <row r="1107" spans="1:5" x14ac:dyDescent="0.3">
      <c r="A1107" s="2">
        <v>4971</v>
      </c>
      <c r="B1107" s="2" t="s">
        <v>1438</v>
      </c>
      <c r="C1107" s="2" t="s">
        <v>32</v>
      </c>
      <c r="D1107" s="483">
        <v>3215290</v>
      </c>
      <c r="E1107" s="2" t="s">
        <v>331</v>
      </c>
    </row>
    <row r="1108" spans="1:5" x14ac:dyDescent="0.3">
      <c r="A1108" s="2">
        <v>4972</v>
      </c>
      <c r="B1108" s="2" t="s">
        <v>1439</v>
      </c>
      <c r="C1108" s="2" t="s">
        <v>32</v>
      </c>
      <c r="D1108" s="483">
        <v>1345055</v>
      </c>
      <c r="E1108" s="2" t="s">
        <v>331</v>
      </c>
    </row>
    <row r="1109" spans="1:5" x14ac:dyDescent="0.3">
      <c r="A1109" s="2">
        <v>4973</v>
      </c>
      <c r="B1109" s="2" t="s">
        <v>1440</v>
      </c>
      <c r="C1109" s="2" t="s">
        <v>32</v>
      </c>
      <c r="D1109" s="483">
        <v>2080827</v>
      </c>
      <c r="E1109" s="2" t="s">
        <v>331</v>
      </c>
    </row>
    <row r="1110" spans="1:5" x14ac:dyDescent="0.3">
      <c r="A1110" s="2">
        <v>4974</v>
      </c>
      <c r="B1110" s="2" t="s">
        <v>1441</v>
      </c>
      <c r="C1110" s="2" t="s">
        <v>32</v>
      </c>
      <c r="D1110" s="483">
        <v>5294832</v>
      </c>
      <c r="E1110" s="2" t="s">
        <v>331</v>
      </c>
    </row>
    <row r="1111" spans="1:5" x14ac:dyDescent="0.3">
      <c r="A1111" s="2">
        <v>4975</v>
      </c>
      <c r="B1111" s="2" t="s">
        <v>1442</v>
      </c>
      <c r="C1111" s="2" t="s">
        <v>32</v>
      </c>
      <c r="D1111" s="483">
        <v>451725</v>
      </c>
      <c r="E1111" s="2" t="s">
        <v>331</v>
      </c>
    </row>
    <row r="1112" spans="1:5" x14ac:dyDescent="0.3">
      <c r="A1112" s="2">
        <v>4976</v>
      </c>
      <c r="B1112" s="2" t="s">
        <v>1443</v>
      </c>
      <c r="C1112" s="2" t="s">
        <v>32</v>
      </c>
      <c r="D1112" s="483">
        <v>942937</v>
      </c>
      <c r="E1112" s="2" t="s">
        <v>331</v>
      </c>
    </row>
    <row r="1113" spans="1:5" x14ac:dyDescent="0.3">
      <c r="A1113" s="2">
        <v>4977</v>
      </c>
      <c r="B1113" s="2" t="s">
        <v>1444</v>
      </c>
      <c r="C1113" s="2" t="s">
        <v>32</v>
      </c>
      <c r="D1113" s="483">
        <v>451725</v>
      </c>
      <c r="E1113" s="2" t="s">
        <v>331</v>
      </c>
    </row>
    <row r="1114" spans="1:5" x14ac:dyDescent="0.3">
      <c r="A1114" s="2">
        <v>4978</v>
      </c>
      <c r="B1114" s="2" t="s">
        <v>1445</v>
      </c>
      <c r="C1114" s="2" t="s">
        <v>32</v>
      </c>
      <c r="D1114" s="483">
        <v>728686</v>
      </c>
      <c r="E1114" s="2" t="s">
        <v>331</v>
      </c>
    </row>
    <row r="1115" spans="1:5" x14ac:dyDescent="0.3">
      <c r="A1115" s="2">
        <v>4979</v>
      </c>
      <c r="B1115" s="2" t="s">
        <v>1446</v>
      </c>
      <c r="C1115" s="2" t="s">
        <v>32</v>
      </c>
      <c r="D1115" s="483">
        <v>709827</v>
      </c>
      <c r="E1115" s="2" t="s">
        <v>331</v>
      </c>
    </row>
    <row r="1116" spans="1:5" x14ac:dyDescent="0.3">
      <c r="A1116" s="2">
        <v>4980</v>
      </c>
      <c r="B1116" s="2" t="s">
        <v>1447</v>
      </c>
      <c r="C1116" s="2" t="s">
        <v>328</v>
      </c>
      <c r="D1116" s="483">
        <v>666825</v>
      </c>
      <c r="E1116" s="2" t="s">
        <v>331</v>
      </c>
    </row>
    <row r="1117" spans="1:5" x14ac:dyDescent="0.3">
      <c r="A1117" s="2">
        <v>4981</v>
      </c>
      <c r="B1117" s="2" t="s">
        <v>1448</v>
      </c>
      <c r="C1117" s="2" t="s">
        <v>21</v>
      </c>
      <c r="D1117" s="483">
        <v>86796</v>
      </c>
      <c r="E1117" s="2" t="s">
        <v>331</v>
      </c>
    </row>
    <row r="1118" spans="1:5" x14ac:dyDescent="0.3">
      <c r="A1118" s="2">
        <v>4982</v>
      </c>
      <c r="B1118" s="2" t="s">
        <v>1449</v>
      </c>
      <c r="C1118" s="2" t="s">
        <v>32</v>
      </c>
      <c r="D1118" s="483">
        <v>191968</v>
      </c>
      <c r="E1118" s="2" t="s">
        <v>331</v>
      </c>
    </row>
    <row r="1119" spans="1:5" x14ac:dyDescent="0.3">
      <c r="A1119" s="2">
        <v>4983</v>
      </c>
      <c r="B1119" s="2" t="s">
        <v>1450</v>
      </c>
      <c r="C1119" s="2" t="s">
        <v>32</v>
      </c>
      <c r="D1119" s="483">
        <v>64814</v>
      </c>
      <c r="E1119" s="2" t="s">
        <v>331</v>
      </c>
    </row>
    <row r="1120" spans="1:5" x14ac:dyDescent="0.3">
      <c r="A1120" s="2">
        <v>4984</v>
      </c>
      <c r="B1120" s="2" t="s">
        <v>1451</v>
      </c>
      <c r="C1120" s="2" t="s">
        <v>32</v>
      </c>
      <c r="D1120" s="483">
        <v>393882</v>
      </c>
      <c r="E1120" s="2" t="s">
        <v>331</v>
      </c>
    </row>
    <row r="1121" spans="1:5" x14ac:dyDescent="0.3">
      <c r="A1121" s="2">
        <v>4985</v>
      </c>
      <c r="B1121" s="2" t="s">
        <v>1452</v>
      </c>
      <c r="C1121" s="2" t="s">
        <v>30</v>
      </c>
      <c r="D1121" s="483">
        <v>798638</v>
      </c>
      <c r="E1121" s="2" t="s">
        <v>331</v>
      </c>
    </row>
    <row r="1122" spans="1:5" x14ac:dyDescent="0.3">
      <c r="A1122" s="2">
        <v>4987</v>
      </c>
      <c r="B1122" s="2" t="s">
        <v>1453</v>
      </c>
      <c r="C1122" s="2" t="s">
        <v>32</v>
      </c>
      <c r="D1122" s="483">
        <v>1774789</v>
      </c>
      <c r="E1122" s="2" t="s">
        <v>331</v>
      </c>
    </row>
    <row r="1123" spans="1:5" x14ac:dyDescent="0.3">
      <c r="A1123" s="2">
        <v>4988</v>
      </c>
      <c r="B1123" s="2" t="s">
        <v>1454</v>
      </c>
      <c r="C1123" s="2" t="s">
        <v>1455</v>
      </c>
      <c r="D1123" s="483">
        <v>1840000</v>
      </c>
      <c r="E1123" s="2" t="s">
        <v>331</v>
      </c>
    </row>
    <row r="1124" spans="1:5" x14ac:dyDescent="0.3">
      <c r="A1124" s="2">
        <v>4989</v>
      </c>
      <c r="B1124" s="2" t="s">
        <v>1456</v>
      </c>
      <c r="C1124" s="2" t="s">
        <v>328</v>
      </c>
      <c r="D1124" s="483">
        <v>156512</v>
      </c>
      <c r="E1124" s="2" t="s">
        <v>331</v>
      </c>
    </row>
    <row r="1125" spans="1:5" x14ac:dyDescent="0.3">
      <c r="A1125" s="2">
        <v>4990</v>
      </c>
      <c r="B1125" s="2" t="s">
        <v>1457</v>
      </c>
      <c r="C1125" s="2" t="s">
        <v>32</v>
      </c>
      <c r="D1125" s="483">
        <v>469536</v>
      </c>
      <c r="E1125" s="2" t="s">
        <v>331</v>
      </c>
    </row>
    <row r="1126" spans="1:5" x14ac:dyDescent="0.3">
      <c r="A1126" s="2">
        <v>4991</v>
      </c>
      <c r="B1126" s="2" t="s">
        <v>1458</v>
      </c>
      <c r="C1126" s="2" t="s">
        <v>328</v>
      </c>
      <c r="D1126" s="483">
        <v>148282</v>
      </c>
      <c r="E1126" s="2" t="s">
        <v>331</v>
      </c>
    </row>
    <row r="1127" spans="1:5" x14ac:dyDescent="0.3">
      <c r="A1127" s="2">
        <v>4992</v>
      </c>
      <c r="B1127" s="2" t="s">
        <v>1459</v>
      </c>
      <c r="C1127" s="2" t="s">
        <v>32</v>
      </c>
      <c r="D1127" s="483">
        <v>459384</v>
      </c>
      <c r="E1127" s="2" t="s">
        <v>331</v>
      </c>
    </row>
    <row r="1128" spans="1:5" x14ac:dyDescent="0.3">
      <c r="A1128" s="2">
        <v>4993</v>
      </c>
      <c r="B1128" s="2" t="s">
        <v>1460</v>
      </c>
      <c r="C1128" s="2" t="s">
        <v>32</v>
      </c>
      <c r="D1128" s="483">
        <v>444846</v>
      </c>
      <c r="E1128" s="2" t="s">
        <v>324</v>
      </c>
    </row>
    <row r="1129" spans="1:5" x14ac:dyDescent="0.3">
      <c r="A1129" s="2">
        <v>4994</v>
      </c>
      <c r="B1129" s="2" t="s">
        <v>1461</v>
      </c>
      <c r="C1129" s="2" t="s">
        <v>30</v>
      </c>
      <c r="D1129" s="483">
        <v>175866</v>
      </c>
      <c r="E1129" s="2" t="s">
        <v>331</v>
      </c>
    </row>
    <row r="1130" spans="1:5" x14ac:dyDescent="0.3">
      <c r="A1130" s="2">
        <v>4995</v>
      </c>
      <c r="B1130" s="2" t="s">
        <v>1462</v>
      </c>
      <c r="C1130" s="2" t="s">
        <v>30</v>
      </c>
      <c r="D1130" s="483">
        <v>257767</v>
      </c>
      <c r="E1130" s="2" t="s">
        <v>331</v>
      </c>
    </row>
    <row r="1131" spans="1:5" x14ac:dyDescent="0.3">
      <c r="A1131" s="2">
        <v>4996</v>
      </c>
      <c r="B1131" s="2" t="s">
        <v>1463</v>
      </c>
      <c r="C1131" s="2" t="s">
        <v>32</v>
      </c>
      <c r="D1131" s="483">
        <v>660567</v>
      </c>
      <c r="E1131" s="2" t="s">
        <v>331</v>
      </c>
    </row>
    <row r="1132" spans="1:5" x14ac:dyDescent="0.3">
      <c r="A1132" s="2">
        <v>4997</v>
      </c>
      <c r="B1132" s="2" t="s">
        <v>1464</v>
      </c>
      <c r="C1132" s="2" t="s">
        <v>328</v>
      </c>
      <c r="D1132" s="483">
        <v>32755</v>
      </c>
      <c r="E1132" s="2" t="s">
        <v>331</v>
      </c>
    </row>
    <row r="1133" spans="1:5" x14ac:dyDescent="0.3">
      <c r="A1133" s="2">
        <v>5000</v>
      </c>
      <c r="B1133" s="2" t="s">
        <v>1465</v>
      </c>
      <c r="C1133" s="2" t="s">
        <v>328</v>
      </c>
      <c r="D1133" s="483">
        <v>148054</v>
      </c>
      <c r="E1133" s="2" t="s">
        <v>331</v>
      </c>
    </row>
    <row r="1134" spans="1:5" x14ac:dyDescent="0.3">
      <c r="A1134" s="2">
        <v>5001</v>
      </c>
      <c r="B1134" s="2" t="s">
        <v>1466</v>
      </c>
      <c r="C1134" s="2" t="s">
        <v>32</v>
      </c>
      <c r="D1134" s="483">
        <v>1231595</v>
      </c>
      <c r="E1134" s="2" t="s">
        <v>331</v>
      </c>
    </row>
    <row r="1135" spans="1:5" x14ac:dyDescent="0.3">
      <c r="A1135" s="2">
        <v>5002</v>
      </c>
      <c r="B1135" s="2" t="s">
        <v>1467</v>
      </c>
      <c r="C1135" s="2" t="s">
        <v>328</v>
      </c>
      <c r="D1135" s="483">
        <v>117999</v>
      </c>
      <c r="E1135" s="2" t="s">
        <v>331</v>
      </c>
    </row>
    <row r="1136" spans="1:5" x14ac:dyDescent="0.3">
      <c r="A1136" s="2">
        <v>5003</v>
      </c>
      <c r="B1136" s="2" t="s">
        <v>1468</v>
      </c>
      <c r="C1136" s="2" t="s">
        <v>32</v>
      </c>
      <c r="D1136" s="483">
        <v>59864</v>
      </c>
      <c r="E1136" s="2" t="s">
        <v>331</v>
      </c>
    </row>
    <row r="1137" spans="1:5" x14ac:dyDescent="0.3">
      <c r="A1137" s="2">
        <v>5004</v>
      </c>
      <c r="B1137" s="2" t="s">
        <v>1469</v>
      </c>
      <c r="C1137" s="2" t="s">
        <v>979</v>
      </c>
      <c r="D1137" s="483">
        <v>115905</v>
      </c>
      <c r="E1137" s="2" t="s">
        <v>324</v>
      </c>
    </row>
    <row r="1138" spans="1:5" x14ac:dyDescent="0.3">
      <c r="A1138" s="2">
        <v>5005</v>
      </c>
      <c r="B1138" s="2" t="s">
        <v>1470</v>
      </c>
      <c r="C1138" s="2" t="s">
        <v>692</v>
      </c>
      <c r="D1138" s="483">
        <v>907867</v>
      </c>
      <c r="E1138" s="2" t="s">
        <v>324</v>
      </c>
    </row>
    <row r="1139" spans="1:5" x14ac:dyDescent="0.3">
      <c r="A1139" s="2">
        <v>5010</v>
      </c>
      <c r="B1139" s="2" t="s">
        <v>1471</v>
      </c>
      <c r="C1139" s="2" t="s">
        <v>32</v>
      </c>
      <c r="D1139" s="483">
        <v>384473</v>
      </c>
      <c r="E1139" s="2" t="s">
        <v>331</v>
      </c>
    </row>
    <row r="1140" spans="1:5" x14ac:dyDescent="0.3">
      <c r="A1140" s="2">
        <v>5015</v>
      </c>
      <c r="B1140" s="2" t="s">
        <v>1472</v>
      </c>
      <c r="C1140" s="2" t="s">
        <v>32</v>
      </c>
      <c r="D1140" s="483">
        <v>622071</v>
      </c>
      <c r="E1140" s="2" t="s">
        <v>331</v>
      </c>
    </row>
    <row r="1141" spans="1:5" x14ac:dyDescent="0.3">
      <c r="A1141" s="2">
        <v>5017</v>
      </c>
      <c r="B1141" s="2" t="s">
        <v>1473</v>
      </c>
      <c r="C1141" s="2" t="s">
        <v>32</v>
      </c>
      <c r="D1141" s="483">
        <v>525985</v>
      </c>
      <c r="E1141" s="2" t="s">
        <v>331</v>
      </c>
    </row>
    <row r="1142" spans="1:5" x14ac:dyDescent="0.3">
      <c r="A1142" s="2">
        <v>5019</v>
      </c>
      <c r="B1142" s="2" t="s">
        <v>1474</v>
      </c>
      <c r="C1142" s="2" t="s">
        <v>32</v>
      </c>
      <c r="D1142" s="483">
        <v>291430</v>
      </c>
      <c r="E1142" s="2" t="s">
        <v>331</v>
      </c>
    </row>
    <row r="1143" spans="1:5" x14ac:dyDescent="0.3">
      <c r="A1143" s="2">
        <v>5021</v>
      </c>
      <c r="B1143" s="2" t="s">
        <v>1475</v>
      </c>
      <c r="C1143" s="2" t="s">
        <v>328</v>
      </c>
      <c r="D1143" s="483">
        <v>845866</v>
      </c>
      <c r="E1143" s="2" t="s">
        <v>331</v>
      </c>
    </row>
    <row r="1144" spans="1:5" x14ac:dyDescent="0.3">
      <c r="A1144" s="2">
        <v>5023</v>
      </c>
      <c r="B1144" s="2" t="s">
        <v>1476</v>
      </c>
      <c r="C1144" s="2" t="s">
        <v>328</v>
      </c>
      <c r="D1144" s="483">
        <v>28702</v>
      </c>
      <c r="E1144" s="2" t="s">
        <v>331</v>
      </c>
    </row>
    <row r="1145" spans="1:5" x14ac:dyDescent="0.3">
      <c r="A1145" s="2">
        <v>5024</v>
      </c>
      <c r="B1145" s="2" t="s">
        <v>1477</v>
      </c>
      <c r="C1145" s="2" t="s">
        <v>32</v>
      </c>
      <c r="D1145" s="483">
        <v>1659395</v>
      </c>
      <c r="E1145" s="2" t="s">
        <v>331</v>
      </c>
    </row>
    <row r="1146" spans="1:5" x14ac:dyDescent="0.3">
      <c r="A1146" s="2">
        <v>5025</v>
      </c>
      <c r="B1146" s="2" t="s">
        <v>1478</v>
      </c>
      <c r="C1146" s="2" t="s">
        <v>21</v>
      </c>
      <c r="D1146" s="483">
        <v>277532</v>
      </c>
      <c r="E1146" s="2" t="s">
        <v>331</v>
      </c>
    </row>
    <row r="1147" spans="1:5" x14ac:dyDescent="0.3">
      <c r="A1147" s="2">
        <v>5026</v>
      </c>
      <c r="B1147" s="2" t="s">
        <v>1479</v>
      </c>
      <c r="C1147" s="2" t="s">
        <v>32</v>
      </c>
      <c r="D1147" s="483">
        <v>6160128</v>
      </c>
      <c r="E1147" s="2" t="s">
        <v>331</v>
      </c>
    </row>
    <row r="1148" spans="1:5" x14ac:dyDescent="0.3">
      <c r="A1148" s="2">
        <v>5028</v>
      </c>
      <c r="B1148" s="2" t="s">
        <v>1480</v>
      </c>
      <c r="C1148" s="2" t="s">
        <v>32</v>
      </c>
      <c r="D1148" s="483">
        <v>5391141</v>
      </c>
      <c r="E1148" s="2" t="s">
        <v>331</v>
      </c>
    </row>
    <row r="1149" spans="1:5" x14ac:dyDescent="0.3">
      <c r="A1149" s="2">
        <v>5032</v>
      </c>
      <c r="B1149" s="2" t="s">
        <v>1481</v>
      </c>
      <c r="C1149" s="2" t="s">
        <v>32</v>
      </c>
      <c r="D1149" s="483">
        <v>210162</v>
      </c>
      <c r="E1149" s="2" t="s">
        <v>331</v>
      </c>
    </row>
    <row r="1150" spans="1:5" x14ac:dyDescent="0.3">
      <c r="A1150" s="2">
        <v>5033</v>
      </c>
      <c r="B1150" s="2" t="s">
        <v>1482</v>
      </c>
      <c r="C1150" s="2" t="s">
        <v>32</v>
      </c>
      <c r="D1150" s="483">
        <v>231178</v>
      </c>
      <c r="E1150" s="2" t="s">
        <v>331</v>
      </c>
    </row>
    <row r="1151" spans="1:5" x14ac:dyDescent="0.3">
      <c r="A1151" s="2">
        <v>5036</v>
      </c>
      <c r="B1151" s="2" t="s">
        <v>1483</v>
      </c>
      <c r="C1151" s="2" t="s">
        <v>32</v>
      </c>
      <c r="D1151" s="483">
        <v>221721</v>
      </c>
      <c r="E1151" s="2" t="s">
        <v>331</v>
      </c>
    </row>
    <row r="1152" spans="1:5" x14ac:dyDescent="0.3">
      <c r="A1152" s="2">
        <v>5037</v>
      </c>
      <c r="B1152" s="2" t="s">
        <v>1484</v>
      </c>
      <c r="C1152" s="2" t="s">
        <v>32</v>
      </c>
      <c r="D1152" s="483">
        <v>161826</v>
      </c>
      <c r="E1152" s="2" t="s">
        <v>331</v>
      </c>
    </row>
    <row r="1153" spans="1:5" x14ac:dyDescent="0.3">
      <c r="A1153" s="2">
        <v>5038</v>
      </c>
      <c r="B1153" s="2" t="s">
        <v>1485</v>
      </c>
      <c r="C1153" s="2" t="s">
        <v>32</v>
      </c>
      <c r="D1153" s="483">
        <v>214366</v>
      </c>
      <c r="E1153" s="2" t="s">
        <v>331</v>
      </c>
    </row>
    <row r="1154" spans="1:5" x14ac:dyDescent="0.3">
      <c r="A1154" s="2">
        <v>5044</v>
      </c>
      <c r="B1154" s="2" t="s">
        <v>1486</v>
      </c>
      <c r="C1154" s="2" t="s">
        <v>21</v>
      </c>
      <c r="D1154" s="483">
        <v>75572</v>
      </c>
      <c r="E1154" s="2" t="s">
        <v>331</v>
      </c>
    </row>
    <row r="1155" spans="1:5" x14ac:dyDescent="0.3">
      <c r="A1155" s="2">
        <v>5045</v>
      </c>
      <c r="B1155" s="2" t="s">
        <v>1487</v>
      </c>
      <c r="C1155" s="2" t="s">
        <v>32</v>
      </c>
      <c r="D1155" s="483">
        <v>210688</v>
      </c>
      <c r="E1155" s="2" t="s">
        <v>331</v>
      </c>
    </row>
    <row r="1156" spans="1:5" x14ac:dyDescent="0.3">
      <c r="A1156" s="2">
        <v>5046</v>
      </c>
      <c r="B1156" s="2" t="s">
        <v>1488</v>
      </c>
      <c r="C1156" s="2" t="s">
        <v>21</v>
      </c>
      <c r="D1156" s="483">
        <v>75572</v>
      </c>
      <c r="E1156" s="2" t="s">
        <v>331</v>
      </c>
    </row>
    <row r="1157" spans="1:5" x14ac:dyDescent="0.3">
      <c r="A1157" s="2">
        <v>5047</v>
      </c>
      <c r="B1157" s="2" t="s">
        <v>1489</v>
      </c>
      <c r="C1157" s="2" t="s">
        <v>21</v>
      </c>
      <c r="D1157" s="483">
        <v>144146</v>
      </c>
      <c r="E1157" s="2" t="s">
        <v>331</v>
      </c>
    </row>
    <row r="1158" spans="1:5" x14ac:dyDescent="0.3">
      <c r="A1158" s="2">
        <v>5048</v>
      </c>
      <c r="B1158" s="2" t="s">
        <v>1490</v>
      </c>
      <c r="C1158" s="2" t="s">
        <v>21</v>
      </c>
      <c r="D1158" s="483">
        <v>136781</v>
      </c>
      <c r="E1158" s="2" t="s">
        <v>331</v>
      </c>
    </row>
    <row r="1159" spans="1:5" x14ac:dyDescent="0.3">
      <c r="A1159" s="2">
        <v>5049</v>
      </c>
      <c r="B1159" s="2" t="s">
        <v>1491</v>
      </c>
      <c r="C1159" s="2" t="s">
        <v>21</v>
      </c>
      <c r="D1159" s="483">
        <v>393512</v>
      </c>
      <c r="E1159" s="2" t="s">
        <v>331</v>
      </c>
    </row>
    <row r="1160" spans="1:5" x14ac:dyDescent="0.3">
      <c r="A1160" s="2">
        <v>5050</v>
      </c>
      <c r="B1160" s="2" t="s">
        <v>1492</v>
      </c>
      <c r="C1160" s="2" t="s">
        <v>32</v>
      </c>
      <c r="D1160" s="483">
        <v>169067</v>
      </c>
      <c r="E1160" s="2" t="s">
        <v>324</v>
      </c>
    </row>
    <row r="1161" spans="1:5" x14ac:dyDescent="0.3">
      <c r="A1161" s="2">
        <v>5051</v>
      </c>
      <c r="B1161" s="2" t="s">
        <v>1493</v>
      </c>
      <c r="C1161" s="2" t="s">
        <v>30</v>
      </c>
      <c r="D1161" s="483">
        <v>1866204</v>
      </c>
      <c r="E1161" s="2" t="s">
        <v>331</v>
      </c>
    </row>
    <row r="1162" spans="1:5" x14ac:dyDescent="0.3">
      <c r="A1162" s="2">
        <v>5052</v>
      </c>
      <c r="B1162" s="2" t="s">
        <v>1494</v>
      </c>
      <c r="C1162" s="2" t="s">
        <v>30</v>
      </c>
      <c r="D1162" s="483">
        <v>964526</v>
      </c>
      <c r="E1162" s="2" t="s">
        <v>331</v>
      </c>
    </row>
    <row r="1163" spans="1:5" x14ac:dyDescent="0.3">
      <c r="A1163" s="2">
        <v>5053</v>
      </c>
      <c r="B1163" s="2" t="s">
        <v>1495</v>
      </c>
      <c r="C1163" s="2" t="s">
        <v>32</v>
      </c>
      <c r="D1163" s="483">
        <v>7744292</v>
      </c>
      <c r="E1163" s="2" t="s">
        <v>331</v>
      </c>
    </row>
    <row r="1164" spans="1:5" x14ac:dyDescent="0.3">
      <c r="A1164" s="2">
        <v>5054</v>
      </c>
      <c r="B1164" s="2" t="s">
        <v>1496</v>
      </c>
      <c r="C1164" s="2" t="s">
        <v>692</v>
      </c>
      <c r="D1164" s="483">
        <v>545170</v>
      </c>
      <c r="E1164" s="2" t="s">
        <v>324</v>
      </c>
    </row>
    <row r="1165" spans="1:5" x14ac:dyDescent="0.3">
      <c r="A1165" s="2">
        <v>5055</v>
      </c>
      <c r="B1165" s="2" t="s">
        <v>1497</v>
      </c>
      <c r="C1165" s="2" t="s">
        <v>30</v>
      </c>
      <c r="D1165" s="483">
        <v>300180</v>
      </c>
      <c r="E1165" s="2" t="s">
        <v>331</v>
      </c>
    </row>
    <row r="1166" spans="1:5" x14ac:dyDescent="0.3">
      <c r="A1166" s="2">
        <v>5056</v>
      </c>
      <c r="B1166" s="2" t="s">
        <v>1498</v>
      </c>
      <c r="C1166" s="2" t="s">
        <v>21</v>
      </c>
      <c r="D1166" s="483">
        <v>304673</v>
      </c>
      <c r="E1166" s="2" t="s">
        <v>331</v>
      </c>
    </row>
    <row r="1167" spans="1:5" x14ac:dyDescent="0.3">
      <c r="A1167" s="2">
        <v>5058</v>
      </c>
      <c r="B1167" s="2" t="s">
        <v>1499</v>
      </c>
      <c r="C1167" s="2" t="s">
        <v>328</v>
      </c>
      <c r="D1167" s="483">
        <v>10117</v>
      </c>
      <c r="E1167" s="2" t="s">
        <v>331</v>
      </c>
    </row>
    <row r="1168" spans="1:5" x14ac:dyDescent="0.3">
      <c r="A1168" s="2">
        <v>5060</v>
      </c>
      <c r="B1168" s="2" t="s">
        <v>1500</v>
      </c>
      <c r="C1168" s="2" t="s">
        <v>21</v>
      </c>
      <c r="D1168" s="483">
        <v>11872</v>
      </c>
      <c r="E1168" s="2" t="s">
        <v>331</v>
      </c>
    </row>
    <row r="1169" spans="1:5" x14ac:dyDescent="0.3">
      <c r="A1169" s="2">
        <v>5061</v>
      </c>
      <c r="B1169" s="2" t="s">
        <v>1501</v>
      </c>
      <c r="C1169" s="2" t="s">
        <v>21</v>
      </c>
      <c r="D1169" s="483">
        <v>108452</v>
      </c>
      <c r="E1169" s="2" t="s">
        <v>331</v>
      </c>
    </row>
    <row r="1170" spans="1:5" x14ac:dyDescent="0.3">
      <c r="A1170" s="2">
        <v>5062</v>
      </c>
      <c r="B1170" s="2" t="s">
        <v>1502</v>
      </c>
      <c r="C1170" s="2" t="s">
        <v>328</v>
      </c>
      <c r="D1170" s="483">
        <v>35759</v>
      </c>
      <c r="E1170" s="2" t="s">
        <v>331</v>
      </c>
    </row>
    <row r="1171" spans="1:5" x14ac:dyDescent="0.3">
      <c r="A1171" s="2">
        <v>5063</v>
      </c>
      <c r="B1171" s="2" t="s">
        <v>1503</v>
      </c>
      <c r="C1171" s="2" t="s">
        <v>21</v>
      </c>
      <c r="D1171" s="483">
        <v>86159</v>
      </c>
      <c r="E1171" s="2" t="s">
        <v>331</v>
      </c>
    </row>
    <row r="1172" spans="1:5" x14ac:dyDescent="0.3">
      <c r="A1172" s="2">
        <v>5064</v>
      </c>
      <c r="B1172" s="2" t="s">
        <v>1504</v>
      </c>
      <c r="C1172" s="2" t="s">
        <v>328</v>
      </c>
      <c r="D1172" s="483">
        <v>13788</v>
      </c>
      <c r="E1172" s="2" t="s">
        <v>331</v>
      </c>
    </row>
    <row r="1173" spans="1:5" x14ac:dyDescent="0.3">
      <c r="A1173" s="2">
        <v>5066</v>
      </c>
      <c r="B1173" s="2" t="s">
        <v>1505</v>
      </c>
      <c r="C1173" s="2" t="s">
        <v>328</v>
      </c>
      <c r="D1173" s="483">
        <v>44647</v>
      </c>
      <c r="E1173" s="2" t="s">
        <v>331</v>
      </c>
    </row>
    <row r="1174" spans="1:5" x14ac:dyDescent="0.3">
      <c r="A1174" s="2">
        <v>5067</v>
      </c>
      <c r="B1174" s="2" t="s">
        <v>1506</v>
      </c>
      <c r="C1174" s="2" t="s">
        <v>328</v>
      </c>
      <c r="D1174" s="483">
        <v>33153</v>
      </c>
      <c r="E1174" s="2" t="s">
        <v>331</v>
      </c>
    </row>
    <row r="1175" spans="1:5" x14ac:dyDescent="0.3">
      <c r="A1175" s="2">
        <v>5068</v>
      </c>
      <c r="B1175" s="2" t="s">
        <v>1507</v>
      </c>
      <c r="C1175" s="2" t="s">
        <v>32</v>
      </c>
      <c r="D1175" s="483">
        <v>111184</v>
      </c>
      <c r="E1175" s="2" t="s">
        <v>324</v>
      </c>
    </row>
    <row r="1176" spans="1:5" x14ac:dyDescent="0.3">
      <c r="A1176" s="2">
        <v>5070</v>
      </c>
      <c r="B1176" s="2" t="s">
        <v>1508</v>
      </c>
      <c r="C1176" s="2" t="s">
        <v>32</v>
      </c>
      <c r="D1176" s="483">
        <v>201458</v>
      </c>
      <c r="E1176" s="2" t="s">
        <v>324</v>
      </c>
    </row>
    <row r="1177" spans="1:5" x14ac:dyDescent="0.3">
      <c r="A1177" s="2">
        <v>5071</v>
      </c>
      <c r="B1177" s="2" t="s">
        <v>1509</v>
      </c>
      <c r="C1177" s="2" t="s">
        <v>30</v>
      </c>
      <c r="D1177" s="483">
        <v>1062469</v>
      </c>
      <c r="E1177" s="2" t="s">
        <v>331</v>
      </c>
    </row>
    <row r="1178" spans="1:5" x14ac:dyDescent="0.3">
      <c r="A1178" s="2">
        <v>5073</v>
      </c>
      <c r="B1178" s="2" t="s">
        <v>1510</v>
      </c>
      <c r="C1178" s="2" t="s">
        <v>328</v>
      </c>
      <c r="D1178" s="483">
        <v>22548</v>
      </c>
      <c r="E1178" s="2" t="s">
        <v>331</v>
      </c>
    </row>
    <row r="1179" spans="1:5" x14ac:dyDescent="0.3">
      <c r="A1179" s="2">
        <v>5074</v>
      </c>
      <c r="B1179" s="2" t="s">
        <v>1511</v>
      </c>
      <c r="C1179" s="2" t="s">
        <v>32</v>
      </c>
      <c r="D1179" s="483">
        <v>5519</v>
      </c>
      <c r="E1179" s="2" t="s">
        <v>331</v>
      </c>
    </row>
    <row r="1180" spans="1:5" x14ac:dyDescent="0.3">
      <c r="A1180" s="2">
        <v>5075</v>
      </c>
      <c r="B1180" s="2" t="s">
        <v>1512</v>
      </c>
      <c r="C1180" s="2" t="s">
        <v>32</v>
      </c>
      <c r="D1180" s="483">
        <v>9615</v>
      </c>
      <c r="E1180" s="2" t="s">
        <v>331</v>
      </c>
    </row>
    <row r="1181" spans="1:5" x14ac:dyDescent="0.3">
      <c r="A1181" s="2">
        <v>5076</v>
      </c>
      <c r="B1181" s="2" t="s">
        <v>1513</v>
      </c>
      <c r="C1181" s="2" t="s">
        <v>32</v>
      </c>
      <c r="D1181" s="483">
        <v>27163</v>
      </c>
      <c r="E1181" s="2" t="s">
        <v>331</v>
      </c>
    </row>
    <row r="1182" spans="1:5" x14ac:dyDescent="0.3">
      <c r="A1182" s="2">
        <v>5077</v>
      </c>
      <c r="B1182" s="2" t="s">
        <v>1514</v>
      </c>
      <c r="C1182" s="2" t="s">
        <v>32</v>
      </c>
      <c r="D1182" s="483">
        <v>9547</v>
      </c>
      <c r="E1182" s="2" t="s">
        <v>331</v>
      </c>
    </row>
    <row r="1183" spans="1:5" x14ac:dyDescent="0.3">
      <c r="A1183" s="2">
        <v>5078</v>
      </c>
      <c r="B1183" s="2" t="s">
        <v>1515</v>
      </c>
      <c r="C1183" s="2" t="s">
        <v>32</v>
      </c>
      <c r="D1183" s="483">
        <v>29279</v>
      </c>
      <c r="E1183" s="2" t="s">
        <v>331</v>
      </c>
    </row>
    <row r="1184" spans="1:5" x14ac:dyDescent="0.3">
      <c r="A1184" s="2">
        <v>5079</v>
      </c>
      <c r="B1184" s="2" t="s">
        <v>1516</v>
      </c>
      <c r="C1184" s="2" t="s">
        <v>32</v>
      </c>
      <c r="D1184" s="483">
        <v>14896</v>
      </c>
      <c r="E1184" s="2" t="s">
        <v>331</v>
      </c>
    </row>
    <row r="1185" spans="1:5" x14ac:dyDescent="0.3">
      <c r="A1185" s="2">
        <v>5080</v>
      </c>
      <c r="B1185" s="2" t="s">
        <v>1517</v>
      </c>
      <c r="C1185" s="2" t="s">
        <v>32</v>
      </c>
      <c r="D1185" s="483">
        <v>45060</v>
      </c>
      <c r="E1185" s="2" t="s">
        <v>331</v>
      </c>
    </row>
    <row r="1186" spans="1:5" x14ac:dyDescent="0.3">
      <c r="A1186" s="2">
        <v>5081</v>
      </c>
      <c r="B1186" s="2" t="s">
        <v>1518</v>
      </c>
      <c r="C1186" s="2" t="s">
        <v>32</v>
      </c>
      <c r="D1186" s="483">
        <v>75544</v>
      </c>
      <c r="E1186" s="2" t="s">
        <v>331</v>
      </c>
    </row>
    <row r="1187" spans="1:5" x14ac:dyDescent="0.3">
      <c r="A1187" s="2">
        <v>5082</v>
      </c>
      <c r="B1187" s="2" t="s">
        <v>1519</v>
      </c>
      <c r="C1187" s="2" t="s">
        <v>32</v>
      </c>
      <c r="D1187" s="483">
        <v>120100</v>
      </c>
      <c r="E1187" s="2" t="s">
        <v>331</v>
      </c>
    </row>
    <row r="1188" spans="1:5" x14ac:dyDescent="0.3">
      <c r="A1188" s="2">
        <v>5083</v>
      </c>
      <c r="B1188" s="2" t="s">
        <v>1520</v>
      </c>
      <c r="C1188" s="2" t="s">
        <v>328</v>
      </c>
      <c r="D1188" s="483">
        <v>17936</v>
      </c>
      <c r="E1188" s="2" t="s">
        <v>331</v>
      </c>
    </row>
    <row r="1189" spans="1:5" x14ac:dyDescent="0.3">
      <c r="A1189" s="2">
        <v>5084</v>
      </c>
      <c r="B1189" s="2" t="s">
        <v>1521</v>
      </c>
      <c r="C1189" s="2" t="s">
        <v>328</v>
      </c>
      <c r="D1189" s="483">
        <v>15176</v>
      </c>
      <c r="E1189" s="2" t="s">
        <v>331</v>
      </c>
    </row>
    <row r="1190" spans="1:5" x14ac:dyDescent="0.3">
      <c r="A1190" s="2">
        <v>5085</v>
      </c>
      <c r="B1190" s="2" t="s">
        <v>1522</v>
      </c>
      <c r="C1190" s="2" t="s">
        <v>32</v>
      </c>
      <c r="D1190" s="483">
        <v>19829</v>
      </c>
      <c r="E1190" s="2" t="s">
        <v>331</v>
      </c>
    </row>
    <row r="1191" spans="1:5" x14ac:dyDescent="0.3">
      <c r="A1191" s="2">
        <v>5086</v>
      </c>
      <c r="B1191" s="2" t="s">
        <v>1523</v>
      </c>
      <c r="C1191" s="2" t="s">
        <v>32</v>
      </c>
      <c r="D1191" s="483">
        <v>15460</v>
      </c>
      <c r="E1191" s="2" t="s">
        <v>331</v>
      </c>
    </row>
    <row r="1192" spans="1:5" x14ac:dyDescent="0.3">
      <c r="A1192" s="2">
        <v>5087</v>
      </c>
      <c r="B1192" s="2" t="s">
        <v>1524</v>
      </c>
      <c r="C1192" s="2" t="s">
        <v>32</v>
      </c>
      <c r="D1192" s="483">
        <v>8704</v>
      </c>
      <c r="E1192" s="2" t="s">
        <v>331</v>
      </c>
    </row>
    <row r="1193" spans="1:5" x14ac:dyDescent="0.3">
      <c r="A1193" s="2">
        <v>5088</v>
      </c>
      <c r="B1193" s="2" t="s">
        <v>1525</v>
      </c>
      <c r="C1193" s="2" t="s">
        <v>32</v>
      </c>
      <c r="D1193" s="483">
        <v>10459</v>
      </c>
      <c r="E1193" s="2" t="s">
        <v>331</v>
      </c>
    </row>
    <row r="1194" spans="1:5" x14ac:dyDescent="0.3">
      <c r="A1194" s="2">
        <v>5089</v>
      </c>
      <c r="B1194" s="2" t="s">
        <v>1526</v>
      </c>
      <c r="C1194" s="2" t="s">
        <v>32</v>
      </c>
      <c r="D1194" s="483">
        <v>7548</v>
      </c>
      <c r="E1194" s="2" t="s">
        <v>331</v>
      </c>
    </row>
    <row r="1195" spans="1:5" x14ac:dyDescent="0.3">
      <c r="A1195" s="2">
        <v>5090</v>
      </c>
      <c r="B1195" s="2" t="s">
        <v>1527</v>
      </c>
      <c r="C1195" s="2" t="s">
        <v>32</v>
      </c>
      <c r="D1195" s="483">
        <v>16404</v>
      </c>
      <c r="E1195" s="2" t="s">
        <v>331</v>
      </c>
    </row>
    <row r="1196" spans="1:5" x14ac:dyDescent="0.3">
      <c r="A1196" s="2">
        <v>5091</v>
      </c>
      <c r="B1196" s="2" t="s">
        <v>1528</v>
      </c>
      <c r="C1196" s="2" t="s">
        <v>32</v>
      </c>
      <c r="D1196" s="483">
        <v>11182</v>
      </c>
      <c r="E1196" s="2" t="s">
        <v>331</v>
      </c>
    </row>
    <row r="1197" spans="1:5" x14ac:dyDescent="0.3">
      <c r="A1197" s="2">
        <v>5092</v>
      </c>
      <c r="B1197" s="2" t="s">
        <v>1529</v>
      </c>
      <c r="C1197" s="2" t="s">
        <v>32</v>
      </c>
      <c r="D1197" s="483">
        <v>8270</v>
      </c>
      <c r="E1197" s="2" t="s">
        <v>331</v>
      </c>
    </row>
    <row r="1198" spans="1:5" x14ac:dyDescent="0.3">
      <c r="A1198" s="2">
        <v>5093</v>
      </c>
      <c r="B1198" s="2" t="s">
        <v>1530</v>
      </c>
      <c r="C1198" s="2" t="s">
        <v>32</v>
      </c>
      <c r="D1198" s="483">
        <v>6408</v>
      </c>
      <c r="E1198" s="2" t="s">
        <v>331</v>
      </c>
    </row>
    <row r="1199" spans="1:5" x14ac:dyDescent="0.3">
      <c r="A1199" s="2">
        <v>5094</v>
      </c>
      <c r="B1199" s="2" t="s">
        <v>1531</v>
      </c>
      <c r="C1199" s="2" t="s">
        <v>32</v>
      </c>
      <c r="D1199" s="483">
        <v>5377</v>
      </c>
      <c r="E1199" s="2" t="s">
        <v>331</v>
      </c>
    </row>
    <row r="1200" spans="1:5" x14ac:dyDescent="0.3">
      <c r="A1200" s="2">
        <v>5095</v>
      </c>
      <c r="B1200" s="2" t="s">
        <v>1532</v>
      </c>
      <c r="C1200" s="2" t="s">
        <v>32</v>
      </c>
      <c r="D1200" s="483">
        <v>40941</v>
      </c>
      <c r="E1200" s="2" t="s">
        <v>324</v>
      </c>
    </row>
    <row r="1201" spans="1:5" x14ac:dyDescent="0.3">
      <c r="A1201" s="2">
        <v>5096</v>
      </c>
      <c r="B1201" s="2" t="s">
        <v>1533</v>
      </c>
      <c r="C1201" s="2" t="s">
        <v>32</v>
      </c>
      <c r="D1201" s="483">
        <v>39876</v>
      </c>
      <c r="E1201" s="2" t="s">
        <v>331</v>
      </c>
    </row>
    <row r="1202" spans="1:5" x14ac:dyDescent="0.3">
      <c r="A1202" s="2">
        <v>5097</v>
      </c>
      <c r="B1202" s="2" t="s">
        <v>1534</v>
      </c>
      <c r="C1202" s="2" t="s">
        <v>32</v>
      </c>
      <c r="D1202" s="483">
        <v>49455</v>
      </c>
      <c r="E1202" s="2" t="s">
        <v>331</v>
      </c>
    </row>
    <row r="1203" spans="1:5" x14ac:dyDescent="0.3">
      <c r="A1203" s="2">
        <v>5098</v>
      </c>
      <c r="B1203" s="2" t="s">
        <v>1535</v>
      </c>
      <c r="C1203" s="2" t="s">
        <v>32</v>
      </c>
      <c r="D1203" s="483">
        <v>66936</v>
      </c>
      <c r="E1203" s="2" t="s">
        <v>331</v>
      </c>
    </row>
    <row r="1204" spans="1:5" x14ac:dyDescent="0.3">
      <c r="A1204" s="2">
        <v>5099</v>
      </c>
      <c r="B1204" s="2" t="s">
        <v>1536</v>
      </c>
      <c r="C1204" s="2" t="s">
        <v>32</v>
      </c>
      <c r="D1204" s="483">
        <v>60980</v>
      </c>
      <c r="E1204" s="2" t="s">
        <v>331</v>
      </c>
    </row>
    <row r="1205" spans="1:5" x14ac:dyDescent="0.3">
      <c r="A1205" s="2">
        <v>5101</v>
      </c>
      <c r="B1205" s="2" t="s">
        <v>1537</v>
      </c>
      <c r="C1205" s="2" t="s">
        <v>328</v>
      </c>
      <c r="D1205" s="483">
        <v>199665</v>
      </c>
      <c r="E1205" s="2" t="s">
        <v>324</v>
      </c>
    </row>
    <row r="1206" spans="1:5" x14ac:dyDescent="0.3">
      <c r="A1206" s="2">
        <v>5102</v>
      </c>
      <c r="B1206" s="2" t="s">
        <v>1538</v>
      </c>
      <c r="C1206" s="2" t="s">
        <v>328</v>
      </c>
      <c r="D1206" s="483">
        <v>61462</v>
      </c>
      <c r="E1206" s="2" t="s">
        <v>324</v>
      </c>
    </row>
    <row r="1207" spans="1:5" x14ac:dyDescent="0.3">
      <c r="A1207" s="2">
        <v>5103</v>
      </c>
      <c r="B1207" s="2" t="s">
        <v>1539</v>
      </c>
      <c r="C1207" s="2" t="s">
        <v>328</v>
      </c>
      <c r="D1207" s="483">
        <v>236305</v>
      </c>
      <c r="E1207" s="2" t="s">
        <v>324</v>
      </c>
    </row>
    <row r="1208" spans="1:5" x14ac:dyDescent="0.3">
      <c r="A1208" s="2">
        <v>5105</v>
      </c>
      <c r="B1208" s="2" t="s">
        <v>1540</v>
      </c>
      <c r="C1208" s="2" t="s">
        <v>32</v>
      </c>
      <c r="D1208" s="483">
        <v>122176</v>
      </c>
      <c r="E1208" s="2" t="s">
        <v>324</v>
      </c>
    </row>
    <row r="1209" spans="1:5" x14ac:dyDescent="0.3">
      <c r="A1209" s="2">
        <v>5106</v>
      </c>
      <c r="B1209" s="2" t="s">
        <v>1541</v>
      </c>
      <c r="C1209" s="2" t="s">
        <v>32</v>
      </c>
      <c r="D1209" s="483">
        <v>387098</v>
      </c>
      <c r="E1209" s="2" t="s">
        <v>324</v>
      </c>
    </row>
    <row r="1210" spans="1:5" x14ac:dyDescent="0.3">
      <c r="A1210" s="2">
        <v>5107</v>
      </c>
      <c r="B1210" s="2" t="s">
        <v>1542</v>
      </c>
      <c r="C1210" s="2" t="s">
        <v>328</v>
      </c>
      <c r="D1210" s="483">
        <v>53280</v>
      </c>
      <c r="E1210" s="2" t="s">
        <v>324</v>
      </c>
    </row>
    <row r="1211" spans="1:5" x14ac:dyDescent="0.3">
      <c r="A1211" s="2">
        <v>5108</v>
      </c>
      <c r="B1211" s="2" t="s">
        <v>1543</v>
      </c>
      <c r="C1211" s="2" t="s">
        <v>32</v>
      </c>
      <c r="D1211" s="483">
        <v>393961</v>
      </c>
      <c r="E1211" s="2" t="s">
        <v>324</v>
      </c>
    </row>
    <row r="1212" spans="1:5" x14ac:dyDescent="0.3">
      <c r="A1212" s="2">
        <v>5109</v>
      </c>
      <c r="B1212" s="2" t="s">
        <v>1544</v>
      </c>
      <c r="C1212" s="2" t="s">
        <v>32</v>
      </c>
      <c r="D1212" s="483">
        <v>160321</v>
      </c>
      <c r="E1212" s="2" t="s">
        <v>324</v>
      </c>
    </row>
    <row r="1213" spans="1:5" x14ac:dyDescent="0.3">
      <c r="A1213" s="2">
        <v>5110</v>
      </c>
      <c r="B1213" s="2" t="s">
        <v>1545</v>
      </c>
      <c r="C1213" s="2" t="s">
        <v>328</v>
      </c>
      <c r="D1213" s="483">
        <v>57738</v>
      </c>
      <c r="E1213" s="2" t="s">
        <v>331</v>
      </c>
    </row>
    <row r="1214" spans="1:5" x14ac:dyDescent="0.3">
      <c r="A1214" s="2">
        <v>5111</v>
      </c>
      <c r="B1214" s="2" t="s">
        <v>1546</v>
      </c>
      <c r="C1214" s="2" t="s">
        <v>328</v>
      </c>
      <c r="D1214" s="483">
        <v>16281</v>
      </c>
      <c r="E1214" s="2" t="s">
        <v>324</v>
      </c>
    </row>
    <row r="1215" spans="1:5" x14ac:dyDescent="0.3">
      <c r="A1215" s="2">
        <v>5112</v>
      </c>
      <c r="B1215" s="2" t="s">
        <v>1547</v>
      </c>
      <c r="C1215" s="2" t="s">
        <v>328</v>
      </c>
      <c r="D1215" s="483">
        <v>30320</v>
      </c>
      <c r="E1215" s="2" t="s">
        <v>324</v>
      </c>
    </row>
    <row r="1216" spans="1:5" x14ac:dyDescent="0.3">
      <c r="A1216" s="2">
        <v>5113</v>
      </c>
      <c r="B1216" s="2" t="s">
        <v>1548</v>
      </c>
      <c r="C1216" s="2" t="s">
        <v>32</v>
      </c>
      <c r="D1216" s="483">
        <v>278272</v>
      </c>
      <c r="E1216" s="2" t="s">
        <v>324</v>
      </c>
    </row>
    <row r="1217" spans="1:5" x14ac:dyDescent="0.3">
      <c r="A1217" s="2">
        <v>5122</v>
      </c>
      <c r="B1217" s="2" t="s">
        <v>1549</v>
      </c>
      <c r="C1217" s="2" t="s">
        <v>32</v>
      </c>
      <c r="D1217" s="483">
        <v>427312</v>
      </c>
      <c r="E1217" s="2" t="s">
        <v>324</v>
      </c>
    </row>
    <row r="1218" spans="1:5" x14ac:dyDescent="0.3">
      <c r="A1218" s="2">
        <v>5123</v>
      </c>
      <c r="B1218" s="2" t="s">
        <v>1550</v>
      </c>
      <c r="C1218" s="2" t="s">
        <v>32</v>
      </c>
      <c r="D1218" s="483">
        <v>1075839</v>
      </c>
      <c r="E1218" s="2" t="s">
        <v>324</v>
      </c>
    </row>
    <row r="1219" spans="1:5" x14ac:dyDescent="0.3">
      <c r="A1219" s="2">
        <v>5124</v>
      </c>
      <c r="B1219" s="2" t="s">
        <v>1551</v>
      </c>
      <c r="C1219" s="2" t="s">
        <v>32</v>
      </c>
      <c r="D1219" s="483">
        <v>359035</v>
      </c>
      <c r="E1219" s="2" t="s">
        <v>324</v>
      </c>
    </row>
    <row r="1220" spans="1:5" x14ac:dyDescent="0.3">
      <c r="A1220" s="2">
        <v>5125</v>
      </c>
      <c r="B1220" s="2" t="s">
        <v>1552</v>
      </c>
      <c r="C1220" s="2" t="s">
        <v>32</v>
      </c>
      <c r="D1220" s="483">
        <v>87552</v>
      </c>
      <c r="E1220" s="2" t="s">
        <v>324</v>
      </c>
    </row>
    <row r="1221" spans="1:5" x14ac:dyDescent="0.3">
      <c r="A1221" s="2">
        <v>5126</v>
      </c>
      <c r="B1221" s="2" t="s">
        <v>1553</v>
      </c>
      <c r="C1221" s="2" t="s">
        <v>32</v>
      </c>
      <c r="D1221" s="483">
        <v>282882</v>
      </c>
      <c r="E1221" s="2" t="s">
        <v>324</v>
      </c>
    </row>
    <row r="1222" spans="1:5" x14ac:dyDescent="0.3">
      <c r="A1222" s="2">
        <v>5127</v>
      </c>
      <c r="B1222" s="2" t="s">
        <v>1554</v>
      </c>
      <c r="C1222" s="2" t="s">
        <v>32</v>
      </c>
      <c r="D1222" s="483">
        <v>550623</v>
      </c>
      <c r="E1222" s="2" t="s">
        <v>324</v>
      </c>
    </row>
    <row r="1223" spans="1:5" x14ac:dyDescent="0.3">
      <c r="A1223" s="2">
        <v>5128</v>
      </c>
      <c r="B1223" s="2" t="s">
        <v>1555</v>
      </c>
      <c r="C1223" s="2" t="s">
        <v>32</v>
      </c>
      <c r="D1223" s="483">
        <v>446502</v>
      </c>
      <c r="E1223" s="2" t="s">
        <v>324</v>
      </c>
    </row>
    <row r="1224" spans="1:5" x14ac:dyDescent="0.3">
      <c r="A1224" s="2">
        <v>5129</v>
      </c>
      <c r="B1224" s="2" t="s">
        <v>1556</v>
      </c>
      <c r="C1224" s="2" t="s">
        <v>328</v>
      </c>
      <c r="D1224" s="483">
        <v>299056</v>
      </c>
      <c r="E1224" s="2" t="s">
        <v>331</v>
      </c>
    </row>
    <row r="1225" spans="1:5" x14ac:dyDescent="0.3">
      <c r="A1225" s="2">
        <v>5131</v>
      </c>
      <c r="B1225" s="2" t="s">
        <v>1557</v>
      </c>
      <c r="C1225" s="2" t="s">
        <v>328</v>
      </c>
      <c r="D1225" s="483">
        <v>205521</v>
      </c>
      <c r="E1225" s="2" t="s">
        <v>331</v>
      </c>
    </row>
    <row r="1226" spans="1:5" x14ac:dyDescent="0.3">
      <c r="A1226" s="2">
        <v>5132</v>
      </c>
      <c r="B1226" s="2" t="s">
        <v>1558</v>
      </c>
      <c r="C1226" s="2" t="s">
        <v>328</v>
      </c>
      <c r="D1226" s="483">
        <v>68318</v>
      </c>
      <c r="E1226" s="2" t="s">
        <v>331</v>
      </c>
    </row>
    <row r="1227" spans="1:5" x14ac:dyDescent="0.3">
      <c r="A1227" s="2">
        <v>5135</v>
      </c>
      <c r="B1227" s="2" t="s">
        <v>1559</v>
      </c>
      <c r="C1227" s="2" t="s">
        <v>328</v>
      </c>
      <c r="D1227" s="483">
        <v>7973</v>
      </c>
      <c r="E1227" s="2" t="s">
        <v>367</v>
      </c>
    </row>
    <row r="1228" spans="1:5" x14ac:dyDescent="0.3">
      <c r="A1228" s="2">
        <v>5136</v>
      </c>
      <c r="B1228" s="2" t="s">
        <v>1560</v>
      </c>
      <c r="C1228" s="2" t="s">
        <v>21</v>
      </c>
      <c r="D1228" s="483">
        <v>11104</v>
      </c>
      <c r="E1228" s="2" t="s">
        <v>367</v>
      </c>
    </row>
    <row r="1229" spans="1:5" x14ac:dyDescent="0.3">
      <c r="A1229" s="2">
        <v>5143</v>
      </c>
      <c r="B1229" s="2" t="s">
        <v>1561</v>
      </c>
      <c r="C1229" s="2" t="s">
        <v>32</v>
      </c>
      <c r="D1229" s="483">
        <v>87406</v>
      </c>
      <c r="E1229" s="2" t="s">
        <v>1416</v>
      </c>
    </row>
    <row r="1230" spans="1:5" x14ac:dyDescent="0.3">
      <c r="A1230" s="2">
        <v>5144</v>
      </c>
      <c r="B1230" s="2" t="s">
        <v>1562</v>
      </c>
      <c r="C1230" s="2" t="s">
        <v>32</v>
      </c>
      <c r="D1230" s="483">
        <v>25158</v>
      </c>
      <c r="E1230" s="2" t="s">
        <v>1416</v>
      </c>
    </row>
    <row r="1231" spans="1:5" x14ac:dyDescent="0.3">
      <c r="A1231" s="2">
        <v>5145</v>
      </c>
      <c r="B1231" s="2" t="s">
        <v>1563</v>
      </c>
      <c r="C1231" s="2" t="s">
        <v>32</v>
      </c>
      <c r="D1231" s="483">
        <v>20171</v>
      </c>
      <c r="E1231" s="2" t="s">
        <v>1416</v>
      </c>
    </row>
    <row r="1232" spans="1:5" x14ac:dyDescent="0.3">
      <c r="A1232" s="2">
        <v>5159</v>
      </c>
      <c r="B1232" s="2" t="s">
        <v>1564</v>
      </c>
      <c r="C1232" s="2" t="s">
        <v>32</v>
      </c>
      <c r="D1232" s="483">
        <v>39392</v>
      </c>
      <c r="E1232" s="2" t="s">
        <v>331</v>
      </c>
    </row>
    <row r="1233" spans="1:5" x14ac:dyDescent="0.3">
      <c r="A1233" s="2">
        <v>5160</v>
      </c>
      <c r="B1233" s="2" t="s">
        <v>1565</v>
      </c>
      <c r="C1233" s="2" t="s">
        <v>32</v>
      </c>
      <c r="D1233" s="483">
        <v>82622</v>
      </c>
      <c r="E1233" s="2" t="s">
        <v>331</v>
      </c>
    </row>
    <row r="1234" spans="1:5" x14ac:dyDescent="0.3">
      <c r="A1234" s="2">
        <v>5161</v>
      </c>
      <c r="B1234" s="2" t="s">
        <v>1566</v>
      </c>
      <c r="C1234" s="2" t="s">
        <v>21</v>
      </c>
      <c r="D1234" s="483">
        <v>254</v>
      </c>
      <c r="E1234" s="2" t="s">
        <v>324</v>
      </c>
    </row>
    <row r="1235" spans="1:5" x14ac:dyDescent="0.3">
      <c r="A1235" s="2">
        <v>5162</v>
      </c>
      <c r="B1235" s="2" t="s">
        <v>1567</v>
      </c>
      <c r="C1235" s="2" t="s">
        <v>30</v>
      </c>
      <c r="D1235" s="483">
        <v>357030</v>
      </c>
      <c r="E1235" s="2" t="s">
        <v>331</v>
      </c>
    </row>
    <row r="1236" spans="1:5" x14ac:dyDescent="0.3">
      <c r="A1236" s="2">
        <v>5163</v>
      </c>
      <c r="B1236" s="2" t="s">
        <v>1568</v>
      </c>
      <c r="C1236" s="2" t="s">
        <v>30</v>
      </c>
      <c r="D1236" s="483">
        <v>380429</v>
      </c>
      <c r="E1236" s="2" t="s">
        <v>331</v>
      </c>
    </row>
    <row r="1237" spans="1:5" x14ac:dyDescent="0.3">
      <c r="A1237" s="2">
        <v>5164</v>
      </c>
      <c r="B1237" s="2" t="s">
        <v>1569</v>
      </c>
      <c r="C1237" s="2" t="s">
        <v>30</v>
      </c>
      <c r="D1237" s="483">
        <v>191623</v>
      </c>
      <c r="E1237" s="2" t="s">
        <v>331</v>
      </c>
    </row>
    <row r="1238" spans="1:5" x14ac:dyDescent="0.3">
      <c r="A1238" s="2">
        <v>5165</v>
      </c>
      <c r="B1238" s="2" t="s">
        <v>1570</v>
      </c>
      <c r="C1238" s="2" t="s">
        <v>30</v>
      </c>
      <c r="D1238" s="483">
        <v>277306</v>
      </c>
      <c r="E1238" s="2" t="s">
        <v>331</v>
      </c>
    </row>
    <row r="1239" spans="1:5" x14ac:dyDescent="0.3">
      <c r="A1239" s="2">
        <v>5166</v>
      </c>
      <c r="B1239" s="2" t="s">
        <v>1571</v>
      </c>
      <c r="C1239" s="2" t="s">
        <v>1572</v>
      </c>
      <c r="D1239" s="483">
        <v>6265</v>
      </c>
      <c r="E1239" s="2" t="s">
        <v>324</v>
      </c>
    </row>
    <row r="1240" spans="1:5" x14ac:dyDescent="0.3">
      <c r="A1240" s="2">
        <v>5167</v>
      </c>
      <c r="B1240" s="2" t="s">
        <v>1573</v>
      </c>
      <c r="C1240" s="2" t="s">
        <v>1413</v>
      </c>
      <c r="D1240" s="483">
        <v>2497477</v>
      </c>
      <c r="E1240" s="2" t="s">
        <v>324</v>
      </c>
    </row>
    <row r="1241" spans="1:5" x14ac:dyDescent="0.3">
      <c r="A1241" s="2">
        <v>5168</v>
      </c>
      <c r="B1241" s="2" t="s">
        <v>1574</v>
      </c>
      <c r="C1241" s="2" t="s">
        <v>307</v>
      </c>
      <c r="D1241" s="483">
        <v>18140</v>
      </c>
      <c r="E1241" s="2" t="s">
        <v>324</v>
      </c>
    </row>
    <row r="1242" spans="1:5" x14ac:dyDescent="0.3">
      <c r="A1242" s="2">
        <v>5169</v>
      </c>
      <c r="B1242" s="2" t="s">
        <v>1575</v>
      </c>
      <c r="C1242" s="2" t="s">
        <v>32</v>
      </c>
      <c r="D1242" s="483">
        <v>188296</v>
      </c>
      <c r="E1242" s="2" t="s">
        <v>324</v>
      </c>
    </row>
    <row r="1243" spans="1:5" x14ac:dyDescent="0.3">
      <c r="A1243" s="2">
        <v>5170</v>
      </c>
      <c r="B1243" s="2" t="s">
        <v>1576</v>
      </c>
      <c r="C1243" s="2" t="s">
        <v>307</v>
      </c>
      <c r="D1243" s="483">
        <v>391688</v>
      </c>
      <c r="E1243" s="2" t="s">
        <v>1416</v>
      </c>
    </row>
    <row r="1244" spans="1:5" x14ac:dyDescent="0.3">
      <c r="A1244" s="2">
        <v>5171</v>
      </c>
      <c r="B1244" s="2" t="s">
        <v>1577</v>
      </c>
      <c r="C1244" s="2" t="s">
        <v>32</v>
      </c>
      <c r="D1244" s="483">
        <v>515974</v>
      </c>
      <c r="E1244" s="2" t="s">
        <v>331</v>
      </c>
    </row>
    <row r="1245" spans="1:5" x14ac:dyDescent="0.3">
      <c r="A1245" s="2">
        <v>5172</v>
      </c>
      <c r="B1245" s="2" t="s">
        <v>1578</v>
      </c>
      <c r="C1245" s="2" t="s">
        <v>32</v>
      </c>
      <c r="D1245" s="483">
        <v>481669</v>
      </c>
      <c r="E1245" s="2" t="s">
        <v>331</v>
      </c>
    </row>
    <row r="1246" spans="1:5" x14ac:dyDescent="0.3">
      <c r="A1246" s="2">
        <v>5173</v>
      </c>
      <c r="B1246" s="2" t="s">
        <v>1579</v>
      </c>
      <c r="C1246" s="2" t="s">
        <v>32</v>
      </c>
      <c r="D1246" s="483">
        <v>489773</v>
      </c>
      <c r="E1246" s="2" t="s">
        <v>331</v>
      </c>
    </row>
    <row r="1247" spans="1:5" x14ac:dyDescent="0.3">
      <c r="A1247" s="2">
        <v>5175</v>
      </c>
      <c r="B1247" s="2" t="s">
        <v>1580</v>
      </c>
      <c r="C1247" s="2" t="s">
        <v>328</v>
      </c>
      <c r="D1247" s="483">
        <v>219365</v>
      </c>
      <c r="E1247" s="2" t="s">
        <v>331</v>
      </c>
    </row>
    <row r="1248" spans="1:5" x14ac:dyDescent="0.3">
      <c r="A1248" s="2">
        <v>5176</v>
      </c>
      <c r="B1248" s="2" t="s">
        <v>1581</v>
      </c>
      <c r="C1248" s="2" t="s">
        <v>328</v>
      </c>
      <c r="D1248" s="483">
        <v>187507</v>
      </c>
      <c r="E1248" s="2" t="s">
        <v>331</v>
      </c>
    </row>
    <row r="1249" spans="1:5" x14ac:dyDescent="0.3">
      <c r="A1249" s="2">
        <v>5177</v>
      </c>
      <c r="B1249" s="2" t="s">
        <v>1582</v>
      </c>
      <c r="C1249" s="2" t="s">
        <v>30</v>
      </c>
      <c r="D1249" s="483">
        <v>1972558</v>
      </c>
      <c r="E1249" s="2" t="s">
        <v>331</v>
      </c>
    </row>
    <row r="1250" spans="1:5" x14ac:dyDescent="0.3">
      <c r="A1250" s="2">
        <v>5178</v>
      </c>
      <c r="B1250" s="2" t="s">
        <v>1583</v>
      </c>
      <c r="C1250" s="2" t="s">
        <v>692</v>
      </c>
      <c r="D1250" s="483">
        <v>796821</v>
      </c>
      <c r="E1250" s="2" t="s">
        <v>324</v>
      </c>
    </row>
    <row r="1251" spans="1:5" x14ac:dyDescent="0.3">
      <c r="A1251" s="2">
        <v>5180</v>
      </c>
      <c r="B1251" s="2" t="s">
        <v>1584</v>
      </c>
      <c r="C1251" s="2" t="s">
        <v>328</v>
      </c>
      <c r="D1251" s="483">
        <v>287931</v>
      </c>
      <c r="E1251" s="2" t="s">
        <v>331</v>
      </c>
    </row>
    <row r="1252" spans="1:5" x14ac:dyDescent="0.3">
      <c r="A1252" s="2">
        <v>5181</v>
      </c>
      <c r="B1252" s="2" t="s">
        <v>1585</v>
      </c>
      <c r="C1252" s="2" t="s">
        <v>328</v>
      </c>
      <c r="D1252" s="483">
        <v>62386</v>
      </c>
      <c r="E1252" s="2" t="s">
        <v>331</v>
      </c>
    </row>
    <row r="1253" spans="1:5" x14ac:dyDescent="0.3">
      <c r="A1253" s="2">
        <v>5182</v>
      </c>
      <c r="B1253" s="2" t="s">
        <v>1586</v>
      </c>
      <c r="C1253" s="2" t="s">
        <v>328</v>
      </c>
      <c r="D1253" s="483">
        <v>459199</v>
      </c>
      <c r="E1253" s="2" t="s">
        <v>331</v>
      </c>
    </row>
    <row r="1254" spans="1:5" x14ac:dyDescent="0.3">
      <c r="A1254" s="2">
        <v>5183</v>
      </c>
      <c r="B1254" s="2" t="s">
        <v>1587</v>
      </c>
      <c r="C1254" s="2" t="s">
        <v>328</v>
      </c>
      <c r="D1254" s="483">
        <v>218896</v>
      </c>
      <c r="E1254" s="2" t="s">
        <v>331</v>
      </c>
    </row>
    <row r="1255" spans="1:5" x14ac:dyDescent="0.3">
      <c r="A1255" s="2">
        <v>5184</v>
      </c>
      <c r="B1255" s="2" t="s">
        <v>1588</v>
      </c>
      <c r="C1255" s="2" t="s">
        <v>328</v>
      </c>
      <c r="D1255" s="483">
        <v>79470</v>
      </c>
      <c r="E1255" s="2" t="s">
        <v>331</v>
      </c>
    </row>
    <row r="1256" spans="1:5" x14ac:dyDescent="0.3">
      <c r="A1256" s="2">
        <v>5185</v>
      </c>
      <c r="B1256" s="2" t="s">
        <v>1589</v>
      </c>
      <c r="C1256" s="2" t="s">
        <v>32</v>
      </c>
      <c r="D1256" s="483">
        <v>467229</v>
      </c>
      <c r="E1256" s="2" t="s">
        <v>331</v>
      </c>
    </row>
    <row r="1257" spans="1:5" x14ac:dyDescent="0.3">
      <c r="A1257" s="2">
        <v>5186</v>
      </c>
      <c r="B1257" s="2" t="s">
        <v>1590</v>
      </c>
      <c r="C1257" s="2" t="s">
        <v>32</v>
      </c>
      <c r="D1257" s="483">
        <v>466864</v>
      </c>
      <c r="E1257" s="2" t="s">
        <v>331</v>
      </c>
    </row>
    <row r="1258" spans="1:5" x14ac:dyDescent="0.3">
      <c r="A1258" s="2">
        <v>5187</v>
      </c>
      <c r="B1258" s="2" t="s">
        <v>1591</v>
      </c>
      <c r="C1258" s="2" t="s">
        <v>32</v>
      </c>
      <c r="D1258" s="483">
        <v>503868</v>
      </c>
      <c r="E1258" s="2" t="s">
        <v>331</v>
      </c>
    </row>
    <row r="1259" spans="1:5" x14ac:dyDescent="0.3">
      <c r="A1259" s="2">
        <v>5188</v>
      </c>
      <c r="B1259" s="2" t="s">
        <v>1592</v>
      </c>
      <c r="C1259" s="2" t="s">
        <v>32</v>
      </c>
      <c r="D1259" s="483">
        <v>53009</v>
      </c>
      <c r="E1259" s="2" t="s">
        <v>324</v>
      </c>
    </row>
    <row r="1260" spans="1:5" x14ac:dyDescent="0.3">
      <c r="A1260" s="2">
        <v>5189</v>
      </c>
      <c r="B1260" s="2" t="s">
        <v>1593</v>
      </c>
      <c r="C1260" s="2" t="s">
        <v>32</v>
      </c>
      <c r="D1260" s="483">
        <v>83912</v>
      </c>
      <c r="E1260" s="2" t="s">
        <v>324</v>
      </c>
    </row>
    <row r="1261" spans="1:5" x14ac:dyDescent="0.3">
      <c r="A1261" s="2">
        <v>5190</v>
      </c>
      <c r="B1261" s="2" t="s">
        <v>1594</v>
      </c>
      <c r="C1261" s="2" t="s">
        <v>328</v>
      </c>
      <c r="D1261" s="483">
        <v>10989</v>
      </c>
      <c r="E1261" s="2" t="s">
        <v>324</v>
      </c>
    </row>
    <row r="1262" spans="1:5" x14ac:dyDescent="0.3">
      <c r="A1262" s="2">
        <v>5191</v>
      </c>
      <c r="B1262" s="2" t="s">
        <v>1595</v>
      </c>
      <c r="C1262" s="2" t="s">
        <v>32</v>
      </c>
      <c r="D1262" s="483">
        <v>302940</v>
      </c>
      <c r="E1262" s="2" t="s">
        <v>367</v>
      </c>
    </row>
    <row r="1263" spans="1:5" x14ac:dyDescent="0.3">
      <c r="A1263" s="2">
        <v>5195</v>
      </c>
      <c r="B1263" s="2" t="s">
        <v>1596</v>
      </c>
      <c r="C1263" s="2" t="s">
        <v>328</v>
      </c>
      <c r="D1263" s="483">
        <v>50516</v>
      </c>
      <c r="E1263" s="2" t="s">
        <v>331</v>
      </c>
    </row>
    <row r="1264" spans="1:5" x14ac:dyDescent="0.3">
      <c r="A1264" s="2">
        <v>5196</v>
      </c>
      <c r="B1264" s="2" t="s">
        <v>1597</v>
      </c>
      <c r="C1264" s="2" t="s">
        <v>30</v>
      </c>
      <c r="D1264" s="483">
        <v>107052</v>
      </c>
      <c r="E1264" s="2" t="s">
        <v>331</v>
      </c>
    </row>
    <row r="1265" spans="1:5" x14ac:dyDescent="0.3">
      <c r="A1265" s="2">
        <v>5197</v>
      </c>
      <c r="B1265" s="2" t="s">
        <v>1598</v>
      </c>
      <c r="C1265" s="2" t="s">
        <v>30</v>
      </c>
      <c r="D1265" s="483">
        <v>113844</v>
      </c>
      <c r="E1265" s="2" t="s">
        <v>331</v>
      </c>
    </row>
    <row r="1266" spans="1:5" x14ac:dyDescent="0.3">
      <c r="A1266" s="2">
        <v>5202</v>
      </c>
      <c r="B1266" s="2" t="s">
        <v>1599</v>
      </c>
      <c r="C1266" s="2" t="s">
        <v>328</v>
      </c>
      <c r="D1266" s="483">
        <v>95324</v>
      </c>
      <c r="E1266" s="2" t="s">
        <v>331</v>
      </c>
    </row>
    <row r="1267" spans="1:5" x14ac:dyDescent="0.3">
      <c r="A1267" s="2">
        <v>5204</v>
      </c>
      <c r="B1267" s="2" t="s">
        <v>1600</v>
      </c>
      <c r="C1267" s="2" t="s">
        <v>328</v>
      </c>
      <c r="D1267" s="483">
        <v>9719</v>
      </c>
      <c r="E1267" s="2" t="s">
        <v>331</v>
      </c>
    </row>
    <row r="1268" spans="1:5" x14ac:dyDescent="0.3">
      <c r="A1268" s="2">
        <v>5205</v>
      </c>
      <c r="B1268" s="2" t="s">
        <v>1601</v>
      </c>
      <c r="C1268" s="2" t="s">
        <v>328</v>
      </c>
      <c r="D1268" s="483">
        <v>51693</v>
      </c>
      <c r="E1268" s="2" t="s">
        <v>331</v>
      </c>
    </row>
    <row r="1269" spans="1:5" x14ac:dyDescent="0.3">
      <c r="A1269" s="2">
        <v>5207</v>
      </c>
      <c r="B1269" s="2" t="s">
        <v>1602</v>
      </c>
      <c r="C1269" s="2" t="s">
        <v>21</v>
      </c>
      <c r="D1269" s="483">
        <v>222059</v>
      </c>
      <c r="E1269" s="2" t="s">
        <v>331</v>
      </c>
    </row>
    <row r="1270" spans="1:5" x14ac:dyDescent="0.3">
      <c r="A1270" s="2">
        <v>5208</v>
      </c>
      <c r="B1270" s="2" t="s">
        <v>1603</v>
      </c>
      <c r="C1270" s="2" t="s">
        <v>328</v>
      </c>
      <c r="D1270" s="483">
        <v>100493</v>
      </c>
      <c r="E1270" s="2" t="s">
        <v>324</v>
      </c>
    </row>
    <row r="1271" spans="1:5" x14ac:dyDescent="0.3">
      <c r="A1271" s="2">
        <v>5209</v>
      </c>
      <c r="B1271" s="2" t="s">
        <v>1604</v>
      </c>
      <c r="C1271" s="2" t="s">
        <v>21</v>
      </c>
      <c r="D1271" s="483">
        <v>69696</v>
      </c>
      <c r="E1271" s="2" t="s">
        <v>331</v>
      </c>
    </row>
    <row r="1272" spans="1:5" x14ac:dyDescent="0.3">
      <c r="A1272" s="2">
        <v>5210</v>
      </c>
      <c r="B1272" s="2" t="s">
        <v>1605</v>
      </c>
      <c r="C1272" s="2" t="s">
        <v>21</v>
      </c>
      <c r="D1272" s="483">
        <v>78578</v>
      </c>
      <c r="E1272" s="2" t="s">
        <v>331</v>
      </c>
    </row>
    <row r="1273" spans="1:5" x14ac:dyDescent="0.3">
      <c r="A1273" s="2">
        <v>5211</v>
      </c>
      <c r="B1273" s="2" t="s">
        <v>1606</v>
      </c>
      <c r="C1273" s="2" t="s">
        <v>21</v>
      </c>
      <c r="D1273" s="483">
        <v>53945</v>
      </c>
      <c r="E1273" s="2" t="s">
        <v>331</v>
      </c>
    </row>
    <row r="1274" spans="1:5" x14ac:dyDescent="0.3">
      <c r="A1274" s="2">
        <v>5212</v>
      </c>
      <c r="B1274" s="2" t="s">
        <v>1607</v>
      </c>
      <c r="C1274" s="2" t="s">
        <v>328</v>
      </c>
      <c r="D1274" s="483">
        <v>25233</v>
      </c>
      <c r="E1274" s="2" t="s">
        <v>324</v>
      </c>
    </row>
    <row r="1275" spans="1:5" x14ac:dyDescent="0.3">
      <c r="A1275" s="2">
        <v>5214</v>
      </c>
      <c r="B1275" s="2" t="s">
        <v>1608</v>
      </c>
      <c r="C1275" s="2" t="s">
        <v>21</v>
      </c>
      <c r="D1275" s="483">
        <v>306877</v>
      </c>
      <c r="E1275" s="2" t="s">
        <v>331</v>
      </c>
    </row>
    <row r="1276" spans="1:5" x14ac:dyDescent="0.3">
      <c r="A1276" s="2">
        <v>5216</v>
      </c>
      <c r="B1276" s="2" t="s">
        <v>1609</v>
      </c>
      <c r="C1276" s="2" t="s">
        <v>21</v>
      </c>
      <c r="D1276" s="483">
        <v>24128</v>
      </c>
      <c r="E1276" s="2" t="s">
        <v>324</v>
      </c>
    </row>
    <row r="1277" spans="1:5" x14ac:dyDescent="0.3">
      <c r="A1277" s="2">
        <v>5217</v>
      </c>
      <c r="B1277" s="2" t="s">
        <v>1610</v>
      </c>
      <c r="C1277" s="2" t="s">
        <v>328</v>
      </c>
      <c r="D1277" s="483">
        <v>3816</v>
      </c>
      <c r="E1277" s="2" t="s">
        <v>324</v>
      </c>
    </row>
    <row r="1278" spans="1:5" x14ac:dyDescent="0.3">
      <c r="A1278" s="2">
        <v>5218</v>
      </c>
      <c r="B1278" s="2" t="s">
        <v>1611</v>
      </c>
      <c r="C1278" s="2" t="s">
        <v>328</v>
      </c>
      <c r="D1278" s="483">
        <v>3999</v>
      </c>
      <c r="E1278" s="2" t="s">
        <v>324</v>
      </c>
    </row>
    <row r="1279" spans="1:5" x14ac:dyDescent="0.3">
      <c r="A1279" s="2">
        <v>5220</v>
      </c>
      <c r="B1279" s="2" t="s">
        <v>1612</v>
      </c>
      <c r="C1279" s="2" t="s">
        <v>328</v>
      </c>
      <c r="D1279" s="483">
        <v>18776</v>
      </c>
      <c r="E1279" s="2" t="s">
        <v>324</v>
      </c>
    </row>
    <row r="1280" spans="1:5" x14ac:dyDescent="0.3">
      <c r="A1280" s="2">
        <v>5221</v>
      </c>
      <c r="B1280" s="2" t="s">
        <v>1613</v>
      </c>
      <c r="C1280" s="2" t="s">
        <v>328</v>
      </c>
      <c r="D1280" s="483">
        <v>21647</v>
      </c>
      <c r="E1280" s="2" t="s">
        <v>324</v>
      </c>
    </row>
    <row r="1281" spans="1:5" x14ac:dyDescent="0.3">
      <c r="A1281" s="2">
        <v>5225</v>
      </c>
      <c r="B1281" s="2" t="s">
        <v>1614</v>
      </c>
      <c r="C1281" s="2" t="s">
        <v>328</v>
      </c>
      <c r="D1281" s="483">
        <v>4323</v>
      </c>
      <c r="E1281" s="2" t="s">
        <v>324</v>
      </c>
    </row>
    <row r="1282" spans="1:5" x14ac:dyDescent="0.3">
      <c r="A1282" s="2">
        <v>5226</v>
      </c>
      <c r="B1282" s="2" t="s">
        <v>1615</v>
      </c>
      <c r="C1282" s="2" t="s">
        <v>328</v>
      </c>
      <c r="D1282" s="483">
        <v>5850</v>
      </c>
      <c r="E1282" s="2" t="s">
        <v>324</v>
      </c>
    </row>
    <row r="1283" spans="1:5" x14ac:dyDescent="0.3">
      <c r="A1283" s="2">
        <v>5227</v>
      </c>
      <c r="B1283" s="2" t="s">
        <v>1616</v>
      </c>
      <c r="C1283" s="2" t="s">
        <v>21</v>
      </c>
      <c r="D1283" s="483">
        <v>26586</v>
      </c>
      <c r="E1283" s="2" t="s">
        <v>367</v>
      </c>
    </row>
    <row r="1284" spans="1:5" x14ac:dyDescent="0.3">
      <c r="A1284" s="2">
        <v>5228</v>
      </c>
      <c r="B1284" s="2" t="s">
        <v>1617</v>
      </c>
      <c r="C1284" s="2" t="s">
        <v>328</v>
      </c>
      <c r="D1284" s="483">
        <v>9640</v>
      </c>
      <c r="E1284" s="2" t="s">
        <v>367</v>
      </c>
    </row>
    <row r="1285" spans="1:5" x14ac:dyDescent="0.3">
      <c r="A1285" s="2">
        <v>5229</v>
      </c>
      <c r="B1285" s="2" t="s">
        <v>1618</v>
      </c>
      <c r="C1285" s="2" t="s">
        <v>328</v>
      </c>
      <c r="D1285" s="483">
        <v>12050</v>
      </c>
      <c r="E1285" s="2" t="s">
        <v>367</v>
      </c>
    </row>
    <row r="1286" spans="1:5" x14ac:dyDescent="0.3">
      <c r="A1286" s="2">
        <v>5230</v>
      </c>
      <c r="B1286" s="2" t="s">
        <v>1619</v>
      </c>
      <c r="C1286" s="2" t="s">
        <v>328</v>
      </c>
      <c r="D1286" s="483">
        <v>16099</v>
      </c>
      <c r="E1286" s="2" t="s">
        <v>367</v>
      </c>
    </row>
    <row r="1287" spans="1:5" x14ac:dyDescent="0.3">
      <c r="A1287" s="2">
        <v>5241</v>
      </c>
      <c r="B1287" s="2" t="s">
        <v>1620</v>
      </c>
      <c r="C1287" s="2" t="s">
        <v>32</v>
      </c>
      <c r="D1287" s="483">
        <v>18726</v>
      </c>
      <c r="E1287" s="2" t="s">
        <v>324</v>
      </c>
    </row>
    <row r="1288" spans="1:5" x14ac:dyDescent="0.3">
      <c r="A1288" s="2">
        <v>5242</v>
      </c>
      <c r="B1288" s="2" t="s">
        <v>1621</v>
      </c>
      <c r="C1288" s="2" t="s">
        <v>32</v>
      </c>
      <c r="D1288" s="483">
        <v>243142</v>
      </c>
      <c r="E1288" s="2" t="s">
        <v>324</v>
      </c>
    </row>
    <row r="1289" spans="1:5" x14ac:dyDescent="0.3">
      <c r="A1289" s="2">
        <v>5244</v>
      </c>
      <c r="B1289" s="2" t="s">
        <v>1622</v>
      </c>
      <c r="C1289" s="2" t="s">
        <v>21</v>
      </c>
      <c r="D1289" s="483">
        <v>67938</v>
      </c>
      <c r="E1289" s="2" t="s">
        <v>324</v>
      </c>
    </row>
    <row r="1290" spans="1:5" x14ac:dyDescent="0.3">
      <c r="A1290" s="2">
        <v>5245</v>
      </c>
      <c r="B1290" s="2" t="s">
        <v>1623</v>
      </c>
      <c r="C1290" s="2" t="s">
        <v>32</v>
      </c>
      <c r="D1290" s="483">
        <v>734307</v>
      </c>
      <c r="E1290" s="2" t="s">
        <v>331</v>
      </c>
    </row>
    <row r="1291" spans="1:5" x14ac:dyDescent="0.3">
      <c r="A1291" s="2">
        <v>5246</v>
      </c>
      <c r="B1291" s="2" t="s">
        <v>1624</v>
      </c>
      <c r="C1291" s="2" t="s">
        <v>32</v>
      </c>
      <c r="D1291" s="483">
        <v>3039168</v>
      </c>
      <c r="E1291" s="2" t="s">
        <v>331</v>
      </c>
    </row>
    <row r="1292" spans="1:5" x14ac:dyDescent="0.3">
      <c r="A1292" s="2">
        <v>5247</v>
      </c>
      <c r="B1292" s="2" t="s">
        <v>1625</v>
      </c>
      <c r="C1292" s="2" t="s">
        <v>32</v>
      </c>
      <c r="D1292" s="483">
        <v>767024</v>
      </c>
      <c r="E1292" s="2" t="s">
        <v>331</v>
      </c>
    </row>
    <row r="1293" spans="1:5" x14ac:dyDescent="0.3">
      <c r="A1293" s="2">
        <v>5248</v>
      </c>
      <c r="B1293" s="2" t="s">
        <v>1626</v>
      </c>
      <c r="C1293" s="2" t="s">
        <v>328</v>
      </c>
      <c r="D1293" s="483">
        <v>5966</v>
      </c>
      <c r="E1293" s="2" t="s">
        <v>331</v>
      </c>
    </row>
    <row r="1294" spans="1:5" x14ac:dyDescent="0.3">
      <c r="A1294" s="2">
        <v>5249</v>
      </c>
      <c r="B1294" s="2" t="s">
        <v>1627</v>
      </c>
      <c r="C1294" s="2" t="s">
        <v>328</v>
      </c>
      <c r="D1294" s="483">
        <v>62027</v>
      </c>
      <c r="E1294" s="2" t="s">
        <v>324</v>
      </c>
    </row>
    <row r="1295" spans="1:5" x14ac:dyDescent="0.3">
      <c r="A1295" s="2">
        <v>5252</v>
      </c>
      <c r="B1295" s="2" t="s">
        <v>1628</v>
      </c>
      <c r="C1295" s="2" t="s">
        <v>32</v>
      </c>
      <c r="D1295" s="483">
        <v>3751100</v>
      </c>
      <c r="E1295" s="2" t="s">
        <v>331</v>
      </c>
    </row>
    <row r="1296" spans="1:5" x14ac:dyDescent="0.3">
      <c r="A1296" s="2">
        <v>5253</v>
      </c>
      <c r="B1296" s="2" t="s">
        <v>1629</v>
      </c>
      <c r="C1296" s="2" t="s">
        <v>32</v>
      </c>
      <c r="D1296" s="483">
        <v>15400846</v>
      </c>
      <c r="E1296" s="2" t="s">
        <v>331</v>
      </c>
    </row>
    <row r="1297" spans="1:5" x14ac:dyDescent="0.3">
      <c r="A1297" s="2">
        <v>5254</v>
      </c>
      <c r="B1297" s="2" t="s">
        <v>1630</v>
      </c>
      <c r="C1297" s="2" t="s">
        <v>328</v>
      </c>
      <c r="D1297" s="483">
        <v>2149791</v>
      </c>
      <c r="E1297" s="2" t="s">
        <v>331</v>
      </c>
    </row>
    <row r="1298" spans="1:5" x14ac:dyDescent="0.3">
      <c r="A1298" s="2">
        <v>5271</v>
      </c>
      <c r="B1298" s="2" t="s">
        <v>1631</v>
      </c>
      <c r="C1298" s="2" t="s">
        <v>30</v>
      </c>
      <c r="D1298" s="483">
        <v>701785</v>
      </c>
      <c r="E1298" s="2" t="s">
        <v>331</v>
      </c>
    </row>
    <row r="1299" spans="1:5" x14ac:dyDescent="0.3">
      <c r="A1299" s="2">
        <v>5272</v>
      </c>
      <c r="B1299" s="2" t="s">
        <v>1632</v>
      </c>
      <c r="C1299" s="2" t="s">
        <v>328</v>
      </c>
      <c r="D1299" s="483">
        <v>131130</v>
      </c>
      <c r="E1299" s="2" t="s">
        <v>331</v>
      </c>
    </row>
    <row r="1300" spans="1:5" x14ac:dyDescent="0.3">
      <c r="A1300" s="2">
        <v>5273</v>
      </c>
      <c r="B1300" s="2" t="s">
        <v>1633</v>
      </c>
      <c r="C1300" s="2" t="s">
        <v>328</v>
      </c>
      <c r="D1300" s="483">
        <v>196695</v>
      </c>
      <c r="E1300" s="2" t="s">
        <v>331</v>
      </c>
    </row>
    <row r="1301" spans="1:5" x14ac:dyDescent="0.3">
      <c r="A1301" s="2">
        <v>5274</v>
      </c>
      <c r="B1301" s="2" t="s">
        <v>1634</v>
      </c>
      <c r="C1301" s="2" t="s">
        <v>328</v>
      </c>
      <c r="D1301" s="483">
        <v>327826</v>
      </c>
      <c r="E1301" s="2" t="s">
        <v>331</v>
      </c>
    </row>
    <row r="1302" spans="1:5" x14ac:dyDescent="0.3">
      <c r="A1302" s="2">
        <v>5275</v>
      </c>
      <c r="B1302" s="2" t="s">
        <v>1635</v>
      </c>
      <c r="C1302" s="2" t="s">
        <v>328</v>
      </c>
      <c r="D1302" s="483">
        <v>655648</v>
      </c>
      <c r="E1302" s="2" t="s">
        <v>331</v>
      </c>
    </row>
    <row r="1303" spans="1:5" x14ac:dyDescent="0.3">
      <c r="A1303" s="2">
        <v>5276</v>
      </c>
      <c r="B1303" s="2" t="s">
        <v>1636</v>
      </c>
      <c r="C1303" s="2" t="s">
        <v>328</v>
      </c>
      <c r="D1303" s="483">
        <v>721211</v>
      </c>
      <c r="E1303" s="2" t="s">
        <v>331</v>
      </c>
    </row>
    <row r="1304" spans="1:5" x14ac:dyDescent="0.3">
      <c r="A1304" s="2">
        <v>5277</v>
      </c>
      <c r="B1304" s="2" t="s">
        <v>1637</v>
      </c>
      <c r="C1304" s="2" t="s">
        <v>328</v>
      </c>
      <c r="D1304" s="483">
        <v>623136</v>
      </c>
      <c r="E1304" s="2" t="s">
        <v>331</v>
      </c>
    </row>
    <row r="1305" spans="1:5" x14ac:dyDescent="0.3">
      <c r="A1305" s="2">
        <v>5278</v>
      </c>
      <c r="B1305" s="2" t="s">
        <v>1638</v>
      </c>
      <c r="C1305" s="2" t="s">
        <v>328</v>
      </c>
      <c r="D1305" s="483">
        <v>872745</v>
      </c>
      <c r="E1305" s="2" t="s">
        <v>331</v>
      </c>
    </row>
    <row r="1306" spans="1:5" x14ac:dyDescent="0.3">
      <c r="A1306" s="2">
        <v>5279</v>
      </c>
      <c r="B1306" s="2" t="s">
        <v>1639</v>
      </c>
      <c r="C1306" s="2" t="s">
        <v>328</v>
      </c>
      <c r="D1306" s="483">
        <v>155786</v>
      </c>
      <c r="E1306" s="2" t="s">
        <v>331</v>
      </c>
    </row>
    <row r="1307" spans="1:5" x14ac:dyDescent="0.3">
      <c r="A1307" s="2">
        <v>5286</v>
      </c>
      <c r="B1307" s="2" t="s">
        <v>1640</v>
      </c>
      <c r="C1307" s="2" t="s">
        <v>21</v>
      </c>
      <c r="D1307" s="483">
        <v>14965</v>
      </c>
      <c r="E1307" s="2" t="s">
        <v>331</v>
      </c>
    </row>
    <row r="1308" spans="1:5" x14ac:dyDescent="0.3">
      <c r="A1308" s="2">
        <v>5312</v>
      </c>
      <c r="B1308" s="2" t="s">
        <v>1641</v>
      </c>
      <c r="C1308" s="2" t="s">
        <v>30</v>
      </c>
      <c r="D1308" s="483">
        <v>750838</v>
      </c>
      <c r="E1308" s="2" t="s">
        <v>331</v>
      </c>
    </row>
    <row r="1309" spans="1:5" x14ac:dyDescent="0.3">
      <c r="A1309" s="2">
        <v>5313</v>
      </c>
      <c r="B1309" s="2" t="s">
        <v>1642</v>
      </c>
      <c r="C1309" s="2" t="s">
        <v>30</v>
      </c>
      <c r="D1309" s="483">
        <v>728701</v>
      </c>
      <c r="E1309" s="2" t="s">
        <v>331</v>
      </c>
    </row>
    <row r="1310" spans="1:5" x14ac:dyDescent="0.3">
      <c r="A1310" s="2">
        <v>5314</v>
      </c>
      <c r="B1310" s="2" t="s">
        <v>1643</v>
      </c>
      <c r="C1310" s="2" t="s">
        <v>328</v>
      </c>
      <c r="D1310" s="483">
        <v>700656</v>
      </c>
      <c r="E1310" s="2" t="s">
        <v>331</v>
      </c>
    </row>
    <row r="1311" spans="1:5" x14ac:dyDescent="0.3">
      <c r="A1311" s="2">
        <v>5315</v>
      </c>
      <c r="B1311" s="2" t="s">
        <v>1644</v>
      </c>
      <c r="C1311" s="2" t="s">
        <v>30</v>
      </c>
      <c r="D1311" s="483">
        <v>1074357</v>
      </c>
      <c r="E1311" s="2" t="s">
        <v>331</v>
      </c>
    </row>
    <row r="1312" spans="1:5" x14ac:dyDescent="0.3">
      <c r="A1312" s="2">
        <v>5316</v>
      </c>
      <c r="B1312" s="2" t="s">
        <v>1645</v>
      </c>
      <c r="C1312" s="2" t="s">
        <v>32</v>
      </c>
      <c r="D1312" s="483">
        <v>1564998</v>
      </c>
      <c r="E1312" s="2" t="s">
        <v>331</v>
      </c>
    </row>
    <row r="1313" spans="1:5" x14ac:dyDescent="0.3">
      <c r="A1313" s="2">
        <v>5317</v>
      </c>
      <c r="B1313" s="2" t="s">
        <v>1646</v>
      </c>
      <c r="C1313" s="2" t="s">
        <v>30</v>
      </c>
      <c r="D1313" s="483">
        <v>1023004</v>
      </c>
      <c r="E1313" s="2" t="s">
        <v>331</v>
      </c>
    </row>
    <row r="1314" spans="1:5" x14ac:dyDescent="0.3">
      <c r="A1314" s="2">
        <v>5318</v>
      </c>
      <c r="B1314" s="2" t="s">
        <v>1647</v>
      </c>
      <c r="C1314" s="2" t="s">
        <v>32</v>
      </c>
      <c r="D1314" s="483">
        <v>97250511</v>
      </c>
      <c r="E1314" s="2" t="s">
        <v>331</v>
      </c>
    </row>
    <row r="1315" spans="1:5" x14ac:dyDescent="0.3">
      <c r="A1315" s="2">
        <v>5319</v>
      </c>
      <c r="B1315" s="2" t="s">
        <v>1648</v>
      </c>
      <c r="C1315" s="2" t="s">
        <v>32</v>
      </c>
      <c r="D1315" s="483">
        <v>103571805</v>
      </c>
      <c r="E1315" s="2" t="s">
        <v>331</v>
      </c>
    </row>
    <row r="1316" spans="1:5" x14ac:dyDescent="0.3">
      <c r="A1316" s="2">
        <v>5320</v>
      </c>
      <c r="B1316" s="2" t="s">
        <v>1649</v>
      </c>
      <c r="C1316" s="2" t="s">
        <v>328</v>
      </c>
      <c r="D1316" s="483">
        <v>542566</v>
      </c>
      <c r="E1316" s="2" t="s">
        <v>331</v>
      </c>
    </row>
    <row r="1317" spans="1:5" x14ac:dyDescent="0.3">
      <c r="A1317" s="2">
        <v>5321</v>
      </c>
      <c r="B1317" s="2" t="s">
        <v>1650</v>
      </c>
      <c r="C1317" s="2" t="s">
        <v>328</v>
      </c>
      <c r="D1317" s="483">
        <v>650819</v>
      </c>
      <c r="E1317" s="2" t="s">
        <v>331</v>
      </c>
    </row>
    <row r="1318" spans="1:5" x14ac:dyDescent="0.3">
      <c r="A1318" s="2">
        <v>5322</v>
      </c>
      <c r="B1318" s="2" t="s">
        <v>1651</v>
      </c>
      <c r="C1318" s="2" t="s">
        <v>328</v>
      </c>
      <c r="D1318" s="483">
        <v>794374</v>
      </c>
      <c r="E1318" s="2" t="s">
        <v>331</v>
      </c>
    </row>
    <row r="1319" spans="1:5" x14ac:dyDescent="0.3">
      <c r="A1319" s="2">
        <v>5324</v>
      </c>
      <c r="B1319" s="2" t="s">
        <v>1652</v>
      </c>
      <c r="C1319" s="2" t="s">
        <v>328</v>
      </c>
      <c r="D1319" s="483">
        <v>1070319</v>
      </c>
      <c r="E1319" s="2" t="s">
        <v>331</v>
      </c>
    </row>
    <row r="1320" spans="1:5" x14ac:dyDescent="0.3">
      <c r="A1320" s="2">
        <v>5325</v>
      </c>
      <c r="B1320" s="2" t="s">
        <v>1653</v>
      </c>
      <c r="C1320" s="2" t="s">
        <v>328</v>
      </c>
      <c r="D1320" s="483">
        <v>1281049</v>
      </c>
      <c r="E1320" s="2" t="s">
        <v>331</v>
      </c>
    </row>
    <row r="1321" spans="1:5" x14ac:dyDescent="0.3">
      <c r="A1321" s="2">
        <v>5326</v>
      </c>
      <c r="B1321" s="2" t="s">
        <v>1654</v>
      </c>
      <c r="C1321" s="2" t="s">
        <v>328</v>
      </c>
      <c r="D1321" s="483">
        <v>7216181</v>
      </c>
      <c r="E1321" s="2" t="s">
        <v>331</v>
      </c>
    </row>
    <row r="1322" spans="1:5" x14ac:dyDescent="0.3">
      <c r="A1322" s="2">
        <v>5327</v>
      </c>
      <c r="B1322" s="2" t="s">
        <v>1655</v>
      </c>
      <c r="C1322" s="2" t="s">
        <v>328</v>
      </c>
      <c r="D1322" s="483">
        <v>7751275</v>
      </c>
      <c r="E1322" s="2" t="s">
        <v>331</v>
      </c>
    </row>
    <row r="1323" spans="1:5" x14ac:dyDescent="0.3">
      <c r="A1323" s="2">
        <v>5328</v>
      </c>
      <c r="B1323" s="2" t="s">
        <v>1656</v>
      </c>
      <c r="C1323" s="2" t="s">
        <v>32</v>
      </c>
      <c r="D1323" s="483">
        <v>27641253</v>
      </c>
      <c r="E1323" s="2" t="s">
        <v>331</v>
      </c>
    </row>
    <row r="1324" spans="1:5" x14ac:dyDescent="0.3">
      <c r="A1324" s="2">
        <v>5329</v>
      </c>
      <c r="B1324" s="2" t="s">
        <v>1657</v>
      </c>
      <c r="C1324" s="2" t="s">
        <v>32</v>
      </c>
      <c r="D1324" s="483">
        <v>27641253</v>
      </c>
      <c r="E1324" s="2" t="s">
        <v>331</v>
      </c>
    </row>
    <row r="1325" spans="1:5" x14ac:dyDescent="0.3">
      <c r="A1325" s="2">
        <v>5330</v>
      </c>
      <c r="B1325" s="2" t="s">
        <v>1658</v>
      </c>
      <c r="C1325" s="2" t="s">
        <v>32</v>
      </c>
      <c r="D1325" s="483">
        <v>29434229</v>
      </c>
      <c r="E1325" s="2" t="s">
        <v>331</v>
      </c>
    </row>
    <row r="1326" spans="1:5" x14ac:dyDescent="0.3">
      <c r="A1326" s="2">
        <v>5331</v>
      </c>
      <c r="B1326" s="2" t="s">
        <v>1659</v>
      </c>
      <c r="C1326" s="2" t="s">
        <v>32</v>
      </c>
      <c r="D1326" s="483">
        <v>32242269</v>
      </c>
      <c r="E1326" s="2" t="s">
        <v>331</v>
      </c>
    </row>
    <row r="1327" spans="1:5" x14ac:dyDescent="0.3">
      <c r="A1327" s="2">
        <v>5332</v>
      </c>
      <c r="B1327" s="2" t="s">
        <v>1660</v>
      </c>
      <c r="C1327" s="2" t="s">
        <v>32</v>
      </c>
      <c r="D1327" s="483">
        <v>39089861</v>
      </c>
      <c r="E1327" s="2" t="s">
        <v>331</v>
      </c>
    </row>
    <row r="1328" spans="1:5" x14ac:dyDescent="0.3">
      <c r="A1328" s="2">
        <v>5333</v>
      </c>
      <c r="B1328" s="2" t="s">
        <v>1661</v>
      </c>
      <c r="C1328" s="2" t="s">
        <v>32</v>
      </c>
      <c r="D1328" s="483">
        <v>47198379</v>
      </c>
      <c r="E1328" s="2" t="s">
        <v>331</v>
      </c>
    </row>
    <row r="1329" spans="1:5" x14ac:dyDescent="0.3">
      <c r="A1329" s="2">
        <v>5334</v>
      </c>
      <c r="B1329" s="2" t="s">
        <v>1662</v>
      </c>
      <c r="C1329" s="2" t="s">
        <v>32</v>
      </c>
      <c r="D1329" s="483">
        <v>55965784</v>
      </c>
      <c r="E1329" s="2" t="s">
        <v>331</v>
      </c>
    </row>
    <row r="1330" spans="1:5" x14ac:dyDescent="0.3">
      <c r="A1330" s="2">
        <v>5335</v>
      </c>
      <c r="B1330" s="2" t="s">
        <v>1663</v>
      </c>
      <c r="C1330" s="2" t="s">
        <v>32</v>
      </c>
      <c r="D1330" s="483">
        <v>62159394</v>
      </c>
      <c r="E1330" s="2" t="s">
        <v>331</v>
      </c>
    </row>
    <row r="1331" spans="1:5" x14ac:dyDescent="0.3">
      <c r="A1331" s="2">
        <v>5336</v>
      </c>
      <c r="B1331" s="2" t="s">
        <v>1664</v>
      </c>
      <c r="C1331" s="2" t="s">
        <v>32</v>
      </c>
      <c r="D1331" s="483">
        <v>69162627</v>
      </c>
      <c r="E1331" s="2" t="s">
        <v>331</v>
      </c>
    </row>
    <row r="1332" spans="1:5" x14ac:dyDescent="0.3">
      <c r="A1332" s="2">
        <v>5338</v>
      </c>
      <c r="B1332" s="2" t="s">
        <v>1665</v>
      </c>
      <c r="C1332" s="2" t="s">
        <v>32</v>
      </c>
      <c r="D1332" s="483">
        <v>1441090</v>
      </c>
      <c r="E1332" s="2" t="s">
        <v>1416</v>
      </c>
    </row>
    <row r="1333" spans="1:5" x14ac:dyDescent="0.3">
      <c r="A1333" s="2">
        <v>5339</v>
      </c>
      <c r="B1333" s="2" t="s">
        <v>1666</v>
      </c>
      <c r="C1333" s="2" t="s">
        <v>32</v>
      </c>
      <c r="D1333" s="483">
        <v>446552</v>
      </c>
      <c r="E1333" s="2" t="s">
        <v>331</v>
      </c>
    </row>
    <row r="1334" spans="1:5" x14ac:dyDescent="0.3">
      <c r="A1334" s="2">
        <v>5340</v>
      </c>
      <c r="B1334" s="2" t="s">
        <v>1667</v>
      </c>
      <c r="C1334" s="2" t="s">
        <v>32</v>
      </c>
      <c r="D1334" s="483">
        <v>2887252</v>
      </c>
      <c r="E1334" s="2" t="s">
        <v>324</v>
      </c>
    </row>
    <row r="1335" spans="1:5" x14ac:dyDescent="0.3">
      <c r="A1335" s="2">
        <v>5341</v>
      </c>
      <c r="B1335" s="2" t="s">
        <v>1668</v>
      </c>
      <c r="C1335" s="2" t="s">
        <v>32</v>
      </c>
      <c r="D1335" s="483">
        <v>856002</v>
      </c>
      <c r="E1335" s="2" t="s">
        <v>324</v>
      </c>
    </row>
    <row r="1336" spans="1:5" x14ac:dyDescent="0.3">
      <c r="A1336" s="2">
        <v>5342</v>
      </c>
      <c r="B1336" s="2" t="s">
        <v>1669</v>
      </c>
      <c r="C1336" s="2" t="s">
        <v>32</v>
      </c>
      <c r="D1336" s="483">
        <v>400549</v>
      </c>
      <c r="E1336" s="2" t="s">
        <v>331</v>
      </c>
    </row>
    <row r="1337" spans="1:5" x14ac:dyDescent="0.3">
      <c r="A1337" s="2">
        <v>5343</v>
      </c>
      <c r="B1337" s="2" t="s">
        <v>1670</v>
      </c>
      <c r="C1337" s="2" t="s">
        <v>32</v>
      </c>
      <c r="D1337" s="483">
        <v>728969</v>
      </c>
      <c r="E1337" s="2" t="s">
        <v>1416</v>
      </c>
    </row>
    <row r="1338" spans="1:5" x14ac:dyDescent="0.3">
      <c r="A1338" s="2">
        <v>5345</v>
      </c>
      <c r="B1338" s="2" t="s">
        <v>1671</v>
      </c>
      <c r="C1338" s="2" t="s">
        <v>30</v>
      </c>
      <c r="D1338" s="483">
        <v>179575</v>
      </c>
      <c r="E1338" s="2" t="s">
        <v>331</v>
      </c>
    </row>
    <row r="1339" spans="1:5" x14ac:dyDescent="0.3">
      <c r="A1339" s="2">
        <v>5346</v>
      </c>
      <c r="B1339" s="2" t="s">
        <v>1672</v>
      </c>
      <c r="C1339" s="2" t="s">
        <v>30</v>
      </c>
      <c r="D1339" s="483">
        <v>206076</v>
      </c>
      <c r="E1339" s="2" t="s">
        <v>331</v>
      </c>
    </row>
    <row r="1340" spans="1:5" x14ac:dyDescent="0.3">
      <c r="A1340" s="2">
        <v>5347</v>
      </c>
      <c r="B1340" s="2" t="s">
        <v>1673</v>
      </c>
      <c r="C1340" s="2" t="s">
        <v>30</v>
      </c>
      <c r="D1340" s="483">
        <v>306285</v>
      </c>
      <c r="E1340" s="2" t="s">
        <v>331</v>
      </c>
    </row>
    <row r="1341" spans="1:5" x14ac:dyDescent="0.3">
      <c r="A1341" s="2">
        <v>5348</v>
      </c>
      <c r="B1341" s="2" t="s">
        <v>1674</v>
      </c>
      <c r="C1341" s="2" t="s">
        <v>30</v>
      </c>
      <c r="D1341" s="483">
        <v>314778</v>
      </c>
      <c r="E1341" s="2" t="s">
        <v>331</v>
      </c>
    </row>
    <row r="1342" spans="1:5" x14ac:dyDescent="0.3">
      <c r="A1342" s="2">
        <v>5349</v>
      </c>
      <c r="B1342" s="2" t="s">
        <v>1675</v>
      </c>
      <c r="C1342" s="2" t="s">
        <v>30</v>
      </c>
      <c r="D1342" s="483">
        <v>323310</v>
      </c>
      <c r="E1342" s="2" t="s">
        <v>331</v>
      </c>
    </row>
    <row r="1343" spans="1:5" x14ac:dyDescent="0.3">
      <c r="A1343" s="2">
        <v>5350</v>
      </c>
      <c r="B1343" s="2" t="s">
        <v>1676</v>
      </c>
      <c r="C1343" s="2" t="s">
        <v>30</v>
      </c>
      <c r="D1343" s="483">
        <v>368723</v>
      </c>
      <c r="E1343" s="2" t="s">
        <v>331</v>
      </c>
    </row>
    <row r="1344" spans="1:5" x14ac:dyDescent="0.3">
      <c r="A1344" s="2">
        <v>5351</v>
      </c>
      <c r="B1344" s="2" t="s">
        <v>1677</v>
      </c>
      <c r="C1344" s="2" t="s">
        <v>30</v>
      </c>
      <c r="D1344" s="483">
        <v>377253</v>
      </c>
      <c r="E1344" s="2" t="s">
        <v>331</v>
      </c>
    </row>
    <row r="1345" spans="1:5" x14ac:dyDescent="0.3">
      <c r="A1345" s="2">
        <v>5352</v>
      </c>
      <c r="B1345" s="2" t="s">
        <v>1678</v>
      </c>
      <c r="C1345" s="2" t="s">
        <v>30</v>
      </c>
      <c r="D1345" s="483">
        <v>385785</v>
      </c>
      <c r="E1345" s="2" t="s">
        <v>331</v>
      </c>
    </row>
    <row r="1346" spans="1:5" x14ac:dyDescent="0.3">
      <c r="A1346" s="2">
        <v>5353</v>
      </c>
      <c r="B1346" s="2" t="s">
        <v>1679</v>
      </c>
      <c r="C1346" s="2" t="s">
        <v>30</v>
      </c>
      <c r="D1346" s="483">
        <v>431198</v>
      </c>
      <c r="E1346" s="2" t="s">
        <v>331</v>
      </c>
    </row>
    <row r="1347" spans="1:5" x14ac:dyDescent="0.3">
      <c r="A1347" s="2">
        <v>5354</v>
      </c>
      <c r="B1347" s="2" t="s">
        <v>1680</v>
      </c>
      <c r="C1347" s="2" t="s">
        <v>30</v>
      </c>
      <c r="D1347" s="483">
        <v>440264</v>
      </c>
      <c r="E1347" s="2" t="s">
        <v>331</v>
      </c>
    </row>
    <row r="1348" spans="1:5" x14ac:dyDescent="0.3">
      <c r="A1348" s="2">
        <v>5355</v>
      </c>
      <c r="B1348" s="2" t="s">
        <v>1681</v>
      </c>
      <c r="C1348" s="2" t="s">
        <v>30</v>
      </c>
      <c r="D1348" s="483">
        <v>448260</v>
      </c>
      <c r="E1348" s="2" t="s">
        <v>331</v>
      </c>
    </row>
    <row r="1349" spans="1:5" x14ac:dyDescent="0.3">
      <c r="A1349" s="2">
        <v>5356</v>
      </c>
      <c r="B1349" s="2" t="s">
        <v>1682</v>
      </c>
      <c r="C1349" s="2" t="s">
        <v>30</v>
      </c>
      <c r="D1349" s="483">
        <v>156852</v>
      </c>
      <c r="E1349" s="2" t="s">
        <v>331</v>
      </c>
    </row>
    <row r="1350" spans="1:5" x14ac:dyDescent="0.3">
      <c r="A1350" s="2">
        <v>5357</v>
      </c>
      <c r="B1350" s="2" t="s">
        <v>1683</v>
      </c>
      <c r="C1350" s="2" t="s">
        <v>30</v>
      </c>
      <c r="D1350" s="483">
        <v>176343</v>
      </c>
      <c r="E1350" s="2" t="s">
        <v>331</v>
      </c>
    </row>
    <row r="1351" spans="1:5" x14ac:dyDescent="0.3">
      <c r="A1351" s="2">
        <v>5358</v>
      </c>
      <c r="B1351" s="2" t="s">
        <v>1684</v>
      </c>
      <c r="C1351" s="2" t="s">
        <v>30</v>
      </c>
      <c r="D1351" s="483">
        <v>191406</v>
      </c>
      <c r="E1351" s="2" t="s">
        <v>331</v>
      </c>
    </row>
    <row r="1352" spans="1:5" x14ac:dyDescent="0.3">
      <c r="A1352" s="2">
        <v>5359</v>
      </c>
      <c r="B1352" s="2" t="s">
        <v>1685</v>
      </c>
      <c r="C1352" s="2" t="s">
        <v>30</v>
      </c>
      <c r="D1352" s="483">
        <v>208040</v>
      </c>
      <c r="E1352" s="2" t="s">
        <v>331</v>
      </c>
    </row>
    <row r="1353" spans="1:5" x14ac:dyDescent="0.3">
      <c r="A1353" s="2">
        <v>5360</v>
      </c>
      <c r="B1353" s="2" t="s">
        <v>1686</v>
      </c>
      <c r="C1353" s="2" t="s">
        <v>979</v>
      </c>
      <c r="D1353" s="483">
        <v>175575</v>
      </c>
      <c r="E1353" s="2" t="s">
        <v>331</v>
      </c>
    </row>
    <row r="1354" spans="1:5" x14ac:dyDescent="0.3">
      <c r="A1354" s="2">
        <v>5361</v>
      </c>
      <c r="B1354" s="2" t="s">
        <v>1687</v>
      </c>
      <c r="C1354" s="2" t="s">
        <v>30</v>
      </c>
      <c r="D1354" s="483">
        <v>11898</v>
      </c>
      <c r="E1354" s="2" t="s">
        <v>331</v>
      </c>
    </row>
    <row r="1355" spans="1:5" x14ac:dyDescent="0.3">
      <c r="A1355" s="2">
        <v>5362</v>
      </c>
      <c r="B1355" s="2" t="s">
        <v>1688</v>
      </c>
      <c r="C1355" s="2" t="s">
        <v>30</v>
      </c>
      <c r="D1355" s="483">
        <v>368155</v>
      </c>
      <c r="E1355" s="2" t="s">
        <v>331</v>
      </c>
    </row>
    <row r="1356" spans="1:5" x14ac:dyDescent="0.3">
      <c r="A1356" s="2">
        <v>5363</v>
      </c>
      <c r="B1356" s="2" t="s">
        <v>1689</v>
      </c>
      <c r="C1356" s="2" t="s">
        <v>30</v>
      </c>
      <c r="D1356" s="483">
        <v>357310</v>
      </c>
      <c r="E1356" s="2" t="s">
        <v>331</v>
      </c>
    </row>
    <row r="1357" spans="1:5" x14ac:dyDescent="0.3">
      <c r="A1357" s="2">
        <v>5364</v>
      </c>
      <c r="B1357" s="2" t="s">
        <v>1690</v>
      </c>
      <c r="C1357" s="2" t="s">
        <v>30</v>
      </c>
      <c r="D1357" s="483">
        <v>355277</v>
      </c>
      <c r="E1357" s="2" t="s">
        <v>331</v>
      </c>
    </row>
    <row r="1358" spans="1:5" x14ac:dyDescent="0.3">
      <c r="A1358" s="2">
        <v>5365</v>
      </c>
      <c r="B1358" s="2" t="s">
        <v>1691</v>
      </c>
      <c r="C1358" s="2" t="s">
        <v>21</v>
      </c>
      <c r="D1358" s="483">
        <v>48929</v>
      </c>
      <c r="E1358" s="2" t="s">
        <v>331</v>
      </c>
    </row>
    <row r="1359" spans="1:5" x14ac:dyDescent="0.3">
      <c r="A1359" s="2">
        <v>5368</v>
      </c>
      <c r="B1359" s="2" t="s">
        <v>1692</v>
      </c>
      <c r="C1359" s="2" t="s">
        <v>21</v>
      </c>
      <c r="D1359" s="483">
        <v>26153</v>
      </c>
      <c r="E1359" s="2" t="s">
        <v>331</v>
      </c>
    </row>
    <row r="1360" spans="1:5" x14ac:dyDescent="0.3">
      <c r="A1360" s="2">
        <v>5369</v>
      </c>
      <c r="B1360" s="2" t="s">
        <v>1693</v>
      </c>
      <c r="C1360" s="2" t="s">
        <v>32</v>
      </c>
      <c r="D1360" s="483">
        <v>5010</v>
      </c>
      <c r="E1360" s="2" t="s">
        <v>324</v>
      </c>
    </row>
    <row r="1361" spans="1:5" x14ac:dyDescent="0.3">
      <c r="A1361" s="2">
        <v>5370</v>
      </c>
      <c r="B1361" s="2" t="s">
        <v>1694</v>
      </c>
      <c r="C1361" s="2" t="s">
        <v>21</v>
      </c>
      <c r="D1361" s="483">
        <v>13117</v>
      </c>
      <c r="E1361" s="2" t="s">
        <v>331</v>
      </c>
    </row>
    <row r="1362" spans="1:5" x14ac:dyDescent="0.3">
      <c r="A1362" s="2">
        <v>5371</v>
      </c>
      <c r="B1362" s="2" t="s">
        <v>1695</v>
      </c>
      <c r="C1362" s="2" t="s">
        <v>21</v>
      </c>
      <c r="D1362" s="483">
        <v>73249</v>
      </c>
      <c r="E1362" s="2" t="s">
        <v>331</v>
      </c>
    </row>
    <row r="1363" spans="1:5" x14ac:dyDescent="0.3">
      <c r="A1363" s="2">
        <v>5372</v>
      </c>
      <c r="B1363" s="2" t="s">
        <v>1696</v>
      </c>
      <c r="C1363" s="2" t="s">
        <v>32</v>
      </c>
      <c r="D1363" s="483">
        <v>270174</v>
      </c>
      <c r="E1363" s="2" t="s">
        <v>324</v>
      </c>
    </row>
    <row r="1364" spans="1:5" x14ac:dyDescent="0.3">
      <c r="A1364" s="2">
        <v>5373</v>
      </c>
      <c r="B1364" s="2" t="s">
        <v>1697</v>
      </c>
      <c r="C1364" s="2" t="s">
        <v>32</v>
      </c>
      <c r="D1364" s="483">
        <v>46520543</v>
      </c>
      <c r="E1364" s="2" t="s">
        <v>331</v>
      </c>
    </row>
    <row r="1365" spans="1:5" x14ac:dyDescent="0.3">
      <c r="A1365" s="2">
        <v>5374</v>
      </c>
      <c r="B1365" s="2" t="s">
        <v>1698</v>
      </c>
      <c r="C1365" s="2" t="s">
        <v>30</v>
      </c>
      <c r="D1365" s="483">
        <v>280109</v>
      </c>
      <c r="E1365" s="2" t="s">
        <v>331</v>
      </c>
    </row>
    <row r="1366" spans="1:5" x14ac:dyDescent="0.3">
      <c r="A1366" s="2">
        <v>5375</v>
      </c>
      <c r="B1366" s="2" t="s">
        <v>1699</v>
      </c>
      <c r="C1366" s="2" t="s">
        <v>30</v>
      </c>
      <c r="D1366" s="483">
        <v>334482</v>
      </c>
      <c r="E1366" s="2" t="s">
        <v>331</v>
      </c>
    </row>
    <row r="1367" spans="1:5" x14ac:dyDescent="0.3">
      <c r="A1367" s="2">
        <v>5376</v>
      </c>
      <c r="B1367" s="2" t="s">
        <v>1700</v>
      </c>
      <c r="C1367" s="2" t="s">
        <v>692</v>
      </c>
      <c r="D1367" s="483">
        <v>582409</v>
      </c>
      <c r="E1367" s="2" t="s">
        <v>324</v>
      </c>
    </row>
    <row r="1368" spans="1:5" x14ac:dyDescent="0.3">
      <c r="A1368" s="2">
        <v>5377</v>
      </c>
      <c r="B1368" s="2" t="s">
        <v>1701</v>
      </c>
      <c r="C1368" s="2" t="s">
        <v>30</v>
      </c>
      <c r="D1368" s="483">
        <v>380431</v>
      </c>
      <c r="E1368" s="2" t="s">
        <v>331</v>
      </c>
    </row>
    <row r="1369" spans="1:5" x14ac:dyDescent="0.3">
      <c r="A1369" s="2">
        <v>5378</v>
      </c>
      <c r="B1369" s="2" t="s">
        <v>1702</v>
      </c>
      <c r="C1369" s="2" t="s">
        <v>30</v>
      </c>
      <c r="D1369" s="483">
        <v>411009</v>
      </c>
      <c r="E1369" s="2" t="s">
        <v>331</v>
      </c>
    </row>
    <row r="1370" spans="1:5" x14ac:dyDescent="0.3">
      <c r="A1370" s="2">
        <v>5380</v>
      </c>
      <c r="B1370" s="2" t="s">
        <v>1703</v>
      </c>
      <c r="C1370" s="2" t="s">
        <v>30</v>
      </c>
      <c r="D1370" s="483">
        <v>44369</v>
      </c>
      <c r="E1370" s="2" t="s">
        <v>331</v>
      </c>
    </row>
    <row r="1371" spans="1:5" x14ac:dyDescent="0.3">
      <c r="A1371" s="2">
        <v>5381</v>
      </c>
      <c r="B1371" s="2" t="s">
        <v>1704</v>
      </c>
      <c r="C1371" s="2" t="s">
        <v>328</v>
      </c>
      <c r="D1371" s="483">
        <v>610742</v>
      </c>
      <c r="E1371" s="2" t="s">
        <v>331</v>
      </c>
    </row>
    <row r="1372" spans="1:5" x14ac:dyDescent="0.3">
      <c r="A1372" s="2">
        <v>5382</v>
      </c>
      <c r="B1372" s="2" t="s">
        <v>1705</v>
      </c>
      <c r="C1372" s="2" t="s">
        <v>328</v>
      </c>
      <c r="D1372" s="483">
        <v>110406</v>
      </c>
      <c r="E1372" s="2" t="s">
        <v>331</v>
      </c>
    </row>
    <row r="1373" spans="1:5" x14ac:dyDescent="0.3">
      <c r="A1373" s="2">
        <v>5383</v>
      </c>
      <c r="B1373" s="2" t="s">
        <v>1706</v>
      </c>
      <c r="C1373" s="2" t="s">
        <v>328</v>
      </c>
      <c r="D1373" s="483">
        <v>11448</v>
      </c>
      <c r="E1373" s="2" t="s">
        <v>324</v>
      </c>
    </row>
    <row r="1374" spans="1:5" x14ac:dyDescent="0.3">
      <c r="A1374" s="2">
        <v>5384</v>
      </c>
      <c r="B1374" s="2" t="s">
        <v>1707</v>
      </c>
      <c r="C1374" s="2" t="s">
        <v>32</v>
      </c>
      <c r="D1374" s="483">
        <v>18202307</v>
      </c>
      <c r="E1374" s="2" t="s">
        <v>331</v>
      </c>
    </row>
    <row r="1375" spans="1:5" x14ac:dyDescent="0.3">
      <c r="A1375" s="2">
        <v>5385</v>
      </c>
      <c r="B1375" s="2" t="s">
        <v>1708</v>
      </c>
      <c r="C1375" s="2" t="s">
        <v>32</v>
      </c>
      <c r="D1375" s="483">
        <v>15475672</v>
      </c>
      <c r="E1375" s="2" t="s">
        <v>331</v>
      </c>
    </row>
    <row r="1376" spans="1:5" x14ac:dyDescent="0.3">
      <c r="A1376" s="2">
        <v>5387</v>
      </c>
      <c r="B1376" s="2" t="s">
        <v>1709</v>
      </c>
      <c r="C1376" s="2" t="s">
        <v>32</v>
      </c>
      <c r="D1376" s="483">
        <v>573851</v>
      </c>
      <c r="E1376" s="2" t="s">
        <v>331</v>
      </c>
    </row>
    <row r="1377" spans="1:5" x14ac:dyDescent="0.3">
      <c r="A1377" s="2">
        <v>5391</v>
      </c>
      <c r="B1377" s="2" t="s">
        <v>1710</v>
      </c>
      <c r="C1377" s="2" t="s">
        <v>979</v>
      </c>
      <c r="D1377" s="483">
        <v>40556</v>
      </c>
      <c r="E1377" s="2" t="s">
        <v>324</v>
      </c>
    </row>
    <row r="1378" spans="1:5" x14ac:dyDescent="0.3">
      <c r="A1378" s="2">
        <v>5392</v>
      </c>
      <c r="B1378" s="2" t="s">
        <v>1711</v>
      </c>
      <c r="C1378" s="2" t="s">
        <v>692</v>
      </c>
      <c r="D1378" s="483">
        <v>317644</v>
      </c>
      <c r="E1378" s="2" t="s">
        <v>324</v>
      </c>
    </row>
    <row r="1379" spans="1:5" x14ac:dyDescent="0.3">
      <c r="A1379" s="2">
        <v>5394</v>
      </c>
      <c r="B1379" s="2" t="s">
        <v>1712</v>
      </c>
      <c r="C1379" s="2" t="s">
        <v>328</v>
      </c>
      <c r="D1379" s="483">
        <v>301823</v>
      </c>
      <c r="E1379" s="2" t="s">
        <v>331</v>
      </c>
    </row>
    <row r="1380" spans="1:5" x14ac:dyDescent="0.3">
      <c r="A1380" s="2">
        <v>5395</v>
      </c>
      <c r="B1380" s="2" t="s">
        <v>1713</v>
      </c>
      <c r="C1380" s="2" t="s">
        <v>328</v>
      </c>
      <c r="D1380" s="483">
        <v>49768</v>
      </c>
      <c r="E1380" s="2" t="s">
        <v>324</v>
      </c>
    </row>
    <row r="1381" spans="1:5" x14ac:dyDescent="0.3">
      <c r="A1381" s="2">
        <v>5396</v>
      </c>
      <c r="B1381" s="2" t="s">
        <v>1714</v>
      </c>
      <c r="C1381" s="2" t="s">
        <v>30</v>
      </c>
      <c r="D1381" s="483">
        <v>1225714</v>
      </c>
      <c r="E1381" s="2" t="s">
        <v>331</v>
      </c>
    </row>
    <row r="1382" spans="1:5" x14ac:dyDescent="0.3">
      <c r="A1382" s="2">
        <v>5397</v>
      </c>
      <c r="B1382" s="2" t="s">
        <v>1715</v>
      </c>
      <c r="C1382" s="2" t="s">
        <v>328</v>
      </c>
      <c r="D1382" s="483">
        <v>37868</v>
      </c>
      <c r="E1382" s="2" t="s">
        <v>367</v>
      </c>
    </row>
    <row r="1383" spans="1:5" x14ac:dyDescent="0.3">
      <c r="A1383" s="2">
        <v>5398</v>
      </c>
      <c r="B1383" s="2" t="s">
        <v>1716</v>
      </c>
      <c r="C1383" s="2" t="s">
        <v>328</v>
      </c>
      <c r="D1383" s="483">
        <v>1848507</v>
      </c>
      <c r="E1383" s="2" t="s">
        <v>331</v>
      </c>
    </row>
    <row r="1384" spans="1:5" x14ac:dyDescent="0.3">
      <c r="A1384" s="2">
        <v>5404</v>
      </c>
      <c r="B1384" s="2" t="s">
        <v>1717</v>
      </c>
      <c r="C1384" s="2" t="s">
        <v>670</v>
      </c>
      <c r="D1384" s="483">
        <v>10578</v>
      </c>
      <c r="E1384" s="2" t="s">
        <v>331</v>
      </c>
    </row>
    <row r="1385" spans="1:5" x14ac:dyDescent="0.3">
      <c r="A1385" s="2">
        <v>5409</v>
      </c>
      <c r="B1385" s="2" t="s">
        <v>1718</v>
      </c>
      <c r="C1385" s="2" t="s">
        <v>32</v>
      </c>
      <c r="D1385" s="483">
        <v>486219</v>
      </c>
      <c r="E1385" s="2" t="s">
        <v>367</v>
      </c>
    </row>
    <row r="1386" spans="1:5" x14ac:dyDescent="0.3">
      <c r="A1386" s="2">
        <v>5412</v>
      </c>
      <c r="B1386" s="2" t="s">
        <v>1719</v>
      </c>
      <c r="C1386" s="2" t="s">
        <v>30</v>
      </c>
      <c r="D1386" s="483">
        <v>167159</v>
      </c>
      <c r="E1386" s="2" t="s">
        <v>331</v>
      </c>
    </row>
    <row r="1387" spans="1:5" x14ac:dyDescent="0.3">
      <c r="A1387" s="2">
        <v>5413</v>
      </c>
      <c r="B1387" s="2" t="s">
        <v>1720</v>
      </c>
      <c r="C1387" s="2" t="s">
        <v>30</v>
      </c>
      <c r="D1387" s="483">
        <v>103025</v>
      </c>
      <c r="E1387" s="2" t="s">
        <v>324</v>
      </c>
    </row>
    <row r="1388" spans="1:5" x14ac:dyDescent="0.3">
      <c r="A1388" s="2">
        <v>5415</v>
      </c>
      <c r="B1388" s="2" t="s">
        <v>1721</v>
      </c>
      <c r="C1388" s="2" t="s">
        <v>30</v>
      </c>
      <c r="D1388" s="483">
        <v>102387</v>
      </c>
      <c r="E1388" s="2" t="s">
        <v>331</v>
      </c>
    </row>
    <row r="1389" spans="1:5" x14ac:dyDescent="0.3">
      <c r="A1389" s="2">
        <v>5416</v>
      </c>
      <c r="B1389" s="2" t="s">
        <v>1722</v>
      </c>
      <c r="C1389" s="2" t="s">
        <v>30</v>
      </c>
      <c r="D1389" s="483">
        <v>50794</v>
      </c>
      <c r="E1389" s="2" t="s">
        <v>331</v>
      </c>
    </row>
    <row r="1390" spans="1:5" x14ac:dyDescent="0.3">
      <c r="A1390" s="2">
        <v>5418</v>
      </c>
      <c r="B1390" s="2" t="s">
        <v>1723</v>
      </c>
      <c r="C1390" s="2" t="s">
        <v>30</v>
      </c>
      <c r="D1390" s="483">
        <v>83397</v>
      </c>
      <c r="E1390" s="2" t="s">
        <v>331</v>
      </c>
    </row>
    <row r="1391" spans="1:5" x14ac:dyDescent="0.3">
      <c r="A1391" s="2">
        <v>5421</v>
      </c>
      <c r="B1391" s="2" t="s">
        <v>1724</v>
      </c>
      <c r="C1391" s="2" t="s">
        <v>30</v>
      </c>
      <c r="D1391" s="483">
        <v>1088156</v>
      </c>
      <c r="E1391" s="2" t="s">
        <v>331</v>
      </c>
    </row>
    <row r="1392" spans="1:5" x14ac:dyDescent="0.3">
      <c r="A1392" s="2">
        <v>5422</v>
      </c>
      <c r="B1392" s="2" t="s">
        <v>1725</v>
      </c>
      <c r="C1392" s="2" t="s">
        <v>30</v>
      </c>
      <c r="D1392" s="483">
        <v>1113715</v>
      </c>
      <c r="E1392" s="2" t="s">
        <v>331</v>
      </c>
    </row>
    <row r="1393" spans="1:5" x14ac:dyDescent="0.3">
      <c r="A1393" s="2">
        <v>5426</v>
      </c>
      <c r="B1393" s="2" t="s">
        <v>1726</v>
      </c>
      <c r="C1393" s="2" t="s">
        <v>30</v>
      </c>
      <c r="D1393" s="483">
        <v>945538</v>
      </c>
      <c r="E1393" s="2" t="s">
        <v>331</v>
      </c>
    </row>
    <row r="1394" spans="1:5" x14ac:dyDescent="0.3">
      <c r="A1394" s="2">
        <v>5431</v>
      </c>
      <c r="B1394" s="2" t="s">
        <v>1727</v>
      </c>
      <c r="C1394" s="2" t="s">
        <v>328</v>
      </c>
      <c r="D1394" s="483">
        <v>78520</v>
      </c>
      <c r="E1394" s="2" t="s">
        <v>331</v>
      </c>
    </row>
    <row r="1395" spans="1:5" x14ac:dyDescent="0.3">
      <c r="A1395" s="2">
        <v>5432</v>
      </c>
      <c r="B1395" s="2" t="s">
        <v>1728</v>
      </c>
      <c r="C1395" s="2" t="s">
        <v>328</v>
      </c>
      <c r="D1395" s="483">
        <v>88486</v>
      </c>
      <c r="E1395" s="2" t="s">
        <v>331</v>
      </c>
    </row>
    <row r="1396" spans="1:5" x14ac:dyDescent="0.3">
      <c r="A1396" s="2">
        <v>5433</v>
      </c>
      <c r="B1396" s="2" t="s">
        <v>1729</v>
      </c>
      <c r="C1396" s="2" t="s">
        <v>328</v>
      </c>
      <c r="D1396" s="483">
        <v>81593</v>
      </c>
      <c r="E1396" s="2" t="s">
        <v>331</v>
      </c>
    </row>
    <row r="1397" spans="1:5" x14ac:dyDescent="0.3">
      <c r="A1397" s="2">
        <v>5442</v>
      </c>
      <c r="B1397" s="2" t="s">
        <v>1730</v>
      </c>
      <c r="C1397" s="2" t="s">
        <v>21</v>
      </c>
      <c r="D1397" s="483">
        <v>119537</v>
      </c>
      <c r="E1397" s="2" t="s">
        <v>331</v>
      </c>
    </row>
    <row r="1398" spans="1:5" x14ac:dyDescent="0.3">
      <c r="A1398" s="2">
        <v>5443</v>
      </c>
      <c r="B1398" s="2" t="s">
        <v>1731</v>
      </c>
      <c r="C1398" s="2" t="s">
        <v>328</v>
      </c>
      <c r="D1398" s="483">
        <v>41531</v>
      </c>
      <c r="E1398" s="2" t="s">
        <v>331</v>
      </c>
    </row>
    <row r="1399" spans="1:5" x14ac:dyDescent="0.3">
      <c r="A1399" s="2">
        <v>5452</v>
      </c>
      <c r="B1399" s="2" t="s">
        <v>1732</v>
      </c>
      <c r="C1399" s="2" t="s">
        <v>21</v>
      </c>
      <c r="D1399" s="483">
        <v>90763</v>
      </c>
      <c r="E1399" s="2" t="s">
        <v>331</v>
      </c>
    </row>
    <row r="1400" spans="1:5" x14ac:dyDescent="0.3">
      <c r="A1400" s="2">
        <v>5455</v>
      </c>
      <c r="B1400" s="2" t="s">
        <v>1733</v>
      </c>
      <c r="C1400" s="2" t="s">
        <v>21</v>
      </c>
      <c r="D1400" s="483">
        <v>178448</v>
      </c>
      <c r="E1400" s="2" t="s">
        <v>331</v>
      </c>
    </row>
    <row r="1401" spans="1:5" x14ac:dyDescent="0.3">
      <c r="A1401" s="2">
        <v>5456</v>
      </c>
      <c r="B1401" s="2" t="s">
        <v>1734</v>
      </c>
      <c r="C1401" s="2" t="s">
        <v>328</v>
      </c>
      <c r="D1401" s="483">
        <v>44331</v>
      </c>
      <c r="E1401" s="2" t="s">
        <v>331</v>
      </c>
    </row>
    <row r="1402" spans="1:5" x14ac:dyDescent="0.3">
      <c r="A1402" s="2">
        <v>5459</v>
      </c>
      <c r="B1402" s="2" t="s">
        <v>1735</v>
      </c>
      <c r="C1402" s="2" t="s">
        <v>21</v>
      </c>
      <c r="D1402" s="483">
        <v>75575</v>
      </c>
      <c r="E1402" s="2" t="s">
        <v>331</v>
      </c>
    </row>
    <row r="1403" spans="1:5" x14ac:dyDescent="0.3">
      <c r="A1403" s="2">
        <v>5461</v>
      </c>
      <c r="B1403" s="2" t="s">
        <v>1736</v>
      </c>
      <c r="C1403" s="2" t="s">
        <v>328</v>
      </c>
      <c r="D1403" s="483">
        <v>31667</v>
      </c>
      <c r="E1403" s="2" t="s">
        <v>331</v>
      </c>
    </row>
    <row r="1404" spans="1:5" x14ac:dyDescent="0.3">
      <c r="A1404" s="2">
        <v>5462</v>
      </c>
      <c r="B1404" s="2" t="s">
        <v>1737</v>
      </c>
      <c r="C1404" s="2" t="s">
        <v>32</v>
      </c>
      <c r="D1404" s="483">
        <v>161426</v>
      </c>
      <c r="E1404" s="2" t="s">
        <v>331</v>
      </c>
    </row>
    <row r="1405" spans="1:5" x14ac:dyDescent="0.3">
      <c r="A1405" s="2">
        <v>5463</v>
      </c>
      <c r="B1405" s="2" t="s">
        <v>1738</v>
      </c>
      <c r="C1405" s="2" t="s">
        <v>32</v>
      </c>
      <c r="D1405" s="483">
        <v>244498</v>
      </c>
      <c r="E1405" s="2" t="s">
        <v>331</v>
      </c>
    </row>
    <row r="1406" spans="1:5" x14ac:dyDescent="0.3">
      <c r="A1406" s="2">
        <v>5466</v>
      </c>
      <c r="B1406" s="2" t="s">
        <v>1739</v>
      </c>
      <c r="C1406" s="2" t="s">
        <v>328</v>
      </c>
      <c r="D1406" s="483">
        <v>18463</v>
      </c>
      <c r="E1406" s="2" t="s">
        <v>331</v>
      </c>
    </row>
    <row r="1407" spans="1:5" x14ac:dyDescent="0.3">
      <c r="A1407" s="2">
        <v>5467</v>
      </c>
      <c r="B1407" s="2" t="s">
        <v>1740</v>
      </c>
      <c r="C1407" s="2" t="s">
        <v>328</v>
      </c>
      <c r="D1407" s="483">
        <v>159773</v>
      </c>
      <c r="E1407" s="2" t="s">
        <v>331</v>
      </c>
    </row>
    <row r="1408" spans="1:5" x14ac:dyDescent="0.3">
      <c r="A1408" s="2">
        <v>5469</v>
      </c>
      <c r="B1408" s="2" t="s">
        <v>1741</v>
      </c>
      <c r="C1408" s="2" t="s">
        <v>328</v>
      </c>
      <c r="D1408" s="483">
        <v>20442</v>
      </c>
      <c r="E1408" s="2" t="s">
        <v>331</v>
      </c>
    </row>
    <row r="1409" spans="1:5" x14ac:dyDescent="0.3">
      <c r="A1409" s="2">
        <v>5471</v>
      </c>
      <c r="B1409" s="2" t="s">
        <v>1742</v>
      </c>
      <c r="C1409" s="2" t="s">
        <v>328</v>
      </c>
      <c r="D1409" s="483">
        <v>11765</v>
      </c>
      <c r="E1409" s="2" t="s">
        <v>331</v>
      </c>
    </row>
    <row r="1410" spans="1:5" x14ac:dyDescent="0.3">
      <c r="A1410" s="2">
        <v>5472</v>
      </c>
      <c r="B1410" s="2" t="s">
        <v>1743</v>
      </c>
      <c r="C1410" s="2" t="s">
        <v>328</v>
      </c>
      <c r="D1410" s="483">
        <v>8786</v>
      </c>
      <c r="E1410" s="2" t="s">
        <v>331</v>
      </c>
    </row>
    <row r="1411" spans="1:5" x14ac:dyDescent="0.3">
      <c r="A1411" s="2">
        <v>5494</v>
      </c>
      <c r="B1411" s="2" t="s">
        <v>1744</v>
      </c>
      <c r="C1411" s="2" t="s">
        <v>32</v>
      </c>
      <c r="D1411" s="483">
        <v>575991</v>
      </c>
      <c r="E1411" s="2" t="s">
        <v>331</v>
      </c>
    </row>
    <row r="1412" spans="1:5" x14ac:dyDescent="0.3">
      <c r="A1412" s="2">
        <v>5501</v>
      </c>
      <c r="B1412" s="2" t="s">
        <v>1745</v>
      </c>
      <c r="C1412" s="2" t="s">
        <v>32</v>
      </c>
      <c r="D1412" s="483">
        <v>565423</v>
      </c>
      <c r="E1412" s="2" t="s">
        <v>331</v>
      </c>
    </row>
    <row r="1413" spans="1:5" x14ac:dyDescent="0.3">
      <c r="A1413" s="2">
        <v>5502</v>
      </c>
      <c r="B1413" s="2" t="s">
        <v>1746</v>
      </c>
      <c r="C1413" s="2" t="s">
        <v>32</v>
      </c>
      <c r="D1413" s="483">
        <v>858923</v>
      </c>
      <c r="E1413" s="2" t="s">
        <v>331</v>
      </c>
    </row>
    <row r="1414" spans="1:5" x14ac:dyDescent="0.3">
      <c r="A1414" s="2">
        <v>5523</v>
      </c>
      <c r="B1414" s="2" t="s">
        <v>1747</v>
      </c>
      <c r="C1414" s="2" t="s">
        <v>32</v>
      </c>
      <c r="D1414" s="483">
        <v>26274</v>
      </c>
      <c r="E1414" s="2" t="s">
        <v>324</v>
      </c>
    </row>
    <row r="1415" spans="1:5" x14ac:dyDescent="0.3">
      <c r="A1415" s="2">
        <v>5524</v>
      </c>
      <c r="B1415" s="2" t="s">
        <v>1748</v>
      </c>
      <c r="C1415" s="2" t="s">
        <v>32</v>
      </c>
      <c r="D1415" s="483">
        <v>60228</v>
      </c>
      <c r="E1415" s="2" t="s">
        <v>324</v>
      </c>
    </row>
    <row r="1416" spans="1:5" x14ac:dyDescent="0.3">
      <c r="A1416" s="2">
        <v>5525</v>
      </c>
      <c r="B1416" s="2" t="s">
        <v>1749</v>
      </c>
      <c r="C1416" s="2" t="s">
        <v>32</v>
      </c>
      <c r="D1416" s="483">
        <v>73315</v>
      </c>
      <c r="E1416" s="2" t="s">
        <v>324</v>
      </c>
    </row>
    <row r="1417" spans="1:5" x14ac:dyDescent="0.3">
      <c r="A1417" s="2">
        <v>5527</v>
      </c>
      <c r="B1417" s="2" t="s">
        <v>1750</v>
      </c>
      <c r="C1417" s="2" t="s">
        <v>328</v>
      </c>
      <c r="D1417" s="483">
        <v>29462</v>
      </c>
      <c r="E1417" s="2" t="s">
        <v>331</v>
      </c>
    </row>
    <row r="1418" spans="1:5" x14ac:dyDescent="0.3">
      <c r="A1418" s="2">
        <v>5528</v>
      </c>
      <c r="B1418" s="2" t="s">
        <v>1751</v>
      </c>
      <c r="C1418" s="2" t="s">
        <v>328</v>
      </c>
      <c r="D1418" s="483">
        <v>21285</v>
      </c>
      <c r="E1418" s="2" t="s">
        <v>324</v>
      </c>
    </row>
    <row r="1419" spans="1:5" x14ac:dyDescent="0.3">
      <c r="A1419" s="2">
        <v>5535</v>
      </c>
      <c r="B1419" s="2" t="s">
        <v>1752</v>
      </c>
      <c r="C1419" s="2" t="s">
        <v>692</v>
      </c>
      <c r="D1419" s="483">
        <v>227526</v>
      </c>
      <c r="E1419" s="2" t="s">
        <v>324</v>
      </c>
    </row>
    <row r="1420" spans="1:5" x14ac:dyDescent="0.3">
      <c r="A1420" s="2">
        <v>5536</v>
      </c>
      <c r="B1420" s="2" t="s">
        <v>1753</v>
      </c>
      <c r="C1420" s="2" t="s">
        <v>979</v>
      </c>
      <c r="D1420" s="483">
        <v>29046</v>
      </c>
      <c r="E1420" s="2" t="s">
        <v>324</v>
      </c>
    </row>
    <row r="1421" spans="1:5" x14ac:dyDescent="0.3">
      <c r="A1421" s="2">
        <v>5540</v>
      </c>
      <c r="B1421" s="2" t="s">
        <v>1754</v>
      </c>
      <c r="C1421" s="2" t="s">
        <v>328</v>
      </c>
      <c r="D1421" s="483">
        <v>3625</v>
      </c>
      <c r="E1421" s="2" t="s">
        <v>324</v>
      </c>
    </row>
    <row r="1422" spans="1:5" x14ac:dyDescent="0.3">
      <c r="A1422" s="2">
        <v>5541</v>
      </c>
      <c r="B1422" s="2" t="s">
        <v>1755</v>
      </c>
      <c r="C1422" s="2" t="s">
        <v>328</v>
      </c>
      <c r="D1422" s="483">
        <v>4783</v>
      </c>
      <c r="E1422" s="2" t="s">
        <v>324</v>
      </c>
    </row>
    <row r="1423" spans="1:5" x14ac:dyDescent="0.3">
      <c r="A1423" s="2">
        <v>5542</v>
      </c>
      <c r="B1423" s="2" t="s">
        <v>1756</v>
      </c>
      <c r="C1423" s="2" t="s">
        <v>328</v>
      </c>
      <c r="D1423" s="483">
        <v>7613</v>
      </c>
      <c r="E1423" s="2" t="s">
        <v>324</v>
      </c>
    </row>
    <row r="1424" spans="1:5" x14ac:dyDescent="0.3">
      <c r="A1424" s="2">
        <v>5543</v>
      </c>
      <c r="B1424" s="2" t="s">
        <v>1757</v>
      </c>
      <c r="C1424" s="2" t="s">
        <v>328</v>
      </c>
      <c r="D1424" s="483">
        <v>11183</v>
      </c>
      <c r="E1424" s="2" t="s">
        <v>324</v>
      </c>
    </row>
    <row r="1425" spans="1:5" x14ac:dyDescent="0.3">
      <c r="A1425" s="2">
        <v>5545</v>
      </c>
      <c r="B1425" s="2" t="s">
        <v>1758</v>
      </c>
      <c r="C1425" s="2" t="s">
        <v>328</v>
      </c>
      <c r="D1425" s="483">
        <v>87220</v>
      </c>
      <c r="E1425" s="2" t="s">
        <v>324</v>
      </c>
    </row>
    <row r="1426" spans="1:5" x14ac:dyDescent="0.3">
      <c r="A1426" s="2">
        <v>5546</v>
      </c>
      <c r="B1426" s="2" t="s">
        <v>1759</v>
      </c>
      <c r="C1426" s="2" t="s">
        <v>328</v>
      </c>
      <c r="D1426" s="483">
        <v>113632</v>
      </c>
      <c r="E1426" s="2" t="s">
        <v>324</v>
      </c>
    </row>
    <row r="1427" spans="1:5" x14ac:dyDescent="0.3">
      <c r="A1427" s="2">
        <v>5547</v>
      </c>
      <c r="B1427" s="2" t="s">
        <v>1760</v>
      </c>
      <c r="C1427" s="2" t="s">
        <v>328</v>
      </c>
      <c r="D1427" s="483">
        <v>85817</v>
      </c>
      <c r="E1427" s="2" t="s">
        <v>324</v>
      </c>
    </row>
    <row r="1428" spans="1:5" x14ac:dyDescent="0.3">
      <c r="A1428" s="2">
        <v>5548</v>
      </c>
      <c r="B1428" s="2" t="s">
        <v>1761</v>
      </c>
      <c r="C1428" s="2" t="s">
        <v>328</v>
      </c>
      <c r="D1428" s="483">
        <v>29438</v>
      </c>
      <c r="E1428" s="2" t="s">
        <v>324</v>
      </c>
    </row>
    <row r="1429" spans="1:5" x14ac:dyDescent="0.3">
      <c r="A1429" s="2">
        <v>5549</v>
      </c>
      <c r="B1429" s="2" t="s">
        <v>1762</v>
      </c>
      <c r="C1429" s="2" t="s">
        <v>328</v>
      </c>
      <c r="D1429" s="483">
        <v>212116</v>
      </c>
      <c r="E1429" s="2" t="s">
        <v>324</v>
      </c>
    </row>
    <row r="1430" spans="1:5" x14ac:dyDescent="0.3">
      <c r="A1430" s="2">
        <v>5550</v>
      </c>
      <c r="B1430" s="2" t="s">
        <v>1763</v>
      </c>
      <c r="C1430" s="2" t="s">
        <v>328</v>
      </c>
      <c r="D1430" s="483">
        <v>185900</v>
      </c>
      <c r="E1430" s="2" t="s">
        <v>324</v>
      </c>
    </row>
    <row r="1431" spans="1:5" x14ac:dyDescent="0.3">
      <c r="A1431" s="2">
        <v>5551</v>
      </c>
      <c r="B1431" s="2" t="s">
        <v>1764</v>
      </c>
      <c r="C1431" s="2" t="s">
        <v>328</v>
      </c>
      <c r="D1431" s="483">
        <v>40986</v>
      </c>
      <c r="E1431" s="2" t="s">
        <v>324</v>
      </c>
    </row>
    <row r="1432" spans="1:5" x14ac:dyDescent="0.3">
      <c r="A1432" s="2">
        <v>5552</v>
      </c>
      <c r="B1432" s="2" t="s">
        <v>1765</v>
      </c>
      <c r="C1432" s="2" t="s">
        <v>32</v>
      </c>
      <c r="D1432" s="483">
        <v>17814</v>
      </c>
      <c r="E1432" s="2" t="s">
        <v>324</v>
      </c>
    </row>
    <row r="1433" spans="1:5" x14ac:dyDescent="0.3">
      <c r="A1433" s="2">
        <v>5556</v>
      </c>
      <c r="B1433" s="2" t="s">
        <v>1766</v>
      </c>
      <c r="C1433" s="2" t="s">
        <v>328</v>
      </c>
      <c r="D1433" s="483">
        <v>32577</v>
      </c>
      <c r="E1433" s="2" t="s">
        <v>324</v>
      </c>
    </row>
    <row r="1434" spans="1:5" x14ac:dyDescent="0.3">
      <c r="A1434" s="2">
        <v>5557</v>
      </c>
      <c r="B1434" s="2" t="s">
        <v>1767</v>
      </c>
      <c r="C1434" s="2" t="s">
        <v>328</v>
      </c>
      <c r="D1434" s="483">
        <v>82737</v>
      </c>
      <c r="E1434" s="2" t="s">
        <v>324</v>
      </c>
    </row>
    <row r="1435" spans="1:5" x14ac:dyDescent="0.3">
      <c r="A1435" s="2">
        <v>5558</v>
      </c>
      <c r="B1435" s="2" t="s">
        <v>1768</v>
      </c>
      <c r="C1435" s="2" t="s">
        <v>328</v>
      </c>
      <c r="D1435" s="483">
        <v>124160</v>
      </c>
      <c r="E1435" s="2" t="s">
        <v>324</v>
      </c>
    </row>
    <row r="1436" spans="1:5" x14ac:dyDescent="0.3">
      <c r="A1436" s="2">
        <v>5561</v>
      </c>
      <c r="B1436" s="2" t="s">
        <v>1769</v>
      </c>
      <c r="C1436" s="2" t="s">
        <v>328</v>
      </c>
      <c r="D1436" s="483">
        <v>191828</v>
      </c>
      <c r="E1436" s="2" t="s">
        <v>324</v>
      </c>
    </row>
    <row r="1437" spans="1:5" x14ac:dyDescent="0.3">
      <c r="A1437" s="2">
        <v>5562</v>
      </c>
      <c r="B1437" s="2" t="s">
        <v>1770</v>
      </c>
      <c r="C1437" s="2" t="s">
        <v>328</v>
      </c>
      <c r="D1437" s="483">
        <v>92570</v>
      </c>
      <c r="E1437" s="2" t="s">
        <v>324</v>
      </c>
    </row>
    <row r="1438" spans="1:5" x14ac:dyDescent="0.3">
      <c r="A1438" s="2">
        <v>5567</v>
      </c>
      <c r="B1438" s="2" t="s">
        <v>1771</v>
      </c>
      <c r="C1438" s="2" t="s">
        <v>328</v>
      </c>
      <c r="D1438" s="483">
        <v>19485</v>
      </c>
      <c r="E1438" s="2" t="s">
        <v>324</v>
      </c>
    </row>
    <row r="1439" spans="1:5" x14ac:dyDescent="0.3">
      <c r="A1439" s="2">
        <v>5570</v>
      </c>
      <c r="B1439" s="2" t="s">
        <v>1772</v>
      </c>
      <c r="C1439" s="2" t="s">
        <v>328</v>
      </c>
      <c r="D1439" s="483">
        <v>315936</v>
      </c>
      <c r="E1439" s="2" t="s">
        <v>324</v>
      </c>
    </row>
    <row r="1440" spans="1:5" x14ac:dyDescent="0.3">
      <c r="A1440" s="2">
        <v>5571</v>
      </c>
      <c r="B1440" s="2" t="s">
        <v>1773</v>
      </c>
      <c r="C1440" s="2" t="s">
        <v>328</v>
      </c>
      <c r="D1440" s="483">
        <v>62565</v>
      </c>
      <c r="E1440" s="2" t="s">
        <v>324</v>
      </c>
    </row>
    <row r="1441" spans="1:5" x14ac:dyDescent="0.3">
      <c r="A1441" s="2">
        <v>5572</v>
      </c>
      <c r="B1441" s="2" t="s">
        <v>1774</v>
      </c>
      <c r="C1441" s="2" t="s">
        <v>328</v>
      </c>
      <c r="D1441" s="483">
        <v>30609</v>
      </c>
      <c r="E1441" s="2" t="s">
        <v>324</v>
      </c>
    </row>
    <row r="1442" spans="1:5" x14ac:dyDescent="0.3">
      <c r="A1442" s="2">
        <v>5573</v>
      </c>
      <c r="B1442" s="2" t="s">
        <v>1775</v>
      </c>
      <c r="C1442" s="2" t="s">
        <v>328</v>
      </c>
      <c r="D1442" s="483">
        <v>22560</v>
      </c>
      <c r="E1442" s="2" t="s">
        <v>324</v>
      </c>
    </row>
    <row r="1443" spans="1:5" x14ac:dyDescent="0.3">
      <c r="A1443" s="2">
        <v>5574</v>
      </c>
      <c r="B1443" s="2" t="s">
        <v>1776</v>
      </c>
      <c r="C1443" s="2" t="s">
        <v>328</v>
      </c>
      <c r="D1443" s="483">
        <v>15450</v>
      </c>
      <c r="E1443" s="2" t="s">
        <v>324</v>
      </c>
    </row>
    <row r="1444" spans="1:5" x14ac:dyDescent="0.3">
      <c r="A1444" s="2">
        <v>5575</v>
      </c>
      <c r="B1444" s="2" t="s">
        <v>1777</v>
      </c>
      <c r="C1444" s="2" t="s">
        <v>328</v>
      </c>
      <c r="D1444" s="483">
        <v>52915</v>
      </c>
      <c r="E1444" s="2" t="s">
        <v>324</v>
      </c>
    </row>
    <row r="1445" spans="1:5" x14ac:dyDescent="0.3">
      <c r="A1445" s="2">
        <v>5576</v>
      </c>
      <c r="B1445" s="2" t="s">
        <v>1778</v>
      </c>
      <c r="C1445" s="2" t="s">
        <v>328</v>
      </c>
      <c r="D1445" s="483">
        <v>19005</v>
      </c>
      <c r="E1445" s="2" t="s">
        <v>324</v>
      </c>
    </row>
    <row r="1446" spans="1:5" x14ac:dyDescent="0.3">
      <c r="A1446" s="2">
        <v>5577</v>
      </c>
      <c r="B1446" s="2" t="s">
        <v>1779</v>
      </c>
      <c r="C1446" s="2" t="s">
        <v>328</v>
      </c>
      <c r="D1446" s="483">
        <v>249411</v>
      </c>
      <c r="E1446" s="2" t="s">
        <v>324</v>
      </c>
    </row>
    <row r="1447" spans="1:5" x14ac:dyDescent="0.3">
      <c r="A1447" s="2">
        <v>5581</v>
      </c>
      <c r="B1447" s="2" t="s">
        <v>1780</v>
      </c>
      <c r="C1447" s="2" t="s">
        <v>328</v>
      </c>
      <c r="D1447" s="483">
        <v>419708</v>
      </c>
      <c r="E1447" s="2" t="s">
        <v>324</v>
      </c>
    </row>
    <row r="1448" spans="1:5" x14ac:dyDescent="0.3">
      <c r="A1448" s="2">
        <v>5582</v>
      </c>
      <c r="B1448" s="2" t="s">
        <v>1781</v>
      </c>
      <c r="C1448" s="2" t="s">
        <v>328</v>
      </c>
      <c r="D1448" s="483">
        <v>54587</v>
      </c>
      <c r="E1448" s="2" t="s">
        <v>324</v>
      </c>
    </row>
    <row r="1449" spans="1:5" x14ac:dyDescent="0.3">
      <c r="A1449" s="2">
        <v>5585</v>
      </c>
      <c r="B1449" s="2" t="s">
        <v>1782</v>
      </c>
      <c r="C1449" s="2" t="s">
        <v>32</v>
      </c>
      <c r="D1449" s="483">
        <v>60223</v>
      </c>
      <c r="E1449" s="2" t="s">
        <v>324</v>
      </c>
    </row>
    <row r="1450" spans="1:5" x14ac:dyDescent="0.3">
      <c r="A1450" s="2">
        <v>5586</v>
      </c>
      <c r="B1450" s="2" t="s">
        <v>1783</v>
      </c>
      <c r="C1450" s="2" t="s">
        <v>328</v>
      </c>
      <c r="D1450" s="483">
        <v>38407</v>
      </c>
      <c r="E1450" s="2" t="s">
        <v>324</v>
      </c>
    </row>
    <row r="1451" spans="1:5" x14ac:dyDescent="0.3">
      <c r="A1451" s="2">
        <v>5587</v>
      </c>
      <c r="B1451" s="2" t="s">
        <v>1784</v>
      </c>
      <c r="C1451" s="2" t="s">
        <v>328</v>
      </c>
      <c r="D1451" s="483">
        <v>67769</v>
      </c>
      <c r="E1451" s="2" t="s">
        <v>324</v>
      </c>
    </row>
    <row r="1452" spans="1:5" x14ac:dyDescent="0.3">
      <c r="A1452" s="2">
        <v>5588</v>
      </c>
      <c r="B1452" s="2" t="s">
        <v>1785</v>
      </c>
      <c r="C1452" s="2" t="s">
        <v>328</v>
      </c>
      <c r="D1452" s="483">
        <v>193330</v>
      </c>
      <c r="E1452" s="2" t="s">
        <v>324</v>
      </c>
    </row>
    <row r="1453" spans="1:5" x14ac:dyDescent="0.3">
      <c r="A1453" s="2">
        <v>5591</v>
      </c>
      <c r="B1453" s="2" t="s">
        <v>1786</v>
      </c>
      <c r="C1453" s="2" t="s">
        <v>328</v>
      </c>
      <c r="D1453" s="483">
        <v>245624</v>
      </c>
      <c r="E1453" s="2" t="s">
        <v>324</v>
      </c>
    </row>
    <row r="1454" spans="1:5" x14ac:dyDescent="0.3">
      <c r="A1454" s="2">
        <v>5595</v>
      </c>
      <c r="B1454" s="2" t="s">
        <v>1787</v>
      </c>
      <c r="C1454" s="2" t="s">
        <v>328</v>
      </c>
      <c r="D1454" s="483">
        <v>155235</v>
      </c>
      <c r="E1454" s="2" t="s">
        <v>331</v>
      </c>
    </row>
    <row r="1455" spans="1:5" x14ac:dyDescent="0.3">
      <c r="A1455" s="2">
        <v>5599</v>
      </c>
      <c r="B1455" s="2" t="s">
        <v>1788</v>
      </c>
      <c r="C1455" s="2" t="s">
        <v>328</v>
      </c>
      <c r="D1455" s="483">
        <v>237125</v>
      </c>
      <c r="E1455" s="2" t="s">
        <v>324</v>
      </c>
    </row>
    <row r="1456" spans="1:5" x14ac:dyDescent="0.3">
      <c r="A1456" s="2">
        <v>5602</v>
      </c>
      <c r="B1456" s="2" t="s">
        <v>1789</v>
      </c>
      <c r="C1456" s="2" t="s">
        <v>328</v>
      </c>
      <c r="D1456" s="483">
        <v>3406228</v>
      </c>
      <c r="E1456" s="2" t="s">
        <v>324</v>
      </c>
    </row>
    <row r="1457" spans="1:5" x14ac:dyDescent="0.3">
      <c r="A1457" s="2">
        <v>5603</v>
      </c>
      <c r="B1457" s="2" t="s">
        <v>1790</v>
      </c>
      <c r="C1457" s="2" t="s">
        <v>328</v>
      </c>
      <c r="D1457" s="483">
        <v>126941</v>
      </c>
      <c r="E1457" s="2" t="s">
        <v>324</v>
      </c>
    </row>
    <row r="1458" spans="1:5" x14ac:dyDescent="0.3">
      <c r="A1458" s="2">
        <v>5604</v>
      </c>
      <c r="B1458" s="2" t="s">
        <v>1791</v>
      </c>
      <c r="C1458" s="2" t="s">
        <v>328</v>
      </c>
      <c r="D1458" s="483">
        <v>108863</v>
      </c>
      <c r="E1458" s="2" t="s">
        <v>331</v>
      </c>
    </row>
    <row r="1459" spans="1:5" x14ac:dyDescent="0.3">
      <c r="A1459" s="2">
        <v>5606</v>
      </c>
      <c r="B1459" s="2" t="s">
        <v>1792</v>
      </c>
      <c r="C1459" s="2" t="s">
        <v>328</v>
      </c>
      <c r="D1459" s="483">
        <v>210634</v>
      </c>
      <c r="E1459" s="2" t="s">
        <v>331</v>
      </c>
    </row>
    <row r="1460" spans="1:5" x14ac:dyDescent="0.3">
      <c r="A1460" s="2">
        <v>5610</v>
      </c>
      <c r="B1460" s="2" t="s">
        <v>1793</v>
      </c>
      <c r="C1460" s="2" t="s">
        <v>328</v>
      </c>
      <c r="D1460" s="483">
        <v>192190</v>
      </c>
      <c r="E1460" s="2" t="s">
        <v>331</v>
      </c>
    </row>
    <row r="1461" spans="1:5" x14ac:dyDescent="0.3">
      <c r="A1461" s="2">
        <v>5611</v>
      </c>
      <c r="B1461" s="2" t="s">
        <v>1794</v>
      </c>
      <c r="C1461" s="2" t="s">
        <v>328</v>
      </c>
      <c r="D1461" s="483">
        <v>117396</v>
      </c>
      <c r="E1461" s="2" t="s">
        <v>324</v>
      </c>
    </row>
    <row r="1462" spans="1:5" x14ac:dyDescent="0.3">
      <c r="A1462" s="2">
        <v>5616</v>
      </c>
      <c r="B1462" s="2" t="s">
        <v>1795</v>
      </c>
      <c r="C1462" s="2" t="s">
        <v>328</v>
      </c>
      <c r="D1462" s="483">
        <v>12666</v>
      </c>
      <c r="E1462" s="2" t="s">
        <v>324</v>
      </c>
    </row>
    <row r="1463" spans="1:5" x14ac:dyDescent="0.3">
      <c r="A1463" s="2">
        <v>5621</v>
      </c>
      <c r="B1463" s="2" t="s">
        <v>1796</v>
      </c>
      <c r="C1463" s="2" t="s">
        <v>328</v>
      </c>
      <c r="D1463" s="483">
        <v>39950</v>
      </c>
      <c r="E1463" s="2" t="s">
        <v>324</v>
      </c>
    </row>
    <row r="1464" spans="1:5" x14ac:dyDescent="0.3">
      <c r="A1464" s="2">
        <v>5626</v>
      </c>
      <c r="B1464" s="2" t="s">
        <v>1797</v>
      </c>
      <c r="C1464" s="2" t="s">
        <v>32</v>
      </c>
      <c r="D1464" s="483">
        <v>12494</v>
      </c>
      <c r="E1464" s="2" t="s">
        <v>324</v>
      </c>
    </row>
    <row r="1465" spans="1:5" x14ac:dyDescent="0.3">
      <c r="A1465" s="2">
        <v>5628</v>
      </c>
      <c r="B1465" s="2" t="s">
        <v>1798</v>
      </c>
      <c r="C1465" s="2" t="s">
        <v>328</v>
      </c>
      <c r="D1465" s="483">
        <v>11738</v>
      </c>
      <c r="E1465" s="2" t="s">
        <v>324</v>
      </c>
    </row>
    <row r="1466" spans="1:5" x14ac:dyDescent="0.3">
      <c r="A1466" s="2">
        <v>5629</v>
      </c>
      <c r="B1466" s="2" t="s">
        <v>1799</v>
      </c>
      <c r="C1466" s="2" t="s">
        <v>328</v>
      </c>
      <c r="D1466" s="483">
        <v>54003</v>
      </c>
      <c r="E1466" s="2" t="s">
        <v>324</v>
      </c>
    </row>
    <row r="1467" spans="1:5" x14ac:dyDescent="0.3">
      <c r="A1467" s="2">
        <v>5630</v>
      </c>
      <c r="B1467" s="2" t="s">
        <v>1800</v>
      </c>
      <c r="C1467" s="2" t="s">
        <v>328</v>
      </c>
      <c r="D1467" s="483">
        <v>52835</v>
      </c>
      <c r="E1467" s="2" t="s">
        <v>324</v>
      </c>
    </row>
    <row r="1468" spans="1:5" x14ac:dyDescent="0.3">
      <c r="A1468" s="2">
        <v>5634</v>
      </c>
      <c r="B1468" s="2" t="s">
        <v>1801</v>
      </c>
      <c r="C1468" s="2" t="s">
        <v>328</v>
      </c>
      <c r="D1468" s="483">
        <v>5293</v>
      </c>
      <c r="E1468" s="2" t="s">
        <v>324</v>
      </c>
    </row>
    <row r="1469" spans="1:5" x14ac:dyDescent="0.3">
      <c r="A1469" s="2">
        <v>5641</v>
      </c>
      <c r="B1469" s="2" t="s">
        <v>1802</v>
      </c>
      <c r="C1469" s="2" t="s">
        <v>21</v>
      </c>
      <c r="D1469" s="483">
        <v>119918</v>
      </c>
      <c r="E1469" s="2" t="s">
        <v>331</v>
      </c>
    </row>
    <row r="1470" spans="1:5" x14ac:dyDescent="0.3">
      <c r="A1470" s="2">
        <v>5642</v>
      </c>
      <c r="B1470" s="2" t="s">
        <v>1803</v>
      </c>
      <c r="C1470" s="2" t="s">
        <v>21</v>
      </c>
      <c r="D1470" s="483">
        <v>23091</v>
      </c>
      <c r="E1470" s="2" t="s">
        <v>331</v>
      </c>
    </row>
    <row r="1471" spans="1:5" x14ac:dyDescent="0.3">
      <c r="A1471" s="2">
        <v>5644</v>
      </c>
      <c r="B1471" s="2" t="s">
        <v>1804</v>
      </c>
      <c r="C1471" s="2" t="s">
        <v>21</v>
      </c>
      <c r="D1471" s="483">
        <v>17530</v>
      </c>
      <c r="E1471" s="2" t="s">
        <v>331</v>
      </c>
    </row>
    <row r="1472" spans="1:5" x14ac:dyDescent="0.3">
      <c r="A1472" s="2">
        <v>5645</v>
      </c>
      <c r="B1472" s="2" t="s">
        <v>1805</v>
      </c>
      <c r="C1472" s="2" t="s">
        <v>21</v>
      </c>
      <c r="D1472" s="483">
        <v>11859</v>
      </c>
      <c r="E1472" s="2" t="s">
        <v>331</v>
      </c>
    </row>
    <row r="1473" spans="1:5" x14ac:dyDescent="0.3">
      <c r="A1473" s="2">
        <v>5646</v>
      </c>
      <c r="B1473" s="2" t="s">
        <v>1806</v>
      </c>
      <c r="C1473" s="2" t="s">
        <v>328</v>
      </c>
      <c r="D1473" s="483">
        <v>9400</v>
      </c>
      <c r="E1473" s="2" t="s">
        <v>324</v>
      </c>
    </row>
    <row r="1474" spans="1:5" x14ac:dyDescent="0.3">
      <c r="A1474" s="2">
        <v>5647</v>
      </c>
      <c r="B1474" s="2" t="s">
        <v>1807</v>
      </c>
      <c r="C1474" s="2" t="s">
        <v>21</v>
      </c>
      <c r="D1474" s="483">
        <v>13489</v>
      </c>
      <c r="E1474" s="2" t="s">
        <v>331</v>
      </c>
    </row>
    <row r="1475" spans="1:5" x14ac:dyDescent="0.3">
      <c r="A1475" s="2">
        <v>5683</v>
      </c>
      <c r="B1475" s="2" t="s">
        <v>1808</v>
      </c>
      <c r="C1475" s="2" t="s">
        <v>32</v>
      </c>
      <c r="D1475" s="483">
        <v>275991</v>
      </c>
      <c r="E1475" s="2" t="s">
        <v>324</v>
      </c>
    </row>
    <row r="1476" spans="1:5" x14ac:dyDescent="0.3">
      <c r="A1476" s="2">
        <v>5684</v>
      </c>
      <c r="B1476" s="2" t="s">
        <v>1809</v>
      </c>
      <c r="C1476" s="2" t="s">
        <v>32</v>
      </c>
      <c r="D1476" s="483">
        <v>552632</v>
      </c>
      <c r="E1476" s="2" t="s">
        <v>331</v>
      </c>
    </row>
    <row r="1477" spans="1:5" x14ac:dyDescent="0.3">
      <c r="A1477" s="2">
        <v>5686</v>
      </c>
      <c r="B1477" s="2" t="s">
        <v>1810</v>
      </c>
      <c r="C1477" s="2" t="s">
        <v>30</v>
      </c>
      <c r="D1477" s="483">
        <v>1241972</v>
      </c>
      <c r="E1477" s="2" t="s">
        <v>331</v>
      </c>
    </row>
    <row r="1478" spans="1:5" x14ac:dyDescent="0.3">
      <c r="A1478" s="2">
        <v>5688</v>
      </c>
      <c r="B1478" s="2" t="s">
        <v>1811</v>
      </c>
      <c r="C1478" s="2" t="s">
        <v>32</v>
      </c>
      <c r="D1478" s="483">
        <v>3978542</v>
      </c>
      <c r="E1478" s="2" t="s">
        <v>324</v>
      </c>
    </row>
    <row r="1479" spans="1:5" x14ac:dyDescent="0.3">
      <c r="A1479" s="2">
        <v>5690</v>
      </c>
      <c r="B1479" s="2" t="s">
        <v>1812</v>
      </c>
      <c r="C1479" s="2" t="s">
        <v>32</v>
      </c>
      <c r="D1479" s="483">
        <v>530403</v>
      </c>
      <c r="E1479" s="2" t="s">
        <v>324</v>
      </c>
    </row>
    <row r="1480" spans="1:5" x14ac:dyDescent="0.3">
      <c r="A1480" s="2">
        <v>5691</v>
      </c>
      <c r="B1480" s="2" t="s">
        <v>1813</v>
      </c>
      <c r="C1480" s="2" t="s">
        <v>32</v>
      </c>
      <c r="D1480" s="483">
        <v>968482</v>
      </c>
      <c r="E1480" s="2" t="s">
        <v>324</v>
      </c>
    </row>
    <row r="1481" spans="1:5" x14ac:dyDescent="0.3">
      <c r="A1481" s="2">
        <v>5692</v>
      </c>
      <c r="B1481" s="2" t="s">
        <v>1814</v>
      </c>
      <c r="C1481" s="2" t="s">
        <v>32</v>
      </c>
      <c r="D1481" s="483">
        <v>1704729</v>
      </c>
      <c r="E1481" s="2" t="s">
        <v>324</v>
      </c>
    </row>
    <row r="1482" spans="1:5" x14ac:dyDescent="0.3">
      <c r="A1482" s="2">
        <v>5693</v>
      </c>
      <c r="B1482" s="2" t="s">
        <v>1815</v>
      </c>
      <c r="C1482" s="2" t="s">
        <v>32</v>
      </c>
      <c r="D1482" s="483">
        <v>1292942</v>
      </c>
      <c r="E1482" s="2" t="s">
        <v>331</v>
      </c>
    </row>
    <row r="1483" spans="1:5" x14ac:dyDescent="0.3">
      <c r="A1483" s="2">
        <v>5696</v>
      </c>
      <c r="B1483" s="2" t="s">
        <v>1816</v>
      </c>
      <c r="C1483" s="2" t="s">
        <v>32</v>
      </c>
      <c r="D1483" s="483">
        <v>665453</v>
      </c>
      <c r="E1483" s="2" t="s">
        <v>331</v>
      </c>
    </row>
    <row r="1484" spans="1:5" x14ac:dyDescent="0.3">
      <c r="A1484" s="2">
        <v>5697</v>
      </c>
      <c r="B1484" s="2" t="s">
        <v>1817</v>
      </c>
      <c r="C1484" s="2" t="s">
        <v>32</v>
      </c>
      <c r="D1484" s="483">
        <v>783944</v>
      </c>
      <c r="E1484" s="2" t="s">
        <v>324</v>
      </c>
    </row>
    <row r="1485" spans="1:5" x14ac:dyDescent="0.3">
      <c r="A1485" s="2">
        <v>5698</v>
      </c>
      <c r="B1485" s="2" t="s">
        <v>1818</v>
      </c>
      <c r="C1485" s="2" t="s">
        <v>32</v>
      </c>
      <c r="D1485" s="483">
        <v>357545</v>
      </c>
      <c r="E1485" s="2" t="s">
        <v>324</v>
      </c>
    </row>
    <row r="1486" spans="1:5" x14ac:dyDescent="0.3">
      <c r="A1486" s="2">
        <v>5699</v>
      </c>
      <c r="B1486" s="2" t="s">
        <v>1819</v>
      </c>
      <c r="C1486" s="2" t="s">
        <v>32</v>
      </c>
      <c r="D1486" s="483">
        <v>331975</v>
      </c>
      <c r="E1486" s="2" t="s">
        <v>324</v>
      </c>
    </row>
    <row r="1487" spans="1:5" x14ac:dyDescent="0.3">
      <c r="A1487" s="2">
        <v>5700</v>
      </c>
      <c r="B1487" s="2" t="s">
        <v>1820</v>
      </c>
      <c r="C1487" s="2" t="s">
        <v>32</v>
      </c>
      <c r="D1487" s="483">
        <v>180475</v>
      </c>
      <c r="E1487" s="2" t="s">
        <v>324</v>
      </c>
    </row>
    <row r="1488" spans="1:5" x14ac:dyDescent="0.3">
      <c r="A1488" s="2">
        <v>5701</v>
      </c>
      <c r="B1488" s="2" t="s">
        <v>1821</v>
      </c>
      <c r="C1488" s="2" t="s">
        <v>328</v>
      </c>
      <c r="D1488" s="483">
        <v>162742</v>
      </c>
      <c r="E1488" s="2" t="s">
        <v>324</v>
      </c>
    </row>
    <row r="1489" spans="1:5" x14ac:dyDescent="0.3">
      <c r="A1489" s="2">
        <v>5702</v>
      </c>
      <c r="B1489" s="2" t="s">
        <v>1822</v>
      </c>
      <c r="C1489" s="2" t="s">
        <v>32</v>
      </c>
      <c r="D1489" s="483">
        <v>634048</v>
      </c>
      <c r="E1489" s="2" t="s">
        <v>331</v>
      </c>
    </row>
    <row r="1490" spans="1:5" x14ac:dyDescent="0.3">
      <c r="A1490" s="2">
        <v>5705</v>
      </c>
      <c r="B1490" s="2" t="s">
        <v>1823</v>
      </c>
      <c r="C1490" s="2" t="s">
        <v>32</v>
      </c>
      <c r="D1490" s="483">
        <v>991545</v>
      </c>
      <c r="E1490" s="2" t="s">
        <v>331</v>
      </c>
    </row>
    <row r="1491" spans="1:5" x14ac:dyDescent="0.3">
      <c r="A1491" s="2">
        <v>5708</v>
      </c>
      <c r="B1491" s="2" t="s">
        <v>1824</v>
      </c>
      <c r="C1491" s="2" t="s">
        <v>30</v>
      </c>
      <c r="D1491" s="483">
        <v>187713</v>
      </c>
      <c r="E1491" s="2" t="s">
        <v>331</v>
      </c>
    </row>
    <row r="1492" spans="1:5" x14ac:dyDescent="0.3">
      <c r="A1492" s="2">
        <v>5710</v>
      </c>
      <c r="B1492" s="2" t="s">
        <v>1825</v>
      </c>
      <c r="C1492" s="2" t="s">
        <v>30</v>
      </c>
      <c r="D1492" s="483">
        <v>101688</v>
      </c>
      <c r="E1492" s="2" t="s">
        <v>331</v>
      </c>
    </row>
    <row r="1493" spans="1:5" x14ac:dyDescent="0.3">
      <c r="A1493" s="2">
        <v>5727</v>
      </c>
      <c r="B1493" s="2" t="s">
        <v>1826</v>
      </c>
      <c r="C1493" s="2" t="s">
        <v>328</v>
      </c>
      <c r="D1493" s="483">
        <v>166986</v>
      </c>
      <c r="E1493" s="2" t="s">
        <v>331</v>
      </c>
    </row>
    <row r="1494" spans="1:5" x14ac:dyDescent="0.3">
      <c r="A1494" s="2">
        <v>5728</v>
      </c>
      <c r="B1494" s="2" t="s">
        <v>1827</v>
      </c>
      <c r="C1494" s="2" t="s">
        <v>328</v>
      </c>
      <c r="D1494" s="483">
        <v>192207</v>
      </c>
      <c r="E1494" s="2" t="s">
        <v>331</v>
      </c>
    </row>
    <row r="1495" spans="1:5" x14ac:dyDescent="0.3">
      <c r="A1495" s="2">
        <v>5729</v>
      </c>
      <c r="B1495" s="2" t="s">
        <v>1828</v>
      </c>
      <c r="C1495" s="2" t="s">
        <v>32</v>
      </c>
      <c r="D1495" s="483">
        <v>1635877</v>
      </c>
      <c r="E1495" s="2" t="s">
        <v>367</v>
      </c>
    </row>
    <row r="1496" spans="1:5" x14ac:dyDescent="0.3">
      <c r="A1496" s="2">
        <v>5730</v>
      </c>
      <c r="B1496" s="2" t="s">
        <v>1829</v>
      </c>
      <c r="C1496" s="2" t="s">
        <v>328</v>
      </c>
      <c r="D1496" s="483">
        <v>7483</v>
      </c>
      <c r="E1496" s="2" t="s">
        <v>324</v>
      </c>
    </row>
    <row r="1497" spans="1:5" x14ac:dyDescent="0.3">
      <c r="A1497" s="2">
        <v>5731</v>
      </c>
      <c r="B1497" s="2" t="s">
        <v>1830</v>
      </c>
      <c r="C1497" s="2" t="s">
        <v>692</v>
      </c>
      <c r="D1497" s="483">
        <v>321618</v>
      </c>
      <c r="E1497" s="2" t="s">
        <v>324</v>
      </c>
    </row>
    <row r="1498" spans="1:5" x14ac:dyDescent="0.3">
      <c r="A1498" s="2">
        <v>5732</v>
      </c>
      <c r="B1498" s="2" t="s">
        <v>1831</v>
      </c>
      <c r="C1498" s="2" t="s">
        <v>692</v>
      </c>
      <c r="D1498" s="483">
        <v>428824</v>
      </c>
      <c r="E1498" s="2" t="s">
        <v>324</v>
      </c>
    </row>
    <row r="1499" spans="1:5" x14ac:dyDescent="0.3">
      <c r="A1499" s="2">
        <v>5733</v>
      </c>
      <c r="B1499" s="2" t="s">
        <v>1832</v>
      </c>
      <c r="C1499" s="2" t="s">
        <v>21</v>
      </c>
      <c r="D1499" s="483">
        <v>63248</v>
      </c>
      <c r="E1499" s="2" t="s">
        <v>324</v>
      </c>
    </row>
    <row r="1500" spans="1:5" x14ac:dyDescent="0.3">
      <c r="A1500" s="2">
        <v>5734</v>
      </c>
      <c r="B1500" s="2" t="s">
        <v>1833</v>
      </c>
      <c r="C1500" s="2" t="s">
        <v>21</v>
      </c>
      <c r="D1500" s="483">
        <v>59120</v>
      </c>
      <c r="E1500" s="2" t="s">
        <v>324</v>
      </c>
    </row>
    <row r="1501" spans="1:5" x14ac:dyDescent="0.3">
      <c r="A1501" s="2">
        <v>5735</v>
      </c>
      <c r="B1501" s="2" t="s">
        <v>1834</v>
      </c>
      <c r="C1501" s="2" t="s">
        <v>21</v>
      </c>
      <c r="D1501" s="483">
        <v>58154</v>
      </c>
      <c r="E1501" s="2" t="s">
        <v>324</v>
      </c>
    </row>
    <row r="1502" spans="1:5" x14ac:dyDescent="0.3">
      <c r="A1502" s="2">
        <v>5736</v>
      </c>
      <c r="B1502" s="2" t="s">
        <v>1835</v>
      </c>
      <c r="C1502" s="2" t="s">
        <v>328</v>
      </c>
      <c r="D1502" s="483">
        <v>10279</v>
      </c>
      <c r="E1502" s="2" t="s">
        <v>324</v>
      </c>
    </row>
    <row r="1503" spans="1:5" x14ac:dyDescent="0.3">
      <c r="A1503" s="2">
        <v>5746</v>
      </c>
      <c r="B1503" s="2" t="s">
        <v>1836</v>
      </c>
      <c r="C1503" s="2" t="s">
        <v>32</v>
      </c>
      <c r="D1503" s="483">
        <v>116700</v>
      </c>
      <c r="E1503" s="2" t="s">
        <v>331</v>
      </c>
    </row>
    <row r="1504" spans="1:5" x14ac:dyDescent="0.3">
      <c r="A1504" s="2">
        <v>5747</v>
      </c>
      <c r="B1504" s="2" t="s">
        <v>1837</v>
      </c>
      <c r="C1504" s="2" t="s">
        <v>32</v>
      </c>
      <c r="D1504" s="483">
        <v>8357055</v>
      </c>
      <c r="E1504" s="2" t="s">
        <v>331</v>
      </c>
    </row>
    <row r="1505" spans="1:5" x14ac:dyDescent="0.3">
      <c r="A1505" s="2">
        <v>5748</v>
      </c>
      <c r="B1505" s="2" t="s">
        <v>1838</v>
      </c>
      <c r="C1505" s="2" t="s">
        <v>32</v>
      </c>
      <c r="D1505" s="483">
        <v>321728</v>
      </c>
      <c r="E1505" s="2" t="s">
        <v>331</v>
      </c>
    </row>
    <row r="1506" spans="1:5" x14ac:dyDescent="0.3">
      <c r="A1506" s="2">
        <v>5749</v>
      </c>
      <c r="B1506" s="2" t="s">
        <v>1839</v>
      </c>
      <c r="C1506" s="2" t="s">
        <v>32</v>
      </c>
      <c r="D1506" s="483">
        <v>200157</v>
      </c>
      <c r="E1506" s="2" t="s">
        <v>331</v>
      </c>
    </row>
    <row r="1507" spans="1:5" x14ac:dyDescent="0.3">
      <c r="A1507" s="2">
        <v>5750</v>
      </c>
      <c r="B1507" s="2" t="s">
        <v>1840</v>
      </c>
      <c r="C1507" s="2" t="s">
        <v>32</v>
      </c>
      <c r="D1507" s="483">
        <v>473246</v>
      </c>
      <c r="E1507" s="2" t="s">
        <v>331</v>
      </c>
    </row>
    <row r="1508" spans="1:5" x14ac:dyDescent="0.3">
      <c r="A1508" s="2">
        <v>5751</v>
      </c>
      <c r="B1508" s="2" t="s">
        <v>1841</v>
      </c>
      <c r="C1508" s="2" t="s">
        <v>32</v>
      </c>
      <c r="D1508" s="483">
        <v>2273623</v>
      </c>
      <c r="E1508" s="2" t="s">
        <v>331</v>
      </c>
    </row>
    <row r="1509" spans="1:5" x14ac:dyDescent="0.3">
      <c r="A1509" s="2">
        <v>5752</v>
      </c>
      <c r="B1509" s="2" t="s">
        <v>1842</v>
      </c>
      <c r="C1509" s="2" t="s">
        <v>32</v>
      </c>
      <c r="D1509" s="483">
        <v>727017</v>
      </c>
      <c r="E1509" s="2" t="s">
        <v>331</v>
      </c>
    </row>
    <row r="1510" spans="1:5" x14ac:dyDescent="0.3">
      <c r="A1510" s="2">
        <v>5753</v>
      </c>
      <c r="B1510" s="2" t="s">
        <v>1843</v>
      </c>
      <c r="C1510" s="2" t="s">
        <v>32</v>
      </c>
      <c r="D1510" s="483">
        <v>390249</v>
      </c>
      <c r="E1510" s="2" t="s">
        <v>331</v>
      </c>
    </row>
    <row r="1511" spans="1:5" x14ac:dyDescent="0.3">
      <c r="A1511" s="2">
        <v>5754</v>
      </c>
      <c r="B1511" s="2" t="s">
        <v>1844</v>
      </c>
      <c r="C1511" s="2" t="s">
        <v>32</v>
      </c>
      <c r="D1511" s="483">
        <v>676394</v>
      </c>
      <c r="E1511" s="2" t="s">
        <v>331</v>
      </c>
    </row>
    <row r="1512" spans="1:5" x14ac:dyDescent="0.3">
      <c r="A1512" s="2">
        <v>5759</v>
      </c>
      <c r="B1512" s="2" t="s">
        <v>1845</v>
      </c>
      <c r="C1512" s="2" t="s">
        <v>32</v>
      </c>
      <c r="D1512" s="483">
        <v>16172</v>
      </c>
      <c r="E1512" s="2" t="s">
        <v>324</v>
      </c>
    </row>
    <row r="1513" spans="1:5" x14ac:dyDescent="0.3">
      <c r="A1513" s="2">
        <v>5760</v>
      </c>
      <c r="B1513" s="2" t="s">
        <v>1846</v>
      </c>
      <c r="C1513" s="2" t="s">
        <v>328</v>
      </c>
      <c r="D1513" s="483">
        <v>22588</v>
      </c>
      <c r="E1513" s="2" t="s">
        <v>331</v>
      </c>
    </row>
    <row r="1514" spans="1:5" x14ac:dyDescent="0.3">
      <c r="A1514" s="2">
        <v>5761</v>
      </c>
      <c r="B1514" s="2" t="s">
        <v>1847</v>
      </c>
      <c r="C1514" s="2" t="s">
        <v>328</v>
      </c>
      <c r="D1514" s="483">
        <v>7125</v>
      </c>
      <c r="E1514" s="2" t="s">
        <v>324</v>
      </c>
    </row>
    <row r="1515" spans="1:5" x14ac:dyDescent="0.3">
      <c r="A1515" s="2">
        <v>5762</v>
      </c>
      <c r="B1515" s="2" t="s">
        <v>1848</v>
      </c>
      <c r="C1515" s="2" t="s">
        <v>32</v>
      </c>
      <c r="D1515" s="483">
        <v>47318</v>
      </c>
      <c r="E1515" s="2" t="s">
        <v>324</v>
      </c>
    </row>
    <row r="1516" spans="1:5" x14ac:dyDescent="0.3">
      <c r="A1516" s="2">
        <v>5763</v>
      </c>
      <c r="B1516" s="2" t="s">
        <v>1849</v>
      </c>
      <c r="C1516" s="2" t="s">
        <v>328</v>
      </c>
      <c r="D1516" s="483">
        <v>25297</v>
      </c>
      <c r="E1516" s="2" t="s">
        <v>324</v>
      </c>
    </row>
    <row r="1517" spans="1:5" x14ac:dyDescent="0.3">
      <c r="A1517" s="2">
        <v>5764</v>
      </c>
      <c r="B1517" s="2" t="s">
        <v>1850</v>
      </c>
      <c r="C1517" s="2" t="s">
        <v>328</v>
      </c>
      <c r="D1517" s="483">
        <v>5358</v>
      </c>
      <c r="E1517" s="2" t="s">
        <v>324</v>
      </c>
    </row>
    <row r="1518" spans="1:5" x14ac:dyDescent="0.3">
      <c r="A1518" s="2">
        <v>5765</v>
      </c>
      <c r="B1518" s="2" t="s">
        <v>1851</v>
      </c>
      <c r="C1518" s="2" t="s">
        <v>328</v>
      </c>
      <c r="D1518" s="483">
        <v>5736</v>
      </c>
      <c r="E1518" s="2" t="s">
        <v>324</v>
      </c>
    </row>
    <row r="1519" spans="1:5" x14ac:dyDescent="0.3">
      <c r="A1519" s="2">
        <v>5766</v>
      </c>
      <c r="B1519" s="2" t="s">
        <v>1852</v>
      </c>
      <c r="C1519" s="2" t="s">
        <v>32</v>
      </c>
      <c r="D1519" s="483">
        <v>16172</v>
      </c>
      <c r="E1519" s="2" t="s">
        <v>324</v>
      </c>
    </row>
    <row r="1520" spans="1:5" x14ac:dyDescent="0.3">
      <c r="A1520" s="2">
        <v>5767</v>
      </c>
      <c r="B1520" s="2" t="s">
        <v>1853</v>
      </c>
      <c r="C1520" s="2" t="s">
        <v>328</v>
      </c>
      <c r="D1520" s="483">
        <v>15063</v>
      </c>
      <c r="E1520" s="2" t="s">
        <v>324</v>
      </c>
    </row>
    <row r="1521" spans="1:5" x14ac:dyDescent="0.3">
      <c r="A1521" s="2">
        <v>5768</v>
      </c>
      <c r="B1521" s="2" t="s">
        <v>1854</v>
      </c>
      <c r="C1521" s="2" t="s">
        <v>32</v>
      </c>
      <c r="D1521" s="483">
        <v>22822</v>
      </c>
      <c r="E1521" s="2" t="s">
        <v>324</v>
      </c>
    </row>
    <row r="1522" spans="1:5" x14ac:dyDescent="0.3">
      <c r="A1522" s="2">
        <v>5769</v>
      </c>
      <c r="B1522" s="2" t="s">
        <v>1855</v>
      </c>
      <c r="C1522" s="2" t="s">
        <v>32</v>
      </c>
      <c r="D1522" s="483">
        <v>16172</v>
      </c>
      <c r="E1522" s="2" t="s">
        <v>324</v>
      </c>
    </row>
    <row r="1523" spans="1:5" x14ac:dyDescent="0.3">
      <c r="A1523" s="2">
        <v>5770</v>
      </c>
      <c r="B1523" s="2" t="s">
        <v>1856</v>
      </c>
      <c r="C1523" s="2" t="s">
        <v>32</v>
      </c>
      <c r="D1523" s="483">
        <v>41746</v>
      </c>
      <c r="E1523" s="2" t="s">
        <v>324</v>
      </c>
    </row>
    <row r="1524" spans="1:5" x14ac:dyDescent="0.3">
      <c r="A1524" s="2">
        <v>5771</v>
      </c>
      <c r="B1524" s="2" t="s">
        <v>1857</v>
      </c>
      <c r="C1524" s="2" t="s">
        <v>328</v>
      </c>
      <c r="D1524" s="483">
        <v>10492</v>
      </c>
      <c r="E1524" s="2" t="s">
        <v>324</v>
      </c>
    </row>
    <row r="1525" spans="1:5" x14ac:dyDescent="0.3">
      <c r="A1525" s="2">
        <v>5772</v>
      </c>
      <c r="B1525" s="2" t="s">
        <v>1858</v>
      </c>
      <c r="C1525" s="2" t="s">
        <v>32</v>
      </c>
      <c r="D1525" s="483">
        <v>16172</v>
      </c>
      <c r="E1525" s="2" t="s">
        <v>324</v>
      </c>
    </row>
    <row r="1526" spans="1:5" x14ac:dyDescent="0.3">
      <c r="A1526" s="2">
        <v>5773</v>
      </c>
      <c r="B1526" s="2" t="s">
        <v>1859</v>
      </c>
      <c r="C1526" s="2" t="s">
        <v>32</v>
      </c>
      <c r="D1526" s="483">
        <v>61766</v>
      </c>
      <c r="E1526" s="2" t="s">
        <v>324</v>
      </c>
    </row>
    <row r="1527" spans="1:5" x14ac:dyDescent="0.3">
      <c r="A1527" s="2">
        <v>5774</v>
      </c>
      <c r="B1527" s="2" t="s">
        <v>1860</v>
      </c>
      <c r="C1527" s="2" t="s">
        <v>328</v>
      </c>
      <c r="D1527" s="483">
        <v>11612</v>
      </c>
      <c r="E1527" s="2" t="s">
        <v>324</v>
      </c>
    </row>
    <row r="1528" spans="1:5" x14ac:dyDescent="0.3">
      <c r="A1528" s="2">
        <v>5775</v>
      </c>
      <c r="B1528" s="2" t="s">
        <v>1861</v>
      </c>
      <c r="C1528" s="2" t="s">
        <v>32</v>
      </c>
      <c r="D1528" s="483">
        <v>28483</v>
      </c>
      <c r="E1528" s="2" t="s">
        <v>324</v>
      </c>
    </row>
    <row r="1529" spans="1:5" x14ac:dyDescent="0.3">
      <c r="A1529" s="2">
        <v>5776</v>
      </c>
      <c r="B1529" s="2" t="s">
        <v>1862</v>
      </c>
      <c r="C1529" s="2" t="s">
        <v>328</v>
      </c>
      <c r="D1529" s="483">
        <v>10054</v>
      </c>
      <c r="E1529" s="2" t="s">
        <v>324</v>
      </c>
    </row>
    <row r="1530" spans="1:5" x14ac:dyDescent="0.3">
      <c r="A1530" s="2">
        <v>5777</v>
      </c>
      <c r="B1530" s="2" t="s">
        <v>1863</v>
      </c>
      <c r="C1530" s="2" t="s">
        <v>32</v>
      </c>
      <c r="D1530" s="483">
        <v>25471</v>
      </c>
      <c r="E1530" s="2" t="s">
        <v>324</v>
      </c>
    </row>
    <row r="1531" spans="1:5" x14ac:dyDescent="0.3">
      <c r="A1531" s="2">
        <v>5778</v>
      </c>
      <c r="B1531" s="2" t="s">
        <v>1864</v>
      </c>
      <c r="C1531" s="2" t="s">
        <v>32</v>
      </c>
      <c r="D1531" s="483">
        <v>374789</v>
      </c>
      <c r="E1531" s="2" t="s">
        <v>331</v>
      </c>
    </row>
    <row r="1532" spans="1:5" x14ac:dyDescent="0.3">
      <c r="A1532" s="2">
        <v>5779</v>
      </c>
      <c r="B1532" s="2" t="s">
        <v>1865</v>
      </c>
      <c r="C1532" s="2" t="s">
        <v>328</v>
      </c>
      <c r="D1532" s="483">
        <v>111712</v>
      </c>
      <c r="E1532" s="2" t="s">
        <v>331</v>
      </c>
    </row>
    <row r="1533" spans="1:5" x14ac:dyDescent="0.3">
      <c r="A1533" s="2">
        <v>5780</v>
      </c>
      <c r="B1533" s="2" t="s">
        <v>1866</v>
      </c>
      <c r="C1533" s="2" t="s">
        <v>328</v>
      </c>
      <c r="D1533" s="483">
        <v>80759</v>
      </c>
      <c r="E1533" s="2" t="s">
        <v>324</v>
      </c>
    </row>
    <row r="1534" spans="1:5" x14ac:dyDescent="0.3">
      <c r="A1534" s="2">
        <v>5781</v>
      </c>
      <c r="B1534" s="2" t="s">
        <v>1867</v>
      </c>
      <c r="C1534" s="2" t="s">
        <v>328</v>
      </c>
      <c r="D1534" s="483">
        <v>49934</v>
      </c>
      <c r="E1534" s="2" t="s">
        <v>324</v>
      </c>
    </row>
    <row r="1535" spans="1:5" x14ac:dyDescent="0.3">
      <c r="A1535" s="2">
        <v>5782</v>
      </c>
      <c r="B1535" s="2" t="s">
        <v>1868</v>
      </c>
      <c r="C1535" s="2" t="s">
        <v>328</v>
      </c>
      <c r="D1535" s="483">
        <v>49121</v>
      </c>
      <c r="E1535" s="2" t="s">
        <v>324</v>
      </c>
    </row>
    <row r="1536" spans="1:5" x14ac:dyDescent="0.3">
      <c r="A1536" s="2">
        <v>5783</v>
      </c>
      <c r="B1536" s="2" t="s">
        <v>1869</v>
      </c>
      <c r="C1536" s="2" t="s">
        <v>328</v>
      </c>
      <c r="D1536" s="483">
        <v>35033</v>
      </c>
      <c r="E1536" s="2" t="s">
        <v>331</v>
      </c>
    </row>
    <row r="1537" spans="1:5" x14ac:dyDescent="0.3">
      <c r="A1537" s="2">
        <v>5784</v>
      </c>
      <c r="B1537" s="2" t="s">
        <v>1870</v>
      </c>
      <c r="C1537" s="2" t="s">
        <v>328</v>
      </c>
      <c r="D1537" s="483">
        <v>39618</v>
      </c>
      <c r="E1537" s="2" t="s">
        <v>331</v>
      </c>
    </row>
    <row r="1538" spans="1:5" x14ac:dyDescent="0.3">
      <c r="A1538" s="2">
        <v>5785</v>
      </c>
      <c r="B1538" s="2" t="s">
        <v>1871</v>
      </c>
      <c r="C1538" s="2" t="s">
        <v>328</v>
      </c>
      <c r="D1538" s="483">
        <v>123138</v>
      </c>
      <c r="E1538" s="2" t="s">
        <v>331</v>
      </c>
    </row>
    <row r="1539" spans="1:5" x14ac:dyDescent="0.3">
      <c r="A1539" s="2">
        <v>5786</v>
      </c>
      <c r="B1539" s="2" t="s">
        <v>1872</v>
      </c>
      <c r="C1539" s="2" t="s">
        <v>328</v>
      </c>
      <c r="D1539" s="483">
        <v>225267</v>
      </c>
      <c r="E1539" s="2" t="s">
        <v>331</v>
      </c>
    </row>
    <row r="1540" spans="1:5" x14ac:dyDescent="0.3">
      <c r="A1540" s="2">
        <v>5788</v>
      </c>
      <c r="B1540" s="2" t="s">
        <v>1873</v>
      </c>
      <c r="C1540" s="2" t="s">
        <v>32</v>
      </c>
      <c r="D1540" s="483">
        <v>314175</v>
      </c>
      <c r="E1540" s="2" t="s">
        <v>324</v>
      </c>
    </row>
    <row r="1541" spans="1:5" x14ac:dyDescent="0.3">
      <c r="A1541" s="2">
        <v>5789</v>
      </c>
      <c r="B1541" s="2" t="s">
        <v>1874</v>
      </c>
      <c r="C1541" s="2" t="s">
        <v>32</v>
      </c>
      <c r="D1541" s="483">
        <v>303568</v>
      </c>
      <c r="E1541" s="2" t="s">
        <v>324</v>
      </c>
    </row>
    <row r="1542" spans="1:5" x14ac:dyDescent="0.3">
      <c r="A1542" s="2">
        <v>5790</v>
      </c>
      <c r="B1542" s="2" t="s">
        <v>1875</v>
      </c>
      <c r="C1542" s="2" t="s">
        <v>32</v>
      </c>
      <c r="D1542" s="483">
        <v>178925</v>
      </c>
      <c r="E1542" s="2" t="s">
        <v>324</v>
      </c>
    </row>
    <row r="1543" spans="1:5" x14ac:dyDescent="0.3">
      <c r="A1543" s="2">
        <v>5791</v>
      </c>
      <c r="B1543" s="2" t="s">
        <v>1876</v>
      </c>
      <c r="C1543" s="2" t="s">
        <v>32</v>
      </c>
      <c r="D1543" s="483">
        <v>104522</v>
      </c>
      <c r="E1543" s="2" t="s">
        <v>324</v>
      </c>
    </row>
    <row r="1544" spans="1:5" x14ac:dyDescent="0.3">
      <c r="A1544" s="2">
        <v>5792</v>
      </c>
      <c r="B1544" s="2" t="s">
        <v>1877</v>
      </c>
      <c r="C1544" s="2" t="s">
        <v>328</v>
      </c>
      <c r="D1544" s="483">
        <v>56323</v>
      </c>
      <c r="E1544" s="2" t="s">
        <v>324</v>
      </c>
    </row>
    <row r="1545" spans="1:5" x14ac:dyDescent="0.3">
      <c r="A1545" s="2">
        <v>5793</v>
      </c>
      <c r="B1545" s="2" t="s">
        <v>1878</v>
      </c>
      <c r="C1545" s="2" t="s">
        <v>328</v>
      </c>
      <c r="D1545" s="483">
        <v>87447</v>
      </c>
      <c r="E1545" s="2" t="s">
        <v>331</v>
      </c>
    </row>
    <row r="1546" spans="1:5" x14ac:dyDescent="0.3">
      <c r="A1546" s="2">
        <v>5794</v>
      </c>
      <c r="B1546" s="2" t="s">
        <v>1879</v>
      </c>
      <c r="C1546" s="2" t="s">
        <v>328</v>
      </c>
      <c r="D1546" s="483">
        <v>175788</v>
      </c>
      <c r="E1546" s="2" t="s">
        <v>324</v>
      </c>
    </row>
    <row r="1547" spans="1:5" x14ac:dyDescent="0.3">
      <c r="A1547" s="2">
        <v>5798</v>
      </c>
      <c r="B1547" s="2" t="s">
        <v>1880</v>
      </c>
      <c r="C1547" s="2" t="s">
        <v>21</v>
      </c>
      <c r="D1547" s="483">
        <v>540730</v>
      </c>
      <c r="E1547" s="2" t="s">
        <v>331</v>
      </c>
    </row>
    <row r="1548" spans="1:5" x14ac:dyDescent="0.3">
      <c r="A1548" s="2">
        <v>5799</v>
      </c>
      <c r="B1548" s="2" t="s">
        <v>1881</v>
      </c>
      <c r="C1548" s="2" t="s">
        <v>21</v>
      </c>
      <c r="D1548" s="483">
        <v>121238</v>
      </c>
      <c r="E1548" s="2" t="s">
        <v>331</v>
      </c>
    </row>
    <row r="1549" spans="1:5" x14ac:dyDescent="0.3">
      <c r="A1549" s="2">
        <v>5800</v>
      </c>
      <c r="B1549" s="2" t="s">
        <v>1882</v>
      </c>
      <c r="C1549" s="2" t="s">
        <v>21</v>
      </c>
      <c r="D1549" s="483">
        <v>423773</v>
      </c>
      <c r="E1549" s="2" t="s">
        <v>331</v>
      </c>
    </row>
    <row r="1550" spans="1:5" x14ac:dyDescent="0.3">
      <c r="A1550" s="2">
        <v>5801</v>
      </c>
      <c r="B1550" s="2" t="s">
        <v>1883</v>
      </c>
      <c r="C1550" s="2" t="s">
        <v>21</v>
      </c>
      <c r="D1550" s="483">
        <v>286511</v>
      </c>
      <c r="E1550" s="2" t="s">
        <v>331</v>
      </c>
    </row>
    <row r="1551" spans="1:5" x14ac:dyDescent="0.3">
      <c r="A1551" s="2">
        <v>5802</v>
      </c>
      <c r="B1551" s="2" t="s">
        <v>1884</v>
      </c>
      <c r="C1551" s="2" t="s">
        <v>21</v>
      </c>
      <c r="D1551" s="483">
        <v>259007</v>
      </c>
      <c r="E1551" s="2" t="s">
        <v>331</v>
      </c>
    </row>
    <row r="1552" spans="1:5" x14ac:dyDescent="0.3">
      <c r="A1552" s="2">
        <v>5825</v>
      </c>
      <c r="B1552" s="2" t="s">
        <v>1885</v>
      </c>
      <c r="C1552" s="2" t="s">
        <v>32</v>
      </c>
      <c r="D1552" s="483">
        <v>1053688</v>
      </c>
      <c r="E1552" s="2" t="s">
        <v>324</v>
      </c>
    </row>
    <row r="1553" spans="1:5" x14ac:dyDescent="0.3">
      <c r="A1553" s="2">
        <v>5826</v>
      </c>
      <c r="B1553" s="2" t="s">
        <v>1886</v>
      </c>
      <c r="C1553" s="2" t="s">
        <v>32</v>
      </c>
      <c r="D1553" s="483">
        <v>1131374</v>
      </c>
      <c r="E1553" s="2" t="s">
        <v>324</v>
      </c>
    </row>
    <row r="1554" spans="1:5" x14ac:dyDescent="0.3">
      <c r="A1554" s="2">
        <v>5827</v>
      </c>
      <c r="B1554" s="2" t="s">
        <v>1887</v>
      </c>
      <c r="C1554" s="2" t="s">
        <v>32</v>
      </c>
      <c r="D1554" s="483">
        <v>256943</v>
      </c>
      <c r="E1554" s="2" t="s">
        <v>324</v>
      </c>
    </row>
    <row r="1555" spans="1:5" x14ac:dyDescent="0.3">
      <c r="A1555" s="2">
        <v>5831</v>
      </c>
      <c r="B1555" s="2" t="s">
        <v>1888</v>
      </c>
      <c r="C1555" s="2" t="s">
        <v>328</v>
      </c>
      <c r="D1555" s="483">
        <v>51547</v>
      </c>
      <c r="E1555" s="2" t="s">
        <v>331</v>
      </c>
    </row>
    <row r="1556" spans="1:5" x14ac:dyDescent="0.3">
      <c r="A1556" s="2">
        <v>5832</v>
      </c>
      <c r="B1556" s="2" t="s">
        <v>1889</v>
      </c>
      <c r="C1556" s="2" t="s">
        <v>328</v>
      </c>
      <c r="D1556" s="483">
        <v>45918</v>
      </c>
      <c r="E1556" s="2" t="s">
        <v>324</v>
      </c>
    </row>
    <row r="1557" spans="1:5" x14ac:dyDescent="0.3">
      <c r="A1557" s="2">
        <v>5833</v>
      </c>
      <c r="B1557" s="2" t="s">
        <v>1890</v>
      </c>
      <c r="C1557" s="2" t="s">
        <v>328</v>
      </c>
      <c r="D1557" s="483">
        <v>94099</v>
      </c>
      <c r="E1557" s="2" t="s">
        <v>331</v>
      </c>
    </row>
    <row r="1558" spans="1:5" x14ac:dyDescent="0.3">
      <c r="A1558" s="2">
        <v>5834</v>
      </c>
      <c r="B1558" s="2" t="s">
        <v>1891</v>
      </c>
      <c r="C1558" s="2" t="s">
        <v>328</v>
      </c>
      <c r="D1558" s="483">
        <v>34220</v>
      </c>
      <c r="E1558" s="2" t="s">
        <v>331</v>
      </c>
    </row>
    <row r="1559" spans="1:5" x14ac:dyDescent="0.3">
      <c r="A1559" s="2">
        <v>5835</v>
      </c>
      <c r="B1559" s="2" t="s">
        <v>1892</v>
      </c>
      <c r="C1559" s="2" t="s">
        <v>328</v>
      </c>
      <c r="D1559" s="483">
        <v>70809</v>
      </c>
      <c r="E1559" s="2" t="s">
        <v>324</v>
      </c>
    </row>
    <row r="1560" spans="1:5" x14ac:dyDescent="0.3">
      <c r="A1560" s="2">
        <v>5836</v>
      </c>
      <c r="B1560" s="2" t="s">
        <v>1893</v>
      </c>
      <c r="C1560" s="2" t="s">
        <v>328</v>
      </c>
      <c r="D1560" s="483">
        <v>98180</v>
      </c>
      <c r="E1560" s="2" t="s">
        <v>331</v>
      </c>
    </row>
    <row r="1561" spans="1:5" x14ac:dyDescent="0.3">
      <c r="A1561" s="2">
        <v>5837</v>
      </c>
      <c r="B1561" s="2" t="s">
        <v>1894</v>
      </c>
      <c r="C1561" s="2" t="s">
        <v>328</v>
      </c>
      <c r="D1561" s="483">
        <v>63554</v>
      </c>
      <c r="E1561" s="2" t="s">
        <v>331</v>
      </c>
    </row>
    <row r="1562" spans="1:5" x14ac:dyDescent="0.3">
      <c r="A1562" s="2">
        <v>5838</v>
      </c>
      <c r="B1562" s="2" t="s">
        <v>1895</v>
      </c>
      <c r="C1562" s="2" t="s">
        <v>328</v>
      </c>
      <c r="D1562" s="483">
        <v>178422</v>
      </c>
      <c r="E1562" s="2" t="s">
        <v>324</v>
      </c>
    </row>
    <row r="1563" spans="1:5" x14ac:dyDescent="0.3">
      <c r="A1563" s="2">
        <v>5839</v>
      </c>
      <c r="B1563" s="2" t="s">
        <v>1896</v>
      </c>
      <c r="C1563" s="2" t="s">
        <v>328</v>
      </c>
      <c r="D1563" s="483">
        <v>142782</v>
      </c>
      <c r="E1563" s="2" t="s">
        <v>331</v>
      </c>
    </row>
    <row r="1564" spans="1:5" x14ac:dyDescent="0.3">
      <c r="A1564" s="2">
        <v>5840</v>
      </c>
      <c r="B1564" s="2" t="s">
        <v>1897</v>
      </c>
      <c r="C1564" s="2" t="s">
        <v>328</v>
      </c>
      <c r="D1564" s="483">
        <v>28501</v>
      </c>
      <c r="E1564" s="2" t="s">
        <v>331</v>
      </c>
    </row>
    <row r="1565" spans="1:5" x14ac:dyDescent="0.3">
      <c r="A1565" s="2">
        <v>5841</v>
      </c>
      <c r="B1565" s="2" t="s">
        <v>1898</v>
      </c>
      <c r="C1565" s="2" t="s">
        <v>328</v>
      </c>
      <c r="D1565" s="483">
        <v>181597</v>
      </c>
      <c r="E1565" s="2" t="s">
        <v>331</v>
      </c>
    </row>
    <row r="1566" spans="1:5" x14ac:dyDescent="0.3">
      <c r="A1566" s="2">
        <v>5842</v>
      </c>
      <c r="B1566" s="2" t="s">
        <v>1899</v>
      </c>
      <c r="C1566" s="2" t="s">
        <v>30</v>
      </c>
      <c r="D1566" s="483">
        <v>27100</v>
      </c>
      <c r="E1566" s="2" t="s">
        <v>331</v>
      </c>
    </row>
    <row r="1567" spans="1:5" x14ac:dyDescent="0.3">
      <c r="A1567" s="2">
        <v>5843</v>
      </c>
      <c r="B1567" s="2" t="s">
        <v>1900</v>
      </c>
      <c r="C1567" s="2" t="s">
        <v>21</v>
      </c>
      <c r="D1567" s="483">
        <v>32622</v>
      </c>
      <c r="E1567" s="2" t="s">
        <v>324</v>
      </c>
    </row>
    <row r="1568" spans="1:5" x14ac:dyDescent="0.3">
      <c r="A1568" s="2">
        <v>5844</v>
      </c>
      <c r="B1568" s="2" t="s">
        <v>1901</v>
      </c>
      <c r="C1568" s="2" t="s">
        <v>21</v>
      </c>
      <c r="D1568" s="483">
        <v>27450</v>
      </c>
      <c r="E1568" s="2" t="s">
        <v>324</v>
      </c>
    </row>
    <row r="1569" spans="1:5" x14ac:dyDescent="0.3">
      <c r="A1569" s="2">
        <v>5845</v>
      </c>
      <c r="B1569" s="2" t="s">
        <v>1902</v>
      </c>
      <c r="C1569" s="2" t="s">
        <v>328</v>
      </c>
      <c r="D1569" s="483">
        <v>120054</v>
      </c>
      <c r="E1569" s="2" t="s">
        <v>324</v>
      </c>
    </row>
    <row r="1570" spans="1:5" x14ac:dyDescent="0.3">
      <c r="A1570" s="2">
        <v>5846</v>
      </c>
      <c r="B1570" s="2" t="s">
        <v>1903</v>
      </c>
      <c r="C1570" s="2" t="s">
        <v>32</v>
      </c>
      <c r="D1570" s="483">
        <v>201026</v>
      </c>
      <c r="E1570" s="2" t="s">
        <v>324</v>
      </c>
    </row>
    <row r="1571" spans="1:5" x14ac:dyDescent="0.3">
      <c r="A1571" s="2">
        <v>5847</v>
      </c>
      <c r="B1571" s="2" t="s">
        <v>1904</v>
      </c>
      <c r="C1571" s="2" t="s">
        <v>32</v>
      </c>
      <c r="D1571" s="483">
        <v>217553</v>
      </c>
      <c r="E1571" s="2" t="s">
        <v>324</v>
      </c>
    </row>
    <row r="1572" spans="1:5" x14ac:dyDescent="0.3">
      <c r="A1572" s="2">
        <v>5848</v>
      </c>
      <c r="B1572" s="2" t="s">
        <v>1905</v>
      </c>
      <c r="C1572" s="2" t="s">
        <v>32</v>
      </c>
      <c r="D1572" s="483">
        <v>59640</v>
      </c>
      <c r="E1572" s="2" t="s">
        <v>324</v>
      </c>
    </row>
    <row r="1573" spans="1:5" x14ac:dyDescent="0.3">
      <c r="A1573" s="2">
        <v>5850</v>
      </c>
      <c r="B1573" s="2" t="s">
        <v>1906</v>
      </c>
      <c r="C1573" s="2" t="s">
        <v>32</v>
      </c>
      <c r="D1573" s="483">
        <v>240619</v>
      </c>
      <c r="E1573" s="2" t="s">
        <v>324</v>
      </c>
    </row>
    <row r="1574" spans="1:5" x14ac:dyDescent="0.3">
      <c r="A1574" s="2">
        <v>5851</v>
      </c>
      <c r="B1574" s="2" t="s">
        <v>1907</v>
      </c>
      <c r="C1574" s="2" t="s">
        <v>32</v>
      </c>
      <c r="D1574" s="483">
        <v>646755</v>
      </c>
      <c r="E1574" s="2" t="s">
        <v>324</v>
      </c>
    </row>
    <row r="1575" spans="1:5" x14ac:dyDescent="0.3">
      <c r="A1575" s="2">
        <v>5852</v>
      </c>
      <c r="B1575" s="2" t="s">
        <v>1908</v>
      </c>
      <c r="C1575" s="2" t="s">
        <v>32</v>
      </c>
      <c r="D1575" s="483">
        <v>498996</v>
      </c>
      <c r="E1575" s="2" t="s">
        <v>324</v>
      </c>
    </row>
    <row r="1576" spans="1:5" x14ac:dyDescent="0.3">
      <c r="A1576" s="2">
        <v>5854</v>
      </c>
      <c r="B1576" s="2" t="s">
        <v>1909</v>
      </c>
      <c r="C1576" s="2" t="s">
        <v>32</v>
      </c>
      <c r="D1576" s="483">
        <v>230059</v>
      </c>
      <c r="E1576" s="2" t="s">
        <v>324</v>
      </c>
    </row>
    <row r="1577" spans="1:5" x14ac:dyDescent="0.3">
      <c r="A1577" s="2">
        <v>5856</v>
      </c>
      <c r="B1577" s="2" t="s">
        <v>1910</v>
      </c>
      <c r="C1577" s="2" t="s">
        <v>21</v>
      </c>
      <c r="D1577" s="483">
        <v>164324</v>
      </c>
      <c r="E1577" s="2" t="s">
        <v>324</v>
      </c>
    </row>
    <row r="1578" spans="1:5" x14ac:dyDescent="0.3">
      <c r="A1578" s="2">
        <v>5858</v>
      </c>
      <c r="B1578" s="2" t="s">
        <v>1911</v>
      </c>
      <c r="C1578" s="2" t="s">
        <v>328</v>
      </c>
      <c r="D1578" s="483">
        <v>96764</v>
      </c>
      <c r="E1578" s="2" t="s">
        <v>324</v>
      </c>
    </row>
    <row r="1579" spans="1:5" x14ac:dyDescent="0.3">
      <c r="A1579" s="2">
        <v>5860</v>
      </c>
      <c r="B1579" s="2" t="s">
        <v>1912</v>
      </c>
      <c r="C1579" s="2" t="s">
        <v>21</v>
      </c>
      <c r="D1579" s="483">
        <v>103735</v>
      </c>
      <c r="E1579" s="2" t="s">
        <v>324</v>
      </c>
    </row>
    <row r="1580" spans="1:5" x14ac:dyDescent="0.3">
      <c r="A1580" s="2">
        <v>5862</v>
      </c>
      <c r="B1580" s="2" t="s">
        <v>1913</v>
      </c>
      <c r="C1580" s="2" t="s">
        <v>328</v>
      </c>
      <c r="D1580" s="483">
        <v>50851</v>
      </c>
      <c r="E1580" s="2" t="s">
        <v>324</v>
      </c>
    </row>
    <row r="1581" spans="1:5" x14ac:dyDescent="0.3">
      <c r="A1581" s="2">
        <v>5864</v>
      </c>
      <c r="B1581" s="2" t="s">
        <v>1914</v>
      </c>
      <c r="C1581" s="2" t="s">
        <v>328</v>
      </c>
      <c r="D1581" s="483">
        <v>50851</v>
      </c>
      <c r="E1581" s="2" t="s">
        <v>324</v>
      </c>
    </row>
    <row r="1582" spans="1:5" x14ac:dyDescent="0.3">
      <c r="A1582" s="2">
        <v>5866</v>
      </c>
      <c r="B1582" s="2" t="s">
        <v>1915</v>
      </c>
      <c r="C1582" s="2" t="s">
        <v>32</v>
      </c>
      <c r="D1582" s="483">
        <v>896199</v>
      </c>
      <c r="E1582" s="2" t="s">
        <v>324</v>
      </c>
    </row>
    <row r="1583" spans="1:5" x14ac:dyDescent="0.3">
      <c r="A1583" s="2">
        <v>5868</v>
      </c>
      <c r="B1583" s="2" t="s">
        <v>1916</v>
      </c>
      <c r="C1583" s="2" t="s">
        <v>21</v>
      </c>
      <c r="D1583" s="483">
        <v>155748</v>
      </c>
      <c r="E1583" s="2" t="s">
        <v>324</v>
      </c>
    </row>
    <row r="1584" spans="1:5" x14ac:dyDescent="0.3">
      <c r="A1584" s="2">
        <v>5870</v>
      </c>
      <c r="B1584" s="2" t="s">
        <v>1917</v>
      </c>
      <c r="C1584" s="2" t="s">
        <v>32</v>
      </c>
      <c r="D1584" s="483">
        <v>52748</v>
      </c>
      <c r="E1584" s="2" t="s">
        <v>324</v>
      </c>
    </row>
    <row r="1585" spans="1:5" x14ac:dyDescent="0.3">
      <c r="A1585" s="2">
        <v>5871</v>
      </c>
      <c r="B1585" s="2" t="s">
        <v>1918</v>
      </c>
      <c r="C1585" s="2" t="s">
        <v>32</v>
      </c>
      <c r="D1585" s="483">
        <v>540087</v>
      </c>
      <c r="E1585" s="2" t="s">
        <v>331</v>
      </c>
    </row>
    <row r="1586" spans="1:5" x14ac:dyDescent="0.3">
      <c r="A1586" s="2">
        <v>5872</v>
      </c>
      <c r="B1586" s="2" t="s">
        <v>1919</v>
      </c>
      <c r="C1586" s="2" t="s">
        <v>32</v>
      </c>
      <c r="D1586" s="483">
        <v>566337</v>
      </c>
      <c r="E1586" s="2" t="s">
        <v>331</v>
      </c>
    </row>
    <row r="1587" spans="1:5" x14ac:dyDescent="0.3">
      <c r="A1587" s="2">
        <v>5873</v>
      </c>
      <c r="B1587" s="2" t="s">
        <v>1920</v>
      </c>
      <c r="C1587" s="2" t="s">
        <v>32</v>
      </c>
      <c r="D1587" s="483">
        <v>30323</v>
      </c>
      <c r="E1587" s="2" t="s">
        <v>331</v>
      </c>
    </row>
    <row r="1588" spans="1:5" x14ac:dyDescent="0.3">
      <c r="A1588" s="2">
        <v>5874</v>
      </c>
      <c r="B1588" s="2" t="s">
        <v>1921</v>
      </c>
      <c r="C1588" s="2" t="s">
        <v>32</v>
      </c>
      <c r="D1588" s="483">
        <v>258340</v>
      </c>
      <c r="E1588" s="2" t="s">
        <v>331</v>
      </c>
    </row>
    <row r="1589" spans="1:5" x14ac:dyDescent="0.3">
      <c r="A1589" s="2">
        <v>5875</v>
      </c>
      <c r="B1589" s="2" t="s">
        <v>1922</v>
      </c>
      <c r="C1589" s="2" t="s">
        <v>32</v>
      </c>
      <c r="D1589" s="483">
        <v>213022</v>
      </c>
      <c r="E1589" s="2" t="s">
        <v>331</v>
      </c>
    </row>
    <row r="1590" spans="1:5" x14ac:dyDescent="0.3">
      <c r="A1590" s="2">
        <v>5876</v>
      </c>
      <c r="B1590" s="2" t="s">
        <v>1923</v>
      </c>
      <c r="C1590" s="2" t="s">
        <v>32</v>
      </c>
      <c r="D1590" s="483">
        <v>342662</v>
      </c>
      <c r="E1590" s="2" t="s">
        <v>331</v>
      </c>
    </row>
    <row r="1591" spans="1:5" x14ac:dyDescent="0.3">
      <c r="A1591" s="2">
        <v>5877</v>
      </c>
      <c r="B1591" s="2" t="s">
        <v>1924</v>
      </c>
      <c r="C1591" s="2" t="s">
        <v>32</v>
      </c>
      <c r="D1591" s="483">
        <v>80624</v>
      </c>
      <c r="E1591" s="2" t="s">
        <v>324</v>
      </c>
    </row>
    <row r="1592" spans="1:5" x14ac:dyDescent="0.3">
      <c r="A1592" s="2">
        <v>5878</v>
      </c>
      <c r="B1592" s="2" t="s">
        <v>1925</v>
      </c>
      <c r="C1592" s="2" t="s">
        <v>32</v>
      </c>
      <c r="D1592" s="483">
        <v>3766174</v>
      </c>
      <c r="E1592" s="2" t="s">
        <v>331</v>
      </c>
    </row>
    <row r="1593" spans="1:5" x14ac:dyDescent="0.3">
      <c r="A1593" s="2">
        <v>5879</v>
      </c>
      <c r="B1593" s="2" t="s">
        <v>1926</v>
      </c>
      <c r="C1593" s="2" t="s">
        <v>32</v>
      </c>
      <c r="D1593" s="483">
        <v>376840</v>
      </c>
      <c r="E1593" s="2" t="s">
        <v>331</v>
      </c>
    </row>
    <row r="1594" spans="1:5" x14ac:dyDescent="0.3">
      <c r="A1594" s="2">
        <v>5880</v>
      </c>
      <c r="B1594" s="2" t="s">
        <v>1927</v>
      </c>
      <c r="C1594" s="2" t="s">
        <v>32</v>
      </c>
      <c r="D1594" s="483">
        <v>471045</v>
      </c>
      <c r="E1594" s="2" t="s">
        <v>331</v>
      </c>
    </row>
    <row r="1595" spans="1:5" x14ac:dyDescent="0.3">
      <c r="A1595" s="2">
        <v>5881</v>
      </c>
      <c r="B1595" s="2" t="s">
        <v>1928</v>
      </c>
      <c r="C1595" s="2" t="s">
        <v>32</v>
      </c>
      <c r="D1595" s="483">
        <v>4035</v>
      </c>
      <c r="E1595" s="2" t="s">
        <v>324</v>
      </c>
    </row>
    <row r="1596" spans="1:5" x14ac:dyDescent="0.3">
      <c r="A1596" s="2">
        <v>5882</v>
      </c>
      <c r="B1596" s="2" t="s">
        <v>1929</v>
      </c>
      <c r="C1596" s="2" t="s">
        <v>32</v>
      </c>
      <c r="D1596" s="483">
        <v>168812</v>
      </c>
      <c r="E1596" s="2" t="s">
        <v>331</v>
      </c>
    </row>
    <row r="1597" spans="1:5" x14ac:dyDescent="0.3">
      <c r="A1597" s="2">
        <v>5883</v>
      </c>
      <c r="B1597" s="2" t="s">
        <v>1930</v>
      </c>
      <c r="C1597" s="2" t="s">
        <v>32</v>
      </c>
      <c r="D1597" s="483">
        <v>12239</v>
      </c>
      <c r="E1597" s="2" t="s">
        <v>324</v>
      </c>
    </row>
    <row r="1598" spans="1:5" x14ac:dyDescent="0.3">
      <c r="A1598" s="2">
        <v>5884</v>
      </c>
      <c r="B1598" s="2" t="s">
        <v>1931</v>
      </c>
      <c r="C1598" s="2" t="s">
        <v>32</v>
      </c>
      <c r="D1598" s="483">
        <v>102924</v>
      </c>
      <c r="E1598" s="2" t="s">
        <v>324</v>
      </c>
    </row>
    <row r="1599" spans="1:5" x14ac:dyDescent="0.3">
      <c r="A1599" s="2">
        <v>5885</v>
      </c>
      <c r="B1599" s="2" t="s">
        <v>1932</v>
      </c>
      <c r="C1599" s="2" t="s">
        <v>32</v>
      </c>
      <c r="D1599" s="483">
        <v>112482</v>
      </c>
      <c r="E1599" s="2" t="s">
        <v>324</v>
      </c>
    </row>
    <row r="1600" spans="1:5" x14ac:dyDescent="0.3">
      <c r="A1600" s="2">
        <v>5886</v>
      </c>
      <c r="B1600" s="2" t="s">
        <v>1933</v>
      </c>
      <c r="C1600" s="2" t="s">
        <v>328</v>
      </c>
      <c r="D1600" s="483">
        <v>368945</v>
      </c>
      <c r="E1600" s="2" t="s">
        <v>331</v>
      </c>
    </row>
    <row r="1601" spans="1:5" x14ac:dyDescent="0.3">
      <c r="A1601" s="2">
        <v>5887</v>
      </c>
      <c r="B1601" s="2" t="s">
        <v>1934</v>
      </c>
      <c r="C1601" s="2" t="s">
        <v>328</v>
      </c>
      <c r="D1601" s="483">
        <v>680994</v>
      </c>
      <c r="E1601" s="2" t="s">
        <v>331</v>
      </c>
    </row>
    <row r="1602" spans="1:5" x14ac:dyDescent="0.3">
      <c r="A1602" s="2">
        <v>5888</v>
      </c>
      <c r="B1602" s="2" t="s">
        <v>1935</v>
      </c>
      <c r="C1602" s="2" t="s">
        <v>328</v>
      </c>
      <c r="D1602" s="483">
        <v>820305</v>
      </c>
      <c r="E1602" s="2" t="s">
        <v>331</v>
      </c>
    </row>
    <row r="1603" spans="1:5" x14ac:dyDescent="0.3">
      <c r="A1603" s="2">
        <v>5889</v>
      </c>
      <c r="B1603" s="2" t="s">
        <v>1936</v>
      </c>
      <c r="C1603" s="2" t="s">
        <v>328</v>
      </c>
      <c r="D1603" s="483">
        <v>949622</v>
      </c>
      <c r="E1603" s="2" t="s">
        <v>331</v>
      </c>
    </row>
    <row r="1604" spans="1:5" x14ac:dyDescent="0.3">
      <c r="A1604" s="2">
        <v>5890</v>
      </c>
      <c r="B1604" s="2" t="s">
        <v>1937</v>
      </c>
      <c r="C1604" s="2" t="s">
        <v>21</v>
      </c>
      <c r="D1604" s="483">
        <v>35223</v>
      </c>
      <c r="E1604" s="2" t="s">
        <v>331</v>
      </c>
    </row>
    <row r="1605" spans="1:5" x14ac:dyDescent="0.3">
      <c r="A1605" s="2">
        <v>5891</v>
      </c>
      <c r="B1605" s="2" t="s">
        <v>1938</v>
      </c>
      <c r="C1605" s="2" t="s">
        <v>30</v>
      </c>
      <c r="D1605" s="483">
        <v>6289</v>
      </c>
      <c r="E1605" s="2" t="s">
        <v>331</v>
      </c>
    </row>
    <row r="1606" spans="1:5" x14ac:dyDescent="0.3">
      <c r="A1606" s="2">
        <v>5892</v>
      </c>
      <c r="B1606" s="2" t="s">
        <v>1939</v>
      </c>
      <c r="C1606" s="2" t="s">
        <v>32</v>
      </c>
      <c r="D1606" s="483">
        <v>418768</v>
      </c>
      <c r="E1606" s="2" t="s">
        <v>331</v>
      </c>
    </row>
    <row r="1607" spans="1:5" x14ac:dyDescent="0.3">
      <c r="A1607" s="2">
        <v>5893</v>
      </c>
      <c r="B1607" s="2" t="s">
        <v>1940</v>
      </c>
      <c r="C1607" s="2" t="s">
        <v>32</v>
      </c>
      <c r="D1607" s="483">
        <v>471135</v>
      </c>
      <c r="E1607" s="2" t="s">
        <v>331</v>
      </c>
    </row>
    <row r="1608" spans="1:5" x14ac:dyDescent="0.3">
      <c r="A1608" s="2">
        <v>5894</v>
      </c>
      <c r="B1608" s="2" t="s">
        <v>1941</v>
      </c>
      <c r="C1608" s="2" t="s">
        <v>32</v>
      </c>
      <c r="D1608" s="483">
        <v>2369665</v>
      </c>
      <c r="E1608" s="2" t="s">
        <v>331</v>
      </c>
    </row>
    <row r="1609" spans="1:5" x14ac:dyDescent="0.3">
      <c r="A1609" s="2">
        <v>5921</v>
      </c>
      <c r="B1609" s="2" t="s">
        <v>1942</v>
      </c>
      <c r="C1609" s="2" t="s">
        <v>32</v>
      </c>
      <c r="D1609" s="483">
        <v>526244</v>
      </c>
      <c r="E1609" s="2" t="s">
        <v>331</v>
      </c>
    </row>
    <row r="1610" spans="1:5" x14ac:dyDescent="0.3">
      <c r="A1610" s="2">
        <v>5922</v>
      </c>
      <c r="B1610" s="2" t="s">
        <v>1943</v>
      </c>
      <c r="C1610" s="2" t="s">
        <v>32</v>
      </c>
      <c r="D1610" s="483">
        <v>87966</v>
      </c>
      <c r="E1610" s="2" t="s">
        <v>331</v>
      </c>
    </row>
    <row r="1611" spans="1:5" x14ac:dyDescent="0.3">
      <c r="A1611" s="2">
        <v>5923</v>
      </c>
      <c r="B1611" s="2" t="s">
        <v>1944</v>
      </c>
      <c r="C1611" s="2" t="s">
        <v>32</v>
      </c>
      <c r="D1611" s="483">
        <v>106152</v>
      </c>
      <c r="E1611" s="2" t="s">
        <v>331</v>
      </c>
    </row>
    <row r="1612" spans="1:5" x14ac:dyDescent="0.3">
      <c r="A1612" s="2">
        <v>5924</v>
      </c>
      <c r="B1612" s="2" t="s">
        <v>1945</v>
      </c>
      <c r="C1612" s="2" t="s">
        <v>32</v>
      </c>
      <c r="D1612" s="483">
        <v>26320</v>
      </c>
      <c r="E1612" s="2" t="s">
        <v>331</v>
      </c>
    </row>
    <row r="1613" spans="1:5" x14ac:dyDescent="0.3">
      <c r="A1613" s="2">
        <v>5927</v>
      </c>
      <c r="B1613" s="2" t="s">
        <v>1946</v>
      </c>
      <c r="C1613" s="2" t="s">
        <v>32</v>
      </c>
      <c r="D1613" s="483">
        <v>553587</v>
      </c>
      <c r="E1613" s="2" t="s">
        <v>331</v>
      </c>
    </row>
    <row r="1614" spans="1:5" x14ac:dyDescent="0.3">
      <c r="A1614" s="2">
        <v>5928</v>
      </c>
      <c r="B1614" s="2" t="s">
        <v>1947</v>
      </c>
      <c r="C1614" s="2" t="s">
        <v>254</v>
      </c>
      <c r="D1614" s="483">
        <v>28407</v>
      </c>
      <c r="E1614" s="2" t="s">
        <v>367</v>
      </c>
    </row>
    <row r="1615" spans="1:5" x14ac:dyDescent="0.3">
      <c r="A1615" s="2">
        <v>5933</v>
      </c>
      <c r="B1615" s="2" t="s">
        <v>1948</v>
      </c>
      <c r="C1615" s="2" t="s">
        <v>21</v>
      </c>
      <c r="D1615" s="483">
        <v>344300</v>
      </c>
      <c r="E1615" s="2" t="s">
        <v>1416</v>
      </c>
    </row>
    <row r="1616" spans="1:5" x14ac:dyDescent="0.3">
      <c r="A1616" s="2">
        <v>5935</v>
      </c>
      <c r="B1616" s="2" t="s">
        <v>1949</v>
      </c>
      <c r="C1616" s="2" t="s">
        <v>21</v>
      </c>
      <c r="D1616" s="483">
        <v>660053</v>
      </c>
      <c r="E1616" s="2" t="s">
        <v>331</v>
      </c>
    </row>
    <row r="1617" spans="1:5" x14ac:dyDescent="0.3">
      <c r="A1617" s="2">
        <v>5936</v>
      </c>
      <c r="B1617" s="2" t="s">
        <v>1950</v>
      </c>
      <c r="C1617" s="2" t="s">
        <v>21</v>
      </c>
      <c r="D1617" s="483">
        <v>325755</v>
      </c>
      <c r="E1617" s="2" t="s">
        <v>331</v>
      </c>
    </row>
    <row r="1618" spans="1:5" x14ac:dyDescent="0.3">
      <c r="A1618" s="2">
        <v>5939</v>
      </c>
      <c r="B1618" s="2" t="s">
        <v>1951</v>
      </c>
      <c r="C1618" s="2" t="s">
        <v>328</v>
      </c>
      <c r="D1618" s="483">
        <v>224073</v>
      </c>
      <c r="E1618" s="2" t="s">
        <v>331</v>
      </c>
    </row>
    <row r="1619" spans="1:5" x14ac:dyDescent="0.3">
      <c r="A1619" s="2">
        <v>5940</v>
      </c>
      <c r="B1619" s="2" t="s">
        <v>1952</v>
      </c>
      <c r="C1619" s="2" t="s">
        <v>30</v>
      </c>
      <c r="D1619" s="483">
        <v>983413</v>
      </c>
      <c r="E1619" s="2" t="s">
        <v>331</v>
      </c>
    </row>
    <row r="1620" spans="1:5" x14ac:dyDescent="0.3">
      <c r="A1620" s="2">
        <v>5941</v>
      </c>
      <c r="B1620" s="2" t="s">
        <v>1953</v>
      </c>
      <c r="C1620" s="2" t="s">
        <v>30</v>
      </c>
      <c r="D1620" s="483">
        <v>986126</v>
      </c>
      <c r="E1620" s="2" t="s">
        <v>331</v>
      </c>
    </row>
    <row r="1621" spans="1:5" x14ac:dyDescent="0.3">
      <c r="A1621" s="2">
        <v>5945</v>
      </c>
      <c r="B1621" s="2" t="s">
        <v>1954</v>
      </c>
      <c r="C1621" s="2" t="s">
        <v>30</v>
      </c>
      <c r="D1621" s="483">
        <v>915876</v>
      </c>
      <c r="E1621" s="2" t="s">
        <v>331</v>
      </c>
    </row>
    <row r="1622" spans="1:5" x14ac:dyDescent="0.3">
      <c r="A1622" s="2">
        <v>5946</v>
      </c>
      <c r="B1622" s="2" t="s">
        <v>1955</v>
      </c>
      <c r="C1622" s="2" t="s">
        <v>30</v>
      </c>
      <c r="D1622" s="483">
        <v>1260059</v>
      </c>
      <c r="E1622" s="2" t="s">
        <v>331</v>
      </c>
    </row>
    <row r="1623" spans="1:5" x14ac:dyDescent="0.3">
      <c r="A1623" s="2">
        <v>5948</v>
      </c>
      <c r="B1623" s="2" t="s">
        <v>1956</v>
      </c>
      <c r="C1623" s="2" t="s">
        <v>30</v>
      </c>
      <c r="D1623" s="483">
        <v>1062293</v>
      </c>
      <c r="E1623" s="2" t="s">
        <v>331</v>
      </c>
    </row>
    <row r="1624" spans="1:5" x14ac:dyDescent="0.3">
      <c r="A1624" s="2">
        <v>5949</v>
      </c>
      <c r="B1624" s="2" t="s">
        <v>1957</v>
      </c>
      <c r="C1624" s="2" t="s">
        <v>30</v>
      </c>
      <c r="D1624" s="483">
        <v>1002597</v>
      </c>
      <c r="E1624" s="2" t="s">
        <v>331</v>
      </c>
    </row>
    <row r="1625" spans="1:5" x14ac:dyDescent="0.3">
      <c r="A1625" s="2">
        <v>5950</v>
      </c>
      <c r="B1625" s="2" t="s">
        <v>1958</v>
      </c>
      <c r="C1625" s="2" t="s">
        <v>30</v>
      </c>
      <c r="D1625" s="483">
        <v>2455442</v>
      </c>
      <c r="E1625" s="2" t="s">
        <v>331</v>
      </c>
    </row>
    <row r="1626" spans="1:5" x14ac:dyDescent="0.3">
      <c r="A1626" s="2">
        <v>5952</v>
      </c>
      <c r="B1626" s="2" t="s">
        <v>1959</v>
      </c>
      <c r="C1626" s="2" t="s">
        <v>328</v>
      </c>
      <c r="D1626" s="483">
        <v>315350</v>
      </c>
      <c r="E1626" s="2" t="s">
        <v>1416</v>
      </c>
    </row>
    <row r="1627" spans="1:5" x14ac:dyDescent="0.3">
      <c r="A1627" s="2">
        <v>5953</v>
      </c>
      <c r="B1627" s="2" t="s">
        <v>1960</v>
      </c>
      <c r="C1627" s="2" t="s">
        <v>328</v>
      </c>
      <c r="D1627" s="483">
        <v>866841</v>
      </c>
      <c r="E1627" s="2" t="s">
        <v>331</v>
      </c>
    </row>
    <row r="1628" spans="1:5" x14ac:dyDescent="0.3">
      <c r="A1628" s="2">
        <v>5954</v>
      </c>
      <c r="B1628" s="2" t="s">
        <v>1961</v>
      </c>
      <c r="C1628" s="2" t="s">
        <v>328</v>
      </c>
      <c r="D1628" s="483">
        <v>1286912</v>
      </c>
      <c r="E1628" s="2" t="s">
        <v>331</v>
      </c>
    </row>
    <row r="1629" spans="1:5" x14ac:dyDescent="0.3">
      <c r="A1629" s="2">
        <v>5955</v>
      </c>
      <c r="B1629" s="2" t="s">
        <v>1962</v>
      </c>
      <c r="C1629" s="2" t="s">
        <v>32</v>
      </c>
      <c r="D1629" s="483">
        <v>488286</v>
      </c>
      <c r="E1629" s="2" t="s">
        <v>331</v>
      </c>
    </row>
    <row r="1630" spans="1:5" x14ac:dyDescent="0.3">
      <c r="A1630" s="2">
        <v>5966</v>
      </c>
      <c r="B1630" s="2" t="s">
        <v>1963</v>
      </c>
      <c r="C1630" s="2" t="s">
        <v>21</v>
      </c>
      <c r="D1630" s="483">
        <v>4131</v>
      </c>
      <c r="E1630" s="2" t="s">
        <v>331</v>
      </c>
    </row>
    <row r="1631" spans="1:5" x14ac:dyDescent="0.3">
      <c r="A1631" s="2">
        <v>5967</v>
      </c>
      <c r="B1631" s="2" t="s">
        <v>1964</v>
      </c>
      <c r="C1631" s="2" t="s">
        <v>21</v>
      </c>
      <c r="D1631" s="483">
        <v>29849</v>
      </c>
      <c r="E1631" s="2" t="s">
        <v>331</v>
      </c>
    </row>
    <row r="1632" spans="1:5" x14ac:dyDescent="0.3">
      <c r="A1632" s="2">
        <v>5968</v>
      </c>
      <c r="B1632" s="2" t="s">
        <v>1965</v>
      </c>
      <c r="C1632" s="2" t="s">
        <v>21</v>
      </c>
      <c r="D1632" s="483">
        <v>102960</v>
      </c>
      <c r="E1632" s="2" t="s">
        <v>331</v>
      </c>
    </row>
    <row r="1633" spans="1:5" x14ac:dyDescent="0.3">
      <c r="A1633" s="2">
        <v>5969</v>
      </c>
      <c r="B1633" s="2" t="s">
        <v>1966</v>
      </c>
      <c r="C1633" s="2" t="s">
        <v>21</v>
      </c>
      <c r="D1633" s="483">
        <v>101797</v>
      </c>
      <c r="E1633" s="2" t="s">
        <v>331</v>
      </c>
    </row>
    <row r="1634" spans="1:5" x14ac:dyDescent="0.3">
      <c r="A1634" s="2">
        <v>5970</v>
      </c>
      <c r="B1634" s="2" t="s">
        <v>1967</v>
      </c>
      <c r="C1634" s="2" t="s">
        <v>21</v>
      </c>
      <c r="D1634" s="483">
        <v>349447</v>
      </c>
      <c r="E1634" s="2" t="s">
        <v>331</v>
      </c>
    </row>
    <row r="1635" spans="1:5" x14ac:dyDescent="0.3">
      <c r="A1635" s="2">
        <v>5971</v>
      </c>
      <c r="B1635" s="2" t="s">
        <v>1968</v>
      </c>
      <c r="C1635" s="2" t="s">
        <v>21</v>
      </c>
      <c r="D1635" s="483">
        <v>419868</v>
      </c>
      <c r="E1635" s="2" t="s">
        <v>331</v>
      </c>
    </row>
    <row r="1636" spans="1:5" x14ac:dyDescent="0.3">
      <c r="A1636" s="2">
        <v>5972</v>
      </c>
      <c r="B1636" s="2" t="s">
        <v>1969</v>
      </c>
      <c r="C1636" s="2" t="s">
        <v>21</v>
      </c>
      <c r="D1636" s="483">
        <v>394928</v>
      </c>
      <c r="E1636" s="2" t="s">
        <v>331</v>
      </c>
    </row>
    <row r="1637" spans="1:5" x14ac:dyDescent="0.3">
      <c r="A1637" s="2">
        <v>5975</v>
      </c>
      <c r="B1637" s="2" t="s">
        <v>1970</v>
      </c>
      <c r="C1637" s="2" t="s">
        <v>979</v>
      </c>
      <c r="D1637" s="483">
        <v>36995</v>
      </c>
      <c r="E1637" s="2" t="s">
        <v>324</v>
      </c>
    </row>
    <row r="1638" spans="1:5" x14ac:dyDescent="0.3">
      <c r="A1638" s="2">
        <v>5976</v>
      </c>
      <c r="B1638" s="2" t="s">
        <v>1971</v>
      </c>
      <c r="C1638" s="2" t="s">
        <v>328</v>
      </c>
      <c r="D1638" s="483">
        <v>65291</v>
      </c>
      <c r="E1638" s="2" t="s">
        <v>324</v>
      </c>
    </row>
    <row r="1639" spans="1:5" x14ac:dyDescent="0.3">
      <c r="A1639" s="2">
        <v>5992</v>
      </c>
      <c r="B1639" s="2" t="s">
        <v>1972</v>
      </c>
      <c r="C1639" s="2" t="s">
        <v>328</v>
      </c>
      <c r="D1639" s="483">
        <v>1215279</v>
      </c>
      <c r="E1639" s="2" t="s">
        <v>331</v>
      </c>
    </row>
    <row r="1640" spans="1:5" x14ac:dyDescent="0.3">
      <c r="A1640" s="2">
        <v>5993</v>
      </c>
      <c r="B1640" s="2" t="s">
        <v>1973</v>
      </c>
      <c r="C1640" s="2" t="s">
        <v>307</v>
      </c>
      <c r="D1640" s="483">
        <v>5188893</v>
      </c>
      <c r="E1640" s="2" t="s">
        <v>331</v>
      </c>
    </row>
    <row r="1641" spans="1:5" x14ac:dyDescent="0.3">
      <c r="A1641" s="2">
        <v>5994</v>
      </c>
      <c r="B1641" s="2" t="s">
        <v>1974</v>
      </c>
      <c r="C1641" s="2" t="s">
        <v>328</v>
      </c>
      <c r="D1641" s="483">
        <v>285101</v>
      </c>
      <c r="E1641" s="2" t="s">
        <v>331</v>
      </c>
    </row>
    <row r="1642" spans="1:5" x14ac:dyDescent="0.3">
      <c r="A1642" s="2">
        <v>5995</v>
      </c>
      <c r="B1642" s="2" t="s">
        <v>1975</v>
      </c>
      <c r="C1642" s="2" t="s">
        <v>328</v>
      </c>
      <c r="D1642" s="483">
        <v>586829</v>
      </c>
      <c r="E1642" s="2" t="s">
        <v>331</v>
      </c>
    </row>
    <row r="1643" spans="1:5" x14ac:dyDescent="0.3">
      <c r="A1643" s="2">
        <v>5996</v>
      </c>
      <c r="B1643" s="2" t="s">
        <v>1976</v>
      </c>
      <c r="C1643" s="2" t="s">
        <v>328</v>
      </c>
      <c r="D1643" s="483">
        <v>40454</v>
      </c>
      <c r="E1643" s="2" t="s">
        <v>324</v>
      </c>
    </row>
    <row r="1644" spans="1:5" x14ac:dyDescent="0.3">
      <c r="A1644" s="2">
        <v>5997</v>
      </c>
      <c r="B1644" s="2" t="s">
        <v>1977</v>
      </c>
      <c r="C1644" s="2" t="s">
        <v>21</v>
      </c>
      <c r="D1644" s="483">
        <v>99241</v>
      </c>
      <c r="E1644" s="2" t="s">
        <v>331</v>
      </c>
    </row>
    <row r="1645" spans="1:5" x14ac:dyDescent="0.3">
      <c r="A1645" s="2">
        <v>5998</v>
      </c>
      <c r="B1645" s="2" t="s">
        <v>1978</v>
      </c>
      <c r="C1645" s="2" t="s">
        <v>32</v>
      </c>
      <c r="D1645" s="483">
        <v>99687</v>
      </c>
      <c r="E1645" s="2" t="s">
        <v>331</v>
      </c>
    </row>
    <row r="1646" spans="1:5" x14ac:dyDescent="0.3">
      <c r="A1646" s="2">
        <v>5999</v>
      </c>
      <c r="B1646" s="2" t="s">
        <v>1979</v>
      </c>
      <c r="C1646" s="2" t="s">
        <v>32</v>
      </c>
      <c r="D1646" s="483">
        <v>1380400</v>
      </c>
      <c r="E1646" s="2" t="s">
        <v>1416</v>
      </c>
    </row>
    <row r="1647" spans="1:5" x14ac:dyDescent="0.3">
      <c r="A1647" s="2">
        <v>6004</v>
      </c>
      <c r="B1647" s="2" t="s">
        <v>1980</v>
      </c>
      <c r="C1647" s="2" t="s">
        <v>32</v>
      </c>
      <c r="D1647" s="483">
        <v>17278541</v>
      </c>
      <c r="E1647" s="2" t="s">
        <v>1416</v>
      </c>
    </row>
    <row r="1648" spans="1:5" x14ac:dyDescent="0.3">
      <c r="A1648" s="2">
        <v>6006</v>
      </c>
      <c r="B1648" s="2" t="s">
        <v>1981</v>
      </c>
      <c r="C1648" s="2" t="s">
        <v>32</v>
      </c>
      <c r="D1648" s="483">
        <v>2290165</v>
      </c>
      <c r="E1648" s="2" t="s">
        <v>324</v>
      </c>
    </row>
    <row r="1649" spans="1:5" x14ac:dyDescent="0.3">
      <c r="A1649" s="2">
        <v>6007</v>
      </c>
      <c r="B1649" s="2" t="s">
        <v>1982</v>
      </c>
      <c r="C1649" s="2" t="s">
        <v>30</v>
      </c>
      <c r="D1649" s="483">
        <v>1844474</v>
      </c>
      <c r="E1649" s="2" t="s">
        <v>331</v>
      </c>
    </row>
    <row r="1650" spans="1:5" x14ac:dyDescent="0.3">
      <c r="A1650" s="2">
        <v>6008</v>
      </c>
      <c r="B1650" s="2" t="s">
        <v>1983</v>
      </c>
      <c r="C1650" s="2" t="s">
        <v>21</v>
      </c>
      <c r="D1650" s="483">
        <v>2702</v>
      </c>
      <c r="E1650" s="2" t="s">
        <v>324</v>
      </c>
    </row>
    <row r="1651" spans="1:5" x14ac:dyDescent="0.3">
      <c r="A1651" s="2">
        <v>6009</v>
      </c>
      <c r="B1651" s="2" t="s">
        <v>1984</v>
      </c>
      <c r="C1651" s="2" t="s">
        <v>21</v>
      </c>
      <c r="D1651" s="483">
        <v>2998</v>
      </c>
      <c r="E1651" s="2" t="s">
        <v>324</v>
      </c>
    </row>
    <row r="1652" spans="1:5" x14ac:dyDescent="0.3">
      <c r="A1652" s="2">
        <v>6010</v>
      </c>
      <c r="B1652" s="2" t="s">
        <v>1985</v>
      </c>
      <c r="C1652" s="2" t="s">
        <v>328</v>
      </c>
      <c r="D1652" s="483">
        <v>41800</v>
      </c>
      <c r="E1652" s="2" t="s">
        <v>331</v>
      </c>
    </row>
    <row r="1653" spans="1:5" x14ac:dyDescent="0.3">
      <c r="A1653" s="2">
        <v>6011</v>
      </c>
      <c r="B1653" s="2" t="s">
        <v>1986</v>
      </c>
      <c r="C1653" s="2" t="s">
        <v>32</v>
      </c>
      <c r="D1653" s="483">
        <v>174878</v>
      </c>
      <c r="E1653" s="2" t="s">
        <v>331</v>
      </c>
    </row>
    <row r="1654" spans="1:5" x14ac:dyDescent="0.3">
      <c r="A1654" s="2">
        <v>6015</v>
      </c>
      <c r="B1654" s="2" t="s">
        <v>1987</v>
      </c>
      <c r="C1654" s="2" t="s">
        <v>21</v>
      </c>
      <c r="D1654" s="483">
        <v>54934</v>
      </c>
      <c r="E1654" s="2" t="s">
        <v>331</v>
      </c>
    </row>
    <row r="1655" spans="1:5" x14ac:dyDescent="0.3">
      <c r="A1655" s="2">
        <v>6016</v>
      </c>
      <c r="B1655" s="2" t="s">
        <v>1988</v>
      </c>
      <c r="C1655" s="2" t="s">
        <v>30</v>
      </c>
      <c r="D1655" s="483">
        <v>147164</v>
      </c>
      <c r="E1655" s="2" t="s">
        <v>331</v>
      </c>
    </row>
    <row r="1656" spans="1:5" x14ac:dyDescent="0.3">
      <c r="A1656" s="2">
        <v>6020</v>
      </c>
      <c r="B1656" s="2" t="s">
        <v>1989</v>
      </c>
      <c r="C1656" s="2" t="s">
        <v>30</v>
      </c>
      <c r="D1656" s="483">
        <v>37367</v>
      </c>
      <c r="E1656" s="2" t="s">
        <v>331</v>
      </c>
    </row>
    <row r="1657" spans="1:5" x14ac:dyDescent="0.3">
      <c r="A1657" s="2">
        <v>6021</v>
      </c>
      <c r="B1657" s="2" t="s">
        <v>1990</v>
      </c>
      <c r="C1657" s="2" t="s">
        <v>30</v>
      </c>
      <c r="D1657" s="483">
        <v>759209</v>
      </c>
      <c r="E1657" s="2" t="s">
        <v>331</v>
      </c>
    </row>
    <row r="1658" spans="1:5" x14ac:dyDescent="0.3">
      <c r="A1658" s="2">
        <v>6029</v>
      </c>
      <c r="B1658" s="2" t="s">
        <v>1991</v>
      </c>
      <c r="C1658" s="2" t="s">
        <v>32</v>
      </c>
      <c r="D1658" s="483">
        <v>579664</v>
      </c>
      <c r="E1658" s="2" t="s">
        <v>331</v>
      </c>
    </row>
    <row r="1659" spans="1:5" x14ac:dyDescent="0.3">
      <c r="A1659" s="2">
        <v>6030</v>
      </c>
      <c r="B1659" s="2" t="s">
        <v>1992</v>
      </c>
      <c r="C1659" s="2" t="s">
        <v>32</v>
      </c>
      <c r="D1659" s="483">
        <v>570220</v>
      </c>
      <c r="E1659" s="2" t="s">
        <v>331</v>
      </c>
    </row>
    <row r="1660" spans="1:5" x14ac:dyDescent="0.3">
      <c r="A1660" s="2">
        <v>6031</v>
      </c>
      <c r="B1660" s="2" t="s">
        <v>1993</v>
      </c>
      <c r="C1660" s="2" t="s">
        <v>32</v>
      </c>
      <c r="D1660" s="483">
        <v>559152</v>
      </c>
      <c r="E1660" s="2" t="s">
        <v>331</v>
      </c>
    </row>
    <row r="1661" spans="1:5" x14ac:dyDescent="0.3">
      <c r="A1661" s="2">
        <v>6032</v>
      </c>
      <c r="B1661" s="2" t="s">
        <v>1994</v>
      </c>
      <c r="C1661" s="2" t="s">
        <v>32</v>
      </c>
      <c r="D1661" s="483">
        <v>570220</v>
      </c>
      <c r="E1661" s="2" t="s">
        <v>331</v>
      </c>
    </row>
    <row r="1662" spans="1:5" x14ac:dyDescent="0.3">
      <c r="A1662" s="2">
        <v>6033</v>
      </c>
      <c r="B1662" s="2" t="s">
        <v>1995</v>
      </c>
      <c r="C1662" s="2" t="s">
        <v>32</v>
      </c>
      <c r="D1662" s="483">
        <v>570220</v>
      </c>
      <c r="E1662" s="2" t="s">
        <v>331</v>
      </c>
    </row>
    <row r="1663" spans="1:5" x14ac:dyDescent="0.3">
      <c r="A1663" s="2">
        <v>6034</v>
      </c>
      <c r="B1663" s="2" t="s">
        <v>1996</v>
      </c>
      <c r="C1663" s="2" t="s">
        <v>32</v>
      </c>
      <c r="D1663" s="483">
        <v>488034</v>
      </c>
      <c r="E1663" s="2" t="s">
        <v>331</v>
      </c>
    </row>
    <row r="1664" spans="1:5" x14ac:dyDescent="0.3">
      <c r="A1664" s="2">
        <v>6036</v>
      </c>
      <c r="B1664" s="2" t="s">
        <v>1997</v>
      </c>
      <c r="C1664" s="2" t="s">
        <v>32</v>
      </c>
      <c r="D1664" s="483">
        <v>8135844</v>
      </c>
      <c r="E1664" s="2" t="s">
        <v>324</v>
      </c>
    </row>
    <row r="1665" spans="1:5" x14ac:dyDescent="0.3">
      <c r="A1665" s="2">
        <v>6037</v>
      </c>
      <c r="B1665" s="2" t="s">
        <v>1998</v>
      </c>
      <c r="C1665" s="2" t="s">
        <v>32</v>
      </c>
      <c r="D1665" s="483">
        <v>4897664</v>
      </c>
      <c r="E1665" s="2" t="s">
        <v>331</v>
      </c>
    </row>
    <row r="1666" spans="1:5" x14ac:dyDescent="0.3">
      <c r="A1666" s="2">
        <v>6038</v>
      </c>
      <c r="B1666" s="2" t="s">
        <v>1999</v>
      </c>
      <c r="C1666" s="2" t="s">
        <v>32</v>
      </c>
      <c r="D1666" s="483">
        <v>6032693</v>
      </c>
      <c r="E1666" s="2" t="s">
        <v>331</v>
      </c>
    </row>
    <row r="1667" spans="1:5" x14ac:dyDescent="0.3">
      <c r="A1667" s="2">
        <v>6039</v>
      </c>
      <c r="B1667" s="2" t="s">
        <v>2000</v>
      </c>
      <c r="C1667" s="2" t="s">
        <v>32</v>
      </c>
      <c r="D1667" s="483">
        <v>7597662</v>
      </c>
      <c r="E1667" s="2" t="s">
        <v>331</v>
      </c>
    </row>
    <row r="1668" spans="1:5" x14ac:dyDescent="0.3">
      <c r="A1668" s="2">
        <v>6040</v>
      </c>
      <c r="B1668" s="2" t="s">
        <v>2001</v>
      </c>
      <c r="C1668" s="2" t="s">
        <v>32</v>
      </c>
      <c r="D1668" s="483">
        <v>13830166</v>
      </c>
      <c r="E1668" s="2" t="s">
        <v>331</v>
      </c>
    </row>
    <row r="1669" spans="1:5" x14ac:dyDescent="0.3">
      <c r="A1669" s="2">
        <v>6041</v>
      </c>
      <c r="B1669" s="2" t="s">
        <v>2002</v>
      </c>
      <c r="C1669" s="2" t="s">
        <v>32</v>
      </c>
      <c r="D1669" s="483">
        <v>4462739</v>
      </c>
      <c r="E1669" s="2" t="s">
        <v>331</v>
      </c>
    </row>
    <row r="1670" spans="1:5" x14ac:dyDescent="0.3">
      <c r="A1670" s="2">
        <v>6042</v>
      </c>
      <c r="B1670" s="2" t="s">
        <v>2003</v>
      </c>
      <c r="C1670" s="2" t="s">
        <v>32</v>
      </c>
      <c r="D1670" s="483">
        <v>4959114</v>
      </c>
      <c r="E1670" s="2" t="s">
        <v>331</v>
      </c>
    </row>
    <row r="1671" spans="1:5" x14ac:dyDescent="0.3">
      <c r="A1671" s="2">
        <v>6043</v>
      </c>
      <c r="B1671" s="2" t="s">
        <v>2004</v>
      </c>
      <c r="C1671" s="2" t="s">
        <v>32</v>
      </c>
      <c r="D1671" s="483">
        <v>4840024</v>
      </c>
      <c r="E1671" s="2" t="s">
        <v>331</v>
      </c>
    </row>
    <row r="1672" spans="1:5" x14ac:dyDescent="0.3">
      <c r="A1672" s="2">
        <v>6044</v>
      </c>
      <c r="B1672" s="2" t="s">
        <v>2005</v>
      </c>
      <c r="C1672" s="2" t="s">
        <v>32</v>
      </c>
      <c r="D1672" s="483">
        <v>4509899</v>
      </c>
      <c r="E1672" s="2" t="s">
        <v>331</v>
      </c>
    </row>
    <row r="1673" spans="1:5" x14ac:dyDescent="0.3">
      <c r="A1673" s="2">
        <v>6045</v>
      </c>
      <c r="B1673" s="2" t="s">
        <v>2006</v>
      </c>
      <c r="C1673" s="2" t="s">
        <v>32</v>
      </c>
      <c r="D1673" s="483">
        <v>5901439</v>
      </c>
      <c r="E1673" s="2" t="s">
        <v>324</v>
      </c>
    </row>
    <row r="1674" spans="1:5" x14ac:dyDescent="0.3">
      <c r="A1674" s="2">
        <v>6046</v>
      </c>
      <c r="B1674" s="2" t="s">
        <v>2007</v>
      </c>
      <c r="C1674" s="2" t="s">
        <v>32</v>
      </c>
      <c r="D1674" s="483">
        <v>651235</v>
      </c>
      <c r="E1674" s="2" t="s">
        <v>324</v>
      </c>
    </row>
    <row r="1675" spans="1:5" x14ac:dyDescent="0.3">
      <c r="A1675" s="2">
        <v>6053</v>
      </c>
      <c r="B1675" s="2" t="s">
        <v>2008</v>
      </c>
      <c r="C1675" s="2" t="s">
        <v>30</v>
      </c>
      <c r="D1675" s="483">
        <v>111723</v>
      </c>
      <c r="E1675" s="2" t="s">
        <v>331</v>
      </c>
    </row>
    <row r="1676" spans="1:5" x14ac:dyDescent="0.3">
      <c r="A1676" s="2">
        <v>6057</v>
      </c>
      <c r="B1676" s="2" t="s">
        <v>2009</v>
      </c>
      <c r="C1676" s="2" t="s">
        <v>307</v>
      </c>
      <c r="D1676" s="483">
        <v>183419</v>
      </c>
      <c r="E1676" s="2" t="s">
        <v>324</v>
      </c>
    </row>
    <row r="1677" spans="1:5" x14ac:dyDescent="0.3">
      <c r="A1677" s="2">
        <v>6058</v>
      </c>
      <c r="B1677" s="2" t="s">
        <v>2010</v>
      </c>
      <c r="C1677" s="2" t="s">
        <v>307</v>
      </c>
      <c r="D1677" s="483">
        <v>131192</v>
      </c>
      <c r="E1677" s="2" t="s">
        <v>324</v>
      </c>
    </row>
    <row r="1678" spans="1:5" x14ac:dyDescent="0.3">
      <c r="A1678" s="2">
        <v>6059</v>
      </c>
      <c r="B1678" s="2" t="s">
        <v>2011</v>
      </c>
      <c r="C1678" s="2" t="s">
        <v>307</v>
      </c>
      <c r="D1678" s="483">
        <v>72115</v>
      </c>
      <c r="E1678" s="2" t="s">
        <v>324</v>
      </c>
    </row>
    <row r="1679" spans="1:5" x14ac:dyDescent="0.3">
      <c r="A1679" s="2">
        <v>6060</v>
      </c>
      <c r="B1679" s="2" t="s">
        <v>2012</v>
      </c>
      <c r="C1679" s="2" t="s">
        <v>307</v>
      </c>
      <c r="D1679" s="483">
        <v>1416474</v>
      </c>
      <c r="E1679" s="2" t="s">
        <v>331</v>
      </c>
    </row>
    <row r="1680" spans="1:5" x14ac:dyDescent="0.3">
      <c r="A1680" s="2">
        <v>6062</v>
      </c>
      <c r="B1680" s="2" t="s">
        <v>2013</v>
      </c>
      <c r="C1680" s="2" t="s">
        <v>30</v>
      </c>
      <c r="D1680" s="483">
        <v>866713</v>
      </c>
      <c r="E1680" s="2" t="s">
        <v>331</v>
      </c>
    </row>
    <row r="1681" spans="1:5" x14ac:dyDescent="0.3">
      <c r="A1681" s="2">
        <v>6065</v>
      </c>
      <c r="B1681" s="2" t="s">
        <v>2014</v>
      </c>
      <c r="C1681" s="2" t="s">
        <v>32</v>
      </c>
      <c r="D1681" s="483">
        <v>1348141</v>
      </c>
      <c r="E1681" s="2" t="s">
        <v>331</v>
      </c>
    </row>
    <row r="1682" spans="1:5" x14ac:dyDescent="0.3">
      <c r="A1682" s="2">
        <v>6070</v>
      </c>
      <c r="B1682" s="2" t="s">
        <v>2015</v>
      </c>
      <c r="C1682" s="2" t="s">
        <v>21</v>
      </c>
      <c r="D1682" s="483">
        <v>124284</v>
      </c>
      <c r="E1682" s="2" t="s">
        <v>331</v>
      </c>
    </row>
    <row r="1683" spans="1:5" x14ac:dyDescent="0.3">
      <c r="A1683" s="2">
        <v>6073</v>
      </c>
      <c r="B1683" s="2" t="s">
        <v>2016</v>
      </c>
      <c r="C1683" s="2" t="s">
        <v>32</v>
      </c>
      <c r="D1683" s="483">
        <v>6040866</v>
      </c>
      <c r="E1683" s="2" t="s">
        <v>331</v>
      </c>
    </row>
    <row r="1684" spans="1:5" x14ac:dyDescent="0.3">
      <c r="A1684" s="2">
        <v>6074</v>
      </c>
      <c r="B1684" s="2" t="s">
        <v>2017</v>
      </c>
      <c r="C1684" s="2" t="s">
        <v>32</v>
      </c>
      <c r="D1684" s="483">
        <v>2967185</v>
      </c>
      <c r="E1684" s="2" t="s">
        <v>331</v>
      </c>
    </row>
    <row r="1685" spans="1:5" x14ac:dyDescent="0.3">
      <c r="A1685" s="2">
        <v>6078</v>
      </c>
      <c r="B1685" s="2" t="s">
        <v>2018</v>
      </c>
      <c r="C1685" s="2" t="s">
        <v>21</v>
      </c>
      <c r="D1685" s="483">
        <v>161147</v>
      </c>
      <c r="E1685" s="2" t="s">
        <v>331</v>
      </c>
    </row>
    <row r="1686" spans="1:5" x14ac:dyDescent="0.3">
      <c r="A1686" s="2">
        <v>6079</v>
      </c>
      <c r="B1686" s="2" t="s">
        <v>2019</v>
      </c>
      <c r="C1686" s="2" t="s">
        <v>21</v>
      </c>
      <c r="D1686" s="483">
        <v>157672</v>
      </c>
      <c r="E1686" s="2" t="s">
        <v>331</v>
      </c>
    </row>
    <row r="1687" spans="1:5" x14ac:dyDescent="0.3">
      <c r="A1687" s="2">
        <v>6082</v>
      </c>
      <c r="B1687" s="2" t="s">
        <v>2020</v>
      </c>
      <c r="C1687" s="2" t="s">
        <v>21</v>
      </c>
      <c r="D1687" s="483">
        <v>69250</v>
      </c>
      <c r="E1687" s="2" t="s">
        <v>331</v>
      </c>
    </row>
    <row r="1688" spans="1:5" x14ac:dyDescent="0.3">
      <c r="A1688" s="2">
        <v>6084</v>
      </c>
      <c r="B1688" s="2" t="s">
        <v>2021</v>
      </c>
      <c r="C1688" s="2" t="s">
        <v>32</v>
      </c>
      <c r="D1688" s="483">
        <v>807</v>
      </c>
      <c r="E1688" s="2" t="s">
        <v>324</v>
      </c>
    </row>
    <row r="1689" spans="1:5" x14ac:dyDescent="0.3">
      <c r="A1689" s="2">
        <v>6085</v>
      </c>
      <c r="B1689" s="2" t="s">
        <v>2022</v>
      </c>
      <c r="C1689" s="2" t="s">
        <v>2023</v>
      </c>
      <c r="D1689" s="483">
        <v>40778</v>
      </c>
      <c r="E1689" s="2" t="s">
        <v>324</v>
      </c>
    </row>
    <row r="1690" spans="1:5" x14ac:dyDescent="0.3">
      <c r="A1690" s="2">
        <v>6086</v>
      </c>
      <c r="B1690" s="2" t="s">
        <v>2024</v>
      </c>
      <c r="C1690" s="2" t="s">
        <v>32</v>
      </c>
      <c r="D1690" s="483">
        <v>15560</v>
      </c>
      <c r="E1690" s="2" t="s">
        <v>324</v>
      </c>
    </row>
    <row r="1691" spans="1:5" x14ac:dyDescent="0.3">
      <c r="A1691" s="2">
        <v>6087</v>
      </c>
      <c r="B1691" s="2" t="s">
        <v>2025</v>
      </c>
      <c r="C1691" s="2" t="s">
        <v>32</v>
      </c>
      <c r="D1691" s="483">
        <v>14422</v>
      </c>
      <c r="E1691" s="2" t="s">
        <v>324</v>
      </c>
    </row>
    <row r="1692" spans="1:5" x14ac:dyDescent="0.3">
      <c r="A1692" s="2">
        <v>6088</v>
      </c>
      <c r="B1692" s="2" t="s">
        <v>2026</v>
      </c>
      <c r="C1692" s="2" t="s">
        <v>2027</v>
      </c>
      <c r="D1692" s="483">
        <v>23868</v>
      </c>
      <c r="E1692" s="2" t="s">
        <v>324</v>
      </c>
    </row>
    <row r="1693" spans="1:5" x14ac:dyDescent="0.3">
      <c r="A1693" s="2">
        <v>6089</v>
      </c>
      <c r="B1693" s="2" t="s">
        <v>2028</v>
      </c>
      <c r="C1693" s="2" t="s">
        <v>32</v>
      </c>
      <c r="D1693" s="483">
        <v>3194235</v>
      </c>
      <c r="E1693" s="2" t="s">
        <v>331</v>
      </c>
    </row>
    <row r="1694" spans="1:5" x14ac:dyDescent="0.3">
      <c r="A1694" s="2">
        <v>6090</v>
      </c>
      <c r="B1694" s="2" t="s">
        <v>2029</v>
      </c>
      <c r="C1694" s="2" t="s">
        <v>32</v>
      </c>
      <c r="D1694" s="483">
        <v>3337474</v>
      </c>
      <c r="E1694" s="2" t="s">
        <v>331</v>
      </c>
    </row>
    <row r="1695" spans="1:5" x14ac:dyDescent="0.3">
      <c r="A1695" s="2">
        <v>6091</v>
      </c>
      <c r="B1695" s="2" t="s">
        <v>2030</v>
      </c>
      <c r="C1695" s="2" t="s">
        <v>32</v>
      </c>
      <c r="D1695" s="483">
        <v>1545502</v>
      </c>
      <c r="E1695" s="2" t="s">
        <v>331</v>
      </c>
    </row>
    <row r="1696" spans="1:5" x14ac:dyDescent="0.3">
      <c r="A1696" s="2">
        <v>6092</v>
      </c>
      <c r="B1696" s="2" t="s">
        <v>2031</v>
      </c>
      <c r="C1696" s="2" t="s">
        <v>32</v>
      </c>
      <c r="D1696" s="483">
        <v>468223</v>
      </c>
      <c r="E1696" s="2" t="s">
        <v>331</v>
      </c>
    </row>
    <row r="1697" spans="1:5" x14ac:dyDescent="0.3">
      <c r="A1697" s="2">
        <v>6093</v>
      </c>
      <c r="B1697" s="2" t="s">
        <v>2032</v>
      </c>
      <c r="C1697" s="2" t="s">
        <v>32</v>
      </c>
      <c r="D1697" s="483">
        <v>488155</v>
      </c>
      <c r="E1697" s="2" t="s">
        <v>331</v>
      </c>
    </row>
    <row r="1698" spans="1:5" x14ac:dyDescent="0.3">
      <c r="A1698" s="2">
        <v>6094</v>
      </c>
      <c r="B1698" s="2" t="s">
        <v>2033</v>
      </c>
      <c r="C1698" s="2" t="s">
        <v>32</v>
      </c>
      <c r="D1698" s="483">
        <v>471966</v>
      </c>
      <c r="E1698" s="2" t="s">
        <v>331</v>
      </c>
    </row>
    <row r="1699" spans="1:5" x14ac:dyDescent="0.3">
      <c r="A1699" s="2">
        <v>6098</v>
      </c>
      <c r="B1699" s="2" t="s">
        <v>2034</v>
      </c>
      <c r="C1699" s="2" t="s">
        <v>21</v>
      </c>
      <c r="D1699" s="483">
        <v>130654</v>
      </c>
      <c r="E1699" s="2" t="s">
        <v>331</v>
      </c>
    </row>
    <row r="1700" spans="1:5" x14ac:dyDescent="0.3">
      <c r="A1700" s="2">
        <v>6100</v>
      </c>
      <c r="B1700" s="2" t="s">
        <v>2035</v>
      </c>
      <c r="C1700" s="2" t="s">
        <v>328</v>
      </c>
      <c r="D1700" s="483">
        <v>14112</v>
      </c>
      <c r="E1700" s="2" t="s">
        <v>331</v>
      </c>
    </row>
    <row r="1701" spans="1:5" x14ac:dyDescent="0.3">
      <c r="A1701" s="2">
        <v>6101</v>
      </c>
      <c r="B1701" s="2" t="s">
        <v>2036</v>
      </c>
      <c r="C1701" s="2" t="s">
        <v>328</v>
      </c>
      <c r="D1701" s="483">
        <v>17485</v>
      </c>
      <c r="E1701" s="2" t="s">
        <v>331</v>
      </c>
    </row>
    <row r="1702" spans="1:5" x14ac:dyDescent="0.3">
      <c r="A1702" s="2">
        <v>6102</v>
      </c>
      <c r="B1702" s="2" t="s">
        <v>2037</v>
      </c>
      <c r="C1702" s="2" t="s">
        <v>328</v>
      </c>
      <c r="D1702" s="483">
        <v>42489</v>
      </c>
      <c r="E1702" s="2" t="s">
        <v>331</v>
      </c>
    </row>
    <row r="1703" spans="1:5" x14ac:dyDescent="0.3">
      <c r="A1703" s="2">
        <v>6103</v>
      </c>
      <c r="B1703" s="2" t="s">
        <v>2038</v>
      </c>
      <c r="C1703" s="2" t="s">
        <v>328</v>
      </c>
      <c r="D1703" s="483">
        <v>168539</v>
      </c>
      <c r="E1703" s="2" t="s">
        <v>331</v>
      </c>
    </row>
    <row r="1704" spans="1:5" x14ac:dyDescent="0.3">
      <c r="A1704" s="2">
        <v>6104</v>
      </c>
      <c r="B1704" s="2" t="s">
        <v>2039</v>
      </c>
      <c r="C1704" s="2" t="s">
        <v>21</v>
      </c>
      <c r="D1704" s="483">
        <v>122534</v>
      </c>
      <c r="E1704" s="2" t="s">
        <v>331</v>
      </c>
    </row>
    <row r="1705" spans="1:5" x14ac:dyDescent="0.3">
      <c r="A1705" s="2">
        <v>6115</v>
      </c>
      <c r="B1705" s="2" t="s">
        <v>2040</v>
      </c>
      <c r="C1705" s="2" t="s">
        <v>328</v>
      </c>
      <c r="D1705" s="483">
        <v>1012987</v>
      </c>
      <c r="E1705" s="2" t="s">
        <v>331</v>
      </c>
    </row>
    <row r="1706" spans="1:5" x14ac:dyDescent="0.3">
      <c r="A1706" s="2">
        <v>6116</v>
      </c>
      <c r="B1706" s="2" t="s">
        <v>2041</v>
      </c>
      <c r="C1706" s="2" t="s">
        <v>328</v>
      </c>
      <c r="D1706" s="483">
        <v>1349351</v>
      </c>
      <c r="E1706" s="2" t="s">
        <v>331</v>
      </c>
    </row>
    <row r="1707" spans="1:5" x14ac:dyDescent="0.3">
      <c r="A1707" s="2">
        <v>6118</v>
      </c>
      <c r="B1707" s="2" t="s">
        <v>2042</v>
      </c>
      <c r="C1707" s="2" t="s">
        <v>328</v>
      </c>
      <c r="D1707" s="483">
        <v>2617039</v>
      </c>
      <c r="E1707" s="2" t="s">
        <v>331</v>
      </c>
    </row>
    <row r="1708" spans="1:5" x14ac:dyDescent="0.3">
      <c r="A1708" s="2">
        <v>6120</v>
      </c>
      <c r="B1708" s="2" t="s">
        <v>2043</v>
      </c>
      <c r="C1708" s="2" t="s">
        <v>328</v>
      </c>
      <c r="D1708" s="483">
        <v>321797</v>
      </c>
      <c r="E1708" s="2" t="s">
        <v>331</v>
      </c>
    </row>
    <row r="1709" spans="1:5" x14ac:dyDescent="0.3">
      <c r="A1709" s="2">
        <v>6121</v>
      </c>
      <c r="B1709" s="2" t="s">
        <v>2044</v>
      </c>
      <c r="C1709" s="2" t="s">
        <v>32</v>
      </c>
      <c r="D1709" s="483">
        <v>2804502</v>
      </c>
      <c r="E1709" s="2" t="s">
        <v>331</v>
      </c>
    </row>
    <row r="1710" spans="1:5" x14ac:dyDescent="0.3">
      <c r="A1710" s="2">
        <v>6126</v>
      </c>
      <c r="B1710" s="2" t="s">
        <v>2045</v>
      </c>
      <c r="C1710" s="2" t="s">
        <v>692</v>
      </c>
      <c r="D1710" s="483">
        <v>386347</v>
      </c>
      <c r="E1710" s="2" t="s">
        <v>324</v>
      </c>
    </row>
    <row r="1711" spans="1:5" x14ac:dyDescent="0.3">
      <c r="A1711" s="2">
        <v>6127</v>
      </c>
      <c r="B1711" s="2" t="s">
        <v>2046</v>
      </c>
      <c r="C1711" s="2" t="s">
        <v>32</v>
      </c>
      <c r="D1711" s="483">
        <v>98176</v>
      </c>
      <c r="E1711" s="2" t="s">
        <v>324</v>
      </c>
    </row>
    <row r="1712" spans="1:5" x14ac:dyDescent="0.3">
      <c r="A1712" s="2">
        <v>6135</v>
      </c>
      <c r="B1712" s="2" t="s">
        <v>2047</v>
      </c>
      <c r="C1712" s="2" t="s">
        <v>30</v>
      </c>
      <c r="D1712" s="483">
        <v>1183545</v>
      </c>
      <c r="E1712" s="2" t="s">
        <v>331</v>
      </c>
    </row>
    <row r="1713" spans="1:5" x14ac:dyDescent="0.3">
      <c r="A1713" s="2">
        <v>6136</v>
      </c>
      <c r="B1713" s="2" t="s">
        <v>2048</v>
      </c>
      <c r="C1713" s="2" t="s">
        <v>32</v>
      </c>
      <c r="D1713" s="483">
        <v>260642</v>
      </c>
      <c r="E1713" s="2" t="s">
        <v>331</v>
      </c>
    </row>
    <row r="1714" spans="1:5" x14ac:dyDescent="0.3">
      <c r="A1714" s="2">
        <v>6141</v>
      </c>
      <c r="B1714" s="2" t="s">
        <v>2049</v>
      </c>
      <c r="C1714" s="2" t="s">
        <v>21</v>
      </c>
      <c r="D1714" s="483">
        <v>48641</v>
      </c>
      <c r="E1714" s="2" t="s">
        <v>331</v>
      </c>
    </row>
    <row r="1715" spans="1:5" x14ac:dyDescent="0.3">
      <c r="A1715" s="2">
        <v>6142</v>
      </c>
      <c r="B1715" s="2" t="s">
        <v>2050</v>
      </c>
      <c r="C1715" s="2" t="s">
        <v>21</v>
      </c>
      <c r="D1715" s="483">
        <v>51484</v>
      </c>
      <c r="E1715" s="2" t="s">
        <v>331</v>
      </c>
    </row>
    <row r="1716" spans="1:5" x14ac:dyDescent="0.3">
      <c r="A1716" s="2">
        <v>6143</v>
      </c>
      <c r="B1716" s="2" t="s">
        <v>2051</v>
      </c>
      <c r="C1716" s="2" t="s">
        <v>21</v>
      </c>
      <c r="D1716" s="483">
        <v>88640</v>
      </c>
      <c r="E1716" s="2" t="s">
        <v>331</v>
      </c>
    </row>
    <row r="1717" spans="1:5" x14ac:dyDescent="0.3">
      <c r="A1717" s="2">
        <v>6144</v>
      </c>
      <c r="B1717" s="2" t="s">
        <v>2052</v>
      </c>
      <c r="C1717" s="2" t="s">
        <v>21</v>
      </c>
      <c r="D1717" s="483">
        <v>104485</v>
      </c>
      <c r="E1717" s="2" t="s">
        <v>331</v>
      </c>
    </row>
    <row r="1718" spans="1:5" x14ac:dyDescent="0.3">
      <c r="A1718" s="2">
        <v>6145</v>
      </c>
      <c r="B1718" s="2" t="s">
        <v>2053</v>
      </c>
      <c r="C1718" s="2" t="s">
        <v>21</v>
      </c>
      <c r="D1718" s="483">
        <v>62437</v>
      </c>
      <c r="E1718" s="2" t="s">
        <v>331</v>
      </c>
    </row>
    <row r="1719" spans="1:5" x14ac:dyDescent="0.3">
      <c r="A1719" s="2">
        <v>6146</v>
      </c>
      <c r="B1719" s="2" t="s">
        <v>2054</v>
      </c>
      <c r="C1719" s="2" t="s">
        <v>21</v>
      </c>
      <c r="D1719" s="483">
        <v>43605</v>
      </c>
      <c r="E1719" s="2" t="s">
        <v>331</v>
      </c>
    </row>
    <row r="1720" spans="1:5" x14ac:dyDescent="0.3">
      <c r="A1720" s="2">
        <v>6148</v>
      </c>
      <c r="B1720" s="2" t="s">
        <v>2055</v>
      </c>
      <c r="C1720" s="2" t="s">
        <v>328</v>
      </c>
      <c r="D1720" s="483">
        <v>61297</v>
      </c>
      <c r="E1720" s="2" t="s">
        <v>331</v>
      </c>
    </row>
    <row r="1721" spans="1:5" x14ac:dyDescent="0.3">
      <c r="A1721" s="2">
        <v>6149</v>
      </c>
      <c r="B1721" s="2" t="s">
        <v>2056</v>
      </c>
      <c r="C1721" s="2" t="s">
        <v>328</v>
      </c>
      <c r="D1721" s="483">
        <v>266443</v>
      </c>
      <c r="E1721" s="2" t="s">
        <v>331</v>
      </c>
    </row>
    <row r="1722" spans="1:5" x14ac:dyDescent="0.3">
      <c r="A1722" s="2">
        <v>6150</v>
      </c>
      <c r="B1722" s="2" t="s">
        <v>2057</v>
      </c>
      <c r="C1722" s="2" t="s">
        <v>328</v>
      </c>
      <c r="D1722" s="483">
        <v>541008</v>
      </c>
      <c r="E1722" s="2" t="s">
        <v>331</v>
      </c>
    </row>
    <row r="1723" spans="1:5" x14ac:dyDescent="0.3">
      <c r="A1723" s="2">
        <v>6151</v>
      </c>
      <c r="B1723" s="2" t="s">
        <v>2058</v>
      </c>
      <c r="C1723" s="2" t="s">
        <v>30</v>
      </c>
      <c r="D1723" s="483">
        <v>9491</v>
      </c>
      <c r="E1723" s="2" t="s">
        <v>331</v>
      </c>
    </row>
    <row r="1724" spans="1:5" x14ac:dyDescent="0.3">
      <c r="A1724" s="2">
        <v>6152</v>
      </c>
      <c r="B1724" s="2" t="s">
        <v>2059</v>
      </c>
      <c r="C1724" s="2" t="s">
        <v>21</v>
      </c>
      <c r="D1724" s="483">
        <v>577</v>
      </c>
      <c r="E1724" s="2" t="s">
        <v>324</v>
      </c>
    </row>
    <row r="1725" spans="1:5" x14ac:dyDescent="0.3">
      <c r="A1725" s="2">
        <v>6153</v>
      </c>
      <c r="B1725" s="2" t="s">
        <v>2060</v>
      </c>
      <c r="C1725" s="2" t="s">
        <v>21</v>
      </c>
      <c r="D1725" s="483">
        <v>1151</v>
      </c>
      <c r="E1725" s="2" t="s">
        <v>324</v>
      </c>
    </row>
    <row r="1726" spans="1:5" x14ac:dyDescent="0.3">
      <c r="A1726" s="2">
        <v>6154</v>
      </c>
      <c r="B1726" s="2" t="s">
        <v>2061</v>
      </c>
      <c r="C1726" s="2" t="s">
        <v>21</v>
      </c>
      <c r="D1726" s="483">
        <v>419</v>
      </c>
      <c r="E1726" s="2" t="s">
        <v>324</v>
      </c>
    </row>
    <row r="1727" spans="1:5" x14ac:dyDescent="0.3">
      <c r="A1727" s="2">
        <v>6156</v>
      </c>
      <c r="B1727" s="2" t="s">
        <v>2062</v>
      </c>
      <c r="C1727" s="2" t="s">
        <v>21</v>
      </c>
      <c r="D1727" s="483">
        <v>268</v>
      </c>
      <c r="E1727" s="2" t="s">
        <v>324</v>
      </c>
    </row>
    <row r="1728" spans="1:5" x14ac:dyDescent="0.3">
      <c r="A1728" s="2">
        <v>6157</v>
      </c>
      <c r="B1728" s="2" t="s">
        <v>2063</v>
      </c>
      <c r="C1728" s="2" t="s">
        <v>21</v>
      </c>
      <c r="D1728" s="483">
        <v>914</v>
      </c>
      <c r="E1728" s="2" t="s">
        <v>324</v>
      </c>
    </row>
    <row r="1729" spans="1:5" x14ac:dyDescent="0.3">
      <c r="A1729" s="2">
        <v>6159</v>
      </c>
      <c r="B1729" s="2" t="s">
        <v>2064</v>
      </c>
      <c r="C1729" s="2" t="s">
        <v>21</v>
      </c>
      <c r="D1729" s="483">
        <v>110</v>
      </c>
      <c r="E1729" s="2" t="s">
        <v>324</v>
      </c>
    </row>
    <row r="1730" spans="1:5" x14ac:dyDescent="0.3">
      <c r="A1730" s="2">
        <v>6160</v>
      </c>
      <c r="B1730" s="2" t="s">
        <v>2065</v>
      </c>
      <c r="C1730" s="2" t="s">
        <v>328</v>
      </c>
      <c r="D1730" s="483">
        <v>15500</v>
      </c>
      <c r="E1730" s="2" t="s">
        <v>1416</v>
      </c>
    </row>
    <row r="1731" spans="1:5" x14ac:dyDescent="0.3">
      <c r="A1731" s="2">
        <v>6161</v>
      </c>
      <c r="B1731" s="2" t="s">
        <v>2066</v>
      </c>
      <c r="C1731" s="2" t="s">
        <v>328</v>
      </c>
      <c r="D1731" s="483">
        <v>13090</v>
      </c>
      <c r="E1731" s="2" t="s">
        <v>1416</v>
      </c>
    </row>
    <row r="1732" spans="1:5" x14ac:dyDescent="0.3">
      <c r="A1732" s="2">
        <v>6162</v>
      </c>
      <c r="B1732" s="2" t="s">
        <v>2067</v>
      </c>
      <c r="C1732" s="2" t="s">
        <v>21</v>
      </c>
      <c r="D1732" s="483">
        <v>159</v>
      </c>
      <c r="E1732" s="2" t="s">
        <v>324</v>
      </c>
    </row>
    <row r="1733" spans="1:5" x14ac:dyDescent="0.3">
      <c r="A1733" s="2">
        <v>6163</v>
      </c>
      <c r="B1733" s="2" t="s">
        <v>2068</v>
      </c>
      <c r="C1733" s="2" t="s">
        <v>21</v>
      </c>
      <c r="D1733" s="483">
        <v>311831</v>
      </c>
      <c r="E1733" s="2" t="s">
        <v>331</v>
      </c>
    </row>
    <row r="1734" spans="1:5" x14ac:dyDescent="0.3">
      <c r="A1734" s="2">
        <v>6164</v>
      </c>
      <c r="B1734" s="2" t="s">
        <v>2069</v>
      </c>
      <c r="C1734" s="2" t="s">
        <v>21</v>
      </c>
      <c r="D1734" s="483">
        <v>312730</v>
      </c>
      <c r="E1734" s="2" t="s">
        <v>331</v>
      </c>
    </row>
    <row r="1735" spans="1:5" x14ac:dyDescent="0.3">
      <c r="A1735" s="2">
        <v>6165</v>
      </c>
      <c r="B1735" s="2" t="s">
        <v>2070</v>
      </c>
      <c r="C1735" s="2" t="s">
        <v>32</v>
      </c>
      <c r="D1735" s="483">
        <v>34967</v>
      </c>
      <c r="E1735" s="2" t="s">
        <v>331</v>
      </c>
    </row>
    <row r="1736" spans="1:5" x14ac:dyDescent="0.3">
      <c r="A1736" s="2">
        <v>6168</v>
      </c>
      <c r="B1736" s="2" t="s">
        <v>2071</v>
      </c>
      <c r="C1736" s="2" t="s">
        <v>328</v>
      </c>
      <c r="D1736" s="483">
        <v>21727</v>
      </c>
      <c r="E1736" s="2" t="s">
        <v>331</v>
      </c>
    </row>
    <row r="1737" spans="1:5" x14ac:dyDescent="0.3">
      <c r="A1737" s="2">
        <v>6169</v>
      </c>
      <c r="B1737" s="2" t="s">
        <v>2072</v>
      </c>
      <c r="C1737" s="2" t="s">
        <v>307</v>
      </c>
      <c r="D1737" s="483">
        <v>11521</v>
      </c>
      <c r="E1737" s="2" t="s">
        <v>367</v>
      </c>
    </row>
    <row r="1738" spans="1:5" x14ac:dyDescent="0.3">
      <c r="A1738" s="2">
        <v>6170</v>
      </c>
      <c r="B1738" s="2" t="s">
        <v>2073</v>
      </c>
      <c r="C1738" s="2" t="s">
        <v>307</v>
      </c>
      <c r="D1738" s="483">
        <v>10414</v>
      </c>
      <c r="E1738" s="2" t="s">
        <v>367</v>
      </c>
    </row>
    <row r="1739" spans="1:5" x14ac:dyDescent="0.3">
      <c r="A1739" s="2">
        <v>6172</v>
      </c>
      <c r="B1739" s="2" t="s">
        <v>2074</v>
      </c>
      <c r="C1739" s="2" t="s">
        <v>307</v>
      </c>
      <c r="D1739" s="483">
        <v>3039</v>
      </c>
      <c r="E1739" s="2" t="s">
        <v>367</v>
      </c>
    </row>
    <row r="1740" spans="1:5" x14ac:dyDescent="0.3">
      <c r="A1740" s="2">
        <v>6175</v>
      </c>
      <c r="B1740" s="2" t="s">
        <v>2075</v>
      </c>
      <c r="C1740" s="2" t="s">
        <v>2076</v>
      </c>
      <c r="D1740" s="483">
        <v>106870</v>
      </c>
      <c r="E1740" s="2" t="s">
        <v>324</v>
      </c>
    </row>
    <row r="1741" spans="1:5" x14ac:dyDescent="0.3">
      <c r="A1741" s="2">
        <v>6176</v>
      </c>
      <c r="B1741" s="2" t="s">
        <v>2077</v>
      </c>
      <c r="C1741" s="2" t="s">
        <v>2078</v>
      </c>
      <c r="D1741" s="483">
        <v>33087</v>
      </c>
      <c r="E1741" s="2" t="s">
        <v>324</v>
      </c>
    </row>
    <row r="1742" spans="1:5" x14ac:dyDescent="0.3">
      <c r="A1742" s="2">
        <v>6178</v>
      </c>
      <c r="B1742" s="2" t="s">
        <v>308</v>
      </c>
      <c r="C1742" s="2" t="s">
        <v>307</v>
      </c>
      <c r="D1742" s="483">
        <v>23763</v>
      </c>
      <c r="E1742" s="2" t="s">
        <v>331</v>
      </c>
    </row>
    <row r="1743" spans="1:5" x14ac:dyDescent="0.3">
      <c r="A1743" s="2">
        <v>6179</v>
      </c>
      <c r="B1743" s="2" t="s">
        <v>2079</v>
      </c>
      <c r="C1743" s="2" t="s">
        <v>307</v>
      </c>
      <c r="D1743" s="483">
        <v>18906</v>
      </c>
      <c r="E1743" s="2" t="s">
        <v>331</v>
      </c>
    </row>
    <row r="1744" spans="1:5" x14ac:dyDescent="0.3">
      <c r="A1744" s="2">
        <v>6180</v>
      </c>
      <c r="B1744" s="2" t="s">
        <v>2080</v>
      </c>
      <c r="C1744" s="2" t="s">
        <v>307</v>
      </c>
      <c r="D1744" s="483">
        <v>31049</v>
      </c>
      <c r="E1744" s="2" t="s">
        <v>331</v>
      </c>
    </row>
    <row r="1745" spans="1:5" x14ac:dyDescent="0.3">
      <c r="A1745" s="2">
        <v>6181</v>
      </c>
      <c r="B1745" s="2" t="s">
        <v>313</v>
      </c>
      <c r="C1745" s="2" t="s">
        <v>307</v>
      </c>
      <c r="D1745" s="483">
        <v>2609</v>
      </c>
      <c r="E1745" s="2" t="s">
        <v>367</v>
      </c>
    </row>
    <row r="1746" spans="1:5" x14ac:dyDescent="0.3">
      <c r="A1746" s="2">
        <v>6184</v>
      </c>
      <c r="B1746" s="2" t="s">
        <v>2081</v>
      </c>
      <c r="C1746" s="2" t="s">
        <v>21</v>
      </c>
      <c r="D1746" s="483">
        <v>20047</v>
      </c>
      <c r="E1746" s="2" t="s">
        <v>331</v>
      </c>
    </row>
    <row r="1747" spans="1:5" x14ac:dyDescent="0.3">
      <c r="A1747" s="2">
        <v>6185</v>
      </c>
      <c r="B1747" s="2" t="s">
        <v>2082</v>
      </c>
      <c r="C1747" s="2" t="s">
        <v>32</v>
      </c>
      <c r="D1747" s="483">
        <v>864512</v>
      </c>
      <c r="E1747" s="2" t="s">
        <v>331</v>
      </c>
    </row>
    <row r="1748" spans="1:5" x14ac:dyDescent="0.3">
      <c r="A1748" s="2">
        <v>6186</v>
      </c>
      <c r="B1748" s="2" t="s">
        <v>309</v>
      </c>
      <c r="C1748" s="2" t="s">
        <v>307</v>
      </c>
      <c r="D1748" s="483">
        <v>19042</v>
      </c>
      <c r="E1748" s="2" t="s">
        <v>367</v>
      </c>
    </row>
    <row r="1749" spans="1:5" x14ac:dyDescent="0.3">
      <c r="A1749" s="2">
        <v>6187</v>
      </c>
      <c r="B1749" s="2" t="s">
        <v>310</v>
      </c>
      <c r="C1749" s="2" t="s">
        <v>307</v>
      </c>
      <c r="D1749" s="483">
        <v>227531</v>
      </c>
      <c r="E1749" s="2" t="s">
        <v>367</v>
      </c>
    </row>
    <row r="1750" spans="1:5" x14ac:dyDescent="0.3">
      <c r="A1750" s="2">
        <v>6189</v>
      </c>
      <c r="B1750" s="2" t="s">
        <v>2083</v>
      </c>
      <c r="C1750" s="2" t="s">
        <v>1413</v>
      </c>
      <c r="D1750" s="483">
        <v>3355079</v>
      </c>
      <c r="E1750" s="2" t="s">
        <v>324</v>
      </c>
    </row>
    <row r="1751" spans="1:5" x14ac:dyDescent="0.3">
      <c r="A1751" s="2">
        <v>6190</v>
      </c>
      <c r="B1751" s="2" t="s">
        <v>2084</v>
      </c>
      <c r="C1751" s="2" t="s">
        <v>2085</v>
      </c>
      <c r="D1751" s="483">
        <v>693</v>
      </c>
      <c r="E1751" s="2" t="s">
        <v>324</v>
      </c>
    </row>
    <row r="1752" spans="1:5" x14ac:dyDescent="0.3">
      <c r="A1752" s="2">
        <v>6191</v>
      </c>
      <c r="B1752" s="2" t="s">
        <v>2086</v>
      </c>
      <c r="C1752" s="2" t="s">
        <v>21</v>
      </c>
      <c r="D1752" s="483">
        <v>134837</v>
      </c>
      <c r="E1752" s="2" t="s">
        <v>331</v>
      </c>
    </row>
    <row r="1753" spans="1:5" x14ac:dyDescent="0.3">
      <c r="A1753" s="2">
        <v>6192</v>
      </c>
      <c r="B1753" s="2" t="s">
        <v>2087</v>
      </c>
      <c r="C1753" s="2" t="s">
        <v>21</v>
      </c>
      <c r="D1753" s="483">
        <v>117064</v>
      </c>
      <c r="E1753" s="2" t="s">
        <v>331</v>
      </c>
    </row>
    <row r="1754" spans="1:5" x14ac:dyDescent="0.3">
      <c r="A1754" s="2">
        <v>6193</v>
      </c>
      <c r="B1754" s="2" t="s">
        <v>2088</v>
      </c>
      <c r="C1754" s="2" t="s">
        <v>30</v>
      </c>
      <c r="D1754" s="483">
        <v>802494</v>
      </c>
      <c r="E1754" s="2" t="s">
        <v>331</v>
      </c>
    </row>
    <row r="1755" spans="1:5" x14ac:dyDescent="0.3">
      <c r="A1755" s="2">
        <v>6194</v>
      </c>
      <c r="B1755" s="2" t="s">
        <v>2089</v>
      </c>
      <c r="C1755" s="2" t="s">
        <v>328</v>
      </c>
      <c r="D1755" s="483">
        <v>566774</v>
      </c>
      <c r="E1755" s="2" t="s">
        <v>331</v>
      </c>
    </row>
    <row r="1756" spans="1:5" x14ac:dyDescent="0.3">
      <c r="A1756" s="2">
        <v>6198</v>
      </c>
      <c r="B1756" s="2" t="s">
        <v>2090</v>
      </c>
      <c r="C1756" s="2" t="s">
        <v>328</v>
      </c>
      <c r="D1756" s="483">
        <v>245379</v>
      </c>
      <c r="E1756" s="2" t="s">
        <v>331</v>
      </c>
    </row>
    <row r="1757" spans="1:5" x14ac:dyDescent="0.3">
      <c r="A1757" s="2">
        <v>6200</v>
      </c>
      <c r="B1757" s="2" t="s">
        <v>2091</v>
      </c>
      <c r="C1757" s="2" t="s">
        <v>30</v>
      </c>
      <c r="D1757" s="483">
        <v>972721</v>
      </c>
      <c r="E1757" s="2" t="s">
        <v>331</v>
      </c>
    </row>
    <row r="1758" spans="1:5" x14ac:dyDescent="0.3">
      <c r="A1758" s="2">
        <v>6201</v>
      </c>
      <c r="B1758" s="2" t="s">
        <v>2092</v>
      </c>
      <c r="C1758" s="2" t="s">
        <v>30</v>
      </c>
      <c r="D1758" s="483">
        <v>1067250</v>
      </c>
      <c r="E1758" s="2" t="s">
        <v>331</v>
      </c>
    </row>
    <row r="1759" spans="1:5" x14ac:dyDescent="0.3">
      <c r="A1759" s="2">
        <v>6202</v>
      </c>
      <c r="B1759" s="2" t="s">
        <v>2093</v>
      </c>
      <c r="C1759" s="2" t="s">
        <v>328</v>
      </c>
      <c r="D1759" s="483">
        <v>35337</v>
      </c>
      <c r="E1759" s="2" t="s">
        <v>331</v>
      </c>
    </row>
    <row r="1760" spans="1:5" x14ac:dyDescent="0.3">
      <c r="A1760" s="2">
        <v>6203</v>
      </c>
      <c r="B1760" s="2" t="s">
        <v>2094</v>
      </c>
      <c r="C1760" s="2" t="s">
        <v>21</v>
      </c>
      <c r="D1760" s="483">
        <v>28205</v>
      </c>
      <c r="E1760" s="2" t="s">
        <v>331</v>
      </c>
    </row>
    <row r="1761" spans="1:5" x14ac:dyDescent="0.3">
      <c r="A1761" s="2">
        <v>6204</v>
      </c>
      <c r="B1761" s="2" t="s">
        <v>2095</v>
      </c>
      <c r="C1761" s="2" t="s">
        <v>328</v>
      </c>
      <c r="D1761" s="483">
        <v>31275</v>
      </c>
      <c r="E1761" s="2" t="s">
        <v>331</v>
      </c>
    </row>
    <row r="1762" spans="1:5" x14ac:dyDescent="0.3">
      <c r="A1762" s="2">
        <v>6206</v>
      </c>
      <c r="B1762" s="2" t="s">
        <v>2096</v>
      </c>
      <c r="C1762" s="2" t="s">
        <v>328</v>
      </c>
      <c r="D1762" s="483">
        <v>123154</v>
      </c>
      <c r="E1762" s="2" t="s">
        <v>331</v>
      </c>
    </row>
    <row r="1763" spans="1:5" x14ac:dyDescent="0.3">
      <c r="A1763" s="2">
        <v>6207</v>
      </c>
      <c r="B1763" s="2" t="s">
        <v>2097</v>
      </c>
      <c r="C1763" s="2" t="s">
        <v>21</v>
      </c>
      <c r="D1763" s="483">
        <v>172357</v>
      </c>
      <c r="E1763" s="2" t="s">
        <v>331</v>
      </c>
    </row>
    <row r="1764" spans="1:5" x14ac:dyDescent="0.3">
      <c r="A1764" s="2">
        <v>6212</v>
      </c>
      <c r="B1764" s="2" t="s">
        <v>2098</v>
      </c>
      <c r="C1764" s="2" t="s">
        <v>328</v>
      </c>
      <c r="D1764" s="483">
        <v>14325</v>
      </c>
      <c r="E1764" s="2" t="s">
        <v>324</v>
      </c>
    </row>
    <row r="1765" spans="1:5" x14ac:dyDescent="0.3">
      <c r="A1765" s="2">
        <v>6213</v>
      </c>
      <c r="B1765" s="2" t="s">
        <v>2099</v>
      </c>
      <c r="C1765" s="2" t="s">
        <v>328</v>
      </c>
      <c r="D1765" s="483">
        <v>18635</v>
      </c>
      <c r="E1765" s="2" t="s">
        <v>324</v>
      </c>
    </row>
    <row r="1766" spans="1:5" x14ac:dyDescent="0.3">
      <c r="A1766" s="2">
        <v>6214</v>
      </c>
      <c r="B1766" s="2" t="s">
        <v>2100</v>
      </c>
      <c r="C1766" s="2" t="s">
        <v>328</v>
      </c>
      <c r="D1766" s="483">
        <v>44017</v>
      </c>
      <c r="E1766" s="2" t="s">
        <v>331</v>
      </c>
    </row>
    <row r="1767" spans="1:5" x14ac:dyDescent="0.3">
      <c r="A1767" s="2">
        <v>6215</v>
      </c>
      <c r="B1767" s="2" t="s">
        <v>2101</v>
      </c>
      <c r="C1767" s="2" t="s">
        <v>328</v>
      </c>
      <c r="D1767" s="483">
        <v>20835</v>
      </c>
      <c r="E1767" s="2" t="s">
        <v>331</v>
      </c>
    </row>
    <row r="1768" spans="1:5" x14ac:dyDescent="0.3">
      <c r="A1768" s="2">
        <v>6216</v>
      </c>
      <c r="B1768" s="2" t="s">
        <v>2102</v>
      </c>
      <c r="C1768" s="2" t="s">
        <v>30</v>
      </c>
      <c r="D1768" s="483">
        <v>74570</v>
      </c>
      <c r="E1768" s="2" t="s">
        <v>331</v>
      </c>
    </row>
    <row r="1769" spans="1:5" x14ac:dyDescent="0.3">
      <c r="A1769" s="2">
        <v>6217</v>
      </c>
      <c r="B1769" s="2" t="s">
        <v>2103</v>
      </c>
      <c r="C1769" s="2" t="s">
        <v>32</v>
      </c>
      <c r="D1769" s="483">
        <v>22893</v>
      </c>
      <c r="E1769" s="2" t="s">
        <v>331</v>
      </c>
    </row>
    <row r="1770" spans="1:5" x14ac:dyDescent="0.3">
      <c r="A1770" s="2">
        <v>6218</v>
      </c>
      <c r="B1770" s="2" t="s">
        <v>2104</v>
      </c>
      <c r="C1770" s="2" t="s">
        <v>32</v>
      </c>
      <c r="D1770" s="483">
        <v>26143</v>
      </c>
      <c r="E1770" s="2" t="s">
        <v>331</v>
      </c>
    </row>
    <row r="1771" spans="1:5" x14ac:dyDescent="0.3">
      <c r="A1771" s="2">
        <v>6219</v>
      </c>
      <c r="B1771" s="2" t="s">
        <v>2105</v>
      </c>
      <c r="C1771" s="2" t="s">
        <v>32</v>
      </c>
      <c r="D1771" s="483">
        <v>717850</v>
      </c>
      <c r="E1771" s="2" t="s">
        <v>331</v>
      </c>
    </row>
    <row r="1772" spans="1:5" x14ac:dyDescent="0.3">
      <c r="A1772" s="2">
        <v>6221</v>
      </c>
      <c r="B1772" s="2" t="s">
        <v>2106</v>
      </c>
      <c r="C1772" s="2" t="s">
        <v>21</v>
      </c>
      <c r="D1772" s="483">
        <v>532624</v>
      </c>
      <c r="E1772" s="2" t="s">
        <v>331</v>
      </c>
    </row>
    <row r="1773" spans="1:5" x14ac:dyDescent="0.3">
      <c r="A1773" s="2">
        <v>6224</v>
      </c>
      <c r="B1773" s="2" t="s">
        <v>2107</v>
      </c>
      <c r="C1773" s="2" t="s">
        <v>21</v>
      </c>
      <c r="D1773" s="483">
        <v>13676</v>
      </c>
      <c r="E1773" s="2" t="s">
        <v>331</v>
      </c>
    </row>
    <row r="1774" spans="1:5" x14ac:dyDescent="0.3">
      <c r="A1774" s="2">
        <v>6225</v>
      </c>
      <c r="B1774" s="2" t="s">
        <v>2108</v>
      </c>
      <c r="C1774" s="2" t="s">
        <v>328</v>
      </c>
      <c r="D1774" s="483">
        <v>21659</v>
      </c>
      <c r="E1774" s="2" t="s">
        <v>331</v>
      </c>
    </row>
    <row r="1775" spans="1:5" x14ac:dyDescent="0.3">
      <c r="A1775" s="2">
        <v>6226</v>
      </c>
      <c r="B1775" s="2" t="s">
        <v>2109</v>
      </c>
      <c r="C1775" s="2" t="s">
        <v>21</v>
      </c>
      <c r="D1775" s="483">
        <v>12472</v>
      </c>
      <c r="E1775" s="2" t="s">
        <v>331</v>
      </c>
    </row>
    <row r="1776" spans="1:5" x14ac:dyDescent="0.3">
      <c r="A1776" s="2">
        <v>6227</v>
      </c>
      <c r="B1776" s="2" t="s">
        <v>2110</v>
      </c>
      <c r="C1776" s="2" t="s">
        <v>30</v>
      </c>
      <c r="D1776" s="483">
        <v>77873</v>
      </c>
      <c r="E1776" s="2" t="s">
        <v>331</v>
      </c>
    </row>
    <row r="1777" spans="1:5" x14ac:dyDescent="0.3">
      <c r="A1777" s="2">
        <v>6228</v>
      </c>
      <c r="B1777" s="2" t="s">
        <v>2111</v>
      </c>
      <c r="C1777" s="2" t="s">
        <v>30</v>
      </c>
      <c r="D1777" s="483">
        <v>79021</v>
      </c>
      <c r="E1777" s="2" t="s">
        <v>331</v>
      </c>
    </row>
    <row r="1778" spans="1:5" x14ac:dyDescent="0.3">
      <c r="A1778" s="2">
        <v>6229</v>
      </c>
      <c r="B1778" s="2" t="s">
        <v>2112</v>
      </c>
      <c r="C1778" s="2" t="s">
        <v>21</v>
      </c>
      <c r="D1778" s="483">
        <v>11029</v>
      </c>
      <c r="E1778" s="2" t="s">
        <v>331</v>
      </c>
    </row>
    <row r="1779" spans="1:5" x14ac:dyDescent="0.3">
      <c r="A1779" s="2">
        <v>6230</v>
      </c>
      <c r="B1779" s="2" t="s">
        <v>2113</v>
      </c>
      <c r="C1779" s="2" t="s">
        <v>21</v>
      </c>
      <c r="D1779" s="483">
        <v>9050</v>
      </c>
      <c r="E1779" s="2" t="s">
        <v>331</v>
      </c>
    </row>
    <row r="1780" spans="1:5" x14ac:dyDescent="0.3">
      <c r="A1780" s="2">
        <v>6231</v>
      </c>
      <c r="B1780" s="2" t="s">
        <v>2114</v>
      </c>
      <c r="C1780" s="2" t="s">
        <v>21</v>
      </c>
      <c r="D1780" s="483">
        <v>12920</v>
      </c>
      <c r="E1780" s="2" t="s">
        <v>331</v>
      </c>
    </row>
    <row r="1781" spans="1:5" x14ac:dyDescent="0.3">
      <c r="A1781" s="2">
        <v>6232</v>
      </c>
      <c r="B1781" s="2" t="s">
        <v>2115</v>
      </c>
      <c r="C1781" s="2" t="s">
        <v>30</v>
      </c>
      <c r="D1781" s="483">
        <v>108615</v>
      </c>
      <c r="E1781" s="2" t="s">
        <v>331</v>
      </c>
    </row>
    <row r="1782" spans="1:5" x14ac:dyDescent="0.3">
      <c r="A1782" s="2">
        <v>6233</v>
      </c>
      <c r="B1782" s="2" t="s">
        <v>2116</v>
      </c>
      <c r="C1782" s="2" t="s">
        <v>30</v>
      </c>
      <c r="D1782" s="483">
        <v>123952</v>
      </c>
      <c r="E1782" s="2" t="s">
        <v>331</v>
      </c>
    </row>
    <row r="1783" spans="1:5" x14ac:dyDescent="0.3">
      <c r="A1783" s="2">
        <v>6234</v>
      </c>
      <c r="B1783" s="2" t="s">
        <v>2117</v>
      </c>
      <c r="C1783" s="2" t="s">
        <v>30</v>
      </c>
      <c r="D1783" s="483">
        <v>105504</v>
      </c>
      <c r="E1783" s="2" t="s">
        <v>331</v>
      </c>
    </row>
    <row r="1784" spans="1:5" x14ac:dyDescent="0.3">
      <c r="A1784" s="2">
        <v>6235</v>
      </c>
      <c r="B1784" s="2" t="s">
        <v>2118</v>
      </c>
      <c r="C1784" s="2" t="s">
        <v>21</v>
      </c>
      <c r="D1784" s="483">
        <v>15189</v>
      </c>
      <c r="E1784" s="2" t="s">
        <v>331</v>
      </c>
    </row>
    <row r="1785" spans="1:5" x14ac:dyDescent="0.3">
      <c r="A1785" s="2">
        <v>6236</v>
      </c>
      <c r="B1785" s="2" t="s">
        <v>2119</v>
      </c>
      <c r="C1785" s="2" t="s">
        <v>328</v>
      </c>
      <c r="D1785" s="483">
        <v>32576</v>
      </c>
      <c r="E1785" s="2" t="s">
        <v>331</v>
      </c>
    </row>
    <row r="1786" spans="1:5" x14ac:dyDescent="0.3">
      <c r="A1786" s="2">
        <v>6237</v>
      </c>
      <c r="B1786" s="2" t="s">
        <v>2120</v>
      </c>
      <c r="C1786" s="2" t="s">
        <v>328</v>
      </c>
      <c r="D1786" s="483">
        <v>33247</v>
      </c>
      <c r="E1786" s="2" t="s">
        <v>331</v>
      </c>
    </row>
    <row r="1787" spans="1:5" x14ac:dyDescent="0.3">
      <c r="A1787" s="2">
        <v>6238</v>
      </c>
      <c r="B1787" s="2" t="s">
        <v>2121</v>
      </c>
      <c r="C1787" s="2" t="s">
        <v>328</v>
      </c>
      <c r="D1787" s="483">
        <v>7547</v>
      </c>
      <c r="E1787" s="2" t="s">
        <v>331</v>
      </c>
    </row>
    <row r="1788" spans="1:5" x14ac:dyDescent="0.3">
      <c r="A1788" s="2">
        <v>6239</v>
      </c>
      <c r="B1788" s="2" t="s">
        <v>2122</v>
      </c>
      <c r="C1788" s="2" t="s">
        <v>21</v>
      </c>
      <c r="D1788" s="483">
        <v>91522</v>
      </c>
      <c r="E1788" s="2" t="s">
        <v>331</v>
      </c>
    </row>
    <row r="1789" spans="1:5" x14ac:dyDescent="0.3">
      <c r="A1789" s="2">
        <v>6246</v>
      </c>
      <c r="B1789" s="2" t="s">
        <v>2123</v>
      </c>
      <c r="C1789" s="2" t="s">
        <v>21</v>
      </c>
      <c r="D1789" s="483">
        <v>247853</v>
      </c>
      <c r="E1789" s="2" t="s">
        <v>331</v>
      </c>
    </row>
    <row r="1790" spans="1:5" x14ac:dyDescent="0.3">
      <c r="A1790" s="2">
        <v>6247</v>
      </c>
      <c r="B1790" s="2" t="s">
        <v>2124</v>
      </c>
      <c r="C1790" s="2" t="s">
        <v>2125</v>
      </c>
      <c r="D1790" s="483">
        <v>2293</v>
      </c>
      <c r="E1790" s="2" t="s">
        <v>331</v>
      </c>
    </row>
    <row r="1791" spans="1:5" x14ac:dyDescent="0.3">
      <c r="A1791" s="2">
        <v>6249</v>
      </c>
      <c r="B1791" s="2" t="s">
        <v>2126</v>
      </c>
      <c r="C1791" s="2" t="s">
        <v>2125</v>
      </c>
      <c r="D1791" s="483">
        <v>2138</v>
      </c>
      <c r="E1791" s="2" t="s">
        <v>331</v>
      </c>
    </row>
    <row r="1792" spans="1:5" x14ac:dyDescent="0.3">
      <c r="A1792" s="2">
        <v>6250</v>
      </c>
      <c r="B1792" s="2" t="s">
        <v>2127</v>
      </c>
      <c r="C1792" s="2" t="s">
        <v>2125</v>
      </c>
      <c r="D1792" s="483">
        <v>2539</v>
      </c>
      <c r="E1792" s="2" t="s">
        <v>331</v>
      </c>
    </row>
    <row r="1793" spans="1:5" x14ac:dyDescent="0.3">
      <c r="A1793" s="2">
        <v>6251</v>
      </c>
      <c r="B1793" s="2" t="s">
        <v>2128</v>
      </c>
      <c r="C1793" s="2" t="s">
        <v>2125</v>
      </c>
      <c r="D1793" s="483">
        <v>3130</v>
      </c>
      <c r="E1793" s="2" t="s">
        <v>331</v>
      </c>
    </row>
    <row r="1794" spans="1:5" x14ac:dyDescent="0.3">
      <c r="A1794" s="2">
        <v>6255</v>
      </c>
      <c r="B1794" s="2" t="s">
        <v>2129</v>
      </c>
      <c r="C1794" s="2" t="s">
        <v>32</v>
      </c>
      <c r="D1794" s="483">
        <v>252945</v>
      </c>
      <c r="E1794" s="2" t="s">
        <v>331</v>
      </c>
    </row>
    <row r="1795" spans="1:5" x14ac:dyDescent="0.3">
      <c r="A1795" s="2">
        <v>6256</v>
      </c>
      <c r="B1795" s="2" t="s">
        <v>2130</v>
      </c>
      <c r="C1795" s="2" t="s">
        <v>32</v>
      </c>
      <c r="D1795" s="483">
        <v>229257</v>
      </c>
      <c r="E1795" s="2" t="s">
        <v>331</v>
      </c>
    </row>
    <row r="1796" spans="1:5" x14ac:dyDescent="0.3">
      <c r="A1796" s="2">
        <v>6257</v>
      </c>
      <c r="B1796" s="2" t="s">
        <v>2131</v>
      </c>
      <c r="C1796" s="2" t="s">
        <v>32</v>
      </c>
      <c r="D1796" s="483">
        <v>159546</v>
      </c>
      <c r="E1796" s="2" t="s">
        <v>331</v>
      </c>
    </row>
    <row r="1797" spans="1:5" x14ac:dyDescent="0.3">
      <c r="A1797" s="2">
        <v>6258</v>
      </c>
      <c r="B1797" s="2" t="s">
        <v>2132</v>
      </c>
      <c r="C1797" s="2" t="s">
        <v>32</v>
      </c>
      <c r="D1797" s="483">
        <v>176150</v>
      </c>
      <c r="E1797" s="2" t="s">
        <v>331</v>
      </c>
    </row>
    <row r="1798" spans="1:5" x14ac:dyDescent="0.3">
      <c r="A1798" s="2">
        <v>6259</v>
      </c>
      <c r="B1798" s="2" t="s">
        <v>2133</v>
      </c>
      <c r="C1798" s="2" t="s">
        <v>32</v>
      </c>
      <c r="D1798" s="483">
        <v>977848</v>
      </c>
      <c r="E1798" s="2" t="s">
        <v>331</v>
      </c>
    </row>
    <row r="1799" spans="1:5" x14ac:dyDescent="0.3">
      <c r="A1799" s="2">
        <v>6260</v>
      </c>
      <c r="B1799" s="2" t="s">
        <v>2134</v>
      </c>
      <c r="C1799" s="2" t="s">
        <v>32</v>
      </c>
      <c r="D1799" s="483">
        <v>854915</v>
      </c>
      <c r="E1799" s="2" t="s">
        <v>331</v>
      </c>
    </row>
    <row r="1800" spans="1:5" x14ac:dyDescent="0.3">
      <c r="A1800" s="2">
        <v>6261</v>
      </c>
      <c r="B1800" s="2" t="s">
        <v>2135</v>
      </c>
      <c r="C1800" s="2" t="s">
        <v>32</v>
      </c>
      <c r="D1800" s="483">
        <v>133653</v>
      </c>
      <c r="E1800" s="2" t="s">
        <v>331</v>
      </c>
    </row>
    <row r="1801" spans="1:5" x14ac:dyDescent="0.3">
      <c r="A1801" s="2">
        <v>6262</v>
      </c>
      <c r="B1801" s="2" t="s">
        <v>2136</v>
      </c>
      <c r="C1801" s="2" t="s">
        <v>21</v>
      </c>
      <c r="D1801" s="483">
        <v>49675</v>
      </c>
      <c r="E1801" s="2" t="s">
        <v>331</v>
      </c>
    </row>
    <row r="1802" spans="1:5" x14ac:dyDescent="0.3">
      <c r="A1802" s="2">
        <v>6263</v>
      </c>
      <c r="B1802" s="2" t="s">
        <v>2137</v>
      </c>
      <c r="C1802" s="2" t="s">
        <v>21</v>
      </c>
      <c r="D1802" s="483">
        <v>11628</v>
      </c>
      <c r="E1802" s="2" t="s">
        <v>331</v>
      </c>
    </row>
    <row r="1803" spans="1:5" x14ac:dyDescent="0.3">
      <c r="A1803" s="2">
        <v>6264</v>
      </c>
      <c r="B1803" s="2" t="s">
        <v>2138</v>
      </c>
      <c r="C1803" s="2" t="s">
        <v>32</v>
      </c>
      <c r="D1803" s="483">
        <v>12118</v>
      </c>
      <c r="E1803" s="2" t="s">
        <v>331</v>
      </c>
    </row>
    <row r="1804" spans="1:5" x14ac:dyDescent="0.3">
      <c r="A1804" s="2">
        <v>6265</v>
      </c>
      <c r="B1804" s="2" t="s">
        <v>2139</v>
      </c>
      <c r="C1804" s="2" t="s">
        <v>21</v>
      </c>
      <c r="D1804" s="483">
        <v>16651</v>
      </c>
      <c r="E1804" s="2" t="s">
        <v>331</v>
      </c>
    </row>
    <row r="1805" spans="1:5" x14ac:dyDescent="0.3">
      <c r="A1805" s="2">
        <v>6266</v>
      </c>
      <c r="B1805" s="2" t="s">
        <v>2140</v>
      </c>
      <c r="C1805" s="2" t="s">
        <v>21</v>
      </c>
      <c r="D1805" s="483">
        <v>22607</v>
      </c>
      <c r="E1805" s="2" t="s">
        <v>331</v>
      </c>
    </row>
    <row r="1806" spans="1:5" x14ac:dyDescent="0.3">
      <c r="A1806" s="2">
        <v>6267</v>
      </c>
      <c r="B1806" s="2" t="s">
        <v>2141</v>
      </c>
      <c r="C1806" s="2" t="s">
        <v>32</v>
      </c>
      <c r="D1806" s="483">
        <v>1918543</v>
      </c>
      <c r="E1806" s="2" t="s">
        <v>331</v>
      </c>
    </row>
    <row r="1807" spans="1:5" x14ac:dyDescent="0.3">
      <c r="A1807" s="2">
        <v>6269</v>
      </c>
      <c r="B1807" s="2" t="s">
        <v>2142</v>
      </c>
      <c r="C1807" s="2" t="s">
        <v>21</v>
      </c>
      <c r="D1807" s="483">
        <v>61484</v>
      </c>
      <c r="E1807" s="2" t="s">
        <v>331</v>
      </c>
    </row>
    <row r="1808" spans="1:5" x14ac:dyDescent="0.3">
      <c r="A1808" s="2">
        <v>6271</v>
      </c>
      <c r="B1808" s="2" t="s">
        <v>2143</v>
      </c>
      <c r="C1808" s="2" t="s">
        <v>32</v>
      </c>
      <c r="D1808" s="483">
        <v>178208</v>
      </c>
      <c r="E1808" s="2" t="s">
        <v>331</v>
      </c>
    </row>
    <row r="1809" spans="1:5" x14ac:dyDescent="0.3">
      <c r="A1809" s="2">
        <v>6273</v>
      </c>
      <c r="B1809" s="2" t="s">
        <v>2144</v>
      </c>
      <c r="C1809" s="2" t="s">
        <v>2145</v>
      </c>
      <c r="D1809" s="483">
        <v>3808</v>
      </c>
      <c r="E1809" s="2" t="s">
        <v>324</v>
      </c>
    </row>
    <row r="1810" spans="1:5" x14ac:dyDescent="0.3">
      <c r="A1810" s="2">
        <v>6275</v>
      </c>
      <c r="B1810" s="2" t="s">
        <v>2146</v>
      </c>
      <c r="C1810" s="2" t="s">
        <v>328</v>
      </c>
      <c r="D1810" s="483">
        <v>129195</v>
      </c>
      <c r="E1810" s="2" t="s">
        <v>331</v>
      </c>
    </row>
    <row r="1811" spans="1:5" x14ac:dyDescent="0.3">
      <c r="A1811" s="2">
        <v>6276</v>
      </c>
      <c r="B1811" s="2" t="s">
        <v>2147</v>
      </c>
      <c r="C1811" s="2" t="s">
        <v>328</v>
      </c>
      <c r="D1811" s="483">
        <v>136318</v>
      </c>
      <c r="E1811" s="2" t="s">
        <v>331</v>
      </c>
    </row>
    <row r="1812" spans="1:5" x14ac:dyDescent="0.3">
      <c r="A1812" s="2">
        <v>6278</v>
      </c>
      <c r="B1812" s="2" t="s">
        <v>2148</v>
      </c>
      <c r="C1812" s="2" t="s">
        <v>328</v>
      </c>
      <c r="D1812" s="483">
        <v>54713</v>
      </c>
      <c r="E1812" s="2" t="s">
        <v>331</v>
      </c>
    </row>
    <row r="1813" spans="1:5" x14ac:dyDescent="0.3">
      <c r="A1813" s="2">
        <v>6279</v>
      </c>
      <c r="B1813" s="2" t="s">
        <v>2149</v>
      </c>
      <c r="C1813" s="2" t="s">
        <v>328</v>
      </c>
      <c r="D1813" s="483">
        <v>51441</v>
      </c>
      <c r="E1813" s="2" t="s">
        <v>331</v>
      </c>
    </row>
    <row r="1814" spans="1:5" x14ac:dyDescent="0.3">
      <c r="A1814" s="2">
        <v>6280</v>
      </c>
      <c r="B1814" s="2" t="s">
        <v>2150</v>
      </c>
      <c r="C1814" s="2" t="s">
        <v>21</v>
      </c>
      <c r="D1814" s="483">
        <v>206816</v>
      </c>
      <c r="E1814" s="2" t="s">
        <v>331</v>
      </c>
    </row>
    <row r="1815" spans="1:5" x14ac:dyDescent="0.3">
      <c r="A1815" s="2">
        <v>6281</v>
      </c>
      <c r="B1815" s="2" t="s">
        <v>2151</v>
      </c>
      <c r="C1815" s="2" t="s">
        <v>21</v>
      </c>
      <c r="D1815" s="483">
        <v>54572</v>
      </c>
      <c r="E1815" s="2" t="s">
        <v>331</v>
      </c>
    </row>
    <row r="1816" spans="1:5" x14ac:dyDescent="0.3">
      <c r="A1816" s="2">
        <v>6282</v>
      </c>
      <c r="B1816" s="2" t="s">
        <v>2152</v>
      </c>
      <c r="C1816" s="2" t="s">
        <v>21</v>
      </c>
      <c r="D1816" s="483">
        <v>73066</v>
      </c>
      <c r="E1816" s="2" t="s">
        <v>331</v>
      </c>
    </row>
    <row r="1817" spans="1:5" x14ac:dyDescent="0.3">
      <c r="A1817" s="2">
        <v>6283</v>
      </c>
      <c r="B1817" s="2" t="s">
        <v>2153</v>
      </c>
      <c r="C1817" s="2" t="s">
        <v>21</v>
      </c>
      <c r="D1817" s="483">
        <v>143412</v>
      </c>
      <c r="E1817" s="2" t="s">
        <v>331</v>
      </c>
    </row>
    <row r="1818" spans="1:5" x14ac:dyDescent="0.3">
      <c r="A1818" s="2">
        <v>6284</v>
      </c>
      <c r="B1818" s="2" t="s">
        <v>2154</v>
      </c>
      <c r="C1818" s="2" t="s">
        <v>21</v>
      </c>
      <c r="D1818" s="483">
        <v>54805</v>
      </c>
      <c r="E1818" s="2" t="s">
        <v>331</v>
      </c>
    </row>
    <row r="1819" spans="1:5" x14ac:dyDescent="0.3">
      <c r="A1819" s="2">
        <v>6285</v>
      </c>
      <c r="B1819" s="2" t="s">
        <v>2155</v>
      </c>
      <c r="C1819" s="2" t="s">
        <v>30</v>
      </c>
      <c r="D1819" s="483">
        <v>697306</v>
      </c>
      <c r="E1819" s="2" t="s">
        <v>331</v>
      </c>
    </row>
    <row r="1820" spans="1:5" x14ac:dyDescent="0.3">
      <c r="A1820" s="2">
        <v>6286</v>
      </c>
      <c r="B1820" s="2" t="s">
        <v>2156</v>
      </c>
      <c r="C1820" s="2" t="s">
        <v>21</v>
      </c>
      <c r="D1820" s="483">
        <v>122138</v>
      </c>
      <c r="E1820" s="2" t="s">
        <v>331</v>
      </c>
    </row>
    <row r="1821" spans="1:5" x14ac:dyDescent="0.3">
      <c r="A1821" s="2">
        <v>6287</v>
      </c>
      <c r="B1821" s="2" t="s">
        <v>2157</v>
      </c>
      <c r="C1821" s="2" t="s">
        <v>328</v>
      </c>
      <c r="D1821" s="483">
        <v>26340</v>
      </c>
      <c r="E1821" s="2" t="s">
        <v>331</v>
      </c>
    </row>
    <row r="1822" spans="1:5" x14ac:dyDescent="0.3">
      <c r="A1822" s="2">
        <v>6288</v>
      </c>
      <c r="B1822" s="2" t="s">
        <v>2158</v>
      </c>
      <c r="C1822" s="2" t="s">
        <v>328</v>
      </c>
      <c r="D1822" s="483">
        <v>20184</v>
      </c>
      <c r="E1822" s="2" t="s">
        <v>331</v>
      </c>
    </row>
    <row r="1823" spans="1:5" x14ac:dyDescent="0.3">
      <c r="A1823" s="2">
        <v>6289</v>
      </c>
      <c r="B1823" s="2" t="s">
        <v>2159</v>
      </c>
      <c r="C1823" s="2" t="s">
        <v>328</v>
      </c>
      <c r="D1823" s="483">
        <v>28279</v>
      </c>
      <c r="E1823" s="2" t="s">
        <v>331</v>
      </c>
    </row>
    <row r="1824" spans="1:5" x14ac:dyDescent="0.3">
      <c r="A1824" s="2">
        <v>6290</v>
      </c>
      <c r="B1824" s="2" t="s">
        <v>2160</v>
      </c>
      <c r="C1824" s="2" t="s">
        <v>670</v>
      </c>
      <c r="D1824" s="483">
        <v>28858</v>
      </c>
      <c r="E1824" s="2" t="s">
        <v>331</v>
      </c>
    </row>
    <row r="1825" spans="1:5" x14ac:dyDescent="0.3">
      <c r="A1825" s="2">
        <v>6291</v>
      </c>
      <c r="B1825" s="2" t="s">
        <v>2161</v>
      </c>
      <c r="C1825" s="2" t="s">
        <v>328</v>
      </c>
      <c r="D1825" s="483">
        <v>21296</v>
      </c>
      <c r="E1825" s="2" t="s">
        <v>324</v>
      </c>
    </row>
    <row r="1826" spans="1:5" x14ac:dyDescent="0.3">
      <c r="A1826" s="2">
        <v>6292</v>
      </c>
      <c r="B1826" s="2" t="s">
        <v>2162</v>
      </c>
      <c r="C1826" s="2" t="s">
        <v>670</v>
      </c>
      <c r="D1826" s="483">
        <v>29719</v>
      </c>
      <c r="E1826" s="2" t="s">
        <v>324</v>
      </c>
    </row>
    <row r="1827" spans="1:5" x14ac:dyDescent="0.3">
      <c r="A1827" s="2">
        <v>6294</v>
      </c>
      <c r="B1827" s="2" t="s">
        <v>2163</v>
      </c>
      <c r="C1827" s="2" t="s">
        <v>328</v>
      </c>
      <c r="D1827" s="483">
        <v>41297</v>
      </c>
      <c r="E1827" s="2" t="s">
        <v>331</v>
      </c>
    </row>
    <row r="1828" spans="1:5" x14ac:dyDescent="0.3">
      <c r="A1828" s="2">
        <v>6295</v>
      </c>
      <c r="B1828" s="2" t="s">
        <v>2164</v>
      </c>
      <c r="C1828" s="2" t="s">
        <v>328</v>
      </c>
      <c r="D1828" s="483">
        <v>41256</v>
      </c>
      <c r="E1828" s="2" t="s">
        <v>331</v>
      </c>
    </row>
    <row r="1829" spans="1:5" x14ac:dyDescent="0.3">
      <c r="A1829" s="2">
        <v>6296</v>
      </c>
      <c r="B1829" s="2" t="s">
        <v>2165</v>
      </c>
      <c r="C1829" s="2" t="s">
        <v>328</v>
      </c>
      <c r="D1829" s="483">
        <v>65890</v>
      </c>
      <c r="E1829" s="2" t="s">
        <v>331</v>
      </c>
    </row>
    <row r="1830" spans="1:5" x14ac:dyDescent="0.3">
      <c r="A1830" s="2">
        <v>6297</v>
      </c>
      <c r="B1830" s="2" t="s">
        <v>2166</v>
      </c>
      <c r="C1830" s="2" t="s">
        <v>30</v>
      </c>
      <c r="D1830" s="483">
        <v>783958</v>
      </c>
      <c r="E1830" s="2" t="s">
        <v>331</v>
      </c>
    </row>
    <row r="1831" spans="1:5" x14ac:dyDescent="0.3">
      <c r="A1831" s="2">
        <v>6298</v>
      </c>
      <c r="B1831" s="2" t="s">
        <v>2167</v>
      </c>
      <c r="C1831" s="2" t="s">
        <v>30</v>
      </c>
      <c r="D1831" s="483">
        <v>692055</v>
      </c>
      <c r="E1831" s="2" t="s">
        <v>331</v>
      </c>
    </row>
    <row r="1832" spans="1:5" x14ac:dyDescent="0.3">
      <c r="A1832" s="2">
        <v>6299</v>
      </c>
      <c r="B1832" s="2" t="s">
        <v>2168</v>
      </c>
      <c r="C1832" s="2" t="s">
        <v>30</v>
      </c>
      <c r="D1832" s="483">
        <v>676114</v>
      </c>
      <c r="E1832" s="2" t="s">
        <v>331</v>
      </c>
    </row>
    <row r="1833" spans="1:5" x14ac:dyDescent="0.3">
      <c r="A1833" s="2">
        <v>6301</v>
      </c>
      <c r="B1833" s="2" t="s">
        <v>2169</v>
      </c>
      <c r="C1833" s="2" t="s">
        <v>30</v>
      </c>
      <c r="D1833" s="483">
        <v>994730</v>
      </c>
      <c r="E1833" s="2" t="s">
        <v>331</v>
      </c>
    </row>
    <row r="1834" spans="1:5" x14ac:dyDescent="0.3">
      <c r="A1834" s="2">
        <v>6302</v>
      </c>
      <c r="B1834" s="2" t="s">
        <v>2170</v>
      </c>
      <c r="C1834" s="2" t="s">
        <v>30</v>
      </c>
      <c r="D1834" s="483">
        <v>808980</v>
      </c>
      <c r="E1834" s="2" t="s">
        <v>331</v>
      </c>
    </row>
    <row r="1835" spans="1:5" x14ac:dyDescent="0.3">
      <c r="A1835" s="2">
        <v>6303</v>
      </c>
      <c r="B1835" s="2" t="s">
        <v>2171</v>
      </c>
      <c r="C1835" s="2" t="s">
        <v>21</v>
      </c>
      <c r="D1835" s="483">
        <v>9171</v>
      </c>
      <c r="E1835" s="2" t="s">
        <v>331</v>
      </c>
    </row>
    <row r="1836" spans="1:5" x14ac:dyDescent="0.3">
      <c r="A1836" s="2">
        <v>6304</v>
      </c>
      <c r="B1836" s="2" t="s">
        <v>2172</v>
      </c>
      <c r="C1836" s="2" t="s">
        <v>21</v>
      </c>
      <c r="D1836" s="483">
        <v>8587</v>
      </c>
      <c r="E1836" s="2" t="s">
        <v>331</v>
      </c>
    </row>
    <row r="1837" spans="1:5" x14ac:dyDescent="0.3">
      <c r="A1837" s="2">
        <v>6306</v>
      </c>
      <c r="B1837" s="2" t="s">
        <v>2173</v>
      </c>
      <c r="C1837" s="2" t="s">
        <v>328</v>
      </c>
      <c r="D1837" s="483">
        <v>10250</v>
      </c>
      <c r="E1837" s="2" t="s">
        <v>331</v>
      </c>
    </row>
    <row r="1838" spans="1:5" x14ac:dyDescent="0.3">
      <c r="A1838" s="2">
        <v>6308</v>
      </c>
      <c r="B1838" s="2" t="s">
        <v>2174</v>
      </c>
      <c r="C1838" s="2" t="s">
        <v>21</v>
      </c>
      <c r="D1838" s="483">
        <v>5028</v>
      </c>
      <c r="E1838" s="2" t="s">
        <v>331</v>
      </c>
    </row>
    <row r="1839" spans="1:5" x14ac:dyDescent="0.3">
      <c r="A1839" s="2">
        <v>6309</v>
      </c>
      <c r="B1839" s="2" t="s">
        <v>2175</v>
      </c>
      <c r="C1839" s="2" t="s">
        <v>21</v>
      </c>
      <c r="D1839" s="483">
        <v>18328</v>
      </c>
      <c r="E1839" s="2" t="s">
        <v>324</v>
      </c>
    </row>
    <row r="1840" spans="1:5" x14ac:dyDescent="0.3">
      <c r="A1840" s="2">
        <v>6311</v>
      </c>
      <c r="B1840" s="2" t="s">
        <v>2176</v>
      </c>
      <c r="C1840" s="2" t="s">
        <v>21</v>
      </c>
      <c r="D1840" s="483">
        <v>501149</v>
      </c>
      <c r="E1840" s="2" t="s">
        <v>331</v>
      </c>
    </row>
    <row r="1841" spans="1:5" x14ac:dyDescent="0.3">
      <c r="A1841" s="2">
        <v>6313</v>
      </c>
      <c r="B1841" s="2" t="s">
        <v>2177</v>
      </c>
      <c r="C1841" s="2" t="s">
        <v>30</v>
      </c>
      <c r="D1841" s="483">
        <v>1241977</v>
      </c>
      <c r="E1841" s="2" t="s">
        <v>331</v>
      </c>
    </row>
    <row r="1842" spans="1:5" x14ac:dyDescent="0.3">
      <c r="A1842" s="2">
        <v>6314</v>
      </c>
      <c r="B1842" s="2" t="s">
        <v>2178</v>
      </c>
      <c r="C1842" s="2" t="s">
        <v>30</v>
      </c>
      <c r="D1842" s="483">
        <v>1248832</v>
      </c>
      <c r="E1842" s="2" t="s">
        <v>331</v>
      </c>
    </row>
    <row r="1843" spans="1:5" x14ac:dyDescent="0.3">
      <c r="A1843" s="2">
        <v>6315</v>
      </c>
      <c r="B1843" s="2" t="s">
        <v>2179</v>
      </c>
      <c r="C1843" s="2" t="s">
        <v>30</v>
      </c>
      <c r="D1843" s="483">
        <v>1269221</v>
      </c>
      <c r="E1843" s="2" t="s">
        <v>331</v>
      </c>
    </row>
    <row r="1844" spans="1:5" x14ac:dyDescent="0.3">
      <c r="A1844" s="2">
        <v>6316</v>
      </c>
      <c r="B1844" s="2" t="s">
        <v>2180</v>
      </c>
      <c r="C1844" s="2" t="s">
        <v>30</v>
      </c>
      <c r="D1844" s="483">
        <v>1350300</v>
      </c>
      <c r="E1844" s="2" t="s">
        <v>331</v>
      </c>
    </row>
    <row r="1845" spans="1:5" x14ac:dyDescent="0.3">
      <c r="A1845" s="2">
        <v>6317</v>
      </c>
      <c r="B1845" s="2" t="s">
        <v>2181</v>
      </c>
      <c r="C1845" s="2" t="s">
        <v>328</v>
      </c>
      <c r="D1845" s="483">
        <v>5646379</v>
      </c>
      <c r="E1845" s="2" t="s">
        <v>331</v>
      </c>
    </row>
    <row r="1846" spans="1:5" x14ac:dyDescent="0.3">
      <c r="A1846" s="2">
        <v>6318</v>
      </c>
      <c r="B1846" s="2" t="s">
        <v>2182</v>
      </c>
      <c r="C1846" s="2" t="s">
        <v>307</v>
      </c>
      <c r="D1846" s="483">
        <v>123571</v>
      </c>
      <c r="E1846" s="2" t="s">
        <v>367</v>
      </c>
    </row>
    <row r="1847" spans="1:5" x14ac:dyDescent="0.3">
      <c r="A1847" s="2">
        <v>6319</v>
      </c>
      <c r="B1847" s="2" t="s">
        <v>2183</v>
      </c>
      <c r="C1847" s="2" t="s">
        <v>328</v>
      </c>
      <c r="D1847" s="483">
        <v>3751325</v>
      </c>
      <c r="E1847" s="2" t="s">
        <v>331</v>
      </c>
    </row>
    <row r="1848" spans="1:5" x14ac:dyDescent="0.3">
      <c r="A1848" s="2">
        <v>6320</v>
      </c>
      <c r="B1848" s="2" t="s">
        <v>2184</v>
      </c>
      <c r="C1848" s="2" t="s">
        <v>32</v>
      </c>
      <c r="D1848" s="483">
        <v>4438151</v>
      </c>
      <c r="E1848" s="2" t="s">
        <v>331</v>
      </c>
    </row>
    <row r="1849" spans="1:5" x14ac:dyDescent="0.3">
      <c r="A1849" s="2">
        <v>6321</v>
      </c>
      <c r="B1849" s="2" t="s">
        <v>2185</v>
      </c>
      <c r="C1849" s="2" t="s">
        <v>30</v>
      </c>
      <c r="D1849" s="483">
        <v>947635</v>
      </c>
      <c r="E1849" s="2" t="s">
        <v>331</v>
      </c>
    </row>
    <row r="1850" spans="1:5" x14ac:dyDescent="0.3">
      <c r="A1850" s="2">
        <v>6322</v>
      </c>
      <c r="B1850" s="2" t="s">
        <v>2186</v>
      </c>
      <c r="C1850" s="2" t="s">
        <v>32</v>
      </c>
      <c r="D1850" s="483">
        <v>220578</v>
      </c>
      <c r="E1850" s="2" t="s">
        <v>331</v>
      </c>
    </row>
    <row r="1851" spans="1:5" x14ac:dyDescent="0.3">
      <c r="A1851" s="2">
        <v>6323</v>
      </c>
      <c r="B1851" s="2" t="s">
        <v>2187</v>
      </c>
      <c r="C1851" s="2" t="s">
        <v>328</v>
      </c>
      <c r="D1851" s="483">
        <v>882230</v>
      </c>
      <c r="E1851" s="2" t="s">
        <v>331</v>
      </c>
    </row>
    <row r="1852" spans="1:5" x14ac:dyDescent="0.3">
      <c r="A1852" s="2">
        <v>6324</v>
      </c>
      <c r="B1852" s="2" t="s">
        <v>2188</v>
      </c>
      <c r="C1852" s="2" t="s">
        <v>32</v>
      </c>
      <c r="D1852" s="483">
        <v>94050</v>
      </c>
      <c r="E1852" s="2" t="s">
        <v>331</v>
      </c>
    </row>
    <row r="1853" spans="1:5" x14ac:dyDescent="0.3">
      <c r="A1853" s="2">
        <v>6325</v>
      </c>
      <c r="B1853" s="2" t="s">
        <v>2189</v>
      </c>
      <c r="C1853" s="2" t="s">
        <v>32</v>
      </c>
      <c r="D1853" s="483">
        <v>85814</v>
      </c>
      <c r="E1853" s="2" t="s">
        <v>331</v>
      </c>
    </row>
    <row r="1854" spans="1:5" x14ac:dyDescent="0.3">
      <c r="A1854" s="2">
        <v>6326</v>
      </c>
      <c r="B1854" s="2" t="s">
        <v>2190</v>
      </c>
      <c r="C1854" s="2" t="s">
        <v>30</v>
      </c>
      <c r="D1854" s="483">
        <v>191704</v>
      </c>
      <c r="E1854" s="2" t="s">
        <v>331</v>
      </c>
    </row>
    <row r="1855" spans="1:5" x14ac:dyDescent="0.3">
      <c r="A1855" s="2">
        <v>6327</v>
      </c>
      <c r="B1855" s="2" t="s">
        <v>2191</v>
      </c>
      <c r="C1855" s="2" t="s">
        <v>2192</v>
      </c>
      <c r="D1855" s="483">
        <v>595000</v>
      </c>
      <c r="E1855" s="2" t="s">
        <v>1416</v>
      </c>
    </row>
    <row r="1856" spans="1:5" x14ac:dyDescent="0.3">
      <c r="A1856" s="2">
        <v>6328</v>
      </c>
      <c r="B1856" s="2" t="s">
        <v>2193</v>
      </c>
      <c r="C1856" s="2" t="s">
        <v>2192</v>
      </c>
      <c r="D1856" s="483">
        <v>714000</v>
      </c>
      <c r="E1856" s="2" t="s">
        <v>1416</v>
      </c>
    </row>
    <row r="1857" spans="1:5" x14ac:dyDescent="0.3">
      <c r="A1857" s="2">
        <v>6329</v>
      </c>
      <c r="B1857" s="2" t="s">
        <v>2194</v>
      </c>
      <c r="C1857" s="2" t="s">
        <v>2192</v>
      </c>
      <c r="D1857" s="483">
        <v>952000</v>
      </c>
      <c r="E1857" s="2" t="s">
        <v>1416</v>
      </c>
    </row>
    <row r="1858" spans="1:5" x14ac:dyDescent="0.3">
      <c r="A1858" s="2">
        <v>6333</v>
      </c>
      <c r="B1858" s="2" t="s">
        <v>2195</v>
      </c>
      <c r="C1858" s="2" t="s">
        <v>30</v>
      </c>
      <c r="D1858" s="483">
        <v>255030</v>
      </c>
      <c r="E1858" s="2" t="s">
        <v>331</v>
      </c>
    </row>
    <row r="1859" spans="1:5" x14ac:dyDescent="0.3">
      <c r="A1859" s="2">
        <v>6335</v>
      </c>
      <c r="B1859" s="2" t="s">
        <v>2196</v>
      </c>
      <c r="C1859" s="2" t="s">
        <v>328</v>
      </c>
      <c r="D1859" s="483">
        <v>111555</v>
      </c>
      <c r="E1859" s="2" t="s">
        <v>324</v>
      </c>
    </row>
    <row r="1860" spans="1:5" x14ac:dyDescent="0.3">
      <c r="A1860" s="2">
        <v>6339</v>
      </c>
      <c r="B1860" s="2" t="s">
        <v>2197</v>
      </c>
      <c r="C1860" s="2" t="s">
        <v>32</v>
      </c>
      <c r="D1860" s="483">
        <v>6374530</v>
      </c>
      <c r="E1860" s="2" t="s">
        <v>331</v>
      </c>
    </row>
    <row r="1861" spans="1:5" x14ac:dyDescent="0.3">
      <c r="A1861" s="2">
        <v>6340</v>
      </c>
      <c r="B1861" s="2" t="s">
        <v>2198</v>
      </c>
      <c r="C1861" s="2" t="s">
        <v>30</v>
      </c>
      <c r="D1861" s="483">
        <v>279160</v>
      </c>
      <c r="E1861" s="2" t="s">
        <v>331</v>
      </c>
    </row>
    <row r="1862" spans="1:5" x14ac:dyDescent="0.3">
      <c r="A1862" s="2">
        <v>6341</v>
      </c>
      <c r="B1862" s="2" t="s">
        <v>2199</v>
      </c>
      <c r="C1862" s="2" t="s">
        <v>32</v>
      </c>
      <c r="D1862" s="483">
        <v>818152</v>
      </c>
      <c r="E1862" s="2" t="s">
        <v>331</v>
      </c>
    </row>
    <row r="1863" spans="1:5" x14ac:dyDescent="0.3">
      <c r="A1863" s="2">
        <v>6342</v>
      </c>
      <c r="B1863" s="2" t="s">
        <v>2200</v>
      </c>
      <c r="C1863" s="2" t="s">
        <v>32</v>
      </c>
      <c r="D1863" s="483">
        <v>8921761</v>
      </c>
      <c r="E1863" s="2" t="s">
        <v>331</v>
      </c>
    </row>
    <row r="1864" spans="1:5" x14ac:dyDescent="0.3">
      <c r="A1864" s="2">
        <v>6346</v>
      </c>
      <c r="B1864" s="2" t="s">
        <v>2201</v>
      </c>
      <c r="C1864" s="2" t="s">
        <v>328</v>
      </c>
      <c r="D1864" s="483">
        <v>37295</v>
      </c>
      <c r="E1864" s="2" t="s">
        <v>331</v>
      </c>
    </row>
    <row r="1865" spans="1:5" x14ac:dyDescent="0.3">
      <c r="A1865" s="2">
        <v>6352</v>
      </c>
      <c r="B1865" s="2" t="s">
        <v>2202</v>
      </c>
      <c r="C1865" s="2" t="s">
        <v>21</v>
      </c>
      <c r="D1865" s="483">
        <v>97878</v>
      </c>
      <c r="E1865" s="2" t="s">
        <v>331</v>
      </c>
    </row>
    <row r="1866" spans="1:5" x14ac:dyDescent="0.3">
      <c r="A1866" s="2">
        <v>6353</v>
      </c>
      <c r="B1866" s="2" t="s">
        <v>2203</v>
      </c>
      <c r="C1866" s="2" t="s">
        <v>2125</v>
      </c>
      <c r="D1866" s="483">
        <v>2813</v>
      </c>
      <c r="E1866" s="2" t="s">
        <v>331</v>
      </c>
    </row>
    <row r="1867" spans="1:5" x14ac:dyDescent="0.3">
      <c r="A1867" s="2">
        <v>6364</v>
      </c>
      <c r="B1867" s="2" t="s">
        <v>2204</v>
      </c>
      <c r="C1867" s="2" t="s">
        <v>32</v>
      </c>
      <c r="D1867" s="483">
        <v>7604322</v>
      </c>
      <c r="E1867" s="2" t="s">
        <v>367</v>
      </c>
    </row>
    <row r="1868" spans="1:5" x14ac:dyDescent="0.3">
      <c r="A1868" s="2">
        <v>6365</v>
      </c>
      <c r="B1868" s="2" t="s">
        <v>2205</v>
      </c>
      <c r="C1868" s="2" t="s">
        <v>32</v>
      </c>
      <c r="D1868" s="483">
        <v>1135334</v>
      </c>
      <c r="E1868" s="2" t="s">
        <v>367</v>
      </c>
    </row>
    <row r="1869" spans="1:5" x14ac:dyDescent="0.3">
      <c r="A1869" s="2">
        <v>6366</v>
      </c>
      <c r="B1869" s="2" t="s">
        <v>2206</v>
      </c>
      <c r="C1869" s="2" t="s">
        <v>32</v>
      </c>
      <c r="D1869" s="483">
        <v>737800</v>
      </c>
      <c r="E1869" s="2" t="s">
        <v>367</v>
      </c>
    </row>
    <row r="1870" spans="1:5" x14ac:dyDescent="0.3">
      <c r="A1870" s="2">
        <v>6367</v>
      </c>
      <c r="B1870" s="2" t="s">
        <v>2207</v>
      </c>
      <c r="C1870" s="2" t="s">
        <v>32</v>
      </c>
      <c r="D1870" s="483">
        <v>644555</v>
      </c>
      <c r="E1870" s="2" t="s">
        <v>367</v>
      </c>
    </row>
    <row r="1871" spans="1:5" x14ac:dyDescent="0.3">
      <c r="A1871" s="2">
        <v>6371</v>
      </c>
      <c r="B1871" s="2" t="s">
        <v>2208</v>
      </c>
      <c r="C1871" s="2" t="s">
        <v>32</v>
      </c>
      <c r="D1871" s="483">
        <v>7604322</v>
      </c>
      <c r="E1871" s="2" t="s">
        <v>367</v>
      </c>
    </row>
    <row r="1872" spans="1:5" x14ac:dyDescent="0.3">
      <c r="A1872" s="2">
        <v>6372</v>
      </c>
      <c r="B1872" s="2" t="s">
        <v>2209</v>
      </c>
      <c r="C1872" s="2" t="s">
        <v>32</v>
      </c>
      <c r="D1872" s="483">
        <v>8648715</v>
      </c>
      <c r="E1872" s="2" t="s">
        <v>367</v>
      </c>
    </row>
    <row r="1873" spans="1:5" x14ac:dyDescent="0.3">
      <c r="A1873" s="2">
        <v>6373</v>
      </c>
      <c r="B1873" s="2" t="s">
        <v>2210</v>
      </c>
      <c r="C1873" s="2" t="s">
        <v>32</v>
      </c>
      <c r="D1873" s="483">
        <v>4770965</v>
      </c>
      <c r="E1873" s="2" t="s">
        <v>367</v>
      </c>
    </row>
    <row r="1874" spans="1:5" x14ac:dyDescent="0.3">
      <c r="A1874" s="2">
        <v>6374</v>
      </c>
      <c r="B1874" s="2" t="s">
        <v>2211</v>
      </c>
      <c r="C1874" s="2" t="s">
        <v>32</v>
      </c>
      <c r="D1874" s="483">
        <v>594044</v>
      </c>
      <c r="E1874" s="2" t="s">
        <v>367</v>
      </c>
    </row>
    <row r="1875" spans="1:5" x14ac:dyDescent="0.3">
      <c r="A1875" s="2">
        <v>6375</v>
      </c>
      <c r="B1875" s="2" t="s">
        <v>2212</v>
      </c>
      <c r="C1875" s="2" t="s">
        <v>32</v>
      </c>
      <c r="D1875" s="483">
        <v>696150</v>
      </c>
      <c r="E1875" s="2" t="s">
        <v>367</v>
      </c>
    </row>
    <row r="1876" spans="1:5" x14ac:dyDescent="0.3">
      <c r="A1876" s="2">
        <v>6376</v>
      </c>
      <c r="B1876" s="2" t="s">
        <v>2213</v>
      </c>
      <c r="C1876" s="2" t="s">
        <v>32</v>
      </c>
      <c r="D1876" s="483">
        <v>727949</v>
      </c>
      <c r="E1876" s="2" t="s">
        <v>367</v>
      </c>
    </row>
    <row r="1877" spans="1:5" x14ac:dyDescent="0.3">
      <c r="A1877" s="2">
        <v>6377</v>
      </c>
      <c r="B1877" s="2" t="s">
        <v>2214</v>
      </c>
      <c r="C1877" s="2" t="s">
        <v>32</v>
      </c>
      <c r="D1877" s="483">
        <v>696150</v>
      </c>
      <c r="E1877" s="2" t="s">
        <v>367</v>
      </c>
    </row>
    <row r="1878" spans="1:5" x14ac:dyDescent="0.3">
      <c r="A1878" s="2">
        <v>6379</v>
      </c>
      <c r="B1878" s="2" t="s">
        <v>2215</v>
      </c>
      <c r="C1878" s="2" t="s">
        <v>32</v>
      </c>
      <c r="D1878" s="483">
        <v>668780</v>
      </c>
      <c r="E1878" s="2" t="s">
        <v>367</v>
      </c>
    </row>
    <row r="1879" spans="1:5" x14ac:dyDescent="0.3">
      <c r="A1879" s="2">
        <v>6380</v>
      </c>
      <c r="B1879" s="2" t="s">
        <v>2216</v>
      </c>
      <c r="C1879" s="2" t="s">
        <v>328</v>
      </c>
      <c r="D1879" s="483">
        <v>105251</v>
      </c>
      <c r="E1879" s="2" t="s">
        <v>331</v>
      </c>
    </row>
    <row r="1880" spans="1:5" x14ac:dyDescent="0.3">
      <c r="A1880" s="2">
        <v>6381</v>
      </c>
      <c r="B1880" s="2" t="s">
        <v>2217</v>
      </c>
      <c r="C1880" s="2" t="s">
        <v>328</v>
      </c>
      <c r="D1880" s="483">
        <v>5639751</v>
      </c>
      <c r="E1880" s="2" t="s">
        <v>331</v>
      </c>
    </row>
    <row r="1881" spans="1:5" x14ac:dyDescent="0.3">
      <c r="A1881" s="2">
        <v>6382</v>
      </c>
      <c r="B1881" s="2" t="s">
        <v>2218</v>
      </c>
      <c r="C1881" s="2" t="s">
        <v>328</v>
      </c>
      <c r="D1881" s="483">
        <v>641097</v>
      </c>
      <c r="E1881" s="2" t="s">
        <v>331</v>
      </c>
    </row>
    <row r="1882" spans="1:5" x14ac:dyDescent="0.3">
      <c r="A1882" s="2">
        <v>6383</v>
      </c>
      <c r="B1882" s="2" t="s">
        <v>2219</v>
      </c>
      <c r="C1882" s="2" t="s">
        <v>328</v>
      </c>
      <c r="D1882" s="483">
        <v>644182</v>
      </c>
      <c r="E1882" s="2" t="s">
        <v>331</v>
      </c>
    </row>
    <row r="1883" spans="1:5" x14ac:dyDescent="0.3">
      <c r="A1883" s="2">
        <v>6387</v>
      </c>
      <c r="B1883" s="2" t="s">
        <v>2220</v>
      </c>
      <c r="C1883" s="2" t="s">
        <v>32</v>
      </c>
      <c r="D1883" s="483">
        <v>19568350</v>
      </c>
      <c r="E1883" s="2" t="s">
        <v>331</v>
      </c>
    </row>
    <row r="1884" spans="1:5" x14ac:dyDescent="0.3">
      <c r="A1884" s="2">
        <v>6388</v>
      </c>
      <c r="B1884" s="2" t="s">
        <v>2221</v>
      </c>
      <c r="C1884" s="2" t="s">
        <v>32</v>
      </c>
      <c r="D1884" s="483">
        <v>25342831</v>
      </c>
      <c r="E1884" s="2" t="s">
        <v>331</v>
      </c>
    </row>
    <row r="1885" spans="1:5" x14ac:dyDescent="0.3">
      <c r="A1885" s="2">
        <v>6389</v>
      </c>
      <c r="B1885" s="2" t="s">
        <v>2222</v>
      </c>
      <c r="C1885" s="2" t="s">
        <v>32</v>
      </c>
      <c r="D1885" s="483">
        <v>27180024</v>
      </c>
      <c r="E1885" s="2" t="s">
        <v>331</v>
      </c>
    </row>
    <row r="1886" spans="1:5" x14ac:dyDescent="0.3">
      <c r="A1886" s="2">
        <v>6392</v>
      </c>
      <c r="B1886" s="2" t="s">
        <v>2223</v>
      </c>
      <c r="C1886" s="2" t="s">
        <v>30</v>
      </c>
      <c r="D1886" s="483">
        <v>2371569</v>
      </c>
      <c r="E1886" s="2" t="s">
        <v>331</v>
      </c>
    </row>
    <row r="1887" spans="1:5" x14ac:dyDescent="0.3">
      <c r="A1887" s="2">
        <v>6393</v>
      </c>
      <c r="B1887" s="2" t="s">
        <v>2224</v>
      </c>
      <c r="C1887" s="2" t="s">
        <v>30</v>
      </c>
      <c r="D1887" s="483">
        <v>2493429</v>
      </c>
      <c r="E1887" s="2" t="s">
        <v>331</v>
      </c>
    </row>
    <row r="1888" spans="1:5" x14ac:dyDescent="0.3">
      <c r="A1888" s="2">
        <v>6395</v>
      </c>
      <c r="B1888" s="2" t="s">
        <v>2225</v>
      </c>
      <c r="C1888" s="2" t="s">
        <v>30</v>
      </c>
      <c r="D1888" s="483">
        <v>3319114</v>
      </c>
      <c r="E1888" s="2" t="s">
        <v>331</v>
      </c>
    </row>
    <row r="1889" spans="1:5" x14ac:dyDescent="0.3">
      <c r="A1889" s="2">
        <v>6396</v>
      </c>
      <c r="B1889" s="2" t="s">
        <v>2226</v>
      </c>
      <c r="C1889" s="2" t="s">
        <v>32</v>
      </c>
      <c r="D1889" s="483">
        <v>495303</v>
      </c>
      <c r="E1889" s="2" t="s">
        <v>331</v>
      </c>
    </row>
    <row r="1890" spans="1:5" x14ac:dyDescent="0.3">
      <c r="A1890" s="2">
        <v>6397</v>
      </c>
      <c r="B1890" s="2" t="s">
        <v>2227</v>
      </c>
      <c r="C1890" s="2" t="s">
        <v>32</v>
      </c>
      <c r="D1890" s="483">
        <v>292239</v>
      </c>
      <c r="E1890" s="2" t="s">
        <v>331</v>
      </c>
    </row>
    <row r="1891" spans="1:5" x14ac:dyDescent="0.3">
      <c r="A1891" s="2">
        <v>6400</v>
      </c>
      <c r="B1891" s="2" t="s">
        <v>2228</v>
      </c>
      <c r="C1891" s="2" t="s">
        <v>328</v>
      </c>
      <c r="D1891" s="483">
        <v>900127</v>
      </c>
      <c r="E1891" s="2" t="s">
        <v>331</v>
      </c>
    </row>
    <row r="1892" spans="1:5" x14ac:dyDescent="0.3">
      <c r="A1892" s="2">
        <v>6407</v>
      </c>
      <c r="B1892" s="2" t="s">
        <v>2229</v>
      </c>
      <c r="C1892" s="2" t="s">
        <v>21</v>
      </c>
      <c r="D1892" s="483">
        <v>256474</v>
      </c>
      <c r="E1892" s="2" t="s">
        <v>1416</v>
      </c>
    </row>
    <row r="1893" spans="1:5" x14ac:dyDescent="0.3">
      <c r="A1893" s="2">
        <v>6413</v>
      </c>
      <c r="B1893" s="2" t="s">
        <v>2230</v>
      </c>
      <c r="C1893" s="2" t="s">
        <v>32</v>
      </c>
      <c r="D1893" s="483">
        <v>1785000</v>
      </c>
      <c r="E1893" s="2" t="s">
        <v>1416</v>
      </c>
    </row>
    <row r="1894" spans="1:5" x14ac:dyDescent="0.3">
      <c r="A1894" s="2">
        <v>6416</v>
      </c>
      <c r="B1894" s="2" t="s">
        <v>2231</v>
      </c>
      <c r="C1894" s="2" t="s">
        <v>21</v>
      </c>
      <c r="D1894" s="483">
        <v>90276</v>
      </c>
      <c r="E1894" s="2" t="s">
        <v>331</v>
      </c>
    </row>
    <row r="1895" spans="1:5" x14ac:dyDescent="0.3">
      <c r="A1895" s="2">
        <v>6421</v>
      </c>
      <c r="B1895" s="2" t="s">
        <v>2232</v>
      </c>
      <c r="C1895" s="2" t="s">
        <v>328</v>
      </c>
      <c r="D1895" s="483">
        <v>55161</v>
      </c>
      <c r="E1895" s="2" t="s">
        <v>331</v>
      </c>
    </row>
    <row r="1896" spans="1:5" x14ac:dyDescent="0.3">
      <c r="A1896" s="2">
        <v>6422</v>
      </c>
      <c r="B1896" s="2" t="s">
        <v>2233</v>
      </c>
      <c r="C1896" s="2" t="s">
        <v>32</v>
      </c>
      <c r="D1896" s="483">
        <v>88735</v>
      </c>
      <c r="E1896" s="2" t="s">
        <v>331</v>
      </c>
    </row>
    <row r="1897" spans="1:5" x14ac:dyDescent="0.3">
      <c r="A1897" s="2">
        <v>6423</v>
      </c>
      <c r="B1897" s="2" t="s">
        <v>2234</v>
      </c>
      <c r="C1897" s="2" t="s">
        <v>32</v>
      </c>
      <c r="D1897" s="483">
        <v>2971213</v>
      </c>
      <c r="E1897" s="2" t="s">
        <v>331</v>
      </c>
    </row>
    <row r="1898" spans="1:5" x14ac:dyDescent="0.3">
      <c r="A1898" s="2">
        <v>6425</v>
      </c>
      <c r="B1898" s="2" t="s">
        <v>2235</v>
      </c>
      <c r="C1898" s="2" t="s">
        <v>328</v>
      </c>
      <c r="D1898" s="483">
        <v>142844</v>
      </c>
      <c r="E1898" s="2" t="s">
        <v>331</v>
      </c>
    </row>
    <row r="1899" spans="1:5" x14ac:dyDescent="0.3">
      <c r="A1899" s="2">
        <v>6426</v>
      </c>
      <c r="B1899" s="2" t="s">
        <v>2236</v>
      </c>
      <c r="C1899" s="2" t="s">
        <v>32</v>
      </c>
      <c r="D1899" s="483">
        <v>1320963</v>
      </c>
      <c r="E1899" s="2" t="s">
        <v>331</v>
      </c>
    </row>
    <row r="1900" spans="1:5" x14ac:dyDescent="0.3">
      <c r="A1900" s="2">
        <v>6427</v>
      </c>
      <c r="B1900" s="2" t="s">
        <v>2237</v>
      </c>
      <c r="C1900" s="2" t="s">
        <v>328</v>
      </c>
      <c r="D1900" s="483">
        <v>38419</v>
      </c>
      <c r="E1900" s="2" t="s">
        <v>331</v>
      </c>
    </row>
    <row r="1901" spans="1:5" x14ac:dyDescent="0.3">
      <c r="A1901" s="2">
        <v>6428</v>
      </c>
      <c r="B1901" s="2" t="s">
        <v>2238</v>
      </c>
      <c r="C1901" s="2" t="s">
        <v>30</v>
      </c>
      <c r="D1901" s="483">
        <v>1144639</v>
      </c>
      <c r="E1901" s="2" t="s">
        <v>331</v>
      </c>
    </row>
    <row r="1902" spans="1:5" x14ac:dyDescent="0.3">
      <c r="A1902" s="2">
        <v>6429</v>
      </c>
      <c r="B1902" s="2" t="s">
        <v>2239</v>
      </c>
      <c r="C1902" s="2" t="s">
        <v>328</v>
      </c>
      <c r="D1902" s="483">
        <v>57878</v>
      </c>
      <c r="E1902" s="2" t="s">
        <v>331</v>
      </c>
    </row>
    <row r="1903" spans="1:5" x14ac:dyDescent="0.3">
      <c r="A1903" s="2">
        <v>6431</v>
      </c>
      <c r="B1903" s="2" t="s">
        <v>2240</v>
      </c>
      <c r="C1903" s="2" t="s">
        <v>30</v>
      </c>
      <c r="D1903" s="483">
        <v>1554452</v>
      </c>
      <c r="E1903" s="2" t="s">
        <v>331</v>
      </c>
    </row>
    <row r="1904" spans="1:5" x14ac:dyDescent="0.3">
      <c r="A1904" s="2">
        <v>6433</v>
      </c>
      <c r="B1904" s="2" t="s">
        <v>2241</v>
      </c>
      <c r="C1904" s="2" t="s">
        <v>670</v>
      </c>
      <c r="D1904" s="483">
        <v>21800</v>
      </c>
      <c r="E1904" s="2" t="s">
        <v>331</v>
      </c>
    </row>
    <row r="1905" spans="1:5" x14ac:dyDescent="0.3">
      <c r="A1905" s="2">
        <v>6434</v>
      </c>
      <c r="B1905" s="2" t="s">
        <v>2242</v>
      </c>
      <c r="C1905" s="2" t="s">
        <v>670</v>
      </c>
      <c r="D1905" s="483">
        <v>19450</v>
      </c>
      <c r="E1905" s="2" t="s">
        <v>331</v>
      </c>
    </row>
    <row r="1906" spans="1:5" x14ac:dyDescent="0.3">
      <c r="A1906" s="2">
        <v>6435</v>
      </c>
      <c r="B1906" s="2" t="s">
        <v>2243</v>
      </c>
      <c r="C1906" s="2" t="s">
        <v>670</v>
      </c>
      <c r="D1906" s="483">
        <v>21150</v>
      </c>
      <c r="E1906" s="2" t="s">
        <v>331</v>
      </c>
    </row>
    <row r="1907" spans="1:5" x14ac:dyDescent="0.3">
      <c r="A1907" s="2">
        <v>6436</v>
      </c>
      <c r="B1907" s="2" t="s">
        <v>2244</v>
      </c>
      <c r="C1907" s="2" t="s">
        <v>670</v>
      </c>
      <c r="D1907" s="483">
        <v>18800</v>
      </c>
      <c r="E1907" s="2" t="s">
        <v>331</v>
      </c>
    </row>
    <row r="1908" spans="1:5" x14ac:dyDescent="0.3">
      <c r="A1908" s="2">
        <v>6437</v>
      </c>
      <c r="B1908" s="2" t="s">
        <v>2245</v>
      </c>
      <c r="C1908" s="2" t="s">
        <v>670</v>
      </c>
      <c r="D1908" s="483">
        <v>18152</v>
      </c>
      <c r="E1908" s="2" t="s">
        <v>331</v>
      </c>
    </row>
    <row r="1909" spans="1:5" x14ac:dyDescent="0.3">
      <c r="A1909" s="2">
        <v>6438</v>
      </c>
      <c r="B1909" s="2" t="s">
        <v>2246</v>
      </c>
      <c r="C1909" s="2" t="s">
        <v>328</v>
      </c>
      <c r="D1909" s="483">
        <v>20205</v>
      </c>
      <c r="E1909" s="2" t="s">
        <v>1416</v>
      </c>
    </row>
    <row r="1910" spans="1:5" x14ac:dyDescent="0.3">
      <c r="A1910" s="2">
        <v>6439</v>
      </c>
      <c r="B1910" s="2" t="s">
        <v>2247</v>
      </c>
      <c r="C1910" s="2" t="s">
        <v>328</v>
      </c>
      <c r="D1910" s="483">
        <v>21734</v>
      </c>
      <c r="E1910" s="2" t="s">
        <v>1416</v>
      </c>
    </row>
    <row r="1911" spans="1:5" x14ac:dyDescent="0.3">
      <c r="A1911" s="2">
        <v>6440</v>
      </c>
      <c r="B1911" s="2" t="s">
        <v>2248</v>
      </c>
      <c r="C1911" s="2" t="s">
        <v>670</v>
      </c>
      <c r="D1911" s="483">
        <v>595</v>
      </c>
      <c r="E1911" s="2" t="s">
        <v>331</v>
      </c>
    </row>
    <row r="1912" spans="1:5" x14ac:dyDescent="0.3">
      <c r="A1912" s="2">
        <v>6441</v>
      </c>
      <c r="B1912" s="2" t="s">
        <v>2249</v>
      </c>
      <c r="C1912" s="2" t="s">
        <v>670</v>
      </c>
      <c r="D1912" s="483">
        <v>781</v>
      </c>
      <c r="E1912" s="2" t="s">
        <v>331</v>
      </c>
    </row>
    <row r="1913" spans="1:5" x14ac:dyDescent="0.3">
      <c r="A1913" s="2">
        <v>6442</v>
      </c>
      <c r="B1913" s="2" t="s">
        <v>2250</v>
      </c>
      <c r="C1913" s="2" t="s">
        <v>670</v>
      </c>
      <c r="D1913" s="483">
        <v>901</v>
      </c>
      <c r="E1913" s="2" t="s">
        <v>331</v>
      </c>
    </row>
    <row r="1914" spans="1:5" x14ac:dyDescent="0.3">
      <c r="A1914" s="2">
        <v>6443</v>
      </c>
      <c r="B1914" s="2" t="s">
        <v>2251</v>
      </c>
      <c r="C1914" s="2" t="s">
        <v>670</v>
      </c>
      <c r="D1914" s="483">
        <v>1022</v>
      </c>
      <c r="E1914" s="2" t="s">
        <v>331</v>
      </c>
    </row>
    <row r="1915" spans="1:5" x14ac:dyDescent="0.3">
      <c r="A1915" s="2">
        <v>6444</v>
      </c>
      <c r="B1915" s="2" t="s">
        <v>2252</v>
      </c>
      <c r="C1915" s="2" t="s">
        <v>670</v>
      </c>
      <c r="D1915" s="483">
        <v>1384</v>
      </c>
      <c r="E1915" s="2" t="s">
        <v>331</v>
      </c>
    </row>
    <row r="1916" spans="1:5" x14ac:dyDescent="0.3">
      <c r="A1916" s="2">
        <v>6445</v>
      </c>
      <c r="B1916" s="2" t="s">
        <v>2253</v>
      </c>
      <c r="C1916" s="2" t="s">
        <v>670</v>
      </c>
      <c r="D1916" s="483">
        <v>1442</v>
      </c>
      <c r="E1916" s="2" t="s">
        <v>331</v>
      </c>
    </row>
    <row r="1917" spans="1:5" x14ac:dyDescent="0.3">
      <c r="A1917" s="2">
        <v>6446</v>
      </c>
      <c r="B1917" s="2" t="s">
        <v>2254</v>
      </c>
      <c r="C1917" s="2" t="s">
        <v>670</v>
      </c>
      <c r="D1917" s="483">
        <v>1616</v>
      </c>
      <c r="E1917" s="2" t="s">
        <v>331</v>
      </c>
    </row>
    <row r="1918" spans="1:5" x14ac:dyDescent="0.3">
      <c r="A1918" s="2">
        <v>6448</v>
      </c>
      <c r="B1918" s="2" t="s">
        <v>2255</v>
      </c>
      <c r="C1918" s="2" t="s">
        <v>32</v>
      </c>
      <c r="D1918" s="483">
        <v>2001595</v>
      </c>
      <c r="E1918" s="2" t="s">
        <v>331</v>
      </c>
    </row>
    <row r="1919" spans="1:5" x14ac:dyDescent="0.3">
      <c r="A1919" s="2">
        <v>6449</v>
      </c>
      <c r="B1919" s="2" t="s">
        <v>2256</v>
      </c>
      <c r="C1919" s="2" t="s">
        <v>32</v>
      </c>
      <c r="D1919" s="483">
        <v>648937</v>
      </c>
      <c r="E1919" s="2" t="s">
        <v>324</v>
      </c>
    </row>
    <row r="1920" spans="1:5" x14ac:dyDescent="0.3">
      <c r="A1920" s="2">
        <v>6450</v>
      </c>
      <c r="B1920" s="2" t="s">
        <v>2257</v>
      </c>
      <c r="C1920" s="2" t="s">
        <v>21</v>
      </c>
      <c r="D1920" s="483">
        <v>4539</v>
      </c>
      <c r="E1920" s="2" t="s">
        <v>331</v>
      </c>
    </row>
    <row r="1921" spans="1:5" x14ac:dyDescent="0.3">
      <c r="A1921" s="2">
        <v>6451</v>
      </c>
      <c r="B1921" s="2" t="s">
        <v>2258</v>
      </c>
      <c r="C1921" s="2" t="s">
        <v>328</v>
      </c>
      <c r="D1921" s="483">
        <v>15257</v>
      </c>
      <c r="E1921" s="2" t="s">
        <v>331</v>
      </c>
    </row>
    <row r="1922" spans="1:5" x14ac:dyDescent="0.3">
      <c r="A1922" s="2">
        <v>6456</v>
      </c>
      <c r="B1922" s="2" t="s">
        <v>2259</v>
      </c>
      <c r="C1922" s="2" t="s">
        <v>30</v>
      </c>
      <c r="D1922" s="483">
        <v>1371507</v>
      </c>
      <c r="E1922" s="2" t="s">
        <v>331</v>
      </c>
    </row>
    <row r="1923" spans="1:5" x14ac:dyDescent="0.3">
      <c r="A1923" s="2">
        <v>6457</v>
      </c>
      <c r="B1923" s="2" t="s">
        <v>2260</v>
      </c>
      <c r="C1923" s="2" t="s">
        <v>979</v>
      </c>
      <c r="D1923" s="483">
        <v>99606</v>
      </c>
      <c r="E1923" s="2" t="s">
        <v>324</v>
      </c>
    </row>
    <row r="1924" spans="1:5" x14ac:dyDescent="0.3">
      <c r="A1924" s="2">
        <v>6458</v>
      </c>
      <c r="B1924" s="2" t="s">
        <v>2261</v>
      </c>
      <c r="C1924" s="2" t="s">
        <v>328</v>
      </c>
      <c r="D1924" s="483">
        <v>16246</v>
      </c>
      <c r="E1924" s="2" t="s">
        <v>324</v>
      </c>
    </row>
    <row r="1925" spans="1:5" x14ac:dyDescent="0.3">
      <c r="A1925" s="2">
        <v>6459</v>
      </c>
      <c r="B1925" s="2" t="s">
        <v>2262</v>
      </c>
      <c r="C1925" s="2" t="s">
        <v>21</v>
      </c>
      <c r="D1925" s="483">
        <v>56053</v>
      </c>
      <c r="E1925" s="2" t="s">
        <v>331</v>
      </c>
    </row>
    <row r="1926" spans="1:5" x14ac:dyDescent="0.3">
      <c r="A1926" s="2">
        <v>6461</v>
      </c>
      <c r="B1926" s="2" t="s">
        <v>2263</v>
      </c>
      <c r="C1926" s="2" t="s">
        <v>307</v>
      </c>
      <c r="D1926" s="483">
        <v>7667</v>
      </c>
      <c r="E1926" s="2" t="s">
        <v>367</v>
      </c>
    </row>
    <row r="1927" spans="1:5" x14ac:dyDescent="0.3">
      <c r="A1927" s="2">
        <v>6462</v>
      </c>
      <c r="B1927" s="2" t="s">
        <v>2264</v>
      </c>
      <c r="C1927" s="2" t="s">
        <v>2265</v>
      </c>
      <c r="D1927" s="483">
        <v>1800</v>
      </c>
      <c r="E1927" s="2" t="s">
        <v>331</v>
      </c>
    </row>
    <row r="1928" spans="1:5" x14ac:dyDescent="0.3">
      <c r="A1928" s="2">
        <v>6463</v>
      </c>
      <c r="B1928" s="2" t="s">
        <v>2266</v>
      </c>
      <c r="C1928" s="2" t="s">
        <v>30</v>
      </c>
      <c r="D1928" s="483">
        <v>7800</v>
      </c>
      <c r="E1928" s="2" t="s">
        <v>331</v>
      </c>
    </row>
    <row r="1929" spans="1:5" x14ac:dyDescent="0.3">
      <c r="A1929" s="2">
        <v>6464</v>
      </c>
      <c r="B1929" s="2" t="s">
        <v>2267</v>
      </c>
      <c r="C1929" s="2" t="s">
        <v>21</v>
      </c>
      <c r="D1929" s="483">
        <v>3577</v>
      </c>
      <c r="E1929" s="2" t="s">
        <v>331</v>
      </c>
    </row>
    <row r="1930" spans="1:5" x14ac:dyDescent="0.3">
      <c r="A1930" s="2">
        <v>6465</v>
      </c>
      <c r="B1930" s="2" t="s">
        <v>2268</v>
      </c>
      <c r="C1930" s="2" t="s">
        <v>979</v>
      </c>
      <c r="D1930" s="483">
        <v>26802</v>
      </c>
      <c r="E1930" s="2" t="s">
        <v>324</v>
      </c>
    </row>
    <row r="1931" spans="1:5" x14ac:dyDescent="0.3">
      <c r="A1931" s="2">
        <v>6466</v>
      </c>
      <c r="B1931" s="2" t="s">
        <v>2269</v>
      </c>
      <c r="C1931" s="2" t="s">
        <v>30</v>
      </c>
      <c r="D1931" s="483">
        <v>1374904</v>
      </c>
      <c r="E1931" s="2" t="s">
        <v>331</v>
      </c>
    </row>
    <row r="1932" spans="1:5" x14ac:dyDescent="0.3">
      <c r="A1932" s="2">
        <v>6467</v>
      </c>
      <c r="B1932" s="2" t="s">
        <v>2270</v>
      </c>
      <c r="C1932" s="2" t="s">
        <v>328</v>
      </c>
      <c r="D1932" s="483">
        <v>15733</v>
      </c>
      <c r="E1932" s="2" t="s">
        <v>324</v>
      </c>
    </row>
    <row r="1933" spans="1:5" x14ac:dyDescent="0.3">
      <c r="A1933" s="2">
        <v>6469</v>
      </c>
      <c r="B1933" s="2" t="s">
        <v>2271</v>
      </c>
      <c r="C1933" s="2" t="s">
        <v>21</v>
      </c>
      <c r="D1933" s="483">
        <v>344300</v>
      </c>
      <c r="E1933" s="2" t="s">
        <v>1416</v>
      </c>
    </row>
    <row r="1934" spans="1:5" x14ac:dyDescent="0.3">
      <c r="A1934" s="2">
        <v>6471</v>
      </c>
      <c r="B1934" s="2" t="s">
        <v>2272</v>
      </c>
      <c r="C1934" s="2" t="s">
        <v>30</v>
      </c>
      <c r="D1934" s="483">
        <v>190755</v>
      </c>
      <c r="E1934" s="2" t="s">
        <v>331</v>
      </c>
    </row>
    <row r="1935" spans="1:5" x14ac:dyDescent="0.3">
      <c r="A1935" s="2">
        <v>6472</v>
      </c>
      <c r="B1935" s="2" t="s">
        <v>2273</v>
      </c>
      <c r="C1935" s="2" t="s">
        <v>30</v>
      </c>
      <c r="D1935" s="483">
        <v>1477441</v>
      </c>
      <c r="E1935" s="2" t="s">
        <v>331</v>
      </c>
    </row>
    <row r="1936" spans="1:5" x14ac:dyDescent="0.3">
      <c r="A1936" s="2">
        <v>6473</v>
      </c>
      <c r="B1936" s="2" t="s">
        <v>2274</v>
      </c>
      <c r="C1936" s="2" t="s">
        <v>30</v>
      </c>
      <c r="D1936" s="483">
        <v>162127</v>
      </c>
      <c r="E1936" s="2" t="s">
        <v>331</v>
      </c>
    </row>
    <row r="1937" spans="1:5" x14ac:dyDescent="0.3">
      <c r="A1937" s="2">
        <v>6474</v>
      </c>
      <c r="B1937" s="2" t="s">
        <v>2275</v>
      </c>
      <c r="C1937" s="2" t="s">
        <v>30</v>
      </c>
      <c r="D1937" s="483">
        <v>188408</v>
      </c>
      <c r="E1937" s="2" t="s">
        <v>331</v>
      </c>
    </row>
    <row r="1938" spans="1:5" x14ac:dyDescent="0.3">
      <c r="A1938" s="2">
        <v>6475</v>
      </c>
      <c r="B1938" s="2" t="s">
        <v>2276</v>
      </c>
      <c r="C1938" s="2" t="s">
        <v>328</v>
      </c>
      <c r="D1938" s="483">
        <v>75350</v>
      </c>
      <c r="E1938" s="2" t="s">
        <v>331</v>
      </c>
    </row>
    <row r="1939" spans="1:5" x14ac:dyDescent="0.3">
      <c r="A1939" s="2">
        <v>6476</v>
      </c>
      <c r="B1939" s="2" t="s">
        <v>2277</v>
      </c>
      <c r="C1939" s="2" t="s">
        <v>21</v>
      </c>
      <c r="D1939" s="483">
        <v>216131</v>
      </c>
      <c r="E1939" s="2" t="s">
        <v>331</v>
      </c>
    </row>
    <row r="1940" spans="1:5" x14ac:dyDescent="0.3">
      <c r="A1940" s="2">
        <v>6482</v>
      </c>
      <c r="B1940" s="2" t="s">
        <v>2278</v>
      </c>
      <c r="C1940" s="2" t="s">
        <v>979</v>
      </c>
      <c r="D1940" s="483">
        <v>117500</v>
      </c>
      <c r="E1940" s="2" t="s">
        <v>324</v>
      </c>
    </row>
    <row r="1941" spans="1:5" x14ac:dyDescent="0.3">
      <c r="A1941" s="2">
        <v>6483</v>
      </c>
      <c r="B1941" s="2" t="s">
        <v>2279</v>
      </c>
      <c r="C1941" s="2" t="s">
        <v>307</v>
      </c>
      <c r="D1941" s="483">
        <v>50440</v>
      </c>
      <c r="E1941" s="2" t="s">
        <v>324</v>
      </c>
    </row>
    <row r="1942" spans="1:5" x14ac:dyDescent="0.3">
      <c r="A1942" s="2">
        <v>6484</v>
      </c>
      <c r="B1942" s="2" t="s">
        <v>2280</v>
      </c>
      <c r="C1942" s="2" t="s">
        <v>307</v>
      </c>
      <c r="D1942" s="483">
        <v>174290</v>
      </c>
      <c r="E1942" s="2" t="s">
        <v>324</v>
      </c>
    </row>
    <row r="1943" spans="1:5" x14ac:dyDescent="0.3">
      <c r="A1943" s="2">
        <v>6485</v>
      </c>
      <c r="B1943" s="2" t="s">
        <v>2281</v>
      </c>
      <c r="C1943" s="2" t="s">
        <v>32</v>
      </c>
      <c r="D1943" s="483">
        <v>51423</v>
      </c>
      <c r="E1943" s="2" t="s">
        <v>324</v>
      </c>
    </row>
    <row r="1944" spans="1:5" x14ac:dyDescent="0.3">
      <c r="A1944" s="2">
        <v>6486</v>
      </c>
      <c r="B1944" s="2" t="s">
        <v>2282</v>
      </c>
      <c r="C1944" s="2" t="s">
        <v>30</v>
      </c>
      <c r="D1944" s="483">
        <v>60713</v>
      </c>
      <c r="E1944" s="2" t="s">
        <v>331</v>
      </c>
    </row>
    <row r="1945" spans="1:5" x14ac:dyDescent="0.3">
      <c r="A1945" s="2">
        <v>6488</v>
      </c>
      <c r="B1945" s="2" t="s">
        <v>2283</v>
      </c>
      <c r="C1945" s="2" t="s">
        <v>328</v>
      </c>
      <c r="D1945" s="483">
        <v>266046</v>
      </c>
      <c r="E1945" s="2" t="s">
        <v>331</v>
      </c>
    </row>
    <row r="1946" spans="1:5" x14ac:dyDescent="0.3">
      <c r="A1946" s="2">
        <v>6489</v>
      </c>
      <c r="B1946" s="2" t="s">
        <v>2284</v>
      </c>
      <c r="C1946" s="2" t="s">
        <v>328</v>
      </c>
      <c r="D1946" s="483">
        <v>109595</v>
      </c>
      <c r="E1946" s="2" t="s">
        <v>331</v>
      </c>
    </row>
    <row r="1947" spans="1:5" x14ac:dyDescent="0.3">
      <c r="A1947" s="2">
        <v>6494</v>
      </c>
      <c r="B1947" s="2" t="s">
        <v>2285</v>
      </c>
      <c r="C1947" s="2" t="s">
        <v>328</v>
      </c>
      <c r="D1947" s="483">
        <v>314314</v>
      </c>
      <c r="E1947" s="2" t="s">
        <v>324</v>
      </c>
    </row>
    <row r="1948" spans="1:5" x14ac:dyDescent="0.3">
      <c r="A1948" s="2">
        <v>6495</v>
      </c>
      <c r="B1948" s="2" t="s">
        <v>2286</v>
      </c>
      <c r="C1948" s="2" t="s">
        <v>328</v>
      </c>
      <c r="D1948" s="483">
        <v>314314</v>
      </c>
      <c r="E1948" s="2" t="s">
        <v>324</v>
      </c>
    </row>
    <row r="1949" spans="1:5" x14ac:dyDescent="0.3">
      <c r="A1949" s="2">
        <v>6498</v>
      </c>
      <c r="B1949" s="2" t="s">
        <v>2287</v>
      </c>
      <c r="C1949" s="2" t="s">
        <v>32</v>
      </c>
      <c r="D1949" s="483">
        <v>18042</v>
      </c>
      <c r="E1949" s="2" t="s">
        <v>324</v>
      </c>
    </row>
    <row r="1950" spans="1:5" x14ac:dyDescent="0.3">
      <c r="A1950" s="2">
        <v>6499</v>
      </c>
      <c r="B1950" s="2" t="s">
        <v>2288</v>
      </c>
      <c r="C1950" s="2" t="s">
        <v>328</v>
      </c>
      <c r="D1950" s="483">
        <v>15202</v>
      </c>
      <c r="E1950" s="2" t="s">
        <v>324</v>
      </c>
    </row>
    <row r="1951" spans="1:5" x14ac:dyDescent="0.3">
      <c r="A1951" s="2">
        <v>6500</v>
      </c>
      <c r="B1951" s="2" t="s">
        <v>2289</v>
      </c>
      <c r="C1951" s="2" t="s">
        <v>32</v>
      </c>
      <c r="D1951" s="483">
        <v>229292</v>
      </c>
      <c r="E1951" s="2" t="s">
        <v>324</v>
      </c>
    </row>
    <row r="1952" spans="1:5" x14ac:dyDescent="0.3">
      <c r="A1952" s="2">
        <v>6501</v>
      </c>
      <c r="B1952" s="2" t="s">
        <v>2290</v>
      </c>
      <c r="C1952" s="2" t="s">
        <v>32</v>
      </c>
      <c r="D1952" s="483">
        <v>296892</v>
      </c>
      <c r="E1952" s="2" t="s">
        <v>324</v>
      </c>
    </row>
    <row r="1953" spans="1:5" x14ac:dyDescent="0.3">
      <c r="A1953" s="2">
        <v>6505</v>
      </c>
      <c r="B1953" s="2" t="s">
        <v>2291</v>
      </c>
      <c r="C1953" s="2" t="s">
        <v>21</v>
      </c>
      <c r="D1953" s="483">
        <v>2372</v>
      </c>
      <c r="E1953" s="2" t="s">
        <v>324</v>
      </c>
    </row>
    <row r="1954" spans="1:5" x14ac:dyDescent="0.3">
      <c r="A1954" s="2">
        <v>6506</v>
      </c>
      <c r="B1954" s="2" t="s">
        <v>2292</v>
      </c>
      <c r="C1954" s="2" t="s">
        <v>328</v>
      </c>
      <c r="D1954" s="483">
        <v>188488</v>
      </c>
      <c r="E1954" s="2" t="s">
        <v>331</v>
      </c>
    </row>
    <row r="1955" spans="1:5" x14ac:dyDescent="0.3">
      <c r="A1955" s="2">
        <v>6507</v>
      </c>
      <c r="B1955" s="2" t="s">
        <v>2293</v>
      </c>
      <c r="C1955" s="2" t="s">
        <v>21</v>
      </c>
      <c r="D1955" s="483">
        <v>243363</v>
      </c>
      <c r="E1955" s="2" t="s">
        <v>324</v>
      </c>
    </row>
    <row r="1956" spans="1:5" x14ac:dyDescent="0.3">
      <c r="A1956" s="2">
        <v>6510</v>
      </c>
      <c r="B1956" s="2" t="s">
        <v>2294</v>
      </c>
      <c r="C1956" s="2" t="s">
        <v>328</v>
      </c>
      <c r="D1956" s="483">
        <v>62554</v>
      </c>
      <c r="E1956" s="2" t="s">
        <v>331</v>
      </c>
    </row>
    <row r="1957" spans="1:5" x14ac:dyDescent="0.3">
      <c r="A1957" s="2">
        <v>6511</v>
      </c>
      <c r="B1957" s="2" t="s">
        <v>2295</v>
      </c>
      <c r="C1957" s="2" t="s">
        <v>21</v>
      </c>
      <c r="D1957" s="483">
        <v>286647</v>
      </c>
      <c r="E1957" s="2" t="s">
        <v>331</v>
      </c>
    </row>
    <row r="1958" spans="1:5" x14ac:dyDescent="0.3">
      <c r="A1958" s="2">
        <v>6512</v>
      </c>
      <c r="B1958" s="2" t="s">
        <v>2296</v>
      </c>
      <c r="C1958" s="2" t="s">
        <v>30</v>
      </c>
      <c r="D1958" s="483">
        <v>667698</v>
      </c>
      <c r="E1958" s="2" t="s">
        <v>331</v>
      </c>
    </row>
    <row r="1959" spans="1:5" x14ac:dyDescent="0.3">
      <c r="A1959" s="2">
        <v>6514</v>
      </c>
      <c r="B1959" s="2" t="s">
        <v>2297</v>
      </c>
      <c r="C1959" s="2" t="s">
        <v>32</v>
      </c>
      <c r="D1959" s="483">
        <v>4065</v>
      </c>
      <c r="E1959" s="2" t="s">
        <v>331</v>
      </c>
    </row>
    <row r="1960" spans="1:5" x14ac:dyDescent="0.3">
      <c r="A1960" s="2">
        <v>6515</v>
      </c>
      <c r="B1960" s="2" t="s">
        <v>2298</v>
      </c>
      <c r="C1960" s="2" t="s">
        <v>328</v>
      </c>
      <c r="D1960" s="483">
        <v>9374</v>
      </c>
      <c r="E1960" s="2" t="s">
        <v>331</v>
      </c>
    </row>
    <row r="1961" spans="1:5" x14ac:dyDescent="0.3">
      <c r="A1961" s="2">
        <v>6517</v>
      </c>
      <c r="B1961" s="2" t="s">
        <v>2299</v>
      </c>
      <c r="C1961" s="2" t="s">
        <v>670</v>
      </c>
      <c r="D1961" s="483">
        <v>13201</v>
      </c>
      <c r="E1961" s="2" t="s">
        <v>331</v>
      </c>
    </row>
    <row r="1962" spans="1:5" x14ac:dyDescent="0.3">
      <c r="A1962" s="2">
        <v>6518</v>
      </c>
      <c r="B1962" s="2" t="s">
        <v>2300</v>
      </c>
      <c r="C1962" s="2" t="s">
        <v>32</v>
      </c>
      <c r="D1962" s="483">
        <v>171333</v>
      </c>
      <c r="E1962" s="2" t="s">
        <v>331</v>
      </c>
    </row>
    <row r="1963" spans="1:5" x14ac:dyDescent="0.3">
      <c r="A1963" s="2">
        <v>6519</v>
      </c>
      <c r="B1963" s="2" t="s">
        <v>2301</v>
      </c>
      <c r="C1963" s="2" t="s">
        <v>32</v>
      </c>
      <c r="D1963" s="483">
        <v>25260</v>
      </c>
      <c r="E1963" s="2" t="s">
        <v>324</v>
      </c>
    </row>
    <row r="1964" spans="1:5" x14ac:dyDescent="0.3">
      <c r="A1964" s="2">
        <v>6520</v>
      </c>
      <c r="B1964" s="2" t="s">
        <v>2302</v>
      </c>
      <c r="C1964" s="2" t="s">
        <v>32</v>
      </c>
      <c r="D1964" s="483">
        <v>13068</v>
      </c>
      <c r="E1964" s="2" t="s">
        <v>324</v>
      </c>
    </row>
    <row r="1965" spans="1:5" x14ac:dyDescent="0.3">
      <c r="A1965" s="2">
        <v>6521</v>
      </c>
      <c r="B1965" s="2" t="s">
        <v>2303</v>
      </c>
      <c r="C1965" s="2" t="s">
        <v>32</v>
      </c>
      <c r="D1965" s="483">
        <v>7982</v>
      </c>
      <c r="E1965" s="2" t="s">
        <v>331</v>
      </c>
    </row>
    <row r="1966" spans="1:5" x14ac:dyDescent="0.3">
      <c r="A1966" s="2">
        <v>6523</v>
      </c>
      <c r="B1966" s="2" t="s">
        <v>2304</v>
      </c>
      <c r="C1966" s="2" t="s">
        <v>32</v>
      </c>
      <c r="D1966" s="483">
        <v>15934</v>
      </c>
      <c r="E1966" s="2" t="s">
        <v>331</v>
      </c>
    </row>
    <row r="1967" spans="1:5" x14ac:dyDescent="0.3">
      <c r="A1967" s="2">
        <v>6524</v>
      </c>
      <c r="B1967" s="2" t="s">
        <v>2305</v>
      </c>
      <c r="C1967" s="2" t="s">
        <v>32</v>
      </c>
      <c r="D1967" s="483">
        <v>64434</v>
      </c>
      <c r="E1967" s="2" t="s">
        <v>324</v>
      </c>
    </row>
    <row r="1968" spans="1:5" x14ac:dyDescent="0.3">
      <c r="A1968" s="2">
        <v>6525</v>
      </c>
      <c r="B1968" s="2" t="s">
        <v>2306</v>
      </c>
      <c r="C1968" s="2" t="s">
        <v>32</v>
      </c>
      <c r="D1968" s="483">
        <v>198624</v>
      </c>
      <c r="E1968" s="2" t="s">
        <v>324</v>
      </c>
    </row>
    <row r="1969" spans="1:5" x14ac:dyDescent="0.3">
      <c r="A1969" s="2">
        <v>6527</v>
      </c>
      <c r="B1969" s="2" t="s">
        <v>2307</v>
      </c>
      <c r="C1969" s="2" t="s">
        <v>32</v>
      </c>
      <c r="D1969" s="483">
        <v>565462</v>
      </c>
      <c r="E1969" s="2" t="s">
        <v>324</v>
      </c>
    </row>
    <row r="1970" spans="1:5" x14ac:dyDescent="0.3">
      <c r="A1970" s="2">
        <v>6528</v>
      </c>
      <c r="B1970" s="2" t="s">
        <v>2308</v>
      </c>
      <c r="C1970" s="2" t="s">
        <v>328</v>
      </c>
      <c r="D1970" s="483">
        <v>316462</v>
      </c>
      <c r="E1970" s="2" t="s">
        <v>324</v>
      </c>
    </row>
    <row r="1971" spans="1:5" x14ac:dyDescent="0.3">
      <c r="A1971" s="2">
        <v>6529</v>
      </c>
      <c r="B1971" s="2" t="s">
        <v>2309</v>
      </c>
      <c r="C1971" s="2" t="s">
        <v>328</v>
      </c>
      <c r="D1971" s="483">
        <v>321029</v>
      </c>
      <c r="E1971" s="2" t="s">
        <v>324</v>
      </c>
    </row>
    <row r="1972" spans="1:5" x14ac:dyDescent="0.3">
      <c r="A1972" s="2">
        <v>6532</v>
      </c>
      <c r="B1972" s="2" t="s">
        <v>2310</v>
      </c>
      <c r="C1972" s="2" t="s">
        <v>32</v>
      </c>
      <c r="D1972" s="483">
        <v>68928</v>
      </c>
      <c r="E1972" s="2" t="s">
        <v>331</v>
      </c>
    </row>
    <row r="1973" spans="1:5" x14ac:dyDescent="0.3">
      <c r="A1973" s="2">
        <v>6533</v>
      </c>
      <c r="B1973" s="2" t="s">
        <v>2311</v>
      </c>
      <c r="C1973" s="2" t="s">
        <v>21</v>
      </c>
      <c r="D1973" s="483">
        <v>30396</v>
      </c>
      <c r="E1973" s="2" t="s">
        <v>367</v>
      </c>
    </row>
    <row r="1974" spans="1:5" x14ac:dyDescent="0.3">
      <c r="A1974" s="2">
        <v>6534</v>
      </c>
      <c r="B1974" s="2" t="s">
        <v>2312</v>
      </c>
      <c r="C1974" s="2" t="s">
        <v>21</v>
      </c>
      <c r="D1974" s="483">
        <v>251825</v>
      </c>
      <c r="E1974" s="2" t="s">
        <v>324</v>
      </c>
    </row>
    <row r="1975" spans="1:5" x14ac:dyDescent="0.3">
      <c r="A1975" s="2">
        <v>6535</v>
      </c>
      <c r="B1975" s="2" t="s">
        <v>2313</v>
      </c>
      <c r="C1975" s="2" t="s">
        <v>21</v>
      </c>
      <c r="D1975" s="483">
        <v>48744</v>
      </c>
      <c r="E1975" s="2" t="s">
        <v>331</v>
      </c>
    </row>
    <row r="1976" spans="1:5" x14ac:dyDescent="0.3">
      <c r="A1976" s="2">
        <v>6536</v>
      </c>
      <c r="B1976" s="2" t="s">
        <v>2314</v>
      </c>
      <c r="C1976" s="2" t="s">
        <v>21</v>
      </c>
      <c r="D1976" s="483">
        <v>48461</v>
      </c>
      <c r="E1976" s="2" t="s">
        <v>331</v>
      </c>
    </row>
    <row r="1977" spans="1:5" x14ac:dyDescent="0.3">
      <c r="A1977" s="2">
        <v>6538</v>
      </c>
      <c r="B1977" s="2" t="s">
        <v>2315</v>
      </c>
      <c r="C1977" s="2" t="s">
        <v>328</v>
      </c>
      <c r="D1977" s="483">
        <v>259164</v>
      </c>
      <c r="E1977" s="2" t="s">
        <v>331</v>
      </c>
    </row>
    <row r="1978" spans="1:5" x14ac:dyDescent="0.3">
      <c r="A1978" s="2">
        <v>6541</v>
      </c>
      <c r="B1978" s="2" t="s">
        <v>2316</v>
      </c>
      <c r="C1978" s="2" t="s">
        <v>328</v>
      </c>
      <c r="D1978" s="483">
        <v>323973</v>
      </c>
      <c r="E1978" s="2" t="s">
        <v>324</v>
      </c>
    </row>
    <row r="1979" spans="1:5" x14ac:dyDescent="0.3">
      <c r="A1979" s="2">
        <v>6542</v>
      </c>
      <c r="B1979" s="2" t="s">
        <v>2317</v>
      </c>
      <c r="C1979" s="2" t="s">
        <v>32</v>
      </c>
      <c r="D1979" s="483">
        <v>86176</v>
      </c>
      <c r="E1979" s="2" t="s">
        <v>331</v>
      </c>
    </row>
    <row r="1980" spans="1:5" x14ac:dyDescent="0.3">
      <c r="A1980" s="2">
        <v>6543</v>
      </c>
      <c r="B1980" s="2" t="s">
        <v>2318</v>
      </c>
      <c r="C1980" s="2" t="s">
        <v>32</v>
      </c>
      <c r="D1980" s="483">
        <v>7932</v>
      </c>
      <c r="E1980" s="2" t="s">
        <v>331</v>
      </c>
    </row>
    <row r="1981" spans="1:5" x14ac:dyDescent="0.3">
      <c r="A1981" s="2">
        <v>6544</v>
      </c>
      <c r="B1981" s="2" t="s">
        <v>2319</v>
      </c>
      <c r="C1981" s="2" t="s">
        <v>32</v>
      </c>
      <c r="D1981" s="483">
        <v>7714</v>
      </c>
      <c r="E1981" s="2" t="s">
        <v>331</v>
      </c>
    </row>
    <row r="1982" spans="1:5" x14ac:dyDescent="0.3">
      <c r="A1982" s="2">
        <v>6547</v>
      </c>
      <c r="B1982" s="2" t="s">
        <v>2320</v>
      </c>
      <c r="C1982" s="2" t="s">
        <v>32</v>
      </c>
      <c r="D1982" s="483">
        <v>351760</v>
      </c>
      <c r="E1982" s="2" t="s">
        <v>331</v>
      </c>
    </row>
    <row r="1983" spans="1:5" x14ac:dyDescent="0.3">
      <c r="A1983" s="2">
        <v>6548</v>
      </c>
      <c r="B1983" s="2" t="s">
        <v>2321</v>
      </c>
      <c r="C1983" s="2" t="s">
        <v>32</v>
      </c>
      <c r="D1983" s="483">
        <v>254653</v>
      </c>
      <c r="E1983" s="2" t="s">
        <v>324</v>
      </c>
    </row>
    <row r="1984" spans="1:5" x14ac:dyDescent="0.3">
      <c r="A1984" s="2">
        <v>6551</v>
      </c>
      <c r="B1984" s="2" t="s">
        <v>2322</v>
      </c>
      <c r="C1984" s="2" t="s">
        <v>21</v>
      </c>
      <c r="D1984" s="483">
        <v>157785</v>
      </c>
      <c r="E1984" s="2" t="s">
        <v>331</v>
      </c>
    </row>
    <row r="1985" spans="1:5" x14ac:dyDescent="0.3">
      <c r="A1985" s="2">
        <v>6553</v>
      </c>
      <c r="B1985" s="2" t="s">
        <v>2323</v>
      </c>
      <c r="C1985" s="2" t="s">
        <v>32</v>
      </c>
      <c r="D1985" s="483">
        <v>30303</v>
      </c>
      <c r="E1985" s="2" t="s">
        <v>331</v>
      </c>
    </row>
    <row r="1986" spans="1:5" x14ac:dyDescent="0.3">
      <c r="A1986" s="2">
        <v>6554</v>
      </c>
      <c r="B1986" s="2" t="s">
        <v>2324</v>
      </c>
      <c r="C1986" s="2" t="s">
        <v>328</v>
      </c>
      <c r="D1986" s="483">
        <v>416</v>
      </c>
      <c r="E1986" s="2" t="s">
        <v>324</v>
      </c>
    </row>
    <row r="1987" spans="1:5" x14ac:dyDescent="0.3">
      <c r="A1987" s="2">
        <v>6555</v>
      </c>
      <c r="B1987" s="2" t="s">
        <v>2325</v>
      </c>
      <c r="C1987" s="2" t="s">
        <v>32</v>
      </c>
      <c r="D1987" s="483">
        <v>3986</v>
      </c>
      <c r="E1987" s="2" t="s">
        <v>331</v>
      </c>
    </row>
    <row r="1988" spans="1:5" x14ac:dyDescent="0.3">
      <c r="A1988" s="2">
        <v>6556</v>
      </c>
      <c r="B1988" s="2" t="s">
        <v>2326</v>
      </c>
      <c r="C1988" s="2" t="s">
        <v>32</v>
      </c>
      <c r="D1988" s="483">
        <v>87955</v>
      </c>
      <c r="E1988" s="2" t="s">
        <v>331</v>
      </c>
    </row>
    <row r="1989" spans="1:5" x14ac:dyDescent="0.3">
      <c r="A1989" s="2">
        <v>6559</v>
      </c>
      <c r="B1989" s="2" t="s">
        <v>2327</v>
      </c>
      <c r="C1989" s="2" t="s">
        <v>32</v>
      </c>
      <c r="D1989" s="483">
        <v>814323</v>
      </c>
      <c r="E1989" s="2" t="s">
        <v>331</v>
      </c>
    </row>
    <row r="1990" spans="1:5" x14ac:dyDescent="0.3">
      <c r="A1990" s="2">
        <v>6560</v>
      </c>
      <c r="B1990" s="2" t="s">
        <v>2328</v>
      </c>
      <c r="C1990" s="2" t="s">
        <v>32</v>
      </c>
      <c r="D1990" s="483">
        <v>4767441</v>
      </c>
      <c r="E1990" s="2" t="s">
        <v>324</v>
      </c>
    </row>
    <row r="1991" spans="1:5" x14ac:dyDescent="0.3">
      <c r="A1991" s="2">
        <v>6562</v>
      </c>
      <c r="B1991" s="2" t="s">
        <v>2329</v>
      </c>
      <c r="C1991" s="2" t="s">
        <v>21</v>
      </c>
      <c r="D1991" s="483">
        <v>85399</v>
      </c>
      <c r="E1991" s="2" t="s">
        <v>331</v>
      </c>
    </row>
    <row r="1992" spans="1:5" x14ac:dyDescent="0.3">
      <c r="A1992" s="2">
        <v>6563</v>
      </c>
      <c r="B1992" s="2" t="s">
        <v>2330</v>
      </c>
      <c r="C1992" s="2" t="s">
        <v>328</v>
      </c>
      <c r="D1992" s="483">
        <v>17549</v>
      </c>
      <c r="E1992" s="2" t="s">
        <v>324</v>
      </c>
    </row>
    <row r="1993" spans="1:5" x14ac:dyDescent="0.3">
      <c r="A1993" s="2">
        <v>6565</v>
      </c>
      <c r="B1993" s="2" t="s">
        <v>2331</v>
      </c>
      <c r="C1993" s="2" t="s">
        <v>328</v>
      </c>
      <c r="D1993" s="483">
        <v>53644</v>
      </c>
      <c r="E1993" s="2" t="s">
        <v>331</v>
      </c>
    </row>
    <row r="1994" spans="1:5" x14ac:dyDescent="0.3">
      <c r="A1994" s="2">
        <v>6567</v>
      </c>
      <c r="B1994" s="2" t="s">
        <v>2332</v>
      </c>
      <c r="C1994" s="2" t="s">
        <v>328</v>
      </c>
      <c r="D1994" s="483">
        <v>368865</v>
      </c>
      <c r="E1994" s="2" t="s">
        <v>331</v>
      </c>
    </row>
    <row r="1995" spans="1:5" x14ac:dyDescent="0.3">
      <c r="A1995" s="2">
        <v>6568</v>
      </c>
      <c r="B1995" s="2" t="s">
        <v>2333</v>
      </c>
      <c r="C1995" s="2" t="s">
        <v>328</v>
      </c>
      <c r="D1995" s="483">
        <v>40172</v>
      </c>
      <c r="E1995" s="2" t="s">
        <v>324</v>
      </c>
    </row>
    <row r="1996" spans="1:5" x14ac:dyDescent="0.3">
      <c r="A1996" s="2">
        <v>6569</v>
      </c>
      <c r="B1996" s="2" t="s">
        <v>2334</v>
      </c>
      <c r="C1996" s="2" t="s">
        <v>32</v>
      </c>
      <c r="D1996" s="483">
        <v>319569</v>
      </c>
      <c r="E1996" s="2" t="s">
        <v>367</v>
      </c>
    </row>
    <row r="1997" spans="1:5" x14ac:dyDescent="0.3">
      <c r="A1997" s="2">
        <v>6570</v>
      </c>
      <c r="B1997" s="2" t="s">
        <v>2335</v>
      </c>
      <c r="C1997" s="2" t="s">
        <v>21</v>
      </c>
      <c r="D1997" s="483">
        <v>40373</v>
      </c>
      <c r="E1997" s="2" t="s">
        <v>367</v>
      </c>
    </row>
    <row r="1998" spans="1:5" x14ac:dyDescent="0.3">
      <c r="A1998" s="2">
        <v>6571</v>
      </c>
      <c r="B1998" s="2" t="s">
        <v>2336</v>
      </c>
      <c r="C1998" s="2" t="s">
        <v>328</v>
      </c>
      <c r="D1998" s="483">
        <v>2505</v>
      </c>
      <c r="E1998" s="2" t="s">
        <v>367</v>
      </c>
    </row>
    <row r="1999" spans="1:5" x14ac:dyDescent="0.3">
      <c r="A1999" s="2">
        <v>6572</v>
      </c>
      <c r="B1999" s="2" t="s">
        <v>2337</v>
      </c>
      <c r="C1999" s="2" t="s">
        <v>328</v>
      </c>
      <c r="D1999" s="483">
        <v>7028</v>
      </c>
      <c r="E1999" s="2" t="s">
        <v>367</v>
      </c>
    </row>
    <row r="2000" spans="1:5" x14ac:dyDescent="0.3">
      <c r="A2000" s="2">
        <v>6574</v>
      </c>
      <c r="B2000" s="2" t="s">
        <v>2338</v>
      </c>
      <c r="C2000" s="2" t="s">
        <v>32</v>
      </c>
      <c r="D2000" s="483">
        <v>61680</v>
      </c>
      <c r="E2000" s="2" t="s">
        <v>331</v>
      </c>
    </row>
    <row r="2001" spans="1:5" x14ac:dyDescent="0.3">
      <c r="A2001" s="2">
        <v>6575</v>
      </c>
      <c r="B2001" s="2" t="s">
        <v>2339</v>
      </c>
      <c r="C2001" s="2" t="s">
        <v>32</v>
      </c>
      <c r="D2001" s="483">
        <v>48739</v>
      </c>
      <c r="E2001" s="2" t="s">
        <v>331</v>
      </c>
    </row>
    <row r="2002" spans="1:5" x14ac:dyDescent="0.3">
      <c r="A2002" s="2">
        <v>6576</v>
      </c>
      <c r="B2002" s="2" t="s">
        <v>2340</v>
      </c>
      <c r="C2002" s="2" t="s">
        <v>32</v>
      </c>
      <c r="D2002" s="483">
        <v>115314</v>
      </c>
      <c r="E2002" s="2" t="s">
        <v>331</v>
      </c>
    </row>
    <row r="2003" spans="1:5" x14ac:dyDescent="0.3">
      <c r="A2003" s="2">
        <v>6577</v>
      </c>
      <c r="B2003" s="2" t="s">
        <v>2341</v>
      </c>
      <c r="C2003" s="2" t="s">
        <v>32</v>
      </c>
      <c r="D2003" s="483">
        <v>1130494</v>
      </c>
      <c r="E2003" s="2" t="s">
        <v>331</v>
      </c>
    </row>
    <row r="2004" spans="1:5" x14ac:dyDescent="0.3">
      <c r="A2004" s="2">
        <v>6579</v>
      </c>
      <c r="B2004" s="2" t="s">
        <v>2342</v>
      </c>
      <c r="C2004" s="2" t="s">
        <v>328</v>
      </c>
      <c r="D2004" s="483">
        <v>8075</v>
      </c>
      <c r="E2004" s="2" t="s">
        <v>367</v>
      </c>
    </row>
    <row r="2005" spans="1:5" x14ac:dyDescent="0.3">
      <c r="A2005" s="2">
        <v>6580</v>
      </c>
      <c r="B2005" s="2" t="s">
        <v>2343</v>
      </c>
      <c r="C2005" s="2" t="s">
        <v>32</v>
      </c>
      <c r="D2005" s="483">
        <v>36336</v>
      </c>
      <c r="E2005" s="2" t="s">
        <v>367</v>
      </c>
    </row>
    <row r="2006" spans="1:5" x14ac:dyDescent="0.3">
      <c r="A2006" s="2">
        <v>6581</v>
      </c>
      <c r="B2006" s="2" t="s">
        <v>2344</v>
      </c>
      <c r="C2006" s="2" t="s">
        <v>32</v>
      </c>
      <c r="D2006" s="483">
        <v>10901</v>
      </c>
      <c r="E2006" s="2" t="s">
        <v>367</v>
      </c>
    </row>
    <row r="2007" spans="1:5" x14ac:dyDescent="0.3">
      <c r="A2007" s="2">
        <v>6582</v>
      </c>
      <c r="B2007" s="2" t="s">
        <v>2345</v>
      </c>
      <c r="C2007" s="2" t="s">
        <v>32</v>
      </c>
      <c r="D2007" s="483">
        <v>182886</v>
      </c>
      <c r="E2007" s="2" t="s">
        <v>367</v>
      </c>
    </row>
    <row r="2008" spans="1:5" x14ac:dyDescent="0.3">
      <c r="A2008" s="2">
        <v>6583</v>
      </c>
      <c r="B2008" s="2" t="s">
        <v>2346</v>
      </c>
      <c r="C2008" s="2" t="s">
        <v>32</v>
      </c>
      <c r="D2008" s="483">
        <v>129598</v>
      </c>
      <c r="E2008" s="2" t="s">
        <v>367</v>
      </c>
    </row>
    <row r="2009" spans="1:5" x14ac:dyDescent="0.3">
      <c r="A2009" s="2">
        <v>6584</v>
      </c>
      <c r="B2009" s="2" t="s">
        <v>2347</v>
      </c>
      <c r="C2009" s="2" t="s">
        <v>32</v>
      </c>
      <c r="D2009" s="483">
        <v>15665</v>
      </c>
      <c r="E2009" s="2" t="s">
        <v>367</v>
      </c>
    </row>
    <row r="2010" spans="1:5" x14ac:dyDescent="0.3">
      <c r="A2010" s="2">
        <v>6585</v>
      </c>
      <c r="B2010" s="2" t="s">
        <v>2348</v>
      </c>
      <c r="C2010" s="2" t="s">
        <v>32</v>
      </c>
      <c r="D2010" s="483">
        <v>168962</v>
      </c>
      <c r="E2010" s="2" t="s">
        <v>367</v>
      </c>
    </row>
    <row r="2011" spans="1:5" x14ac:dyDescent="0.3">
      <c r="A2011" s="2">
        <v>6586</v>
      </c>
      <c r="B2011" s="2" t="s">
        <v>2349</v>
      </c>
      <c r="C2011" s="2" t="s">
        <v>32</v>
      </c>
      <c r="D2011" s="483">
        <v>73562</v>
      </c>
      <c r="E2011" s="2" t="s">
        <v>324</v>
      </c>
    </row>
    <row r="2012" spans="1:5" x14ac:dyDescent="0.3">
      <c r="A2012" s="2">
        <v>6587</v>
      </c>
      <c r="B2012" s="2" t="s">
        <v>2350</v>
      </c>
      <c r="C2012" s="2" t="s">
        <v>32</v>
      </c>
      <c r="D2012" s="483">
        <v>65612</v>
      </c>
      <c r="E2012" s="2" t="s">
        <v>324</v>
      </c>
    </row>
    <row r="2013" spans="1:5" x14ac:dyDescent="0.3">
      <c r="A2013" s="2">
        <v>6588</v>
      </c>
      <c r="B2013" s="2" t="s">
        <v>2351</v>
      </c>
      <c r="C2013" s="2" t="s">
        <v>21</v>
      </c>
      <c r="D2013" s="483">
        <v>53227</v>
      </c>
      <c r="E2013" s="2" t="s">
        <v>324</v>
      </c>
    </row>
    <row r="2014" spans="1:5" x14ac:dyDescent="0.3">
      <c r="A2014" s="2">
        <v>6589</v>
      </c>
      <c r="B2014" s="2" t="s">
        <v>2352</v>
      </c>
      <c r="C2014" s="2" t="s">
        <v>328</v>
      </c>
      <c r="D2014" s="483">
        <v>30106</v>
      </c>
      <c r="E2014" s="2" t="s">
        <v>324</v>
      </c>
    </row>
    <row r="2015" spans="1:5" x14ac:dyDescent="0.3">
      <c r="A2015" s="2">
        <v>6590</v>
      </c>
      <c r="B2015" s="2" t="s">
        <v>2353</v>
      </c>
      <c r="C2015" s="2" t="s">
        <v>21</v>
      </c>
      <c r="D2015" s="483">
        <v>37077</v>
      </c>
      <c r="E2015" s="2" t="s">
        <v>324</v>
      </c>
    </row>
    <row r="2016" spans="1:5" x14ac:dyDescent="0.3">
      <c r="A2016" s="2">
        <v>6591</v>
      </c>
      <c r="B2016" s="2" t="s">
        <v>2354</v>
      </c>
      <c r="C2016" s="2" t="s">
        <v>328</v>
      </c>
      <c r="D2016" s="483">
        <v>16679</v>
      </c>
      <c r="E2016" s="2" t="s">
        <v>324</v>
      </c>
    </row>
    <row r="2017" spans="1:5" x14ac:dyDescent="0.3">
      <c r="A2017" s="2">
        <v>6592</v>
      </c>
      <c r="B2017" s="2" t="s">
        <v>2355</v>
      </c>
      <c r="C2017" s="2" t="s">
        <v>328</v>
      </c>
      <c r="D2017" s="483">
        <v>16679</v>
      </c>
      <c r="E2017" s="2" t="s">
        <v>324</v>
      </c>
    </row>
    <row r="2018" spans="1:5" x14ac:dyDescent="0.3">
      <c r="A2018" s="2">
        <v>6593</v>
      </c>
      <c r="B2018" s="2" t="s">
        <v>2356</v>
      </c>
      <c r="C2018" s="2" t="s">
        <v>32</v>
      </c>
      <c r="D2018" s="483">
        <v>276557</v>
      </c>
      <c r="E2018" s="2" t="s">
        <v>324</v>
      </c>
    </row>
    <row r="2019" spans="1:5" x14ac:dyDescent="0.3">
      <c r="A2019" s="2">
        <v>6594</v>
      </c>
      <c r="B2019" s="2" t="s">
        <v>2357</v>
      </c>
      <c r="C2019" s="2" t="s">
        <v>32</v>
      </c>
      <c r="D2019" s="483">
        <v>44651</v>
      </c>
      <c r="E2019" s="2" t="s">
        <v>324</v>
      </c>
    </row>
    <row r="2020" spans="1:5" x14ac:dyDescent="0.3">
      <c r="A2020" s="2">
        <v>6595</v>
      </c>
      <c r="B2020" s="2" t="s">
        <v>2358</v>
      </c>
      <c r="C2020" s="2" t="s">
        <v>32</v>
      </c>
      <c r="D2020" s="483">
        <v>17197</v>
      </c>
      <c r="E2020" s="2" t="s">
        <v>324</v>
      </c>
    </row>
    <row r="2021" spans="1:5" x14ac:dyDescent="0.3">
      <c r="A2021" s="2">
        <v>6596</v>
      </c>
      <c r="B2021" s="2" t="s">
        <v>2359</v>
      </c>
      <c r="C2021" s="2" t="s">
        <v>32</v>
      </c>
      <c r="D2021" s="483">
        <v>211291</v>
      </c>
      <c r="E2021" s="2" t="s">
        <v>324</v>
      </c>
    </row>
    <row r="2022" spans="1:5" x14ac:dyDescent="0.3">
      <c r="A2022" s="2">
        <v>6598</v>
      </c>
      <c r="B2022" s="2" t="s">
        <v>2360</v>
      </c>
      <c r="C2022" s="2" t="s">
        <v>32</v>
      </c>
      <c r="D2022" s="483">
        <v>28790918</v>
      </c>
      <c r="E2022" s="2" t="s">
        <v>331</v>
      </c>
    </row>
    <row r="2023" spans="1:5" x14ac:dyDescent="0.3">
      <c r="A2023" s="2">
        <v>6600</v>
      </c>
      <c r="B2023" s="2" t="s">
        <v>2361</v>
      </c>
      <c r="C2023" s="2" t="s">
        <v>32</v>
      </c>
      <c r="D2023" s="483">
        <v>14519</v>
      </c>
      <c r="E2023" s="2" t="s">
        <v>331</v>
      </c>
    </row>
    <row r="2024" spans="1:5" x14ac:dyDescent="0.3">
      <c r="A2024" s="2">
        <v>6648</v>
      </c>
      <c r="B2024" s="2" t="s">
        <v>2362</v>
      </c>
      <c r="C2024" s="2" t="s">
        <v>30</v>
      </c>
      <c r="D2024" s="483">
        <v>908369</v>
      </c>
      <c r="E2024" s="2" t="s">
        <v>331</v>
      </c>
    </row>
    <row r="2025" spans="1:5" x14ac:dyDescent="0.3">
      <c r="A2025" s="2">
        <v>6656</v>
      </c>
      <c r="B2025" s="2" t="s">
        <v>2363</v>
      </c>
      <c r="C2025" s="2" t="s">
        <v>30</v>
      </c>
      <c r="D2025" s="483">
        <v>937692</v>
      </c>
      <c r="E2025" s="2" t="s">
        <v>331</v>
      </c>
    </row>
    <row r="2026" spans="1:5" x14ac:dyDescent="0.3">
      <c r="A2026" s="2">
        <v>6658</v>
      </c>
      <c r="B2026" s="2" t="s">
        <v>2364</v>
      </c>
      <c r="C2026" s="2" t="s">
        <v>328</v>
      </c>
      <c r="D2026" s="483">
        <v>32756</v>
      </c>
      <c r="E2026" s="2" t="s">
        <v>324</v>
      </c>
    </row>
    <row r="2027" spans="1:5" x14ac:dyDescent="0.3">
      <c r="A2027" s="2">
        <v>6661</v>
      </c>
      <c r="B2027" s="2" t="s">
        <v>2365</v>
      </c>
      <c r="C2027" s="2" t="s">
        <v>30</v>
      </c>
      <c r="D2027" s="483">
        <v>863580</v>
      </c>
      <c r="E2027" s="2" t="s">
        <v>331</v>
      </c>
    </row>
    <row r="2028" spans="1:5" x14ac:dyDescent="0.3">
      <c r="A2028" s="2">
        <v>6665</v>
      </c>
      <c r="B2028" s="2" t="s">
        <v>2366</v>
      </c>
      <c r="C2028" s="2" t="s">
        <v>30</v>
      </c>
      <c r="D2028" s="483">
        <v>930508</v>
      </c>
      <c r="E2028" s="2" t="s">
        <v>331</v>
      </c>
    </row>
    <row r="2029" spans="1:5" x14ac:dyDescent="0.3">
      <c r="A2029" s="2">
        <v>6673</v>
      </c>
      <c r="B2029" s="2" t="s">
        <v>2367</v>
      </c>
      <c r="C2029" s="2" t="s">
        <v>32</v>
      </c>
      <c r="D2029" s="483">
        <v>204545</v>
      </c>
      <c r="E2029" s="2" t="s">
        <v>331</v>
      </c>
    </row>
    <row r="2030" spans="1:5" x14ac:dyDescent="0.3">
      <c r="A2030" s="2">
        <v>6675</v>
      </c>
      <c r="B2030" s="2" t="s">
        <v>2368</v>
      </c>
      <c r="C2030" s="2" t="s">
        <v>32</v>
      </c>
      <c r="D2030" s="483">
        <v>460239</v>
      </c>
      <c r="E2030" s="2" t="s">
        <v>331</v>
      </c>
    </row>
    <row r="2031" spans="1:5" x14ac:dyDescent="0.3">
      <c r="A2031" s="2">
        <v>6676</v>
      </c>
      <c r="B2031" s="2" t="s">
        <v>2369</v>
      </c>
      <c r="C2031" s="2" t="s">
        <v>32</v>
      </c>
      <c r="D2031" s="483">
        <v>161149</v>
      </c>
      <c r="E2031" s="2" t="s">
        <v>331</v>
      </c>
    </row>
    <row r="2032" spans="1:5" x14ac:dyDescent="0.3">
      <c r="A2032" s="2">
        <v>6687</v>
      </c>
      <c r="B2032" s="2" t="s">
        <v>2370</v>
      </c>
      <c r="C2032" s="2" t="s">
        <v>32</v>
      </c>
      <c r="D2032" s="483">
        <v>2654508</v>
      </c>
      <c r="E2032" s="2" t="s">
        <v>331</v>
      </c>
    </row>
    <row r="2033" spans="1:5" x14ac:dyDescent="0.3">
      <c r="A2033" s="2">
        <v>6710</v>
      </c>
      <c r="B2033" s="2" t="s">
        <v>2371</v>
      </c>
      <c r="C2033" s="2" t="s">
        <v>30</v>
      </c>
      <c r="D2033" s="483">
        <v>902149</v>
      </c>
      <c r="E2033" s="2" t="s">
        <v>331</v>
      </c>
    </row>
    <row r="2034" spans="1:5" x14ac:dyDescent="0.3">
      <c r="A2034" s="2">
        <v>6715</v>
      </c>
      <c r="B2034" s="2" t="s">
        <v>2372</v>
      </c>
      <c r="C2034" s="2" t="s">
        <v>32</v>
      </c>
      <c r="D2034" s="483">
        <v>3262820</v>
      </c>
      <c r="E2034" s="2" t="s">
        <v>331</v>
      </c>
    </row>
    <row r="2035" spans="1:5" x14ac:dyDescent="0.3">
      <c r="A2035" s="2">
        <v>6717</v>
      </c>
      <c r="B2035" s="2" t="s">
        <v>2373</v>
      </c>
      <c r="C2035" s="2" t="s">
        <v>32</v>
      </c>
      <c r="D2035" s="483">
        <v>2951349</v>
      </c>
      <c r="E2035" s="2" t="s">
        <v>331</v>
      </c>
    </row>
    <row r="2036" spans="1:5" x14ac:dyDescent="0.3">
      <c r="A2036" s="2">
        <v>6718</v>
      </c>
      <c r="B2036" s="2" t="s">
        <v>2374</v>
      </c>
      <c r="C2036" s="2" t="s">
        <v>32</v>
      </c>
      <c r="D2036" s="483">
        <v>3097183</v>
      </c>
      <c r="E2036" s="2" t="s">
        <v>331</v>
      </c>
    </row>
    <row r="2037" spans="1:5" x14ac:dyDescent="0.3">
      <c r="A2037" s="2">
        <v>6719</v>
      </c>
      <c r="B2037" s="2" t="s">
        <v>2375</v>
      </c>
      <c r="C2037" s="2" t="s">
        <v>32</v>
      </c>
      <c r="D2037" s="483">
        <v>3580456</v>
      </c>
      <c r="E2037" s="2" t="s">
        <v>331</v>
      </c>
    </row>
    <row r="2038" spans="1:5" x14ac:dyDescent="0.3">
      <c r="A2038" s="2">
        <v>6720</v>
      </c>
      <c r="B2038" s="2" t="s">
        <v>2376</v>
      </c>
      <c r="C2038" s="2" t="s">
        <v>32</v>
      </c>
      <c r="D2038" s="483">
        <v>4059541</v>
      </c>
      <c r="E2038" s="2" t="s">
        <v>331</v>
      </c>
    </row>
    <row r="2039" spans="1:5" x14ac:dyDescent="0.3">
      <c r="A2039" s="2">
        <v>6742</v>
      </c>
      <c r="B2039" s="2" t="s">
        <v>2377</v>
      </c>
      <c r="C2039" s="2" t="s">
        <v>328</v>
      </c>
      <c r="D2039" s="483">
        <v>725470</v>
      </c>
      <c r="E2039" s="2" t="s">
        <v>331</v>
      </c>
    </row>
    <row r="2040" spans="1:5" x14ac:dyDescent="0.3">
      <c r="A2040" s="2">
        <v>6755</v>
      </c>
      <c r="B2040" s="2" t="s">
        <v>2378</v>
      </c>
      <c r="C2040" s="2" t="s">
        <v>32</v>
      </c>
      <c r="D2040" s="483">
        <v>30162</v>
      </c>
      <c r="E2040" s="2" t="s">
        <v>331</v>
      </c>
    </row>
    <row r="2041" spans="1:5" x14ac:dyDescent="0.3">
      <c r="A2041" s="2">
        <v>6763</v>
      </c>
      <c r="B2041" s="2" t="s">
        <v>2379</v>
      </c>
      <c r="C2041" s="2" t="s">
        <v>30</v>
      </c>
      <c r="D2041" s="483">
        <v>990256</v>
      </c>
      <c r="E2041" s="2" t="s">
        <v>331</v>
      </c>
    </row>
    <row r="2042" spans="1:5" x14ac:dyDescent="0.3">
      <c r="A2042" s="2">
        <v>6765</v>
      </c>
      <c r="B2042" s="2" t="s">
        <v>2380</v>
      </c>
      <c r="C2042" s="2" t="s">
        <v>30</v>
      </c>
      <c r="D2042" s="483">
        <v>964746</v>
      </c>
      <c r="E2042" s="2" t="s">
        <v>331</v>
      </c>
    </row>
    <row r="2043" spans="1:5" x14ac:dyDescent="0.3">
      <c r="A2043" s="2">
        <v>6774</v>
      </c>
      <c r="B2043" s="2" t="s">
        <v>2381</v>
      </c>
      <c r="C2043" s="2" t="s">
        <v>30</v>
      </c>
      <c r="D2043" s="483">
        <v>835424</v>
      </c>
      <c r="E2043" s="2" t="s">
        <v>331</v>
      </c>
    </row>
    <row r="2044" spans="1:5" x14ac:dyDescent="0.3">
      <c r="A2044" s="2">
        <v>6775</v>
      </c>
      <c r="B2044" s="2" t="s">
        <v>2382</v>
      </c>
      <c r="C2044" s="2" t="s">
        <v>30</v>
      </c>
      <c r="D2044" s="483">
        <v>976706</v>
      </c>
      <c r="E2044" s="2" t="s">
        <v>331</v>
      </c>
    </row>
    <row r="2045" spans="1:5" x14ac:dyDescent="0.3">
      <c r="A2045" s="2">
        <v>6779</v>
      </c>
      <c r="B2045" s="2" t="s">
        <v>2383</v>
      </c>
      <c r="C2045" s="2" t="s">
        <v>32</v>
      </c>
      <c r="D2045" s="483">
        <v>638701</v>
      </c>
      <c r="E2045" s="2" t="s">
        <v>324</v>
      </c>
    </row>
    <row r="2046" spans="1:5" x14ac:dyDescent="0.3">
      <c r="A2046" s="2">
        <v>6801</v>
      </c>
      <c r="B2046" s="2" t="s">
        <v>2384</v>
      </c>
      <c r="C2046" s="2" t="s">
        <v>32</v>
      </c>
      <c r="D2046" s="483">
        <v>12552</v>
      </c>
      <c r="E2046" s="2" t="s">
        <v>331</v>
      </c>
    </row>
    <row r="2047" spans="1:5" x14ac:dyDescent="0.3">
      <c r="A2047" s="2">
        <v>6848</v>
      </c>
      <c r="B2047" s="2" t="s">
        <v>2385</v>
      </c>
      <c r="C2047" s="2" t="s">
        <v>32</v>
      </c>
      <c r="D2047" s="483">
        <v>392546</v>
      </c>
      <c r="E2047" s="2" t="s">
        <v>331</v>
      </c>
    </row>
    <row r="2048" spans="1:5" x14ac:dyDescent="0.3">
      <c r="A2048" s="2">
        <v>6856</v>
      </c>
      <c r="B2048" s="2" t="s">
        <v>2386</v>
      </c>
      <c r="C2048" s="2" t="s">
        <v>32</v>
      </c>
      <c r="D2048" s="483">
        <v>729018</v>
      </c>
      <c r="E2048" s="2" t="s">
        <v>367</v>
      </c>
    </row>
    <row r="2049" spans="1:5" x14ac:dyDescent="0.3">
      <c r="A2049" s="2">
        <v>6857</v>
      </c>
      <c r="B2049" s="2" t="s">
        <v>2387</v>
      </c>
      <c r="C2049" s="2" t="s">
        <v>32</v>
      </c>
      <c r="D2049" s="483">
        <v>69449</v>
      </c>
      <c r="E2049" s="2" t="s">
        <v>331</v>
      </c>
    </row>
    <row r="2050" spans="1:5" x14ac:dyDescent="0.3">
      <c r="A2050" s="2">
        <v>6864</v>
      </c>
      <c r="B2050" s="2" t="s">
        <v>2388</v>
      </c>
      <c r="C2050" s="2" t="s">
        <v>32</v>
      </c>
      <c r="D2050" s="483">
        <v>54976</v>
      </c>
      <c r="E2050" s="2" t="s">
        <v>367</v>
      </c>
    </row>
    <row r="2051" spans="1:5" x14ac:dyDescent="0.3">
      <c r="A2051" s="2">
        <v>6866</v>
      </c>
      <c r="B2051" s="2" t="s">
        <v>2389</v>
      </c>
      <c r="C2051" s="2" t="s">
        <v>328</v>
      </c>
      <c r="D2051" s="483">
        <v>41315</v>
      </c>
      <c r="E2051" s="2" t="s">
        <v>324</v>
      </c>
    </row>
    <row r="2052" spans="1:5" x14ac:dyDescent="0.3">
      <c r="A2052" s="2">
        <v>6868</v>
      </c>
      <c r="B2052" s="2" t="s">
        <v>2390</v>
      </c>
      <c r="C2052" s="2" t="s">
        <v>30</v>
      </c>
      <c r="D2052" s="483">
        <v>1105150</v>
      </c>
      <c r="E2052" s="2" t="s">
        <v>331</v>
      </c>
    </row>
    <row r="2053" spans="1:5" x14ac:dyDescent="0.3">
      <c r="A2053" s="2">
        <v>6869</v>
      </c>
      <c r="B2053" s="2" t="s">
        <v>2391</v>
      </c>
      <c r="C2053" s="2" t="s">
        <v>30</v>
      </c>
      <c r="D2053" s="483">
        <v>1022649</v>
      </c>
      <c r="E2053" s="2" t="s">
        <v>331</v>
      </c>
    </row>
    <row r="2054" spans="1:5" x14ac:dyDescent="0.3">
      <c r="A2054" s="2">
        <v>6874</v>
      </c>
      <c r="B2054" s="2" t="s">
        <v>2392</v>
      </c>
      <c r="C2054" s="2" t="s">
        <v>32</v>
      </c>
      <c r="D2054" s="483">
        <v>105494</v>
      </c>
      <c r="E2054" s="2" t="s">
        <v>367</v>
      </c>
    </row>
    <row r="2055" spans="1:5" x14ac:dyDescent="0.3">
      <c r="A2055" s="2">
        <v>6878</v>
      </c>
      <c r="B2055" s="2" t="s">
        <v>2393</v>
      </c>
      <c r="C2055" s="2" t="s">
        <v>30</v>
      </c>
      <c r="D2055" s="483">
        <v>686175</v>
      </c>
      <c r="E2055" s="2" t="s">
        <v>331</v>
      </c>
    </row>
    <row r="2056" spans="1:5" x14ac:dyDescent="0.3">
      <c r="A2056" s="2">
        <v>6880</v>
      </c>
      <c r="B2056" s="2" t="s">
        <v>2394</v>
      </c>
      <c r="C2056" s="2" t="s">
        <v>30</v>
      </c>
      <c r="D2056" s="483">
        <v>1115886</v>
      </c>
      <c r="E2056" s="2" t="s">
        <v>331</v>
      </c>
    </row>
    <row r="2057" spans="1:5" x14ac:dyDescent="0.3">
      <c r="A2057" s="2">
        <v>6959</v>
      </c>
      <c r="B2057" s="2" t="s">
        <v>2395</v>
      </c>
      <c r="C2057" s="2" t="s">
        <v>328</v>
      </c>
      <c r="D2057" s="483">
        <v>29848</v>
      </c>
      <c r="E2057" s="2" t="s">
        <v>324</v>
      </c>
    </row>
    <row r="2058" spans="1:5" x14ac:dyDescent="0.3">
      <c r="A2058" s="2">
        <v>6968</v>
      </c>
      <c r="B2058" s="2" t="s">
        <v>2396</v>
      </c>
      <c r="C2058" s="2" t="s">
        <v>328</v>
      </c>
      <c r="D2058" s="483">
        <v>9458</v>
      </c>
      <c r="E2058" s="2" t="s">
        <v>331</v>
      </c>
    </row>
    <row r="2059" spans="1:5" x14ac:dyDescent="0.3">
      <c r="A2059" s="2">
        <v>7026</v>
      </c>
      <c r="B2059" s="2" t="s">
        <v>2397</v>
      </c>
      <c r="C2059" s="2" t="s">
        <v>21</v>
      </c>
      <c r="D2059" s="483">
        <v>193809</v>
      </c>
      <c r="E2059" s="2" t="s">
        <v>331</v>
      </c>
    </row>
    <row r="2060" spans="1:5" x14ac:dyDescent="0.3">
      <c r="A2060" s="2">
        <v>7028</v>
      </c>
      <c r="B2060" s="2" t="s">
        <v>2398</v>
      </c>
      <c r="C2060" s="2" t="s">
        <v>328</v>
      </c>
      <c r="D2060" s="483">
        <v>76613</v>
      </c>
      <c r="E2060" s="2" t="s">
        <v>331</v>
      </c>
    </row>
    <row r="2061" spans="1:5" x14ac:dyDescent="0.3">
      <c r="A2061" s="2">
        <v>7047</v>
      </c>
      <c r="B2061" s="2" t="s">
        <v>2399</v>
      </c>
      <c r="C2061" s="2" t="s">
        <v>32</v>
      </c>
      <c r="D2061" s="483">
        <v>452536</v>
      </c>
      <c r="E2061" s="2" t="s">
        <v>331</v>
      </c>
    </row>
    <row r="2062" spans="1:5" x14ac:dyDescent="0.3">
      <c r="A2062" s="2">
        <v>7057</v>
      </c>
      <c r="B2062" s="2" t="s">
        <v>2400</v>
      </c>
      <c r="C2062" s="2" t="s">
        <v>32</v>
      </c>
      <c r="D2062" s="483">
        <v>49391</v>
      </c>
      <c r="E2062" s="2" t="s">
        <v>331</v>
      </c>
    </row>
    <row r="2063" spans="1:5" x14ac:dyDescent="0.3">
      <c r="A2063" s="2">
        <v>7090</v>
      </c>
      <c r="B2063" s="2" t="s">
        <v>2401</v>
      </c>
      <c r="C2063" s="2" t="s">
        <v>21</v>
      </c>
      <c r="D2063" s="483">
        <v>110352</v>
      </c>
      <c r="E2063" s="2" t="s">
        <v>331</v>
      </c>
    </row>
    <row r="2064" spans="1:5" x14ac:dyDescent="0.3">
      <c r="A2064" s="2">
        <v>7113</v>
      </c>
      <c r="B2064" s="2" t="s">
        <v>2402</v>
      </c>
      <c r="C2064" s="2" t="s">
        <v>328</v>
      </c>
      <c r="D2064" s="483">
        <v>65562</v>
      </c>
      <c r="E2064" s="2" t="s">
        <v>324</v>
      </c>
    </row>
    <row r="2065" spans="1:5" x14ac:dyDescent="0.3">
      <c r="A2065" s="2">
        <v>7136</v>
      </c>
      <c r="B2065" s="2" t="s">
        <v>2403</v>
      </c>
      <c r="C2065" s="2" t="s">
        <v>670</v>
      </c>
      <c r="D2065" s="483">
        <v>1390</v>
      </c>
      <c r="E2065" s="2" t="s">
        <v>331</v>
      </c>
    </row>
    <row r="2066" spans="1:5" x14ac:dyDescent="0.3">
      <c r="A2066" s="2">
        <v>7283</v>
      </c>
      <c r="B2066" s="2" t="s">
        <v>2404</v>
      </c>
      <c r="C2066" s="2" t="s">
        <v>2405</v>
      </c>
      <c r="D2066" s="483">
        <v>83630</v>
      </c>
      <c r="E2066" s="2" t="s">
        <v>324</v>
      </c>
    </row>
    <row r="2067" spans="1:5" x14ac:dyDescent="0.3">
      <c r="A2067" s="2">
        <v>7332</v>
      </c>
      <c r="B2067" s="2" t="s">
        <v>2406</v>
      </c>
      <c r="C2067" s="2" t="s">
        <v>328</v>
      </c>
      <c r="D2067" s="483">
        <v>15221</v>
      </c>
      <c r="E2067" s="2" t="s">
        <v>324</v>
      </c>
    </row>
    <row r="2068" spans="1:5" x14ac:dyDescent="0.3">
      <c r="A2068" s="2">
        <v>7336</v>
      </c>
      <c r="B2068" s="2" t="s">
        <v>2407</v>
      </c>
      <c r="C2068" s="2" t="s">
        <v>670</v>
      </c>
      <c r="D2068" s="483">
        <v>6366</v>
      </c>
      <c r="E2068" s="2" t="s">
        <v>331</v>
      </c>
    </row>
    <row r="2069" spans="1:5" x14ac:dyDescent="0.3">
      <c r="A2069" s="2">
        <v>7337</v>
      </c>
      <c r="B2069" s="2" t="s">
        <v>2408</v>
      </c>
      <c r="C2069" s="2" t="s">
        <v>32</v>
      </c>
      <c r="D2069" s="483">
        <v>5741269</v>
      </c>
      <c r="E2069" s="2" t="s">
        <v>324</v>
      </c>
    </row>
    <row r="2070" spans="1:5" x14ac:dyDescent="0.3">
      <c r="A2070" s="2">
        <v>7338</v>
      </c>
      <c r="B2070" s="2" t="s">
        <v>2409</v>
      </c>
      <c r="C2070" s="2" t="s">
        <v>307</v>
      </c>
      <c r="D2070" s="483">
        <v>415262</v>
      </c>
      <c r="E2070" s="2" t="s">
        <v>324</v>
      </c>
    </row>
    <row r="2071" spans="1:5" x14ac:dyDescent="0.3">
      <c r="A2071" s="2">
        <v>7340</v>
      </c>
      <c r="B2071" s="2" t="s">
        <v>2410</v>
      </c>
      <c r="C2071" s="2" t="s">
        <v>32</v>
      </c>
      <c r="D2071" s="483">
        <v>3805521</v>
      </c>
      <c r="E2071" s="2" t="s">
        <v>331</v>
      </c>
    </row>
    <row r="2072" spans="1:5" x14ac:dyDescent="0.3">
      <c r="A2072" s="2">
        <v>7341</v>
      </c>
      <c r="B2072" s="2" t="s">
        <v>2411</v>
      </c>
      <c r="C2072" s="2" t="s">
        <v>328</v>
      </c>
      <c r="D2072" s="483">
        <v>1331383</v>
      </c>
      <c r="E2072" s="2" t="s">
        <v>331</v>
      </c>
    </row>
    <row r="2073" spans="1:5" x14ac:dyDescent="0.3">
      <c r="A2073" s="2">
        <v>7344</v>
      </c>
      <c r="B2073" s="2" t="s">
        <v>2412</v>
      </c>
      <c r="C2073" s="2" t="s">
        <v>328</v>
      </c>
      <c r="D2073" s="483">
        <v>840</v>
      </c>
      <c r="E2073" s="2" t="s">
        <v>324</v>
      </c>
    </row>
    <row r="2074" spans="1:5" x14ac:dyDescent="0.3">
      <c r="A2074" s="2">
        <v>7345</v>
      </c>
      <c r="B2074" s="2" t="s">
        <v>2413</v>
      </c>
      <c r="C2074" s="2" t="s">
        <v>30</v>
      </c>
      <c r="D2074" s="483">
        <v>777432</v>
      </c>
      <c r="E2074" s="2" t="s">
        <v>331</v>
      </c>
    </row>
    <row r="2075" spans="1:5" x14ac:dyDescent="0.3">
      <c r="A2075" s="2">
        <v>7346</v>
      </c>
      <c r="B2075" s="2" t="s">
        <v>2414</v>
      </c>
      <c r="C2075" s="2" t="s">
        <v>21</v>
      </c>
      <c r="D2075" s="483">
        <v>30396</v>
      </c>
      <c r="E2075" s="2" t="s">
        <v>367</v>
      </c>
    </row>
    <row r="2076" spans="1:5" x14ac:dyDescent="0.3">
      <c r="A2076" s="2">
        <v>7347</v>
      </c>
      <c r="B2076" s="2" t="s">
        <v>2415</v>
      </c>
      <c r="C2076" s="2" t="s">
        <v>32</v>
      </c>
      <c r="D2076" s="483">
        <v>4726151</v>
      </c>
      <c r="E2076" s="2" t="s">
        <v>331</v>
      </c>
    </row>
    <row r="2077" spans="1:5" x14ac:dyDescent="0.3">
      <c r="A2077" s="2">
        <v>7348</v>
      </c>
      <c r="B2077" s="2" t="s">
        <v>2416</v>
      </c>
      <c r="C2077" s="2" t="s">
        <v>30</v>
      </c>
      <c r="D2077" s="483">
        <v>845052</v>
      </c>
      <c r="E2077" s="2" t="s">
        <v>331</v>
      </c>
    </row>
    <row r="2078" spans="1:5" x14ac:dyDescent="0.3">
      <c r="A2078" s="2">
        <v>7349</v>
      </c>
      <c r="B2078" s="2" t="s">
        <v>2417</v>
      </c>
      <c r="C2078" s="2" t="s">
        <v>30</v>
      </c>
      <c r="D2078" s="483">
        <v>828320</v>
      </c>
      <c r="E2078" s="2" t="s">
        <v>331</v>
      </c>
    </row>
    <row r="2079" spans="1:5" x14ac:dyDescent="0.3">
      <c r="A2079" s="2">
        <v>7351</v>
      </c>
      <c r="B2079" s="2" t="s">
        <v>2418</v>
      </c>
      <c r="C2079" s="2" t="s">
        <v>30</v>
      </c>
      <c r="D2079" s="483">
        <v>855758</v>
      </c>
      <c r="E2079" s="2" t="s">
        <v>331</v>
      </c>
    </row>
    <row r="2080" spans="1:5" x14ac:dyDescent="0.3">
      <c r="A2080" s="2">
        <v>7353</v>
      </c>
      <c r="B2080" s="2" t="s">
        <v>2419</v>
      </c>
      <c r="C2080" s="2" t="s">
        <v>32</v>
      </c>
      <c r="D2080" s="483">
        <v>1848822</v>
      </c>
      <c r="E2080" s="2" t="s">
        <v>331</v>
      </c>
    </row>
    <row r="2081" spans="1:5" x14ac:dyDescent="0.3">
      <c r="A2081" s="2">
        <v>7354</v>
      </c>
      <c r="B2081" s="2" t="s">
        <v>2420</v>
      </c>
      <c r="C2081" s="2" t="s">
        <v>32</v>
      </c>
      <c r="D2081" s="483">
        <v>2439334</v>
      </c>
      <c r="E2081" s="2" t="s">
        <v>331</v>
      </c>
    </row>
    <row r="2082" spans="1:5" x14ac:dyDescent="0.3">
      <c r="A2082" s="2">
        <v>7355</v>
      </c>
      <c r="B2082" s="2" t="s">
        <v>2421</v>
      </c>
      <c r="C2082" s="2" t="s">
        <v>32</v>
      </c>
      <c r="D2082" s="483">
        <v>410637</v>
      </c>
      <c r="E2082" s="2" t="s">
        <v>331</v>
      </c>
    </row>
    <row r="2083" spans="1:5" x14ac:dyDescent="0.3">
      <c r="A2083" s="2">
        <v>7356</v>
      </c>
      <c r="B2083" s="2" t="s">
        <v>2422</v>
      </c>
      <c r="C2083" s="2" t="s">
        <v>32</v>
      </c>
      <c r="D2083" s="483">
        <v>1942475</v>
      </c>
      <c r="E2083" s="2" t="s">
        <v>324</v>
      </c>
    </row>
    <row r="2084" spans="1:5" x14ac:dyDescent="0.3">
      <c r="A2084" s="2">
        <v>7357</v>
      </c>
      <c r="B2084" s="2" t="s">
        <v>2423</v>
      </c>
      <c r="C2084" s="2" t="s">
        <v>32</v>
      </c>
      <c r="D2084" s="483">
        <v>589440</v>
      </c>
      <c r="E2084" s="2" t="s">
        <v>331</v>
      </c>
    </row>
    <row r="2085" spans="1:5" x14ac:dyDescent="0.3">
      <c r="A2085" s="2">
        <v>7358</v>
      </c>
      <c r="B2085" s="2" t="s">
        <v>2424</v>
      </c>
      <c r="C2085" s="2" t="s">
        <v>32</v>
      </c>
      <c r="D2085" s="483">
        <v>397571</v>
      </c>
      <c r="E2085" s="2" t="s">
        <v>331</v>
      </c>
    </row>
    <row r="2086" spans="1:5" x14ac:dyDescent="0.3">
      <c r="A2086" s="2">
        <v>7359</v>
      </c>
      <c r="B2086" s="2" t="s">
        <v>2425</v>
      </c>
      <c r="C2086" s="2" t="s">
        <v>32</v>
      </c>
      <c r="D2086" s="483">
        <v>407304</v>
      </c>
      <c r="E2086" s="2" t="s">
        <v>331</v>
      </c>
    </row>
    <row r="2087" spans="1:5" x14ac:dyDescent="0.3">
      <c r="A2087" s="2">
        <v>7362</v>
      </c>
      <c r="B2087" s="2" t="s">
        <v>2426</v>
      </c>
      <c r="C2087" s="2" t="s">
        <v>21</v>
      </c>
      <c r="D2087" s="483">
        <v>12998</v>
      </c>
      <c r="E2087" s="2" t="s">
        <v>324</v>
      </c>
    </row>
    <row r="2088" spans="1:5" x14ac:dyDescent="0.3">
      <c r="A2088" s="2">
        <v>7364</v>
      </c>
      <c r="B2088" s="2" t="s">
        <v>2427</v>
      </c>
      <c r="C2088" s="2" t="s">
        <v>30</v>
      </c>
      <c r="D2088" s="483">
        <v>93682</v>
      </c>
      <c r="E2088" s="2" t="s">
        <v>331</v>
      </c>
    </row>
    <row r="2089" spans="1:5" x14ac:dyDescent="0.3">
      <c r="A2089" s="2">
        <v>7365</v>
      </c>
      <c r="B2089" s="2" t="s">
        <v>2428</v>
      </c>
      <c r="C2089" s="2" t="s">
        <v>32</v>
      </c>
      <c r="D2089" s="483">
        <v>788838</v>
      </c>
      <c r="E2089" s="2" t="s">
        <v>324</v>
      </c>
    </row>
    <row r="2090" spans="1:5" x14ac:dyDescent="0.3">
      <c r="A2090" s="2">
        <v>7366</v>
      </c>
      <c r="B2090" s="2" t="s">
        <v>2429</v>
      </c>
      <c r="C2090" s="2" t="s">
        <v>32</v>
      </c>
      <c r="D2090" s="483">
        <v>249632</v>
      </c>
      <c r="E2090" s="2" t="s">
        <v>324</v>
      </c>
    </row>
    <row r="2091" spans="1:5" x14ac:dyDescent="0.3">
      <c r="A2091" s="2">
        <v>7368</v>
      </c>
      <c r="B2091" s="2" t="s">
        <v>2430</v>
      </c>
      <c r="C2091" s="2" t="s">
        <v>21</v>
      </c>
      <c r="D2091" s="483">
        <v>54506</v>
      </c>
      <c r="E2091" s="2" t="s">
        <v>331</v>
      </c>
    </row>
    <row r="2092" spans="1:5" x14ac:dyDescent="0.3">
      <c r="A2092" s="2">
        <v>7369</v>
      </c>
      <c r="B2092" s="2" t="s">
        <v>2431</v>
      </c>
      <c r="C2092" s="2" t="s">
        <v>328</v>
      </c>
      <c r="D2092" s="483">
        <v>10008</v>
      </c>
      <c r="E2092" s="2" t="s">
        <v>331</v>
      </c>
    </row>
    <row r="2093" spans="1:5" x14ac:dyDescent="0.3">
      <c r="A2093" s="2">
        <v>7370</v>
      </c>
      <c r="B2093" s="2" t="s">
        <v>2432</v>
      </c>
      <c r="C2093" s="2" t="s">
        <v>32</v>
      </c>
      <c r="D2093" s="483">
        <v>1620206</v>
      </c>
      <c r="E2093" s="2" t="s">
        <v>331</v>
      </c>
    </row>
    <row r="2094" spans="1:5" x14ac:dyDescent="0.3">
      <c r="A2094" s="2">
        <v>7371</v>
      </c>
      <c r="B2094" s="2" t="s">
        <v>2433</v>
      </c>
      <c r="C2094" s="2" t="s">
        <v>32</v>
      </c>
      <c r="D2094" s="483">
        <v>2011203</v>
      </c>
      <c r="E2094" s="2" t="s">
        <v>331</v>
      </c>
    </row>
    <row r="2095" spans="1:5" x14ac:dyDescent="0.3">
      <c r="A2095" s="2">
        <v>7372</v>
      </c>
      <c r="B2095" s="2" t="s">
        <v>2434</v>
      </c>
      <c r="C2095" s="2" t="s">
        <v>32</v>
      </c>
      <c r="D2095" s="483">
        <v>5548783</v>
      </c>
      <c r="E2095" s="2" t="s">
        <v>331</v>
      </c>
    </row>
    <row r="2096" spans="1:5" x14ac:dyDescent="0.3">
      <c r="A2096" s="2">
        <v>7374</v>
      </c>
      <c r="B2096" s="2" t="s">
        <v>2435</v>
      </c>
      <c r="C2096" s="2" t="s">
        <v>32</v>
      </c>
      <c r="D2096" s="483">
        <v>49779</v>
      </c>
      <c r="E2096" s="2" t="s">
        <v>331</v>
      </c>
    </row>
    <row r="2097" spans="1:5" x14ac:dyDescent="0.3">
      <c r="A2097" s="2">
        <v>7375</v>
      </c>
      <c r="B2097" s="2" t="s">
        <v>2436</v>
      </c>
      <c r="C2097" s="2" t="s">
        <v>32</v>
      </c>
      <c r="D2097" s="483">
        <v>1118167</v>
      </c>
      <c r="E2097" s="2" t="s">
        <v>331</v>
      </c>
    </row>
    <row r="2098" spans="1:5" x14ac:dyDescent="0.3">
      <c r="A2098" s="2">
        <v>7377</v>
      </c>
      <c r="B2098" s="2" t="s">
        <v>2437</v>
      </c>
      <c r="C2098" s="2" t="s">
        <v>32</v>
      </c>
      <c r="D2098" s="483">
        <v>1160214</v>
      </c>
      <c r="E2098" s="2" t="s">
        <v>324</v>
      </c>
    </row>
    <row r="2099" spans="1:5" x14ac:dyDescent="0.3">
      <c r="A2099" s="2">
        <v>7378</v>
      </c>
      <c r="B2099" s="2" t="s">
        <v>2438</v>
      </c>
      <c r="C2099" s="2" t="s">
        <v>21</v>
      </c>
      <c r="D2099" s="483">
        <v>26026</v>
      </c>
      <c r="E2099" s="2" t="s">
        <v>324</v>
      </c>
    </row>
    <row r="2100" spans="1:5" x14ac:dyDescent="0.3">
      <c r="A2100" s="2">
        <v>7379</v>
      </c>
      <c r="B2100" s="2" t="s">
        <v>2439</v>
      </c>
      <c r="C2100" s="2" t="s">
        <v>32</v>
      </c>
      <c r="D2100" s="483">
        <v>581301</v>
      </c>
      <c r="E2100" s="2" t="s">
        <v>331</v>
      </c>
    </row>
    <row r="2101" spans="1:5" x14ac:dyDescent="0.3">
      <c r="A2101" s="2">
        <v>7380</v>
      </c>
      <c r="B2101" s="2" t="s">
        <v>2440</v>
      </c>
      <c r="C2101" s="2" t="s">
        <v>979</v>
      </c>
      <c r="D2101" s="483">
        <v>18908</v>
      </c>
      <c r="E2101" s="2" t="s">
        <v>324</v>
      </c>
    </row>
    <row r="2102" spans="1:5" x14ac:dyDescent="0.3">
      <c r="A2102" s="2">
        <v>7384</v>
      </c>
      <c r="B2102" s="2" t="s">
        <v>2441</v>
      </c>
      <c r="C2102" s="2" t="s">
        <v>32</v>
      </c>
      <c r="D2102" s="483">
        <v>9490642</v>
      </c>
      <c r="E2102" s="2" t="s">
        <v>331</v>
      </c>
    </row>
    <row r="2103" spans="1:5" x14ac:dyDescent="0.3">
      <c r="A2103" s="2">
        <v>7387</v>
      </c>
      <c r="B2103" s="2" t="s">
        <v>2442</v>
      </c>
      <c r="C2103" s="2" t="s">
        <v>670</v>
      </c>
      <c r="D2103" s="483">
        <v>8839</v>
      </c>
      <c r="E2103" s="2" t="s">
        <v>331</v>
      </c>
    </row>
    <row r="2104" spans="1:5" x14ac:dyDescent="0.3">
      <c r="A2104" s="2">
        <v>7388</v>
      </c>
      <c r="B2104" s="2" t="s">
        <v>2443</v>
      </c>
      <c r="C2104" s="2" t="s">
        <v>328</v>
      </c>
      <c r="D2104" s="483">
        <v>4878404</v>
      </c>
      <c r="E2104" s="2" t="s">
        <v>324</v>
      </c>
    </row>
    <row r="2105" spans="1:5" x14ac:dyDescent="0.3">
      <c r="A2105" s="2">
        <v>7389</v>
      </c>
      <c r="B2105" s="2" t="s">
        <v>2444</v>
      </c>
      <c r="C2105" s="2" t="s">
        <v>2445</v>
      </c>
      <c r="D2105" s="483">
        <v>7263633</v>
      </c>
      <c r="E2105" s="2" t="s">
        <v>324</v>
      </c>
    </row>
    <row r="2106" spans="1:5" x14ac:dyDescent="0.3">
      <c r="A2106" s="2">
        <v>7390</v>
      </c>
      <c r="B2106" s="2" t="s">
        <v>2446</v>
      </c>
      <c r="C2106" s="2" t="s">
        <v>328</v>
      </c>
      <c r="D2106" s="483">
        <v>57484</v>
      </c>
      <c r="E2106" s="2" t="s">
        <v>331</v>
      </c>
    </row>
    <row r="2107" spans="1:5" x14ac:dyDescent="0.3">
      <c r="A2107" s="2">
        <v>7391</v>
      </c>
      <c r="B2107" s="2" t="s">
        <v>2447</v>
      </c>
      <c r="C2107" s="2" t="s">
        <v>32</v>
      </c>
      <c r="D2107" s="483">
        <v>5915531</v>
      </c>
      <c r="E2107" s="2" t="s">
        <v>331</v>
      </c>
    </row>
    <row r="2108" spans="1:5" x14ac:dyDescent="0.3">
      <c r="A2108" s="2">
        <v>7392</v>
      </c>
      <c r="B2108" s="2" t="s">
        <v>2448</v>
      </c>
      <c r="C2108" s="2" t="s">
        <v>32</v>
      </c>
      <c r="D2108" s="483">
        <v>1781280</v>
      </c>
      <c r="E2108" s="2" t="s">
        <v>331</v>
      </c>
    </row>
    <row r="2109" spans="1:5" x14ac:dyDescent="0.3">
      <c r="A2109" s="2">
        <v>7393</v>
      </c>
      <c r="B2109" s="2" t="s">
        <v>2449</v>
      </c>
      <c r="C2109" s="2" t="s">
        <v>32</v>
      </c>
      <c r="D2109" s="483">
        <v>9724528</v>
      </c>
      <c r="E2109" s="2" t="s">
        <v>331</v>
      </c>
    </row>
    <row r="2110" spans="1:5" x14ac:dyDescent="0.3">
      <c r="A2110" s="2">
        <v>7397</v>
      </c>
      <c r="B2110" s="2" t="s">
        <v>2450</v>
      </c>
      <c r="C2110" s="2" t="s">
        <v>32</v>
      </c>
      <c r="D2110" s="483">
        <v>413277</v>
      </c>
      <c r="E2110" s="2" t="s">
        <v>367</v>
      </c>
    </row>
    <row r="2111" spans="1:5" x14ac:dyDescent="0.3">
      <c r="A2111" s="2">
        <v>7398</v>
      </c>
      <c r="B2111" s="2" t="s">
        <v>2451</v>
      </c>
      <c r="C2111" s="2" t="s">
        <v>32</v>
      </c>
      <c r="D2111" s="483">
        <v>517650</v>
      </c>
      <c r="E2111" s="2" t="s">
        <v>367</v>
      </c>
    </row>
    <row r="2112" spans="1:5" x14ac:dyDescent="0.3">
      <c r="A2112" s="2">
        <v>7399</v>
      </c>
      <c r="B2112" s="2" t="s">
        <v>2452</v>
      </c>
      <c r="C2112" s="2" t="s">
        <v>32</v>
      </c>
      <c r="D2112" s="483">
        <v>769899</v>
      </c>
      <c r="E2112" s="2" t="s">
        <v>331</v>
      </c>
    </row>
    <row r="2113" spans="1:5" x14ac:dyDescent="0.3">
      <c r="A2113" s="2">
        <v>7400</v>
      </c>
      <c r="B2113" s="2" t="s">
        <v>2453</v>
      </c>
      <c r="C2113" s="2" t="s">
        <v>32</v>
      </c>
      <c r="D2113" s="483">
        <v>450127</v>
      </c>
      <c r="E2113" s="2" t="s">
        <v>367</v>
      </c>
    </row>
    <row r="2114" spans="1:5" x14ac:dyDescent="0.3">
      <c r="A2114" s="2">
        <v>7401</v>
      </c>
      <c r="B2114" s="2" t="s">
        <v>2454</v>
      </c>
      <c r="C2114" s="2" t="s">
        <v>32</v>
      </c>
      <c r="D2114" s="483">
        <v>769899</v>
      </c>
      <c r="E2114" s="2" t="s">
        <v>331</v>
      </c>
    </row>
    <row r="2115" spans="1:5" x14ac:dyDescent="0.3">
      <c r="A2115" s="2">
        <v>7406</v>
      </c>
      <c r="B2115" s="2" t="s">
        <v>2455</v>
      </c>
      <c r="C2115" s="2" t="s">
        <v>32</v>
      </c>
      <c r="D2115" s="483">
        <v>452562</v>
      </c>
      <c r="E2115" s="2" t="s">
        <v>367</v>
      </c>
    </row>
    <row r="2116" spans="1:5" x14ac:dyDescent="0.3">
      <c r="A2116" s="2">
        <v>7407</v>
      </c>
      <c r="B2116" s="2" t="s">
        <v>2456</v>
      </c>
      <c r="C2116" s="2" t="s">
        <v>32</v>
      </c>
      <c r="D2116" s="483">
        <v>745867</v>
      </c>
      <c r="E2116" s="2" t="s">
        <v>331</v>
      </c>
    </row>
    <row r="2117" spans="1:5" x14ac:dyDescent="0.3">
      <c r="A2117" s="2">
        <v>7408</v>
      </c>
      <c r="B2117" s="2" t="s">
        <v>2457</v>
      </c>
      <c r="C2117" s="2" t="s">
        <v>32</v>
      </c>
      <c r="D2117" s="483">
        <v>911437</v>
      </c>
      <c r="E2117" s="2" t="s">
        <v>331</v>
      </c>
    </row>
    <row r="2118" spans="1:5" x14ac:dyDescent="0.3">
      <c r="A2118" s="2">
        <v>7409</v>
      </c>
      <c r="B2118" s="2" t="s">
        <v>2458</v>
      </c>
      <c r="C2118" s="2" t="s">
        <v>32</v>
      </c>
      <c r="D2118" s="483">
        <v>3648344</v>
      </c>
      <c r="E2118" s="2" t="s">
        <v>331</v>
      </c>
    </row>
    <row r="2119" spans="1:5" x14ac:dyDescent="0.3">
      <c r="A2119" s="2">
        <v>7410</v>
      </c>
      <c r="B2119" s="2" t="s">
        <v>2459</v>
      </c>
      <c r="C2119" s="2" t="s">
        <v>32</v>
      </c>
      <c r="D2119" s="483">
        <v>2021673</v>
      </c>
      <c r="E2119" s="2" t="s">
        <v>331</v>
      </c>
    </row>
    <row r="2120" spans="1:5" x14ac:dyDescent="0.3">
      <c r="A2120" s="2">
        <v>7411</v>
      </c>
      <c r="B2120" s="2" t="s">
        <v>2460</v>
      </c>
      <c r="C2120" s="2" t="s">
        <v>32</v>
      </c>
      <c r="D2120" s="483">
        <v>1407726</v>
      </c>
      <c r="E2120" s="2" t="s">
        <v>331</v>
      </c>
    </row>
    <row r="2121" spans="1:5" x14ac:dyDescent="0.3">
      <c r="A2121" s="2">
        <v>7412</v>
      </c>
      <c r="B2121" s="2" t="s">
        <v>2461</v>
      </c>
      <c r="C2121" s="2" t="s">
        <v>32</v>
      </c>
      <c r="D2121" s="483">
        <v>1286216</v>
      </c>
      <c r="E2121" s="2" t="s">
        <v>331</v>
      </c>
    </row>
    <row r="2122" spans="1:5" x14ac:dyDescent="0.3">
      <c r="A2122" s="2">
        <v>7413</v>
      </c>
      <c r="B2122" s="2" t="s">
        <v>2462</v>
      </c>
      <c r="C2122" s="2" t="s">
        <v>32</v>
      </c>
      <c r="D2122" s="483">
        <v>2299103</v>
      </c>
      <c r="E2122" s="2" t="s">
        <v>331</v>
      </c>
    </row>
    <row r="2123" spans="1:5" x14ac:dyDescent="0.3">
      <c r="A2123" s="2">
        <v>7414</v>
      </c>
      <c r="B2123" s="2" t="s">
        <v>2463</v>
      </c>
      <c r="C2123" s="2" t="s">
        <v>32</v>
      </c>
      <c r="D2123" s="483">
        <v>2549569</v>
      </c>
      <c r="E2123" s="2" t="s">
        <v>331</v>
      </c>
    </row>
    <row r="2124" spans="1:5" x14ac:dyDescent="0.3">
      <c r="A2124" s="2">
        <v>7417</v>
      </c>
      <c r="B2124" s="2" t="s">
        <v>2464</v>
      </c>
      <c r="C2124" s="2" t="s">
        <v>30</v>
      </c>
      <c r="D2124" s="483">
        <v>821683</v>
      </c>
      <c r="E2124" s="2" t="s">
        <v>331</v>
      </c>
    </row>
    <row r="2125" spans="1:5" x14ac:dyDescent="0.3">
      <c r="A2125" s="2">
        <v>7419</v>
      </c>
      <c r="B2125" s="2" t="s">
        <v>2465</v>
      </c>
      <c r="C2125" s="2" t="s">
        <v>32</v>
      </c>
      <c r="D2125" s="483">
        <v>283934</v>
      </c>
      <c r="E2125" s="2" t="s">
        <v>331</v>
      </c>
    </row>
    <row r="2126" spans="1:5" x14ac:dyDescent="0.3">
      <c r="A2126" s="2">
        <v>7420</v>
      </c>
      <c r="B2126" s="2" t="s">
        <v>2466</v>
      </c>
      <c r="C2126" s="2" t="s">
        <v>32</v>
      </c>
      <c r="D2126" s="483">
        <v>1922047</v>
      </c>
      <c r="E2126" s="2" t="s">
        <v>331</v>
      </c>
    </row>
    <row r="2127" spans="1:5" x14ac:dyDescent="0.3">
      <c r="A2127" s="2">
        <v>7421</v>
      </c>
      <c r="B2127" s="2" t="s">
        <v>2467</v>
      </c>
      <c r="C2127" s="2" t="s">
        <v>32</v>
      </c>
      <c r="D2127" s="483">
        <v>1922047</v>
      </c>
      <c r="E2127" s="2" t="s">
        <v>331</v>
      </c>
    </row>
    <row r="2128" spans="1:5" x14ac:dyDescent="0.3">
      <c r="A2128" s="2">
        <v>7422</v>
      </c>
      <c r="B2128" s="2" t="s">
        <v>2468</v>
      </c>
      <c r="C2128" s="2" t="s">
        <v>32</v>
      </c>
      <c r="D2128" s="483">
        <v>2783455</v>
      </c>
      <c r="E2128" s="2" t="s">
        <v>331</v>
      </c>
    </row>
    <row r="2129" spans="1:5" x14ac:dyDescent="0.3">
      <c r="A2129" s="2">
        <v>7423</v>
      </c>
      <c r="B2129" s="2" t="s">
        <v>2469</v>
      </c>
      <c r="C2129" s="2" t="s">
        <v>32</v>
      </c>
      <c r="D2129" s="483">
        <v>747877</v>
      </c>
      <c r="E2129" s="2" t="s">
        <v>331</v>
      </c>
    </row>
    <row r="2130" spans="1:5" x14ac:dyDescent="0.3">
      <c r="A2130" s="2">
        <v>7424</v>
      </c>
      <c r="B2130" s="2" t="s">
        <v>2470</v>
      </c>
      <c r="C2130" s="2" t="s">
        <v>32</v>
      </c>
      <c r="D2130" s="483">
        <v>4645876</v>
      </c>
      <c r="E2130" s="2" t="s">
        <v>331</v>
      </c>
    </row>
    <row r="2131" spans="1:5" x14ac:dyDescent="0.3">
      <c r="A2131" s="2">
        <v>7425</v>
      </c>
      <c r="B2131" s="2" t="s">
        <v>2471</v>
      </c>
      <c r="C2131" s="2" t="s">
        <v>32</v>
      </c>
      <c r="D2131" s="483">
        <v>4879759</v>
      </c>
      <c r="E2131" s="2" t="s">
        <v>331</v>
      </c>
    </row>
    <row r="2132" spans="1:5" x14ac:dyDescent="0.3">
      <c r="A2132" s="2">
        <v>7426</v>
      </c>
      <c r="B2132" s="2" t="s">
        <v>2472</v>
      </c>
      <c r="C2132" s="2" t="s">
        <v>30</v>
      </c>
      <c r="D2132" s="483">
        <v>842437</v>
      </c>
      <c r="E2132" s="2" t="s">
        <v>331</v>
      </c>
    </row>
    <row r="2133" spans="1:5" x14ac:dyDescent="0.3">
      <c r="A2133" s="2">
        <v>7427</v>
      </c>
      <c r="B2133" s="2" t="s">
        <v>2473</v>
      </c>
      <c r="C2133" s="2" t="s">
        <v>32</v>
      </c>
      <c r="D2133" s="483">
        <v>3304982</v>
      </c>
      <c r="E2133" s="2" t="s">
        <v>331</v>
      </c>
    </row>
    <row r="2134" spans="1:5" x14ac:dyDescent="0.3">
      <c r="A2134" s="2">
        <v>7428</v>
      </c>
      <c r="B2134" s="2" t="s">
        <v>2474</v>
      </c>
      <c r="C2134" s="2" t="s">
        <v>32</v>
      </c>
      <c r="D2134" s="483">
        <v>3380081</v>
      </c>
      <c r="E2134" s="2" t="s">
        <v>331</v>
      </c>
    </row>
    <row r="2135" spans="1:5" x14ac:dyDescent="0.3">
      <c r="A2135" s="2">
        <v>7429</v>
      </c>
      <c r="B2135" s="2" t="s">
        <v>2475</v>
      </c>
      <c r="C2135" s="2" t="s">
        <v>32</v>
      </c>
      <c r="D2135" s="483">
        <v>5984979</v>
      </c>
      <c r="E2135" s="2" t="s">
        <v>331</v>
      </c>
    </row>
    <row r="2136" spans="1:5" x14ac:dyDescent="0.3">
      <c r="A2136" s="2">
        <v>7430</v>
      </c>
      <c r="B2136" s="2" t="s">
        <v>2476</v>
      </c>
      <c r="C2136" s="2" t="s">
        <v>32</v>
      </c>
      <c r="D2136" s="483">
        <v>408829</v>
      </c>
      <c r="E2136" s="2" t="s">
        <v>324</v>
      </c>
    </row>
    <row r="2137" spans="1:5" x14ac:dyDescent="0.3">
      <c r="A2137" s="2">
        <v>7432</v>
      </c>
      <c r="B2137" s="2" t="s">
        <v>2477</v>
      </c>
      <c r="C2137" s="2" t="s">
        <v>328</v>
      </c>
      <c r="D2137" s="483">
        <v>729078</v>
      </c>
      <c r="E2137" s="2" t="s">
        <v>331</v>
      </c>
    </row>
    <row r="2138" spans="1:5" x14ac:dyDescent="0.3">
      <c r="A2138" s="2">
        <v>7433</v>
      </c>
      <c r="B2138" s="2" t="s">
        <v>2478</v>
      </c>
      <c r="C2138" s="2" t="s">
        <v>328</v>
      </c>
      <c r="D2138" s="483">
        <v>864462</v>
      </c>
      <c r="E2138" s="2" t="s">
        <v>331</v>
      </c>
    </row>
    <row r="2139" spans="1:5" x14ac:dyDescent="0.3">
      <c r="A2139" s="2">
        <v>7434</v>
      </c>
      <c r="B2139" s="2" t="s">
        <v>2479</v>
      </c>
      <c r="C2139" s="2" t="s">
        <v>328</v>
      </c>
      <c r="D2139" s="483">
        <v>1053533</v>
      </c>
      <c r="E2139" s="2" t="s">
        <v>331</v>
      </c>
    </row>
    <row r="2140" spans="1:5" x14ac:dyDescent="0.3">
      <c r="A2140" s="2">
        <v>7435</v>
      </c>
      <c r="B2140" s="2" t="s">
        <v>2480</v>
      </c>
      <c r="C2140" s="2" t="s">
        <v>328</v>
      </c>
      <c r="D2140" s="483">
        <v>1901084</v>
      </c>
      <c r="E2140" s="2" t="s">
        <v>331</v>
      </c>
    </row>
    <row r="2141" spans="1:5" x14ac:dyDescent="0.3">
      <c r="A2141" s="2">
        <v>7436</v>
      </c>
      <c r="B2141" s="2" t="s">
        <v>2481</v>
      </c>
      <c r="C2141" s="2" t="s">
        <v>32</v>
      </c>
      <c r="D2141" s="483">
        <v>1224634</v>
      </c>
      <c r="E2141" s="2" t="s">
        <v>324</v>
      </c>
    </row>
    <row r="2142" spans="1:5" x14ac:dyDescent="0.3">
      <c r="A2142" s="2">
        <v>7437</v>
      </c>
      <c r="B2142" s="2" t="s">
        <v>2482</v>
      </c>
      <c r="C2142" s="2" t="s">
        <v>30</v>
      </c>
      <c r="D2142" s="483">
        <v>980825</v>
      </c>
      <c r="E2142" s="2" t="s">
        <v>331</v>
      </c>
    </row>
    <row r="2143" spans="1:5" x14ac:dyDescent="0.3">
      <c r="A2143" s="2">
        <v>7438</v>
      </c>
      <c r="B2143" s="2" t="s">
        <v>2483</v>
      </c>
      <c r="C2143" s="2" t="s">
        <v>32</v>
      </c>
      <c r="D2143" s="483">
        <v>4169979</v>
      </c>
      <c r="E2143" s="2" t="s">
        <v>331</v>
      </c>
    </row>
    <row r="2144" spans="1:5" x14ac:dyDescent="0.3">
      <c r="A2144" s="2">
        <v>7439</v>
      </c>
      <c r="B2144" s="2" t="s">
        <v>2484</v>
      </c>
      <c r="C2144" s="2" t="s">
        <v>32</v>
      </c>
      <c r="D2144" s="483">
        <v>455169</v>
      </c>
      <c r="E2144" s="2" t="s">
        <v>331</v>
      </c>
    </row>
    <row r="2145" spans="1:5" x14ac:dyDescent="0.3">
      <c r="A2145" s="2">
        <v>7440</v>
      </c>
      <c r="B2145" s="2" t="s">
        <v>2485</v>
      </c>
      <c r="C2145" s="2" t="s">
        <v>32</v>
      </c>
      <c r="D2145" s="483">
        <v>4159771</v>
      </c>
      <c r="E2145" s="2" t="s">
        <v>331</v>
      </c>
    </row>
    <row r="2146" spans="1:5" x14ac:dyDescent="0.3">
      <c r="A2146" s="2">
        <v>7441</v>
      </c>
      <c r="B2146" s="2" t="s">
        <v>2486</v>
      </c>
      <c r="C2146" s="2" t="s">
        <v>32</v>
      </c>
      <c r="D2146" s="483">
        <v>4159771</v>
      </c>
      <c r="E2146" s="2" t="s">
        <v>331</v>
      </c>
    </row>
    <row r="2147" spans="1:5" x14ac:dyDescent="0.3">
      <c r="A2147" s="2">
        <v>7442</v>
      </c>
      <c r="B2147" s="2" t="s">
        <v>2487</v>
      </c>
      <c r="C2147" s="2" t="s">
        <v>32</v>
      </c>
      <c r="D2147" s="483">
        <v>4169979</v>
      </c>
      <c r="E2147" s="2" t="s">
        <v>331</v>
      </c>
    </row>
    <row r="2148" spans="1:5" x14ac:dyDescent="0.3">
      <c r="A2148" s="2">
        <v>7443</v>
      </c>
      <c r="B2148" s="2" t="s">
        <v>2488</v>
      </c>
      <c r="C2148" s="2" t="s">
        <v>328</v>
      </c>
      <c r="D2148" s="483">
        <v>50496</v>
      </c>
      <c r="E2148" s="2" t="s">
        <v>331</v>
      </c>
    </row>
    <row r="2149" spans="1:5" x14ac:dyDescent="0.3">
      <c r="A2149" s="2">
        <v>7445</v>
      </c>
      <c r="B2149" s="2" t="s">
        <v>2489</v>
      </c>
      <c r="C2149" s="2" t="s">
        <v>21</v>
      </c>
      <c r="D2149" s="483">
        <v>363093</v>
      </c>
      <c r="E2149" s="2" t="s">
        <v>331</v>
      </c>
    </row>
    <row r="2150" spans="1:5" x14ac:dyDescent="0.3">
      <c r="A2150" s="2">
        <v>7447</v>
      </c>
      <c r="B2150" s="2" t="s">
        <v>2490</v>
      </c>
      <c r="C2150" s="2" t="s">
        <v>328</v>
      </c>
      <c r="D2150" s="483">
        <v>3845678</v>
      </c>
      <c r="E2150" s="2" t="s">
        <v>331</v>
      </c>
    </row>
    <row r="2151" spans="1:5" x14ac:dyDescent="0.3">
      <c r="A2151" s="2">
        <v>7448</v>
      </c>
      <c r="B2151" s="2" t="s">
        <v>2491</v>
      </c>
      <c r="C2151" s="2" t="s">
        <v>32</v>
      </c>
      <c r="D2151" s="483">
        <v>440805</v>
      </c>
      <c r="E2151" s="2" t="s">
        <v>324</v>
      </c>
    </row>
    <row r="2152" spans="1:5" x14ac:dyDescent="0.3">
      <c r="A2152" s="2">
        <v>7451</v>
      </c>
      <c r="B2152" s="2" t="s">
        <v>2492</v>
      </c>
      <c r="C2152" s="2" t="s">
        <v>32</v>
      </c>
      <c r="D2152" s="483">
        <v>697702</v>
      </c>
      <c r="E2152" s="2" t="s">
        <v>324</v>
      </c>
    </row>
    <row r="2153" spans="1:5" x14ac:dyDescent="0.3">
      <c r="A2153" s="2">
        <v>7453</v>
      </c>
      <c r="B2153" s="2" t="s">
        <v>2493</v>
      </c>
      <c r="C2153" s="2" t="s">
        <v>32</v>
      </c>
      <c r="D2153" s="483">
        <v>1425660</v>
      </c>
      <c r="E2153" s="2" t="s">
        <v>324</v>
      </c>
    </row>
    <row r="2154" spans="1:5" x14ac:dyDescent="0.3">
      <c r="A2154" s="2">
        <v>7454</v>
      </c>
      <c r="B2154" s="2" t="s">
        <v>2494</v>
      </c>
      <c r="C2154" s="2" t="s">
        <v>32</v>
      </c>
      <c r="D2154" s="483">
        <v>2635559</v>
      </c>
      <c r="E2154" s="2" t="s">
        <v>324</v>
      </c>
    </row>
    <row r="2155" spans="1:5" x14ac:dyDescent="0.3">
      <c r="A2155" s="2">
        <v>7455</v>
      </c>
      <c r="B2155" s="2" t="s">
        <v>2495</v>
      </c>
      <c r="C2155" s="2" t="s">
        <v>32</v>
      </c>
      <c r="D2155" s="483">
        <v>10606721</v>
      </c>
      <c r="E2155" s="2" t="s">
        <v>324</v>
      </c>
    </row>
    <row r="2156" spans="1:5" x14ac:dyDescent="0.3">
      <c r="A2156" s="2">
        <v>7459</v>
      </c>
      <c r="B2156" s="2" t="s">
        <v>2496</v>
      </c>
      <c r="C2156" s="2" t="s">
        <v>32</v>
      </c>
      <c r="D2156" s="483">
        <v>5446514</v>
      </c>
      <c r="E2156" s="2" t="s">
        <v>331</v>
      </c>
    </row>
    <row r="2157" spans="1:5" x14ac:dyDescent="0.3">
      <c r="A2157" s="2">
        <v>7462</v>
      </c>
      <c r="B2157" s="2" t="s">
        <v>2497</v>
      </c>
      <c r="C2157" s="2" t="s">
        <v>32</v>
      </c>
      <c r="D2157" s="483">
        <v>3882724</v>
      </c>
      <c r="E2157" s="2" t="s">
        <v>331</v>
      </c>
    </row>
    <row r="2158" spans="1:5" x14ac:dyDescent="0.3">
      <c r="A2158" s="2">
        <v>7465</v>
      </c>
      <c r="B2158" s="2" t="s">
        <v>2498</v>
      </c>
      <c r="C2158" s="2" t="s">
        <v>32</v>
      </c>
      <c r="D2158" s="483">
        <v>150570</v>
      </c>
      <c r="E2158" s="2" t="s">
        <v>324</v>
      </c>
    </row>
    <row r="2159" spans="1:5" x14ac:dyDescent="0.3">
      <c r="A2159" s="2">
        <v>7468</v>
      </c>
      <c r="B2159" s="2" t="s">
        <v>2499</v>
      </c>
      <c r="C2159" s="2" t="s">
        <v>32</v>
      </c>
      <c r="D2159" s="483">
        <v>3896138</v>
      </c>
      <c r="E2159" s="2" t="s">
        <v>331</v>
      </c>
    </row>
    <row r="2160" spans="1:5" x14ac:dyDescent="0.3">
      <c r="A2160" s="2">
        <v>7469</v>
      </c>
      <c r="B2160" s="2" t="s">
        <v>2500</v>
      </c>
      <c r="C2160" s="2" t="s">
        <v>32</v>
      </c>
      <c r="D2160" s="483">
        <v>506262</v>
      </c>
      <c r="E2160" s="2" t="s">
        <v>331</v>
      </c>
    </row>
    <row r="2161" spans="1:5" x14ac:dyDescent="0.3">
      <c r="A2161" s="2">
        <v>7470</v>
      </c>
      <c r="B2161" s="2" t="s">
        <v>2501</v>
      </c>
      <c r="C2161" s="2" t="s">
        <v>32</v>
      </c>
      <c r="D2161" s="483">
        <v>412296</v>
      </c>
      <c r="E2161" s="2" t="s">
        <v>331</v>
      </c>
    </row>
    <row r="2162" spans="1:5" x14ac:dyDescent="0.3">
      <c r="A2162" s="2">
        <v>7472</v>
      </c>
      <c r="B2162" s="2" t="s">
        <v>2502</v>
      </c>
      <c r="C2162" s="2" t="s">
        <v>328</v>
      </c>
      <c r="D2162" s="483">
        <v>1458784</v>
      </c>
      <c r="E2162" s="2" t="s">
        <v>331</v>
      </c>
    </row>
    <row r="2163" spans="1:5" x14ac:dyDescent="0.3">
      <c r="A2163" s="2">
        <v>7474</v>
      </c>
      <c r="B2163" s="2" t="s">
        <v>2503</v>
      </c>
      <c r="C2163" s="2" t="s">
        <v>328</v>
      </c>
      <c r="D2163" s="483">
        <v>3014479</v>
      </c>
      <c r="E2163" s="2" t="s">
        <v>331</v>
      </c>
    </row>
    <row r="2164" spans="1:5" x14ac:dyDescent="0.3">
      <c r="A2164" s="2">
        <v>7477</v>
      </c>
      <c r="B2164" s="2" t="s">
        <v>2504</v>
      </c>
      <c r="C2164" s="2" t="s">
        <v>32</v>
      </c>
      <c r="D2164" s="483">
        <v>1214056</v>
      </c>
      <c r="E2164" s="2" t="s">
        <v>331</v>
      </c>
    </row>
    <row r="2165" spans="1:5" x14ac:dyDescent="0.3">
      <c r="A2165" s="2">
        <v>7480</v>
      </c>
      <c r="B2165" s="2" t="s">
        <v>2505</v>
      </c>
      <c r="C2165" s="2" t="s">
        <v>32</v>
      </c>
      <c r="D2165" s="483">
        <v>2374976</v>
      </c>
      <c r="E2165" s="2" t="s">
        <v>324</v>
      </c>
    </row>
    <row r="2166" spans="1:5" x14ac:dyDescent="0.3">
      <c r="A2166" s="2">
        <v>7482</v>
      </c>
      <c r="B2166" s="2" t="s">
        <v>2506</v>
      </c>
      <c r="C2166" s="2" t="s">
        <v>32</v>
      </c>
      <c r="D2166" s="483">
        <v>4395573</v>
      </c>
      <c r="E2166" s="2" t="s">
        <v>324</v>
      </c>
    </row>
    <row r="2167" spans="1:5" x14ac:dyDescent="0.3">
      <c r="A2167" s="2">
        <v>7485</v>
      </c>
      <c r="B2167" s="2" t="s">
        <v>2507</v>
      </c>
      <c r="C2167" s="2" t="s">
        <v>32</v>
      </c>
      <c r="D2167" s="483">
        <v>3399097</v>
      </c>
      <c r="E2167" s="2" t="s">
        <v>331</v>
      </c>
    </row>
    <row r="2168" spans="1:5" x14ac:dyDescent="0.3">
      <c r="A2168" s="2">
        <v>7486</v>
      </c>
      <c r="B2168" s="2" t="s">
        <v>2508</v>
      </c>
      <c r="C2168" s="2" t="s">
        <v>32</v>
      </c>
      <c r="D2168" s="483">
        <v>9583466</v>
      </c>
      <c r="E2168" s="2" t="s">
        <v>324</v>
      </c>
    </row>
    <row r="2169" spans="1:5" x14ac:dyDescent="0.3">
      <c r="A2169" s="2">
        <v>7487</v>
      </c>
      <c r="B2169" s="2" t="s">
        <v>2509</v>
      </c>
      <c r="C2169" s="2" t="s">
        <v>32</v>
      </c>
      <c r="D2169" s="483">
        <v>2934106</v>
      </c>
      <c r="E2169" s="2" t="s">
        <v>324</v>
      </c>
    </row>
    <row r="2170" spans="1:5" x14ac:dyDescent="0.3">
      <c r="A2170" s="2">
        <v>7488</v>
      </c>
      <c r="B2170" s="2" t="s">
        <v>2510</v>
      </c>
      <c r="C2170" s="2" t="s">
        <v>32</v>
      </c>
      <c r="D2170" s="483">
        <v>622415</v>
      </c>
      <c r="E2170" s="2" t="s">
        <v>324</v>
      </c>
    </row>
    <row r="2171" spans="1:5" x14ac:dyDescent="0.3">
      <c r="A2171" s="2">
        <v>7492</v>
      </c>
      <c r="B2171" s="2" t="s">
        <v>2511</v>
      </c>
      <c r="C2171" s="2" t="s">
        <v>32</v>
      </c>
      <c r="D2171" s="483">
        <v>6446160</v>
      </c>
      <c r="E2171" s="2" t="s">
        <v>331</v>
      </c>
    </row>
    <row r="2172" spans="1:5" x14ac:dyDescent="0.3">
      <c r="A2172" s="2">
        <v>7494</v>
      </c>
      <c r="B2172" s="2" t="s">
        <v>2512</v>
      </c>
      <c r="C2172" s="2" t="s">
        <v>32</v>
      </c>
      <c r="D2172" s="483">
        <v>718272</v>
      </c>
      <c r="E2172" s="2" t="s">
        <v>331</v>
      </c>
    </row>
    <row r="2173" spans="1:5" x14ac:dyDescent="0.3">
      <c r="A2173" s="2">
        <v>7495</v>
      </c>
      <c r="B2173" s="2" t="s">
        <v>2513</v>
      </c>
      <c r="C2173" s="2" t="s">
        <v>32</v>
      </c>
      <c r="D2173" s="483">
        <v>5270846</v>
      </c>
      <c r="E2173" s="2" t="s">
        <v>324</v>
      </c>
    </row>
    <row r="2174" spans="1:5" x14ac:dyDescent="0.3">
      <c r="A2174" s="2">
        <v>7497</v>
      </c>
      <c r="B2174" s="2" t="s">
        <v>2514</v>
      </c>
      <c r="C2174" s="2" t="s">
        <v>32</v>
      </c>
      <c r="D2174" s="483">
        <v>556881</v>
      </c>
      <c r="E2174" s="2" t="s">
        <v>367</v>
      </c>
    </row>
    <row r="2175" spans="1:5" x14ac:dyDescent="0.3">
      <c r="A2175" s="2">
        <v>7498</v>
      </c>
      <c r="B2175" s="2" t="s">
        <v>2515</v>
      </c>
      <c r="C2175" s="2" t="s">
        <v>32</v>
      </c>
      <c r="D2175" s="483">
        <v>627414</v>
      </c>
      <c r="E2175" s="2" t="s">
        <v>331</v>
      </c>
    </row>
    <row r="2176" spans="1:5" x14ac:dyDescent="0.3">
      <c r="A2176" s="2">
        <v>7500</v>
      </c>
      <c r="B2176" s="2" t="s">
        <v>2516</v>
      </c>
      <c r="C2176" s="2" t="s">
        <v>32</v>
      </c>
      <c r="D2176" s="483">
        <v>655267</v>
      </c>
      <c r="E2176" s="2" t="s">
        <v>331</v>
      </c>
    </row>
    <row r="2177" spans="1:5" x14ac:dyDescent="0.3">
      <c r="A2177" s="2">
        <v>7501</v>
      </c>
      <c r="B2177" s="2" t="s">
        <v>2517</v>
      </c>
      <c r="C2177" s="2" t="s">
        <v>32</v>
      </c>
      <c r="D2177" s="483">
        <v>586126</v>
      </c>
      <c r="E2177" s="2" t="s">
        <v>331</v>
      </c>
    </row>
    <row r="2178" spans="1:5" x14ac:dyDescent="0.3">
      <c r="A2178" s="2">
        <v>7503</v>
      </c>
      <c r="B2178" s="2" t="s">
        <v>2518</v>
      </c>
      <c r="C2178" s="2" t="s">
        <v>32</v>
      </c>
      <c r="D2178" s="483">
        <v>629300</v>
      </c>
      <c r="E2178" s="2" t="s">
        <v>331</v>
      </c>
    </row>
    <row r="2179" spans="1:5" x14ac:dyDescent="0.3">
      <c r="A2179" s="2">
        <v>7507</v>
      </c>
      <c r="B2179" s="2" t="s">
        <v>2519</v>
      </c>
      <c r="C2179" s="2" t="s">
        <v>32</v>
      </c>
      <c r="D2179" s="483">
        <v>2350826</v>
      </c>
      <c r="E2179" s="2" t="s">
        <v>331</v>
      </c>
    </row>
    <row r="2180" spans="1:5" x14ac:dyDescent="0.3">
      <c r="A2180" s="2">
        <v>7508</v>
      </c>
      <c r="B2180" s="2" t="s">
        <v>2520</v>
      </c>
      <c r="C2180" s="2" t="s">
        <v>32</v>
      </c>
      <c r="D2180" s="483">
        <v>507062</v>
      </c>
      <c r="E2180" s="2" t="s">
        <v>331</v>
      </c>
    </row>
    <row r="2181" spans="1:5" x14ac:dyDescent="0.3">
      <c r="A2181" s="2">
        <v>7510</v>
      </c>
      <c r="B2181" s="2" t="s">
        <v>2521</v>
      </c>
      <c r="C2181" s="2" t="s">
        <v>328</v>
      </c>
      <c r="D2181" s="483">
        <v>275497</v>
      </c>
      <c r="E2181" s="2" t="s">
        <v>331</v>
      </c>
    </row>
    <row r="2182" spans="1:5" x14ac:dyDescent="0.3">
      <c r="A2182" s="2">
        <v>7512</v>
      </c>
      <c r="B2182" s="2" t="s">
        <v>2522</v>
      </c>
      <c r="C2182" s="2" t="s">
        <v>32</v>
      </c>
      <c r="D2182" s="483">
        <v>619550</v>
      </c>
      <c r="E2182" s="2" t="s">
        <v>331</v>
      </c>
    </row>
    <row r="2183" spans="1:5" x14ac:dyDescent="0.3">
      <c r="A2183" s="2">
        <v>7513</v>
      </c>
      <c r="B2183" s="2" t="s">
        <v>2523</v>
      </c>
      <c r="C2183" s="2" t="s">
        <v>21</v>
      </c>
      <c r="D2183" s="483">
        <v>31354</v>
      </c>
      <c r="E2183" s="2" t="s">
        <v>331</v>
      </c>
    </row>
    <row r="2184" spans="1:5" x14ac:dyDescent="0.3">
      <c r="A2184" s="2">
        <v>7514</v>
      </c>
      <c r="B2184" s="2" t="s">
        <v>2524</v>
      </c>
      <c r="C2184" s="2" t="s">
        <v>32</v>
      </c>
      <c r="D2184" s="483">
        <v>640343</v>
      </c>
      <c r="E2184" s="2" t="s">
        <v>324</v>
      </c>
    </row>
    <row r="2185" spans="1:5" x14ac:dyDescent="0.3">
      <c r="A2185" s="2">
        <v>7515</v>
      </c>
      <c r="B2185" s="2" t="s">
        <v>2525</v>
      </c>
      <c r="C2185" s="2" t="s">
        <v>32</v>
      </c>
      <c r="D2185" s="483">
        <v>1224997</v>
      </c>
      <c r="E2185" s="2" t="s">
        <v>331</v>
      </c>
    </row>
    <row r="2186" spans="1:5" x14ac:dyDescent="0.3">
      <c r="A2186" s="2">
        <v>7519</v>
      </c>
      <c r="B2186" s="2" t="s">
        <v>2526</v>
      </c>
      <c r="C2186" s="2" t="s">
        <v>328</v>
      </c>
      <c r="D2186" s="483">
        <v>833884</v>
      </c>
      <c r="E2186" s="2" t="s">
        <v>331</v>
      </c>
    </row>
    <row r="2187" spans="1:5" x14ac:dyDescent="0.3">
      <c r="A2187" s="2">
        <v>7521</v>
      </c>
      <c r="B2187" s="2" t="s">
        <v>2527</v>
      </c>
      <c r="C2187" s="2" t="s">
        <v>328</v>
      </c>
      <c r="D2187" s="483">
        <v>1278779</v>
      </c>
      <c r="E2187" s="2" t="s">
        <v>331</v>
      </c>
    </row>
    <row r="2188" spans="1:5" x14ac:dyDescent="0.3">
      <c r="A2188" s="2">
        <v>7522</v>
      </c>
      <c r="B2188" s="2" t="s">
        <v>2528</v>
      </c>
      <c r="C2188" s="2" t="s">
        <v>32</v>
      </c>
      <c r="D2188" s="483">
        <v>4132611</v>
      </c>
      <c r="E2188" s="2" t="s">
        <v>331</v>
      </c>
    </row>
    <row r="2189" spans="1:5" x14ac:dyDescent="0.3">
      <c r="A2189" s="2">
        <v>7524</v>
      </c>
      <c r="B2189" s="2" t="s">
        <v>2529</v>
      </c>
      <c r="C2189" s="2" t="s">
        <v>32</v>
      </c>
      <c r="D2189" s="483">
        <v>608476</v>
      </c>
      <c r="E2189" s="2" t="s">
        <v>331</v>
      </c>
    </row>
    <row r="2190" spans="1:5" x14ac:dyDescent="0.3">
      <c r="A2190" s="2">
        <v>7525</v>
      </c>
      <c r="B2190" s="2" t="s">
        <v>2530</v>
      </c>
      <c r="C2190" s="2" t="s">
        <v>328</v>
      </c>
      <c r="D2190" s="483">
        <v>2517930</v>
      </c>
      <c r="E2190" s="2" t="s">
        <v>331</v>
      </c>
    </row>
    <row r="2191" spans="1:5" x14ac:dyDescent="0.3">
      <c r="A2191" s="2">
        <v>7527</v>
      </c>
      <c r="B2191" s="2" t="s">
        <v>2531</v>
      </c>
      <c r="C2191" s="2" t="s">
        <v>21</v>
      </c>
      <c r="D2191" s="483">
        <v>114871</v>
      </c>
      <c r="E2191" s="2" t="s">
        <v>324</v>
      </c>
    </row>
    <row r="2192" spans="1:5" x14ac:dyDescent="0.3">
      <c r="A2192" s="2">
        <v>7528</v>
      </c>
      <c r="B2192" s="2" t="s">
        <v>2532</v>
      </c>
      <c r="C2192" s="2" t="s">
        <v>21</v>
      </c>
      <c r="D2192" s="483">
        <v>138817</v>
      </c>
      <c r="E2192" s="2" t="s">
        <v>324</v>
      </c>
    </row>
    <row r="2193" spans="1:5" x14ac:dyDescent="0.3">
      <c r="A2193" s="2">
        <v>7529</v>
      </c>
      <c r="B2193" s="2" t="s">
        <v>2533</v>
      </c>
      <c r="C2193" s="2" t="s">
        <v>21</v>
      </c>
      <c r="D2193" s="483">
        <v>145162</v>
      </c>
      <c r="E2193" s="2" t="s">
        <v>331</v>
      </c>
    </row>
    <row r="2194" spans="1:5" x14ac:dyDescent="0.3">
      <c r="A2194" s="2">
        <v>7531</v>
      </c>
      <c r="B2194" s="2" t="s">
        <v>2534</v>
      </c>
      <c r="C2194" s="2" t="s">
        <v>32</v>
      </c>
      <c r="D2194" s="483">
        <v>986535</v>
      </c>
      <c r="E2194" s="2" t="s">
        <v>331</v>
      </c>
    </row>
    <row r="2195" spans="1:5" x14ac:dyDescent="0.3">
      <c r="A2195" s="2">
        <v>7532</v>
      </c>
      <c r="B2195" s="2" t="s">
        <v>2535</v>
      </c>
      <c r="C2195" s="2" t="s">
        <v>32</v>
      </c>
      <c r="D2195" s="483">
        <v>7041227</v>
      </c>
      <c r="E2195" s="2" t="s">
        <v>324</v>
      </c>
    </row>
    <row r="2196" spans="1:5" x14ac:dyDescent="0.3">
      <c r="A2196" s="2">
        <v>7533</v>
      </c>
      <c r="B2196" s="2" t="s">
        <v>2536</v>
      </c>
      <c r="C2196" s="2" t="s">
        <v>32</v>
      </c>
      <c r="D2196" s="483">
        <v>1052841</v>
      </c>
      <c r="E2196" s="2" t="s">
        <v>331</v>
      </c>
    </row>
    <row r="2197" spans="1:5" x14ac:dyDescent="0.3">
      <c r="A2197" s="2">
        <v>7534</v>
      </c>
      <c r="B2197" s="2" t="s">
        <v>2537</v>
      </c>
      <c r="C2197" s="2" t="s">
        <v>32</v>
      </c>
      <c r="D2197" s="483">
        <v>986535</v>
      </c>
      <c r="E2197" s="2" t="s">
        <v>331</v>
      </c>
    </row>
    <row r="2198" spans="1:5" x14ac:dyDescent="0.3">
      <c r="A2198" s="2">
        <v>7535</v>
      </c>
      <c r="B2198" s="2" t="s">
        <v>2538</v>
      </c>
      <c r="C2198" s="2" t="s">
        <v>32</v>
      </c>
      <c r="D2198" s="483">
        <v>3071586</v>
      </c>
      <c r="E2198" s="2" t="s">
        <v>324</v>
      </c>
    </row>
    <row r="2199" spans="1:5" x14ac:dyDescent="0.3">
      <c r="A2199" s="2">
        <v>7536</v>
      </c>
      <c r="B2199" s="2" t="s">
        <v>2539</v>
      </c>
      <c r="C2199" s="2" t="s">
        <v>32</v>
      </c>
      <c r="D2199" s="483">
        <v>2128714</v>
      </c>
      <c r="E2199" s="2" t="s">
        <v>324</v>
      </c>
    </row>
    <row r="2200" spans="1:5" x14ac:dyDescent="0.3">
      <c r="A2200" s="2">
        <v>7537</v>
      </c>
      <c r="B2200" s="2" t="s">
        <v>2540</v>
      </c>
      <c r="C2200" s="2" t="s">
        <v>32</v>
      </c>
      <c r="D2200" s="483">
        <v>1148133</v>
      </c>
      <c r="E2200" s="2" t="s">
        <v>324</v>
      </c>
    </row>
    <row r="2201" spans="1:5" x14ac:dyDescent="0.3">
      <c r="A2201" s="2">
        <v>7538</v>
      </c>
      <c r="B2201" s="2" t="s">
        <v>2541</v>
      </c>
      <c r="C2201" s="2" t="s">
        <v>21</v>
      </c>
      <c r="D2201" s="483">
        <v>59583</v>
      </c>
      <c r="E2201" s="2" t="s">
        <v>331</v>
      </c>
    </row>
    <row r="2202" spans="1:5" x14ac:dyDescent="0.3">
      <c r="A2202" s="2">
        <v>7546</v>
      </c>
      <c r="B2202" s="2" t="s">
        <v>2542</v>
      </c>
      <c r="C2202" s="2" t="s">
        <v>32</v>
      </c>
      <c r="D2202" s="483">
        <v>146576</v>
      </c>
      <c r="E2202" s="2" t="s">
        <v>331</v>
      </c>
    </row>
    <row r="2203" spans="1:5" x14ac:dyDescent="0.3">
      <c r="A2203" s="2">
        <v>7548</v>
      </c>
      <c r="B2203" s="2" t="s">
        <v>2543</v>
      </c>
      <c r="C2203" s="2" t="s">
        <v>21</v>
      </c>
      <c r="D2203" s="483">
        <v>181989</v>
      </c>
      <c r="E2203" s="2" t="s">
        <v>331</v>
      </c>
    </row>
    <row r="2204" spans="1:5" x14ac:dyDescent="0.3">
      <c r="A2204" s="2">
        <v>7553</v>
      </c>
      <c r="B2204" s="2" t="s">
        <v>2544</v>
      </c>
      <c r="C2204" s="2" t="s">
        <v>32</v>
      </c>
      <c r="D2204" s="483">
        <v>11053891</v>
      </c>
      <c r="E2204" s="2" t="s">
        <v>324</v>
      </c>
    </row>
    <row r="2205" spans="1:5" x14ac:dyDescent="0.3">
      <c r="A2205" s="2">
        <v>7555</v>
      </c>
      <c r="B2205" s="2" t="s">
        <v>2545</v>
      </c>
      <c r="C2205" s="2" t="s">
        <v>32</v>
      </c>
      <c r="D2205" s="483">
        <v>1352200</v>
      </c>
      <c r="E2205" s="2" t="s">
        <v>324</v>
      </c>
    </row>
    <row r="2206" spans="1:5" x14ac:dyDescent="0.3">
      <c r="A2206" s="2">
        <v>7558</v>
      </c>
      <c r="B2206" s="2" t="s">
        <v>2546</v>
      </c>
      <c r="C2206" s="2" t="s">
        <v>32</v>
      </c>
      <c r="D2206" s="483">
        <v>1608272</v>
      </c>
      <c r="E2206" s="2" t="s">
        <v>331</v>
      </c>
    </row>
    <row r="2207" spans="1:5" x14ac:dyDescent="0.3">
      <c r="A2207" s="2">
        <v>7566</v>
      </c>
      <c r="B2207" s="2" t="s">
        <v>2547</v>
      </c>
      <c r="C2207" s="2" t="s">
        <v>32</v>
      </c>
      <c r="D2207" s="483">
        <v>1114551</v>
      </c>
      <c r="E2207" s="2" t="s">
        <v>324</v>
      </c>
    </row>
    <row r="2208" spans="1:5" x14ac:dyDescent="0.3">
      <c r="A2208" s="2">
        <v>7567</v>
      </c>
      <c r="B2208" s="2" t="s">
        <v>2548</v>
      </c>
      <c r="C2208" s="2" t="s">
        <v>32</v>
      </c>
      <c r="D2208" s="483">
        <v>862327</v>
      </c>
      <c r="E2208" s="2" t="s">
        <v>324</v>
      </c>
    </row>
    <row r="2209" spans="1:5" x14ac:dyDescent="0.3">
      <c r="A2209" s="2">
        <v>7569</v>
      </c>
      <c r="B2209" s="2" t="s">
        <v>2549</v>
      </c>
      <c r="C2209" s="2" t="s">
        <v>32</v>
      </c>
      <c r="D2209" s="483">
        <v>1187776</v>
      </c>
      <c r="E2209" s="2" t="s">
        <v>331</v>
      </c>
    </row>
    <row r="2210" spans="1:5" x14ac:dyDescent="0.3">
      <c r="A2210" s="2">
        <v>7577</v>
      </c>
      <c r="B2210" s="2" t="s">
        <v>2550</v>
      </c>
      <c r="C2210" s="2" t="s">
        <v>32</v>
      </c>
      <c r="D2210" s="483">
        <v>148554</v>
      </c>
      <c r="E2210" s="2" t="s">
        <v>367</v>
      </c>
    </row>
    <row r="2211" spans="1:5" x14ac:dyDescent="0.3">
      <c r="A2211" s="2">
        <v>7578</v>
      </c>
      <c r="B2211" s="2" t="s">
        <v>2551</v>
      </c>
      <c r="C2211" s="2" t="s">
        <v>32</v>
      </c>
      <c r="D2211" s="483">
        <v>212926</v>
      </c>
      <c r="E2211" s="2" t="s">
        <v>367</v>
      </c>
    </row>
    <row r="2212" spans="1:5" x14ac:dyDescent="0.3">
      <c r="A2212" s="2">
        <v>7580</v>
      </c>
      <c r="B2212" s="2" t="s">
        <v>2552</v>
      </c>
      <c r="C2212" s="2" t="s">
        <v>32</v>
      </c>
      <c r="D2212" s="483">
        <v>91736</v>
      </c>
      <c r="E2212" s="2" t="s">
        <v>367</v>
      </c>
    </row>
    <row r="2213" spans="1:5" x14ac:dyDescent="0.3">
      <c r="A2213" s="2">
        <v>7584</v>
      </c>
      <c r="B2213" s="2" t="s">
        <v>2553</v>
      </c>
      <c r="C2213" s="2" t="s">
        <v>32</v>
      </c>
      <c r="D2213" s="483">
        <v>80433</v>
      </c>
      <c r="E2213" s="2" t="s">
        <v>367</v>
      </c>
    </row>
    <row r="2214" spans="1:5" x14ac:dyDescent="0.3">
      <c r="A2214" s="2">
        <v>7586</v>
      </c>
      <c r="B2214" s="2" t="s">
        <v>2554</v>
      </c>
      <c r="C2214" s="2" t="s">
        <v>32</v>
      </c>
      <c r="D2214" s="483">
        <v>97350</v>
      </c>
      <c r="E2214" s="2" t="s">
        <v>367</v>
      </c>
    </row>
    <row r="2215" spans="1:5" x14ac:dyDescent="0.3">
      <c r="A2215" s="2">
        <v>7587</v>
      </c>
      <c r="B2215" s="2" t="s">
        <v>2555</v>
      </c>
      <c r="C2215" s="2" t="s">
        <v>328</v>
      </c>
      <c r="D2215" s="483">
        <v>69949</v>
      </c>
      <c r="E2215" s="2" t="s">
        <v>324</v>
      </c>
    </row>
    <row r="2216" spans="1:5" x14ac:dyDescent="0.3">
      <c r="A2216" s="2">
        <v>7589</v>
      </c>
      <c r="B2216" s="2" t="s">
        <v>2556</v>
      </c>
      <c r="C2216" s="2" t="s">
        <v>32</v>
      </c>
      <c r="D2216" s="483">
        <v>7523</v>
      </c>
      <c r="E2216" s="2" t="s">
        <v>331</v>
      </c>
    </row>
    <row r="2217" spans="1:5" x14ac:dyDescent="0.3">
      <c r="A2217" s="2">
        <v>7590</v>
      </c>
      <c r="B2217" s="2" t="s">
        <v>2557</v>
      </c>
      <c r="C2217" s="2" t="s">
        <v>32</v>
      </c>
      <c r="D2217" s="483">
        <v>39392</v>
      </c>
      <c r="E2217" s="2" t="s">
        <v>331</v>
      </c>
    </row>
    <row r="2218" spans="1:5" x14ac:dyDescent="0.3">
      <c r="A2218" s="2">
        <v>7591</v>
      </c>
      <c r="B2218" s="2" t="s">
        <v>2558</v>
      </c>
      <c r="C2218" s="2" t="s">
        <v>30</v>
      </c>
      <c r="D2218" s="483">
        <v>194715</v>
      </c>
      <c r="E2218" s="2" t="s">
        <v>331</v>
      </c>
    </row>
    <row r="2219" spans="1:5" x14ac:dyDescent="0.3">
      <c r="A2219" s="2">
        <v>7597</v>
      </c>
      <c r="B2219" s="2" t="s">
        <v>2559</v>
      </c>
      <c r="C2219" s="2" t="s">
        <v>32</v>
      </c>
      <c r="D2219" s="483">
        <v>310641</v>
      </c>
      <c r="E2219" s="2" t="s">
        <v>324</v>
      </c>
    </row>
    <row r="2220" spans="1:5" x14ac:dyDescent="0.3">
      <c r="A2220" s="2">
        <v>7599</v>
      </c>
      <c r="B2220" s="2" t="s">
        <v>2560</v>
      </c>
      <c r="C2220" s="2" t="s">
        <v>21</v>
      </c>
      <c r="D2220" s="483">
        <v>455367</v>
      </c>
      <c r="E2220" s="2" t="s">
        <v>324</v>
      </c>
    </row>
    <row r="2221" spans="1:5" x14ac:dyDescent="0.3">
      <c r="A2221" s="2">
        <v>7600</v>
      </c>
      <c r="B2221" s="2" t="s">
        <v>2561</v>
      </c>
      <c r="C2221" s="2" t="s">
        <v>32</v>
      </c>
      <c r="D2221" s="483">
        <v>21359</v>
      </c>
      <c r="E2221" s="2" t="s">
        <v>331</v>
      </c>
    </row>
    <row r="2222" spans="1:5" x14ac:dyDescent="0.3">
      <c r="A2222" s="2">
        <v>7602</v>
      </c>
      <c r="B2222" s="2" t="s">
        <v>2562</v>
      </c>
      <c r="C2222" s="2" t="s">
        <v>32</v>
      </c>
      <c r="D2222" s="483">
        <v>41924</v>
      </c>
      <c r="E2222" s="2" t="s">
        <v>331</v>
      </c>
    </row>
    <row r="2223" spans="1:5" x14ac:dyDescent="0.3">
      <c r="A2223" s="2">
        <v>7609</v>
      </c>
      <c r="B2223" s="2" t="s">
        <v>2563</v>
      </c>
      <c r="C2223" s="2" t="s">
        <v>328</v>
      </c>
      <c r="D2223" s="483">
        <v>136853</v>
      </c>
      <c r="E2223" s="2" t="s">
        <v>324</v>
      </c>
    </row>
    <row r="2224" spans="1:5" x14ac:dyDescent="0.3">
      <c r="A2224" s="2">
        <v>7632</v>
      </c>
      <c r="B2224" s="2" t="s">
        <v>2564</v>
      </c>
      <c r="C2224" s="2" t="s">
        <v>328</v>
      </c>
      <c r="D2224" s="483">
        <v>17874</v>
      </c>
      <c r="E2224" s="2" t="s">
        <v>331</v>
      </c>
    </row>
    <row r="2225" spans="1:5" x14ac:dyDescent="0.3">
      <c r="A2225" s="2">
        <v>7633</v>
      </c>
      <c r="B2225" s="2" t="s">
        <v>2565</v>
      </c>
      <c r="C2225" s="2" t="s">
        <v>32</v>
      </c>
      <c r="D2225" s="483">
        <v>100539</v>
      </c>
      <c r="E2225" s="2" t="s">
        <v>324</v>
      </c>
    </row>
    <row r="2226" spans="1:5" x14ac:dyDescent="0.3">
      <c r="A2226" s="2">
        <v>7638</v>
      </c>
      <c r="B2226" s="2" t="s">
        <v>2566</v>
      </c>
      <c r="C2226" s="2" t="s">
        <v>32</v>
      </c>
      <c r="D2226" s="483">
        <v>182628</v>
      </c>
      <c r="E2226" s="2" t="s">
        <v>331</v>
      </c>
    </row>
    <row r="2227" spans="1:5" x14ac:dyDescent="0.3">
      <c r="A2227" s="2">
        <v>7639</v>
      </c>
      <c r="B2227" s="2" t="s">
        <v>2567</v>
      </c>
      <c r="C2227" s="2" t="s">
        <v>30</v>
      </c>
      <c r="D2227" s="483">
        <v>690591</v>
      </c>
      <c r="E2227" s="2" t="s">
        <v>331</v>
      </c>
    </row>
    <row r="2228" spans="1:5" x14ac:dyDescent="0.3">
      <c r="A2228" s="2">
        <v>7646</v>
      </c>
      <c r="B2228" s="2" t="s">
        <v>2568</v>
      </c>
      <c r="C2228" s="2" t="s">
        <v>32</v>
      </c>
      <c r="D2228" s="483">
        <v>6402505</v>
      </c>
      <c r="E2228" s="2" t="s">
        <v>331</v>
      </c>
    </row>
    <row r="2229" spans="1:5" x14ac:dyDescent="0.3">
      <c r="A2229" s="2">
        <v>7648</v>
      </c>
      <c r="B2229" s="2" t="s">
        <v>2569</v>
      </c>
      <c r="C2229" s="2" t="s">
        <v>32</v>
      </c>
      <c r="D2229" s="483">
        <v>6637262</v>
      </c>
      <c r="E2229" s="2" t="s">
        <v>331</v>
      </c>
    </row>
    <row r="2230" spans="1:5" x14ac:dyDescent="0.3">
      <c r="A2230" s="2">
        <v>7652</v>
      </c>
      <c r="B2230" s="2" t="s">
        <v>2570</v>
      </c>
      <c r="C2230" s="2" t="s">
        <v>328</v>
      </c>
      <c r="D2230" s="483">
        <v>177011</v>
      </c>
      <c r="E2230" s="2" t="s">
        <v>324</v>
      </c>
    </row>
    <row r="2231" spans="1:5" x14ac:dyDescent="0.3">
      <c r="A2231" s="2">
        <v>7653</v>
      </c>
      <c r="B2231" s="2" t="s">
        <v>2571</v>
      </c>
      <c r="C2231" s="2" t="s">
        <v>32</v>
      </c>
      <c r="D2231" s="483">
        <v>402331</v>
      </c>
      <c r="E2231" s="2" t="s">
        <v>324</v>
      </c>
    </row>
    <row r="2232" spans="1:5" x14ac:dyDescent="0.3">
      <c r="A2232" s="2">
        <v>7655</v>
      </c>
      <c r="B2232" s="2" t="s">
        <v>2572</v>
      </c>
      <c r="C2232" s="2" t="s">
        <v>328</v>
      </c>
      <c r="D2232" s="483">
        <v>107035</v>
      </c>
      <c r="E2232" s="2" t="s">
        <v>324</v>
      </c>
    </row>
    <row r="2233" spans="1:5" x14ac:dyDescent="0.3">
      <c r="A2233" s="2">
        <v>7656</v>
      </c>
      <c r="B2233" s="2" t="s">
        <v>2573</v>
      </c>
      <c r="C2233" s="2" t="s">
        <v>32</v>
      </c>
      <c r="D2233" s="483">
        <v>1940948</v>
      </c>
      <c r="E2233" s="2" t="s">
        <v>324</v>
      </c>
    </row>
    <row r="2234" spans="1:5" x14ac:dyDescent="0.3">
      <c r="A2234" s="2">
        <v>7657</v>
      </c>
      <c r="B2234" s="2" t="s">
        <v>2574</v>
      </c>
      <c r="C2234" s="2" t="s">
        <v>30</v>
      </c>
      <c r="D2234" s="483">
        <v>1421179</v>
      </c>
      <c r="E2234" s="2" t="s">
        <v>331</v>
      </c>
    </row>
    <row r="2235" spans="1:5" x14ac:dyDescent="0.3">
      <c r="A2235" s="2">
        <v>7658</v>
      </c>
      <c r="B2235" s="2" t="s">
        <v>2575</v>
      </c>
      <c r="C2235" s="2" t="s">
        <v>328</v>
      </c>
      <c r="D2235" s="483">
        <v>136672</v>
      </c>
      <c r="E2235" s="2" t="s">
        <v>324</v>
      </c>
    </row>
    <row r="2236" spans="1:5" x14ac:dyDescent="0.3">
      <c r="A2236" s="2">
        <v>7659</v>
      </c>
      <c r="B2236" s="2" t="s">
        <v>2576</v>
      </c>
      <c r="C2236" s="2" t="s">
        <v>32</v>
      </c>
      <c r="D2236" s="483">
        <v>7388701</v>
      </c>
      <c r="E2236" s="2" t="s">
        <v>331</v>
      </c>
    </row>
    <row r="2237" spans="1:5" x14ac:dyDescent="0.3">
      <c r="A2237" s="2">
        <v>7660</v>
      </c>
      <c r="B2237" s="2" t="s">
        <v>2577</v>
      </c>
      <c r="C2237" s="2" t="s">
        <v>32</v>
      </c>
      <c r="D2237" s="483">
        <v>2807524</v>
      </c>
      <c r="E2237" s="2" t="s">
        <v>331</v>
      </c>
    </row>
    <row r="2238" spans="1:5" x14ac:dyDescent="0.3">
      <c r="A2238" s="2">
        <v>7661</v>
      </c>
      <c r="B2238" s="2" t="s">
        <v>2578</v>
      </c>
      <c r="C2238" s="2" t="s">
        <v>328</v>
      </c>
      <c r="D2238" s="483">
        <v>208569</v>
      </c>
      <c r="E2238" s="2" t="s">
        <v>324</v>
      </c>
    </row>
    <row r="2239" spans="1:5" x14ac:dyDescent="0.3">
      <c r="A2239" s="2">
        <v>7662</v>
      </c>
      <c r="B2239" s="2" t="s">
        <v>2579</v>
      </c>
      <c r="C2239" s="2" t="s">
        <v>30</v>
      </c>
      <c r="D2239" s="483">
        <v>1007532</v>
      </c>
      <c r="E2239" s="2" t="s">
        <v>331</v>
      </c>
    </row>
    <row r="2240" spans="1:5" x14ac:dyDescent="0.3">
      <c r="A2240" s="2">
        <v>7663</v>
      </c>
      <c r="B2240" s="2" t="s">
        <v>2580</v>
      </c>
      <c r="C2240" s="2" t="s">
        <v>328</v>
      </c>
      <c r="D2240" s="483">
        <v>168943</v>
      </c>
      <c r="E2240" s="2" t="s">
        <v>324</v>
      </c>
    </row>
    <row r="2241" spans="1:5" x14ac:dyDescent="0.3">
      <c r="A2241" s="2">
        <v>7665</v>
      </c>
      <c r="B2241" s="2" t="s">
        <v>2581</v>
      </c>
      <c r="C2241" s="2" t="s">
        <v>32</v>
      </c>
      <c r="D2241" s="483">
        <v>105475</v>
      </c>
      <c r="E2241" s="2" t="s">
        <v>324</v>
      </c>
    </row>
    <row r="2242" spans="1:5" x14ac:dyDescent="0.3">
      <c r="A2242" s="2">
        <v>7671</v>
      </c>
      <c r="B2242" s="2" t="s">
        <v>2582</v>
      </c>
      <c r="C2242" s="2" t="s">
        <v>32</v>
      </c>
      <c r="D2242" s="483">
        <v>1994961</v>
      </c>
      <c r="E2242" s="2" t="s">
        <v>331</v>
      </c>
    </row>
    <row r="2243" spans="1:5" x14ac:dyDescent="0.3">
      <c r="A2243" s="2">
        <v>7675</v>
      </c>
      <c r="B2243" s="2" t="s">
        <v>2583</v>
      </c>
      <c r="C2243" s="2" t="s">
        <v>32</v>
      </c>
      <c r="D2243" s="483">
        <v>3000464</v>
      </c>
      <c r="E2243" s="2" t="s">
        <v>331</v>
      </c>
    </row>
    <row r="2244" spans="1:5" x14ac:dyDescent="0.3">
      <c r="A2244" s="2">
        <v>7676</v>
      </c>
      <c r="B2244" s="2" t="s">
        <v>2584</v>
      </c>
      <c r="C2244" s="2" t="s">
        <v>32</v>
      </c>
      <c r="D2244" s="483">
        <v>388052</v>
      </c>
      <c r="E2244" s="2" t="s">
        <v>331</v>
      </c>
    </row>
    <row r="2245" spans="1:5" x14ac:dyDescent="0.3">
      <c r="A2245" s="2">
        <v>7680</v>
      </c>
      <c r="B2245" s="2" t="s">
        <v>2585</v>
      </c>
      <c r="C2245" s="2" t="s">
        <v>30</v>
      </c>
      <c r="D2245" s="483">
        <v>939312</v>
      </c>
      <c r="E2245" s="2" t="s">
        <v>331</v>
      </c>
    </row>
    <row r="2246" spans="1:5" x14ac:dyDescent="0.3">
      <c r="A2246" s="2">
        <v>7681</v>
      </c>
      <c r="B2246" s="2" t="s">
        <v>2586</v>
      </c>
      <c r="C2246" s="2" t="s">
        <v>30</v>
      </c>
      <c r="D2246" s="483">
        <v>1048203</v>
      </c>
      <c r="E2246" s="2" t="s">
        <v>331</v>
      </c>
    </row>
    <row r="2247" spans="1:5" x14ac:dyDescent="0.3">
      <c r="A2247" s="2">
        <v>7687</v>
      </c>
      <c r="B2247" s="2" t="s">
        <v>2587</v>
      </c>
      <c r="C2247" s="2" t="s">
        <v>328</v>
      </c>
      <c r="D2247" s="483">
        <v>257267</v>
      </c>
      <c r="E2247" s="2" t="s">
        <v>324</v>
      </c>
    </row>
    <row r="2248" spans="1:5" x14ac:dyDescent="0.3">
      <c r="A2248" s="2">
        <v>7690</v>
      </c>
      <c r="B2248" s="2" t="s">
        <v>2588</v>
      </c>
      <c r="C2248" s="2" t="s">
        <v>32</v>
      </c>
      <c r="D2248" s="483">
        <v>4061519</v>
      </c>
      <c r="E2248" s="2" t="s">
        <v>324</v>
      </c>
    </row>
    <row r="2249" spans="1:5" x14ac:dyDescent="0.3">
      <c r="A2249" s="2">
        <v>7691</v>
      </c>
      <c r="B2249" s="2" t="s">
        <v>2589</v>
      </c>
      <c r="C2249" s="2" t="s">
        <v>32</v>
      </c>
      <c r="D2249" s="483">
        <v>12566</v>
      </c>
      <c r="E2249" s="2" t="s">
        <v>331</v>
      </c>
    </row>
    <row r="2250" spans="1:5" x14ac:dyDescent="0.3">
      <c r="A2250" s="2">
        <v>7713</v>
      </c>
      <c r="B2250" s="2" t="s">
        <v>2590</v>
      </c>
      <c r="C2250" s="2" t="s">
        <v>670</v>
      </c>
      <c r="D2250" s="483">
        <v>7882</v>
      </c>
      <c r="E2250" s="2" t="s">
        <v>331</v>
      </c>
    </row>
    <row r="2251" spans="1:5" x14ac:dyDescent="0.3">
      <c r="A2251" s="2">
        <v>7714</v>
      </c>
      <c r="B2251" s="2" t="s">
        <v>2591</v>
      </c>
      <c r="C2251" s="2" t="s">
        <v>670</v>
      </c>
      <c r="D2251" s="483">
        <v>7882</v>
      </c>
      <c r="E2251" s="2" t="s">
        <v>331</v>
      </c>
    </row>
    <row r="2252" spans="1:5" x14ac:dyDescent="0.3">
      <c r="A2252" s="2">
        <v>7715</v>
      </c>
      <c r="B2252" s="2" t="s">
        <v>2592</v>
      </c>
      <c r="C2252" s="2" t="s">
        <v>32</v>
      </c>
      <c r="D2252" s="483">
        <v>5540</v>
      </c>
      <c r="E2252" s="2" t="s">
        <v>324</v>
      </c>
    </row>
    <row r="2253" spans="1:5" x14ac:dyDescent="0.3">
      <c r="A2253" s="2">
        <v>7717</v>
      </c>
      <c r="B2253" s="2" t="s">
        <v>2593</v>
      </c>
      <c r="C2253" s="2" t="s">
        <v>30</v>
      </c>
      <c r="D2253" s="483">
        <v>1934464</v>
      </c>
      <c r="E2253" s="2" t="s">
        <v>331</v>
      </c>
    </row>
    <row r="2254" spans="1:5" x14ac:dyDescent="0.3">
      <c r="A2254" s="2">
        <v>7720</v>
      </c>
      <c r="B2254" s="2" t="s">
        <v>2594</v>
      </c>
      <c r="C2254" s="2" t="s">
        <v>30</v>
      </c>
      <c r="D2254" s="483">
        <v>12336</v>
      </c>
      <c r="E2254" s="2" t="s">
        <v>324</v>
      </c>
    </row>
    <row r="2255" spans="1:5" x14ac:dyDescent="0.3">
      <c r="A2255" s="2">
        <v>7723</v>
      </c>
      <c r="B2255" s="2" t="s">
        <v>2595</v>
      </c>
      <c r="C2255" s="2" t="s">
        <v>670</v>
      </c>
      <c r="D2255" s="483">
        <v>7485</v>
      </c>
      <c r="E2255" s="2" t="s">
        <v>331</v>
      </c>
    </row>
    <row r="2256" spans="1:5" x14ac:dyDescent="0.3">
      <c r="A2256" s="2">
        <v>7725</v>
      </c>
      <c r="B2256" s="2" t="s">
        <v>2596</v>
      </c>
      <c r="C2256" s="2" t="s">
        <v>328</v>
      </c>
      <c r="D2256" s="483">
        <v>1305950</v>
      </c>
      <c r="E2256" s="2" t="s">
        <v>331</v>
      </c>
    </row>
    <row r="2257" spans="1:5" x14ac:dyDescent="0.3">
      <c r="A2257" s="2">
        <v>7726</v>
      </c>
      <c r="B2257" s="2" t="s">
        <v>2597</v>
      </c>
      <c r="C2257" s="2" t="s">
        <v>32</v>
      </c>
      <c r="D2257" s="483">
        <v>2434202</v>
      </c>
      <c r="E2257" s="2" t="s">
        <v>331</v>
      </c>
    </row>
    <row r="2258" spans="1:5" x14ac:dyDescent="0.3">
      <c r="A2258" s="2">
        <v>7727</v>
      </c>
      <c r="B2258" s="2" t="s">
        <v>2598</v>
      </c>
      <c r="C2258" s="2" t="s">
        <v>32</v>
      </c>
      <c r="D2258" s="483">
        <v>3229538</v>
      </c>
      <c r="E2258" s="2" t="s">
        <v>331</v>
      </c>
    </row>
    <row r="2259" spans="1:5" x14ac:dyDescent="0.3">
      <c r="A2259" s="2">
        <v>7739</v>
      </c>
      <c r="B2259" s="2" t="s">
        <v>2599</v>
      </c>
      <c r="C2259" s="2" t="s">
        <v>32</v>
      </c>
      <c r="D2259" s="483">
        <v>145744</v>
      </c>
      <c r="E2259" s="2" t="s">
        <v>331</v>
      </c>
    </row>
    <row r="2260" spans="1:5" x14ac:dyDescent="0.3">
      <c r="A2260" s="2">
        <v>7740</v>
      </c>
      <c r="B2260" s="2" t="s">
        <v>2600</v>
      </c>
      <c r="C2260" s="2" t="s">
        <v>32</v>
      </c>
      <c r="D2260" s="483">
        <v>281034</v>
      </c>
      <c r="E2260" s="2" t="s">
        <v>331</v>
      </c>
    </row>
    <row r="2261" spans="1:5" x14ac:dyDescent="0.3">
      <c r="A2261" s="2">
        <v>7741</v>
      </c>
      <c r="B2261" s="2" t="s">
        <v>2601</v>
      </c>
      <c r="C2261" s="2" t="s">
        <v>32</v>
      </c>
      <c r="D2261" s="483">
        <v>1624740</v>
      </c>
      <c r="E2261" s="2" t="s">
        <v>331</v>
      </c>
    </row>
    <row r="2262" spans="1:5" x14ac:dyDescent="0.3">
      <c r="A2262" s="2">
        <v>7744</v>
      </c>
      <c r="B2262" s="2" t="s">
        <v>2602</v>
      </c>
      <c r="C2262" s="2" t="s">
        <v>32</v>
      </c>
      <c r="D2262" s="483">
        <v>155215</v>
      </c>
      <c r="E2262" s="2" t="s">
        <v>331</v>
      </c>
    </row>
    <row r="2263" spans="1:5" x14ac:dyDescent="0.3">
      <c r="A2263" s="2">
        <v>7745</v>
      </c>
      <c r="B2263" s="2" t="s">
        <v>2603</v>
      </c>
      <c r="C2263" s="2" t="s">
        <v>32</v>
      </c>
      <c r="D2263" s="483">
        <v>378275</v>
      </c>
      <c r="E2263" s="2" t="s">
        <v>324</v>
      </c>
    </row>
    <row r="2264" spans="1:5" x14ac:dyDescent="0.3">
      <c r="A2264" s="2">
        <v>7750</v>
      </c>
      <c r="B2264" s="2" t="s">
        <v>2604</v>
      </c>
      <c r="C2264" s="2" t="s">
        <v>328</v>
      </c>
      <c r="D2264" s="483">
        <v>845601</v>
      </c>
      <c r="E2264" s="2" t="s">
        <v>331</v>
      </c>
    </row>
    <row r="2265" spans="1:5" x14ac:dyDescent="0.3">
      <c r="A2265" s="2">
        <v>7751</v>
      </c>
      <c r="B2265" s="2" t="s">
        <v>2605</v>
      </c>
      <c r="C2265" s="2" t="s">
        <v>30</v>
      </c>
      <c r="D2265" s="483">
        <v>122468</v>
      </c>
      <c r="E2265" s="2" t="s">
        <v>324</v>
      </c>
    </row>
    <row r="2266" spans="1:5" x14ac:dyDescent="0.3">
      <c r="A2266" s="2">
        <v>7768</v>
      </c>
      <c r="B2266" s="2" t="s">
        <v>2606</v>
      </c>
      <c r="C2266" s="2" t="s">
        <v>30</v>
      </c>
      <c r="D2266" s="483">
        <v>869670</v>
      </c>
      <c r="E2266" s="2" t="s">
        <v>331</v>
      </c>
    </row>
    <row r="2267" spans="1:5" x14ac:dyDescent="0.3">
      <c r="A2267" s="2">
        <v>7771</v>
      </c>
      <c r="B2267" s="2" t="s">
        <v>2607</v>
      </c>
      <c r="C2267" s="2" t="s">
        <v>328</v>
      </c>
      <c r="D2267" s="483">
        <v>117509</v>
      </c>
      <c r="E2267" s="2" t="s">
        <v>331</v>
      </c>
    </row>
    <row r="2268" spans="1:5" x14ac:dyDescent="0.3">
      <c r="A2268" s="2">
        <v>7772</v>
      </c>
      <c r="B2268" s="2" t="s">
        <v>2608</v>
      </c>
      <c r="C2268" s="2" t="s">
        <v>307</v>
      </c>
      <c r="D2268" s="483">
        <v>30755</v>
      </c>
      <c r="E2268" s="2" t="s">
        <v>367</v>
      </c>
    </row>
    <row r="2269" spans="1:5" x14ac:dyDescent="0.3">
      <c r="A2269" s="2">
        <v>7773</v>
      </c>
      <c r="B2269" s="2" t="s">
        <v>2609</v>
      </c>
      <c r="C2269" s="2" t="s">
        <v>32</v>
      </c>
      <c r="D2269" s="483">
        <v>6426000</v>
      </c>
      <c r="E2269" s="2" t="s">
        <v>367</v>
      </c>
    </row>
    <row r="2270" spans="1:5" x14ac:dyDescent="0.3">
      <c r="A2270" s="2">
        <v>7774</v>
      </c>
      <c r="B2270" s="2" t="s">
        <v>2610</v>
      </c>
      <c r="C2270" s="2" t="s">
        <v>32</v>
      </c>
      <c r="D2270" s="483">
        <v>674690</v>
      </c>
      <c r="E2270" s="2" t="s">
        <v>367</v>
      </c>
    </row>
    <row r="2271" spans="1:5" x14ac:dyDescent="0.3">
      <c r="A2271" s="2">
        <v>7775</v>
      </c>
      <c r="B2271" s="2" t="s">
        <v>2611</v>
      </c>
      <c r="C2271" s="2" t="s">
        <v>21</v>
      </c>
      <c r="D2271" s="483">
        <v>30433</v>
      </c>
      <c r="E2271" s="2" t="s">
        <v>324</v>
      </c>
    </row>
    <row r="2272" spans="1:5" x14ac:dyDescent="0.3">
      <c r="A2272" s="2">
        <v>7776</v>
      </c>
      <c r="B2272" s="2" t="s">
        <v>2612</v>
      </c>
      <c r="C2272" s="2" t="s">
        <v>30</v>
      </c>
      <c r="D2272" s="483">
        <v>201987</v>
      </c>
      <c r="E2272" s="2" t="s">
        <v>331</v>
      </c>
    </row>
    <row r="2273" spans="1:5" x14ac:dyDescent="0.3">
      <c r="A2273" s="2">
        <v>7777</v>
      </c>
      <c r="B2273" s="2" t="s">
        <v>2613</v>
      </c>
      <c r="C2273" s="2" t="s">
        <v>328</v>
      </c>
      <c r="D2273" s="483">
        <v>52375</v>
      </c>
      <c r="E2273" s="2" t="s">
        <v>324</v>
      </c>
    </row>
    <row r="2274" spans="1:5" x14ac:dyDescent="0.3">
      <c r="A2274" s="2">
        <v>7778</v>
      </c>
      <c r="B2274" s="2" t="s">
        <v>2614</v>
      </c>
      <c r="C2274" s="2" t="s">
        <v>979</v>
      </c>
      <c r="D2274" s="483">
        <v>72802</v>
      </c>
      <c r="E2274" s="2" t="s">
        <v>324</v>
      </c>
    </row>
    <row r="2275" spans="1:5" x14ac:dyDescent="0.3">
      <c r="A2275" s="2">
        <v>7779</v>
      </c>
      <c r="B2275" s="2" t="s">
        <v>2615</v>
      </c>
      <c r="C2275" s="2" t="s">
        <v>692</v>
      </c>
      <c r="D2275" s="483">
        <v>214412</v>
      </c>
      <c r="E2275" s="2" t="s">
        <v>324</v>
      </c>
    </row>
    <row r="2276" spans="1:5" x14ac:dyDescent="0.3">
      <c r="A2276" s="2">
        <v>7780</v>
      </c>
      <c r="B2276" s="2" t="s">
        <v>2616</v>
      </c>
      <c r="C2276" s="2" t="s">
        <v>979</v>
      </c>
      <c r="D2276" s="483">
        <v>32599</v>
      </c>
      <c r="E2276" s="2" t="s">
        <v>324</v>
      </c>
    </row>
    <row r="2277" spans="1:5" x14ac:dyDescent="0.3">
      <c r="A2277" s="2">
        <v>7781</v>
      </c>
      <c r="B2277" s="2" t="s">
        <v>2617</v>
      </c>
      <c r="C2277" s="2" t="s">
        <v>692</v>
      </c>
      <c r="D2277" s="483">
        <v>367993</v>
      </c>
      <c r="E2277" s="2" t="s">
        <v>324</v>
      </c>
    </row>
    <row r="2278" spans="1:5" x14ac:dyDescent="0.3">
      <c r="A2278" s="2">
        <v>7782</v>
      </c>
      <c r="B2278" s="2" t="s">
        <v>2618</v>
      </c>
      <c r="C2278" s="2" t="s">
        <v>979</v>
      </c>
      <c r="D2278" s="483">
        <v>46000</v>
      </c>
      <c r="E2278" s="2" t="s">
        <v>324</v>
      </c>
    </row>
    <row r="2279" spans="1:5" x14ac:dyDescent="0.3">
      <c r="A2279" s="2">
        <v>7783</v>
      </c>
      <c r="B2279" s="2" t="s">
        <v>2619</v>
      </c>
      <c r="C2279" s="2" t="s">
        <v>692</v>
      </c>
      <c r="D2279" s="483">
        <v>1103979</v>
      </c>
      <c r="E2279" s="2" t="s">
        <v>324</v>
      </c>
    </row>
    <row r="2280" spans="1:5" x14ac:dyDescent="0.3">
      <c r="A2280" s="2">
        <v>7784</v>
      </c>
      <c r="B2280" s="2" t="s">
        <v>2620</v>
      </c>
      <c r="C2280" s="2" t="s">
        <v>692</v>
      </c>
      <c r="D2280" s="483">
        <v>260787</v>
      </c>
      <c r="E2280" s="2" t="s">
        <v>324</v>
      </c>
    </row>
    <row r="2281" spans="1:5" x14ac:dyDescent="0.3">
      <c r="A2281" s="2">
        <v>7785</v>
      </c>
      <c r="B2281" s="2" t="s">
        <v>2621</v>
      </c>
      <c r="C2281" s="2" t="s">
        <v>30</v>
      </c>
      <c r="D2281" s="483">
        <v>1238205</v>
      </c>
      <c r="E2281" s="2" t="s">
        <v>331</v>
      </c>
    </row>
    <row r="2282" spans="1:5" x14ac:dyDescent="0.3">
      <c r="A2282" s="2">
        <v>7786</v>
      </c>
      <c r="B2282" s="2" t="s">
        <v>2622</v>
      </c>
      <c r="C2282" s="2" t="s">
        <v>21</v>
      </c>
      <c r="D2282" s="483">
        <v>2587</v>
      </c>
      <c r="E2282" s="2" t="s">
        <v>324</v>
      </c>
    </row>
    <row r="2283" spans="1:5" x14ac:dyDescent="0.3">
      <c r="A2283" s="2">
        <v>7787</v>
      </c>
      <c r="B2283" s="2" t="s">
        <v>2623</v>
      </c>
      <c r="C2283" s="2" t="s">
        <v>670</v>
      </c>
      <c r="D2283" s="483">
        <v>10755</v>
      </c>
      <c r="E2283" s="2" t="s">
        <v>331</v>
      </c>
    </row>
    <row r="2284" spans="1:5" x14ac:dyDescent="0.3">
      <c r="A2284" s="2">
        <v>7788</v>
      </c>
      <c r="B2284" s="2" t="s">
        <v>2624</v>
      </c>
      <c r="C2284" s="2" t="s">
        <v>328</v>
      </c>
      <c r="D2284" s="483">
        <v>3082</v>
      </c>
      <c r="E2284" s="2" t="s">
        <v>331</v>
      </c>
    </row>
    <row r="2285" spans="1:5" x14ac:dyDescent="0.3">
      <c r="A2285" s="2">
        <v>7789</v>
      </c>
      <c r="B2285" s="2" t="s">
        <v>2625</v>
      </c>
      <c r="C2285" s="2" t="s">
        <v>328</v>
      </c>
      <c r="D2285" s="483">
        <v>7376</v>
      </c>
      <c r="E2285" s="2" t="s">
        <v>331</v>
      </c>
    </row>
    <row r="2286" spans="1:5" x14ac:dyDescent="0.3">
      <c r="A2286" s="2">
        <v>7790</v>
      </c>
      <c r="B2286" s="2" t="s">
        <v>2626</v>
      </c>
      <c r="C2286" s="2" t="s">
        <v>30</v>
      </c>
      <c r="D2286" s="483">
        <v>60983</v>
      </c>
      <c r="E2286" s="2" t="s">
        <v>324</v>
      </c>
    </row>
    <row r="2287" spans="1:5" x14ac:dyDescent="0.3">
      <c r="A2287" s="2">
        <v>7791</v>
      </c>
      <c r="B2287" s="2" t="s">
        <v>2627</v>
      </c>
      <c r="C2287" s="2" t="s">
        <v>30</v>
      </c>
      <c r="D2287" s="483">
        <v>202428</v>
      </c>
      <c r="E2287" s="2" t="s">
        <v>331</v>
      </c>
    </row>
    <row r="2288" spans="1:5" x14ac:dyDescent="0.3">
      <c r="A2288" s="2">
        <v>7792</v>
      </c>
      <c r="B2288" s="2" t="s">
        <v>2628</v>
      </c>
      <c r="C2288" s="2" t="s">
        <v>30</v>
      </c>
      <c r="D2288" s="483">
        <v>123396</v>
      </c>
      <c r="E2288" s="2" t="s">
        <v>324</v>
      </c>
    </row>
    <row r="2289" spans="1:5" x14ac:dyDescent="0.3">
      <c r="A2289" s="2">
        <v>7793</v>
      </c>
      <c r="B2289" s="2" t="s">
        <v>2629</v>
      </c>
      <c r="C2289" s="2" t="s">
        <v>21</v>
      </c>
      <c r="D2289" s="483">
        <v>3215</v>
      </c>
      <c r="E2289" s="2" t="s">
        <v>331</v>
      </c>
    </row>
    <row r="2290" spans="1:5" x14ac:dyDescent="0.3">
      <c r="A2290" s="2">
        <v>7794</v>
      </c>
      <c r="B2290" s="2" t="s">
        <v>2630</v>
      </c>
      <c r="C2290" s="2" t="s">
        <v>30</v>
      </c>
      <c r="D2290" s="483">
        <v>1269269</v>
      </c>
      <c r="E2290" s="2" t="s">
        <v>331</v>
      </c>
    </row>
    <row r="2291" spans="1:5" x14ac:dyDescent="0.3">
      <c r="A2291" s="2">
        <v>7795</v>
      </c>
      <c r="B2291" s="2" t="s">
        <v>2631</v>
      </c>
      <c r="C2291" s="2" t="s">
        <v>30</v>
      </c>
      <c r="D2291" s="483">
        <v>1515775</v>
      </c>
      <c r="E2291" s="2" t="s">
        <v>331</v>
      </c>
    </row>
    <row r="2292" spans="1:5" x14ac:dyDescent="0.3">
      <c r="A2292" s="2">
        <v>7796</v>
      </c>
      <c r="B2292" s="2" t="s">
        <v>2632</v>
      </c>
      <c r="C2292" s="2" t="s">
        <v>30</v>
      </c>
      <c r="D2292" s="483">
        <v>5939</v>
      </c>
      <c r="E2292" s="2" t="s">
        <v>331</v>
      </c>
    </row>
    <row r="2293" spans="1:5" x14ac:dyDescent="0.3">
      <c r="A2293" s="2">
        <v>7797</v>
      </c>
      <c r="B2293" s="2" t="s">
        <v>2633</v>
      </c>
      <c r="C2293" s="2" t="s">
        <v>30</v>
      </c>
      <c r="D2293" s="483">
        <v>210841</v>
      </c>
      <c r="E2293" s="2" t="s">
        <v>331</v>
      </c>
    </row>
    <row r="2294" spans="1:5" x14ac:dyDescent="0.3">
      <c r="A2294" s="2">
        <v>7798</v>
      </c>
      <c r="B2294" s="2" t="s">
        <v>2634</v>
      </c>
      <c r="C2294" s="2" t="s">
        <v>30</v>
      </c>
      <c r="D2294" s="483">
        <v>44380</v>
      </c>
      <c r="E2294" s="2" t="s">
        <v>324</v>
      </c>
    </row>
    <row r="2295" spans="1:5" x14ac:dyDescent="0.3">
      <c r="A2295" s="2">
        <v>7799</v>
      </c>
      <c r="B2295" s="2" t="s">
        <v>2635</v>
      </c>
      <c r="C2295" s="2" t="s">
        <v>21</v>
      </c>
      <c r="D2295" s="483">
        <v>8864</v>
      </c>
      <c r="E2295" s="2" t="s">
        <v>324</v>
      </c>
    </row>
    <row r="2296" spans="1:5" x14ac:dyDescent="0.3">
      <c r="A2296" s="2">
        <v>7800</v>
      </c>
      <c r="B2296" s="2" t="s">
        <v>2636</v>
      </c>
      <c r="C2296" s="2" t="s">
        <v>30</v>
      </c>
      <c r="D2296" s="483">
        <v>1381096</v>
      </c>
      <c r="E2296" s="2" t="s">
        <v>331</v>
      </c>
    </row>
    <row r="2297" spans="1:5" x14ac:dyDescent="0.3">
      <c r="A2297" s="2">
        <v>7801</v>
      </c>
      <c r="B2297" s="2" t="s">
        <v>2637</v>
      </c>
      <c r="C2297" s="2" t="s">
        <v>30</v>
      </c>
      <c r="D2297" s="483">
        <v>65785</v>
      </c>
      <c r="E2297" s="2" t="s">
        <v>324</v>
      </c>
    </row>
    <row r="2298" spans="1:5" x14ac:dyDescent="0.3">
      <c r="A2298" s="2">
        <v>7802</v>
      </c>
      <c r="B2298" s="2" t="s">
        <v>2638</v>
      </c>
      <c r="C2298" s="2" t="s">
        <v>21</v>
      </c>
      <c r="D2298" s="483">
        <v>228016</v>
      </c>
      <c r="E2298" s="2" t="s">
        <v>331</v>
      </c>
    </row>
    <row r="2299" spans="1:5" x14ac:dyDescent="0.3">
      <c r="A2299" s="2">
        <v>7803</v>
      </c>
      <c r="B2299" s="2" t="s">
        <v>2639</v>
      </c>
      <c r="C2299" s="2" t="s">
        <v>21</v>
      </c>
      <c r="D2299" s="483">
        <v>977</v>
      </c>
      <c r="E2299" s="2" t="s">
        <v>324</v>
      </c>
    </row>
    <row r="2300" spans="1:5" x14ac:dyDescent="0.3">
      <c r="A2300" s="2">
        <v>7804</v>
      </c>
      <c r="B2300" s="2" t="s">
        <v>2640</v>
      </c>
      <c r="C2300" s="2" t="s">
        <v>21</v>
      </c>
      <c r="D2300" s="483">
        <v>316656</v>
      </c>
      <c r="E2300" s="2" t="s">
        <v>331</v>
      </c>
    </row>
    <row r="2301" spans="1:5" x14ac:dyDescent="0.3">
      <c r="A2301" s="2">
        <v>7805</v>
      </c>
      <c r="B2301" s="2" t="s">
        <v>2641</v>
      </c>
      <c r="C2301" s="2" t="s">
        <v>670</v>
      </c>
      <c r="D2301" s="483">
        <v>5760</v>
      </c>
      <c r="E2301" s="2" t="s">
        <v>331</v>
      </c>
    </row>
    <row r="2302" spans="1:5" x14ac:dyDescent="0.3">
      <c r="A2302" s="2">
        <v>7806</v>
      </c>
      <c r="B2302" s="2" t="s">
        <v>2642</v>
      </c>
      <c r="C2302" s="2" t="s">
        <v>30</v>
      </c>
      <c r="D2302" s="483">
        <v>1272948</v>
      </c>
      <c r="E2302" s="2" t="s">
        <v>331</v>
      </c>
    </row>
    <row r="2303" spans="1:5" x14ac:dyDescent="0.3">
      <c r="A2303" s="2">
        <v>7807</v>
      </c>
      <c r="B2303" s="2" t="s">
        <v>2643</v>
      </c>
      <c r="C2303" s="2" t="s">
        <v>30</v>
      </c>
      <c r="D2303" s="483">
        <v>192362</v>
      </c>
      <c r="E2303" s="2" t="s">
        <v>331</v>
      </c>
    </row>
    <row r="2304" spans="1:5" x14ac:dyDescent="0.3">
      <c r="A2304" s="2">
        <v>7809</v>
      </c>
      <c r="B2304" s="2" t="s">
        <v>2644</v>
      </c>
      <c r="C2304" s="2" t="s">
        <v>328</v>
      </c>
      <c r="D2304" s="483">
        <v>309458</v>
      </c>
      <c r="E2304" s="2" t="s">
        <v>367</v>
      </c>
    </row>
    <row r="2305" spans="1:5" x14ac:dyDescent="0.3">
      <c r="A2305" s="2">
        <v>7818</v>
      </c>
      <c r="B2305" s="2" t="s">
        <v>2645</v>
      </c>
      <c r="C2305" s="2" t="s">
        <v>307</v>
      </c>
      <c r="D2305" s="483">
        <v>18140</v>
      </c>
      <c r="E2305" s="2" t="s">
        <v>324</v>
      </c>
    </row>
    <row r="2306" spans="1:5" x14ac:dyDescent="0.3">
      <c r="A2306" s="2">
        <v>7819</v>
      </c>
      <c r="B2306" s="2" t="s">
        <v>2646</v>
      </c>
      <c r="C2306" s="2" t="s">
        <v>307</v>
      </c>
      <c r="D2306" s="483">
        <v>5794</v>
      </c>
      <c r="E2306" s="2" t="s">
        <v>367</v>
      </c>
    </row>
    <row r="2307" spans="1:5" x14ac:dyDescent="0.3">
      <c r="A2307" s="2">
        <v>7820</v>
      </c>
      <c r="B2307" s="2" t="s">
        <v>2647</v>
      </c>
      <c r="C2307" s="2" t="s">
        <v>32</v>
      </c>
      <c r="D2307" s="483">
        <v>30342</v>
      </c>
      <c r="E2307" s="2" t="s">
        <v>331</v>
      </c>
    </row>
    <row r="2308" spans="1:5" x14ac:dyDescent="0.3">
      <c r="A2308" s="2">
        <v>7821</v>
      </c>
      <c r="B2308" s="2" t="s">
        <v>2648</v>
      </c>
      <c r="C2308" s="2" t="s">
        <v>328</v>
      </c>
      <c r="D2308" s="483">
        <v>11641</v>
      </c>
      <c r="E2308" s="2" t="s">
        <v>331</v>
      </c>
    </row>
    <row r="2309" spans="1:5" x14ac:dyDescent="0.3">
      <c r="A2309" s="2">
        <v>7822</v>
      </c>
      <c r="B2309" s="2" t="s">
        <v>2649</v>
      </c>
      <c r="C2309" s="2" t="s">
        <v>328</v>
      </c>
      <c r="D2309" s="483">
        <v>11970</v>
      </c>
      <c r="E2309" s="2" t="s">
        <v>331</v>
      </c>
    </row>
    <row r="2310" spans="1:5" x14ac:dyDescent="0.3">
      <c r="A2310" s="2">
        <v>7823</v>
      </c>
      <c r="B2310" s="2" t="s">
        <v>2650</v>
      </c>
      <c r="C2310" s="2" t="s">
        <v>328</v>
      </c>
      <c r="D2310" s="483">
        <v>12998</v>
      </c>
      <c r="E2310" s="2" t="s">
        <v>331</v>
      </c>
    </row>
    <row r="2311" spans="1:5" x14ac:dyDescent="0.3">
      <c r="A2311" s="2">
        <v>7824</v>
      </c>
      <c r="B2311" s="2" t="s">
        <v>2651</v>
      </c>
      <c r="C2311" s="2" t="s">
        <v>32</v>
      </c>
      <c r="D2311" s="483">
        <v>95097</v>
      </c>
      <c r="E2311" s="2" t="s">
        <v>331</v>
      </c>
    </row>
    <row r="2312" spans="1:5" x14ac:dyDescent="0.3">
      <c r="A2312" s="2">
        <v>7826</v>
      </c>
      <c r="B2312" s="2" t="s">
        <v>2652</v>
      </c>
      <c r="C2312" s="2" t="s">
        <v>21</v>
      </c>
      <c r="D2312" s="483">
        <v>54163</v>
      </c>
      <c r="E2312" s="2" t="s">
        <v>331</v>
      </c>
    </row>
    <row r="2313" spans="1:5" x14ac:dyDescent="0.3">
      <c r="A2313" s="2">
        <v>7828</v>
      </c>
      <c r="B2313" s="2" t="s">
        <v>2653</v>
      </c>
      <c r="C2313" s="2" t="s">
        <v>328</v>
      </c>
      <c r="D2313" s="483">
        <v>33320</v>
      </c>
      <c r="E2313" s="2" t="s">
        <v>324</v>
      </c>
    </row>
    <row r="2314" spans="1:5" x14ac:dyDescent="0.3">
      <c r="A2314" s="2">
        <v>7829</v>
      </c>
      <c r="B2314" s="2" t="s">
        <v>2654</v>
      </c>
      <c r="C2314" s="2" t="s">
        <v>328</v>
      </c>
      <c r="D2314" s="483">
        <v>16661</v>
      </c>
      <c r="E2314" s="2" t="s">
        <v>324</v>
      </c>
    </row>
    <row r="2315" spans="1:5" x14ac:dyDescent="0.3">
      <c r="A2315" s="2">
        <v>7857</v>
      </c>
      <c r="B2315" s="2" t="s">
        <v>2655</v>
      </c>
      <c r="C2315" s="2" t="s">
        <v>32</v>
      </c>
      <c r="D2315" s="483">
        <v>7303690</v>
      </c>
      <c r="E2315" s="2" t="s">
        <v>331</v>
      </c>
    </row>
    <row r="2316" spans="1:5" x14ac:dyDescent="0.3">
      <c r="A2316" s="2">
        <v>7859</v>
      </c>
      <c r="B2316" s="2" t="s">
        <v>2656</v>
      </c>
      <c r="C2316" s="2" t="s">
        <v>32</v>
      </c>
      <c r="D2316" s="483">
        <v>4222489</v>
      </c>
      <c r="E2316" s="2" t="s">
        <v>331</v>
      </c>
    </row>
    <row r="2317" spans="1:5" x14ac:dyDescent="0.3">
      <c r="A2317" s="2">
        <v>7860</v>
      </c>
      <c r="B2317" s="2" t="s">
        <v>2657</v>
      </c>
      <c r="C2317" s="2" t="s">
        <v>32</v>
      </c>
      <c r="D2317" s="483">
        <v>4246482</v>
      </c>
      <c r="E2317" s="2" t="s">
        <v>331</v>
      </c>
    </row>
    <row r="2318" spans="1:5" x14ac:dyDescent="0.3">
      <c r="A2318" s="2">
        <v>7861</v>
      </c>
      <c r="B2318" s="2" t="s">
        <v>2658</v>
      </c>
      <c r="C2318" s="2" t="s">
        <v>328</v>
      </c>
      <c r="D2318" s="483">
        <v>61055</v>
      </c>
      <c r="E2318" s="2" t="s">
        <v>324</v>
      </c>
    </row>
    <row r="2319" spans="1:5" x14ac:dyDescent="0.3">
      <c r="A2319" s="2">
        <v>7862</v>
      </c>
      <c r="B2319" s="2" t="s">
        <v>2659</v>
      </c>
      <c r="C2319" s="2" t="s">
        <v>328</v>
      </c>
      <c r="D2319" s="483">
        <v>7319</v>
      </c>
      <c r="E2319" s="2" t="s">
        <v>324</v>
      </c>
    </row>
    <row r="2320" spans="1:5" x14ac:dyDescent="0.3">
      <c r="A2320" s="2">
        <v>7863</v>
      </c>
      <c r="B2320" s="2" t="s">
        <v>2660</v>
      </c>
      <c r="C2320" s="2" t="s">
        <v>21</v>
      </c>
      <c r="D2320" s="483">
        <v>59658</v>
      </c>
      <c r="E2320" s="2" t="s">
        <v>324</v>
      </c>
    </row>
    <row r="2321" spans="1:5" x14ac:dyDescent="0.3">
      <c r="A2321" s="2">
        <v>7864</v>
      </c>
      <c r="B2321" s="2" t="s">
        <v>2661</v>
      </c>
      <c r="C2321" s="2" t="s">
        <v>21</v>
      </c>
      <c r="D2321" s="483">
        <v>8632</v>
      </c>
      <c r="E2321" s="2" t="s">
        <v>331</v>
      </c>
    </row>
    <row r="2322" spans="1:5" x14ac:dyDescent="0.3">
      <c r="A2322" s="2">
        <v>7865</v>
      </c>
      <c r="B2322" s="2" t="s">
        <v>2662</v>
      </c>
      <c r="C2322" s="2" t="s">
        <v>32</v>
      </c>
      <c r="D2322" s="483">
        <v>217413</v>
      </c>
      <c r="E2322" s="2" t="s">
        <v>331</v>
      </c>
    </row>
    <row r="2323" spans="1:5" x14ac:dyDescent="0.3">
      <c r="A2323" s="2">
        <v>7869</v>
      </c>
      <c r="B2323" s="2" t="s">
        <v>2663</v>
      </c>
      <c r="C2323" s="2" t="s">
        <v>30</v>
      </c>
      <c r="D2323" s="483">
        <v>79633</v>
      </c>
      <c r="E2323" s="2" t="s">
        <v>331</v>
      </c>
    </row>
    <row r="2324" spans="1:5" x14ac:dyDescent="0.3">
      <c r="A2324" s="2">
        <v>7870</v>
      </c>
      <c r="B2324" s="2" t="s">
        <v>2664</v>
      </c>
      <c r="C2324" s="2" t="s">
        <v>32</v>
      </c>
      <c r="D2324" s="483">
        <v>1346720</v>
      </c>
      <c r="E2324" s="2" t="s">
        <v>331</v>
      </c>
    </row>
    <row r="2325" spans="1:5" x14ac:dyDescent="0.3">
      <c r="A2325" s="2">
        <v>7871</v>
      </c>
      <c r="B2325" s="2" t="s">
        <v>2665</v>
      </c>
      <c r="C2325" s="2" t="s">
        <v>328</v>
      </c>
      <c r="D2325" s="483">
        <v>37958</v>
      </c>
      <c r="E2325" s="2" t="s">
        <v>324</v>
      </c>
    </row>
    <row r="2326" spans="1:5" x14ac:dyDescent="0.3">
      <c r="A2326" s="2">
        <v>7873</v>
      </c>
      <c r="B2326" s="2" t="s">
        <v>2666</v>
      </c>
      <c r="C2326" s="2" t="s">
        <v>670</v>
      </c>
      <c r="D2326" s="483">
        <v>1314</v>
      </c>
      <c r="E2326" s="2" t="s">
        <v>1416</v>
      </c>
    </row>
    <row r="2327" spans="1:5" x14ac:dyDescent="0.3">
      <c r="A2327" s="2">
        <v>7875</v>
      </c>
      <c r="B2327" s="2" t="s">
        <v>2667</v>
      </c>
      <c r="C2327" s="2" t="s">
        <v>32</v>
      </c>
      <c r="D2327" s="483">
        <v>41739</v>
      </c>
      <c r="E2327" s="2" t="s">
        <v>331</v>
      </c>
    </row>
    <row r="2328" spans="1:5" x14ac:dyDescent="0.3">
      <c r="A2328" s="2">
        <v>7877</v>
      </c>
      <c r="B2328" s="2" t="s">
        <v>2668</v>
      </c>
      <c r="C2328" s="2" t="s">
        <v>328</v>
      </c>
      <c r="D2328" s="483">
        <v>6063</v>
      </c>
      <c r="E2328" s="2" t="s">
        <v>331</v>
      </c>
    </row>
    <row r="2329" spans="1:5" x14ac:dyDescent="0.3">
      <c r="A2329" s="2">
        <v>7878</v>
      </c>
      <c r="B2329" s="2" t="s">
        <v>2669</v>
      </c>
      <c r="C2329" s="2" t="s">
        <v>21</v>
      </c>
      <c r="D2329" s="483">
        <v>74987</v>
      </c>
      <c r="E2329" s="2" t="s">
        <v>331</v>
      </c>
    </row>
    <row r="2330" spans="1:5" x14ac:dyDescent="0.3">
      <c r="A2330" s="2">
        <v>7879</v>
      </c>
      <c r="B2330" s="2" t="s">
        <v>2670</v>
      </c>
      <c r="C2330" s="2" t="s">
        <v>32</v>
      </c>
      <c r="D2330" s="483">
        <v>266659</v>
      </c>
      <c r="E2330" s="2" t="s">
        <v>331</v>
      </c>
    </row>
    <row r="2331" spans="1:5" x14ac:dyDescent="0.3">
      <c r="A2331" s="2">
        <v>7880</v>
      </c>
      <c r="B2331" s="2" t="s">
        <v>2671</v>
      </c>
      <c r="C2331" s="2" t="s">
        <v>32</v>
      </c>
      <c r="D2331" s="483">
        <v>42413</v>
      </c>
      <c r="E2331" s="2" t="s">
        <v>331</v>
      </c>
    </row>
    <row r="2332" spans="1:5" x14ac:dyDescent="0.3">
      <c r="A2332" s="2">
        <v>7881</v>
      </c>
      <c r="B2332" s="2" t="s">
        <v>2672</v>
      </c>
      <c r="C2332" s="2" t="s">
        <v>32</v>
      </c>
      <c r="D2332" s="483">
        <v>6365</v>
      </c>
      <c r="E2332" s="2" t="s">
        <v>367</v>
      </c>
    </row>
    <row r="2333" spans="1:5" x14ac:dyDescent="0.3">
      <c r="A2333" s="2">
        <v>7883</v>
      </c>
      <c r="B2333" s="2" t="s">
        <v>2673</v>
      </c>
      <c r="C2333" s="2" t="s">
        <v>2125</v>
      </c>
      <c r="D2333" s="483">
        <v>2269</v>
      </c>
      <c r="E2333" s="2" t="s">
        <v>324</v>
      </c>
    </row>
    <row r="2334" spans="1:5" x14ac:dyDescent="0.3">
      <c r="A2334" s="2">
        <v>7884</v>
      </c>
      <c r="B2334" s="2" t="s">
        <v>2674</v>
      </c>
      <c r="C2334" s="2" t="s">
        <v>2125</v>
      </c>
      <c r="D2334" s="483">
        <v>2134</v>
      </c>
      <c r="E2334" s="2" t="s">
        <v>324</v>
      </c>
    </row>
    <row r="2335" spans="1:5" x14ac:dyDescent="0.3">
      <c r="A2335" s="2">
        <v>7885</v>
      </c>
      <c r="B2335" s="2" t="s">
        <v>2675</v>
      </c>
      <c r="C2335" s="2" t="s">
        <v>2125</v>
      </c>
      <c r="D2335" s="483">
        <v>2427</v>
      </c>
      <c r="E2335" s="2" t="s">
        <v>324</v>
      </c>
    </row>
    <row r="2336" spans="1:5" x14ac:dyDescent="0.3">
      <c r="A2336" s="2">
        <v>7886</v>
      </c>
      <c r="B2336" s="2" t="s">
        <v>2676</v>
      </c>
      <c r="C2336" s="2" t="s">
        <v>2125</v>
      </c>
      <c r="D2336" s="483">
        <v>1712</v>
      </c>
      <c r="E2336" s="2" t="s">
        <v>324</v>
      </c>
    </row>
    <row r="2337" spans="1:5" x14ac:dyDescent="0.3">
      <c r="A2337" s="2">
        <v>7887</v>
      </c>
      <c r="B2337" s="2" t="s">
        <v>2677</v>
      </c>
      <c r="C2337" s="2" t="s">
        <v>2125</v>
      </c>
      <c r="D2337" s="483">
        <v>1902</v>
      </c>
      <c r="E2337" s="2" t="s">
        <v>324</v>
      </c>
    </row>
    <row r="2338" spans="1:5" x14ac:dyDescent="0.3">
      <c r="A2338" s="2">
        <v>7888</v>
      </c>
      <c r="B2338" s="2" t="s">
        <v>2678</v>
      </c>
      <c r="C2338" s="2" t="s">
        <v>32</v>
      </c>
      <c r="D2338" s="483">
        <v>257138</v>
      </c>
      <c r="E2338" s="2" t="s">
        <v>331</v>
      </c>
    </row>
    <row r="2339" spans="1:5" x14ac:dyDescent="0.3">
      <c r="A2339" s="2">
        <v>7889</v>
      </c>
      <c r="B2339" s="2" t="s">
        <v>2679</v>
      </c>
      <c r="C2339" s="2" t="s">
        <v>2125</v>
      </c>
      <c r="D2339" s="483">
        <v>2269</v>
      </c>
      <c r="E2339" s="2" t="s">
        <v>324</v>
      </c>
    </row>
    <row r="2340" spans="1:5" x14ac:dyDescent="0.3">
      <c r="A2340" s="2">
        <v>7892</v>
      </c>
      <c r="B2340" s="2" t="s">
        <v>2680</v>
      </c>
      <c r="C2340" s="2" t="s">
        <v>328</v>
      </c>
      <c r="D2340" s="483">
        <v>106479</v>
      </c>
      <c r="E2340" s="2" t="s">
        <v>331</v>
      </c>
    </row>
    <row r="2341" spans="1:5" x14ac:dyDescent="0.3">
      <c r="A2341" s="2">
        <v>7893</v>
      </c>
      <c r="B2341" s="2" t="s">
        <v>2681</v>
      </c>
      <c r="C2341" s="2" t="s">
        <v>32</v>
      </c>
      <c r="D2341" s="483">
        <v>268852</v>
      </c>
      <c r="E2341" s="2" t="s">
        <v>331</v>
      </c>
    </row>
    <row r="2342" spans="1:5" x14ac:dyDescent="0.3">
      <c r="A2342" s="2">
        <v>7894</v>
      </c>
      <c r="B2342" s="2" t="s">
        <v>2682</v>
      </c>
      <c r="C2342" s="2" t="s">
        <v>32</v>
      </c>
      <c r="D2342" s="483">
        <v>799680</v>
      </c>
      <c r="E2342" s="2" t="s">
        <v>367</v>
      </c>
    </row>
    <row r="2343" spans="1:5" x14ac:dyDescent="0.3">
      <c r="A2343" s="2">
        <v>7895</v>
      </c>
      <c r="B2343" s="2" t="s">
        <v>2683</v>
      </c>
      <c r="C2343" s="2" t="s">
        <v>32</v>
      </c>
      <c r="D2343" s="483">
        <v>553587</v>
      </c>
      <c r="E2343" s="2" t="s">
        <v>331</v>
      </c>
    </row>
    <row r="2344" spans="1:5" x14ac:dyDescent="0.3">
      <c r="A2344" s="2">
        <v>7896</v>
      </c>
      <c r="B2344" s="2" t="s">
        <v>2684</v>
      </c>
      <c r="C2344" s="2" t="s">
        <v>32</v>
      </c>
      <c r="D2344" s="483">
        <v>972</v>
      </c>
      <c r="E2344" s="2" t="s">
        <v>324</v>
      </c>
    </row>
    <row r="2345" spans="1:5" x14ac:dyDescent="0.3">
      <c r="A2345" s="2">
        <v>7898</v>
      </c>
      <c r="B2345" s="2" t="s">
        <v>2685</v>
      </c>
      <c r="C2345" s="2" t="s">
        <v>30</v>
      </c>
      <c r="D2345" s="483">
        <v>970435</v>
      </c>
      <c r="E2345" s="2" t="s">
        <v>331</v>
      </c>
    </row>
    <row r="2346" spans="1:5" x14ac:dyDescent="0.3">
      <c r="A2346" s="2">
        <v>7899</v>
      </c>
      <c r="B2346" s="2" t="s">
        <v>2686</v>
      </c>
      <c r="C2346" s="2" t="s">
        <v>30</v>
      </c>
      <c r="D2346" s="483">
        <v>1041131</v>
      </c>
      <c r="E2346" s="2" t="s">
        <v>331</v>
      </c>
    </row>
    <row r="2347" spans="1:5" x14ac:dyDescent="0.3">
      <c r="A2347" s="2">
        <v>7900</v>
      </c>
      <c r="B2347" s="2" t="s">
        <v>2687</v>
      </c>
      <c r="C2347" s="2" t="s">
        <v>21</v>
      </c>
      <c r="D2347" s="483">
        <v>73638</v>
      </c>
      <c r="E2347" s="2" t="s">
        <v>331</v>
      </c>
    </row>
    <row r="2348" spans="1:5" x14ac:dyDescent="0.3">
      <c r="A2348" s="2">
        <v>7901</v>
      </c>
      <c r="B2348" s="2" t="s">
        <v>2688</v>
      </c>
      <c r="C2348" s="2" t="s">
        <v>979</v>
      </c>
      <c r="D2348" s="483">
        <v>10575</v>
      </c>
      <c r="E2348" s="2" t="s">
        <v>324</v>
      </c>
    </row>
    <row r="2349" spans="1:5" x14ac:dyDescent="0.3">
      <c r="A2349" s="2">
        <v>7902</v>
      </c>
      <c r="B2349" s="2" t="s">
        <v>2689</v>
      </c>
      <c r="C2349" s="2" t="s">
        <v>328</v>
      </c>
      <c r="D2349" s="483">
        <v>74054</v>
      </c>
      <c r="E2349" s="2" t="s">
        <v>324</v>
      </c>
    </row>
    <row r="2350" spans="1:5" x14ac:dyDescent="0.3">
      <c r="A2350" s="2">
        <v>7903</v>
      </c>
      <c r="B2350" s="2" t="s">
        <v>2690</v>
      </c>
      <c r="C2350" s="2" t="s">
        <v>32</v>
      </c>
      <c r="D2350" s="483">
        <v>65450</v>
      </c>
      <c r="E2350" s="2" t="s">
        <v>367</v>
      </c>
    </row>
    <row r="2351" spans="1:5" x14ac:dyDescent="0.3">
      <c r="A2351" s="2">
        <v>7904</v>
      </c>
      <c r="B2351" s="2" t="s">
        <v>2691</v>
      </c>
      <c r="C2351" s="2" t="s">
        <v>307</v>
      </c>
      <c r="D2351" s="483">
        <v>4818</v>
      </c>
      <c r="E2351" s="2" t="s">
        <v>367</v>
      </c>
    </row>
    <row r="2352" spans="1:5" x14ac:dyDescent="0.3">
      <c r="A2352" s="2">
        <v>7905</v>
      </c>
      <c r="B2352" s="2" t="s">
        <v>2692</v>
      </c>
      <c r="C2352" s="2" t="s">
        <v>30</v>
      </c>
      <c r="D2352" s="483">
        <v>67162</v>
      </c>
      <c r="E2352" s="2" t="s">
        <v>331</v>
      </c>
    </row>
    <row r="2353" spans="1:5" x14ac:dyDescent="0.3">
      <c r="A2353" s="2">
        <v>7944</v>
      </c>
      <c r="B2353" s="2" t="s">
        <v>2693</v>
      </c>
      <c r="C2353" s="2" t="s">
        <v>30</v>
      </c>
      <c r="D2353" s="483">
        <v>4917</v>
      </c>
      <c r="E2353" s="2" t="s">
        <v>331</v>
      </c>
    </row>
    <row r="2354" spans="1:5" x14ac:dyDescent="0.3">
      <c r="A2354" s="2">
        <v>7945</v>
      </c>
      <c r="B2354" s="2" t="s">
        <v>2694</v>
      </c>
      <c r="C2354" s="2" t="s">
        <v>30</v>
      </c>
      <c r="D2354" s="483">
        <v>4143</v>
      </c>
      <c r="E2354" s="2" t="s">
        <v>331</v>
      </c>
    </row>
    <row r="2355" spans="1:5" x14ac:dyDescent="0.3">
      <c r="A2355" s="2">
        <v>7946</v>
      </c>
      <c r="B2355" s="2" t="s">
        <v>2695</v>
      </c>
      <c r="C2355" s="2" t="s">
        <v>30</v>
      </c>
      <c r="D2355" s="483">
        <v>7113</v>
      </c>
      <c r="E2355" s="2" t="s">
        <v>331</v>
      </c>
    </row>
    <row r="2356" spans="1:5" x14ac:dyDescent="0.3">
      <c r="A2356" s="2">
        <v>7947</v>
      </c>
      <c r="B2356" s="2" t="s">
        <v>2696</v>
      </c>
      <c r="C2356" s="2" t="s">
        <v>328</v>
      </c>
      <c r="D2356" s="483">
        <v>81394</v>
      </c>
      <c r="E2356" s="2" t="s">
        <v>331</v>
      </c>
    </row>
    <row r="2357" spans="1:5" x14ac:dyDescent="0.3">
      <c r="A2357" s="2">
        <v>7948</v>
      </c>
      <c r="B2357" s="2" t="s">
        <v>2697</v>
      </c>
      <c r="C2357" s="2" t="s">
        <v>328</v>
      </c>
      <c r="D2357" s="483">
        <v>94850</v>
      </c>
      <c r="E2357" s="2" t="s">
        <v>331</v>
      </c>
    </row>
    <row r="2358" spans="1:5" x14ac:dyDescent="0.3">
      <c r="A2358" s="2">
        <v>7949</v>
      </c>
      <c r="B2358" s="2" t="s">
        <v>2698</v>
      </c>
      <c r="C2358" s="2" t="s">
        <v>328</v>
      </c>
      <c r="D2358" s="483">
        <v>99433</v>
      </c>
      <c r="E2358" s="2" t="s">
        <v>331</v>
      </c>
    </row>
    <row r="2359" spans="1:5" x14ac:dyDescent="0.3">
      <c r="A2359" s="2">
        <v>7950</v>
      </c>
      <c r="B2359" s="2" t="s">
        <v>2699</v>
      </c>
      <c r="C2359" s="2" t="s">
        <v>328</v>
      </c>
      <c r="D2359" s="483">
        <v>124212</v>
      </c>
      <c r="E2359" s="2" t="s">
        <v>331</v>
      </c>
    </row>
    <row r="2360" spans="1:5" x14ac:dyDescent="0.3">
      <c r="A2360" s="2">
        <v>7951</v>
      </c>
      <c r="B2360" s="2" t="s">
        <v>2700</v>
      </c>
      <c r="C2360" s="2" t="s">
        <v>328</v>
      </c>
      <c r="D2360" s="483">
        <v>165869</v>
      </c>
      <c r="E2360" s="2" t="s">
        <v>331</v>
      </c>
    </row>
    <row r="2361" spans="1:5" x14ac:dyDescent="0.3">
      <c r="A2361" s="2">
        <v>7953</v>
      </c>
      <c r="B2361" s="2" t="s">
        <v>2701</v>
      </c>
      <c r="C2361" s="2" t="s">
        <v>328</v>
      </c>
      <c r="D2361" s="483">
        <v>1642168</v>
      </c>
      <c r="E2361" s="2" t="s">
        <v>331</v>
      </c>
    </row>
    <row r="2362" spans="1:5" x14ac:dyDescent="0.3">
      <c r="A2362" s="2">
        <v>7954</v>
      </c>
      <c r="B2362" s="2" t="s">
        <v>2702</v>
      </c>
      <c r="C2362" s="2" t="s">
        <v>32</v>
      </c>
      <c r="D2362" s="483">
        <v>847110</v>
      </c>
      <c r="E2362" s="2" t="s">
        <v>331</v>
      </c>
    </row>
    <row r="2363" spans="1:5" x14ac:dyDescent="0.3">
      <c r="A2363" s="2">
        <v>7955</v>
      </c>
      <c r="B2363" s="2" t="s">
        <v>2703</v>
      </c>
      <c r="C2363" s="2" t="s">
        <v>32</v>
      </c>
      <c r="D2363" s="483">
        <v>1126915</v>
      </c>
      <c r="E2363" s="2" t="s">
        <v>331</v>
      </c>
    </row>
    <row r="2364" spans="1:5" x14ac:dyDescent="0.3">
      <c r="A2364" s="2">
        <v>7956</v>
      </c>
      <c r="B2364" s="2" t="s">
        <v>2704</v>
      </c>
      <c r="C2364" s="2" t="s">
        <v>32</v>
      </c>
      <c r="D2364" s="483">
        <v>1820340</v>
      </c>
      <c r="E2364" s="2" t="s">
        <v>331</v>
      </c>
    </row>
    <row r="2365" spans="1:5" x14ac:dyDescent="0.3">
      <c r="A2365" s="2">
        <v>7958</v>
      </c>
      <c r="B2365" s="2" t="s">
        <v>2705</v>
      </c>
      <c r="C2365" s="2" t="s">
        <v>328</v>
      </c>
      <c r="D2365" s="483">
        <v>15148</v>
      </c>
      <c r="E2365" s="2" t="s">
        <v>367</v>
      </c>
    </row>
    <row r="2366" spans="1:5" x14ac:dyDescent="0.3">
      <c r="A2366" s="2">
        <v>7959</v>
      </c>
      <c r="B2366" s="2" t="s">
        <v>2706</v>
      </c>
      <c r="C2366" s="2" t="s">
        <v>328</v>
      </c>
      <c r="D2366" s="483">
        <v>18177</v>
      </c>
      <c r="E2366" s="2" t="s">
        <v>367</v>
      </c>
    </row>
    <row r="2367" spans="1:5" x14ac:dyDescent="0.3">
      <c r="A2367" s="2">
        <v>7960</v>
      </c>
      <c r="B2367" s="2" t="s">
        <v>2707</v>
      </c>
      <c r="C2367" s="2" t="s">
        <v>328</v>
      </c>
      <c r="D2367" s="483">
        <v>15148</v>
      </c>
      <c r="E2367" s="2" t="s">
        <v>367</v>
      </c>
    </row>
    <row r="2368" spans="1:5" x14ac:dyDescent="0.3">
      <c r="A2368" s="2">
        <v>7961</v>
      </c>
      <c r="B2368" s="2" t="s">
        <v>2708</v>
      </c>
      <c r="C2368" s="2" t="s">
        <v>328</v>
      </c>
      <c r="D2368" s="483">
        <v>22721</v>
      </c>
      <c r="E2368" s="2" t="s">
        <v>367</v>
      </c>
    </row>
    <row r="2369" spans="1:5" x14ac:dyDescent="0.3">
      <c r="A2369" s="2">
        <v>7962</v>
      </c>
      <c r="B2369" s="2" t="s">
        <v>2709</v>
      </c>
      <c r="C2369" s="2" t="s">
        <v>32</v>
      </c>
      <c r="D2369" s="483">
        <v>11785</v>
      </c>
      <c r="E2369" s="2" t="s">
        <v>367</v>
      </c>
    </row>
    <row r="2370" spans="1:5" x14ac:dyDescent="0.3">
      <c r="A2370" s="2">
        <v>7963</v>
      </c>
      <c r="B2370" s="2" t="s">
        <v>2710</v>
      </c>
      <c r="C2370" s="2" t="s">
        <v>32</v>
      </c>
      <c r="D2370" s="483">
        <v>622272</v>
      </c>
      <c r="E2370" s="2" t="s">
        <v>367</v>
      </c>
    </row>
    <row r="2371" spans="1:5" x14ac:dyDescent="0.3">
      <c r="A2371" s="2">
        <v>7964</v>
      </c>
      <c r="B2371" s="2" t="s">
        <v>2711</v>
      </c>
      <c r="C2371" s="2" t="s">
        <v>32</v>
      </c>
      <c r="D2371" s="483">
        <v>622272</v>
      </c>
      <c r="E2371" s="2" t="s">
        <v>367</v>
      </c>
    </row>
    <row r="2372" spans="1:5" x14ac:dyDescent="0.3">
      <c r="A2372" s="2">
        <v>7965</v>
      </c>
      <c r="B2372" s="2" t="s">
        <v>2712</v>
      </c>
      <c r="C2372" s="2" t="s">
        <v>32</v>
      </c>
      <c r="D2372" s="483">
        <v>4545193</v>
      </c>
      <c r="E2372" s="2" t="s">
        <v>331</v>
      </c>
    </row>
    <row r="2373" spans="1:5" x14ac:dyDescent="0.3">
      <c r="A2373" s="2">
        <v>7966</v>
      </c>
      <c r="B2373" s="2" t="s">
        <v>2713</v>
      </c>
      <c r="C2373" s="2" t="s">
        <v>32</v>
      </c>
      <c r="D2373" s="483">
        <v>207882</v>
      </c>
      <c r="E2373" s="2" t="s">
        <v>331</v>
      </c>
    </row>
    <row r="2374" spans="1:5" x14ac:dyDescent="0.3">
      <c r="A2374" s="2">
        <v>7967</v>
      </c>
      <c r="B2374" s="2" t="s">
        <v>2714</v>
      </c>
      <c r="C2374" s="2" t="s">
        <v>30</v>
      </c>
      <c r="D2374" s="483">
        <v>8369</v>
      </c>
      <c r="E2374" s="2" t="s">
        <v>331</v>
      </c>
    </row>
    <row r="2375" spans="1:5" x14ac:dyDescent="0.3">
      <c r="A2375" s="2">
        <v>7968</v>
      </c>
      <c r="B2375" s="2" t="s">
        <v>2715</v>
      </c>
      <c r="C2375" s="2" t="s">
        <v>2125</v>
      </c>
      <c r="D2375" s="483">
        <v>2036</v>
      </c>
      <c r="E2375" s="2" t="s">
        <v>324</v>
      </c>
    </row>
    <row r="2376" spans="1:5" x14ac:dyDescent="0.3">
      <c r="A2376" s="2">
        <v>7969</v>
      </c>
      <c r="B2376" s="2" t="s">
        <v>2716</v>
      </c>
      <c r="C2376" s="2" t="s">
        <v>2125</v>
      </c>
      <c r="D2376" s="483">
        <v>2036</v>
      </c>
      <c r="E2376" s="2" t="s">
        <v>324</v>
      </c>
    </row>
    <row r="2377" spans="1:5" x14ac:dyDescent="0.3">
      <c r="A2377" s="2">
        <v>7972</v>
      </c>
      <c r="B2377" s="2" t="s">
        <v>2717</v>
      </c>
      <c r="C2377" s="2" t="s">
        <v>30</v>
      </c>
      <c r="D2377" s="483">
        <v>25303</v>
      </c>
      <c r="E2377" s="2" t="s">
        <v>331</v>
      </c>
    </row>
    <row r="2378" spans="1:5" x14ac:dyDescent="0.3">
      <c r="A2378" s="2">
        <v>7974</v>
      </c>
      <c r="B2378" s="2" t="s">
        <v>2718</v>
      </c>
      <c r="C2378" s="2" t="s">
        <v>32</v>
      </c>
      <c r="D2378" s="483">
        <v>769100</v>
      </c>
      <c r="E2378" s="2" t="s">
        <v>331</v>
      </c>
    </row>
    <row r="2379" spans="1:5" x14ac:dyDescent="0.3">
      <c r="A2379" s="2">
        <v>7989</v>
      </c>
      <c r="B2379" s="2" t="s">
        <v>2719</v>
      </c>
      <c r="C2379" s="2" t="s">
        <v>328</v>
      </c>
      <c r="D2379" s="483">
        <v>133172</v>
      </c>
      <c r="E2379" s="2" t="s">
        <v>331</v>
      </c>
    </row>
    <row r="2380" spans="1:5" x14ac:dyDescent="0.3">
      <c r="A2380" s="2">
        <v>7990</v>
      </c>
      <c r="B2380" s="2" t="s">
        <v>2720</v>
      </c>
      <c r="C2380" s="2" t="s">
        <v>2721</v>
      </c>
      <c r="D2380" s="483">
        <v>130900</v>
      </c>
      <c r="E2380" s="2" t="s">
        <v>1416</v>
      </c>
    </row>
    <row r="2381" spans="1:5" x14ac:dyDescent="0.3">
      <c r="A2381" s="2">
        <v>7991</v>
      </c>
      <c r="B2381" s="2" t="s">
        <v>2722</v>
      </c>
      <c r="C2381" s="2" t="s">
        <v>2721</v>
      </c>
      <c r="D2381" s="483">
        <v>113050</v>
      </c>
      <c r="E2381" s="2" t="s">
        <v>1416</v>
      </c>
    </row>
    <row r="2382" spans="1:5" x14ac:dyDescent="0.3">
      <c r="A2382" s="2">
        <v>7992</v>
      </c>
      <c r="B2382" s="2" t="s">
        <v>2723</v>
      </c>
      <c r="C2382" s="2" t="s">
        <v>328</v>
      </c>
      <c r="D2382" s="483">
        <v>19683</v>
      </c>
      <c r="E2382" s="2" t="s">
        <v>324</v>
      </c>
    </row>
    <row r="2383" spans="1:5" x14ac:dyDescent="0.3">
      <c r="A2383" s="2">
        <v>7993</v>
      </c>
      <c r="B2383" s="2" t="s">
        <v>2724</v>
      </c>
      <c r="C2383" s="2" t="s">
        <v>328</v>
      </c>
      <c r="D2383" s="483">
        <v>26505</v>
      </c>
      <c r="E2383" s="2" t="s">
        <v>324</v>
      </c>
    </row>
    <row r="2384" spans="1:5" x14ac:dyDescent="0.3">
      <c r="A2384" s="2">
        <v>7994</v>
      </c>
      <c r="B2384" s="2" t="s">
        <v>2725</v>
      </c>
      <c r="C2384" s="2" t="s">
        <v>328</v>
      </c>
      <c r="D2384" s="483">
        <v>60011</v>
      </c>
      <c r="E2384" s="2" t="s">
        <v>324</v>
      </c>
    </row>
    <row r="2385" spans="1:5" x14ac:dyDescent="0.3">
      <c r="A2385" s="2">
        <v>7995</v>
      </c>
      <c r="B2385" s="2" t="s">
        <v>2726</v>
      </c>
      <c r="C2385" s="2" t="s">
        <v>328</v>
      </c>
      <c r="D2385" s="483">
        <v>1700</v>
      </c>
      <c r="E2385" s="2" t="s">
        <v>331</v>
      </c>
    </row>
    <row r="2386" spans="1:5" x14ac:dyDescent="0.3">
      <c r="A2386" s="2">
        <v>7996</v>
      </c>
      <c r="B2386" s="2" t="s">
        <v>2727</v>
      </c>
      <c r="C2386" s="2" t="s">
        <v>30</v>
      </c>
      <c r="D2386" s="483">
        <v>108239</v>
      </c>
      <c r="E2386" s="2" t="s">
        <v>331</v>
      </c>
    </row>
    <row r="2387" spans="1:5" x14ac:dyDescent="0.3">
      <c r="A2387" s="2">
        <v>7997</v>
      </c>
      <c r="B2387" s="2" t="s">
        <v>2728</v>
      </c>
      <c r="C2387" s="2" t="s">
        <v>30</v>
      </c>
      <c r="D2387" s="483">
        <v>104247</v>
      </c>
      <c r="E2387" s="2" t="s">
        <v>331</v>
      </c>
    </row>
    <row r="2388" spans="1:5" x14ac:dyDescent="0.3">
      <c r="A2388" s="2">
        <v>8000</v>
      </c>
      <c r="B2388" s="2" t="s">
        <v>2729</v>
      </c>
      <c r="C2388" s="2" t="s">
        <v>307</v>
      </c>
      <c r="D2388" s="483">
        <v>5794</v>
      </c>
      <c r="E2388" s="2" t="s">
        <v>367</v>
      </c>
    </row>
    <row r="2389" spans="1:5" x14ac:dyDescent="0.3">
      <c r="A2389" s="2">
        <v>8001</v>
      </c>
      <c r="B2389" s="2" t="s">
        <v>2730</v>
      </c>
      <c r="C2389" s="2" t="s">
        <v>328</v>
      </c>
      <c r="D2389" s="483">
        <v>1725500</v>
      </c>
      <c r="E2389" s="2" t="s">
        <v>331</v>
      </c>
    </row>
    <row r="2390" spans="1:5" x14ac:dyDescent="0.3">
      <c r="A2390" s="2">
        <v>8002</v>
      </c>
      <c r="B2390" s="2" t="s">
        <v>2731</v>
      </c>
      <c r="C2390" s="2" t="s">
        <v>328</v>
      </c>
      <c r="D2390" s="483">
        <v>1892100</v>
      </c>
      <c r="E2390" s="2" t="s">
        <v>331</v>
      </c>
    </row>
    <row r="2391" spans="1:5" x14ac:dyDescent="0.3">
      <c r="A2391" s="2">
        <v>8003</v>
      </c>
      <c r="B2391" s="2" t="s">
        <v>2732</v>
      </c>
      <c r="C2391" s="2" t="s">
        <v>328</v>
      </c>
      <c r="D2391" s="483">
        <v>2082500</v>
      </c>
      <c r="E2391" s="2" t="s">
        <v>331</v>
      </c>
    </row>
    <row r="2392" spans="1:5" x14ac:dyDescent="0.3">
      <c r="A2392" s="2">
        <v>8004</v>
      </c>
      <c r="B2392" s="2" t="s">
        <v>2733</v>
      </c>
      <c r="C2392" s="2" t="s">
        <v>328</v>
      </c>
      <c r="D2392" s="483">
        <v>2475200</v>
      </c>
      <c r="E2392" s="2" t="s">
        <v>331</v>
      </c>
    </row>
    <row r="2393" spans="1:5" x14ac:dyDescent="0.3">
      <c r="A2393" s="2">
        <v>8005</v>
      </c>
      <c r="B2393" s="2" t="s">
        <v>2734</v>
      </c>
      <c r="C2393" s="2" t="s">
        <v>328</v>
      </c>
      <c r="D2393" s="483">
        <v>2826250</v>
      </c>
      <c r="E2393" s="2" t="s">
        <v>331</v>
      </c>
    </row>
    <row r="2394" spans="1:5" x14ac:dyDescent="0.3">
      <c r="A2394" s="2">
        <v>8006</v>
      </c>
      <c r="B2394" s="2" t="s">
        <v>2735</v>
      </c>
      <c r="C2394" s="2" t="s">
        <v>328</v>
      </c>
      <c r="D2394" s="483">
        <v>3088050</v>
      </c>
      <c r="E2394" s="2" t="s">
        <v>331</v>
      </c>
    </row>
    <row r="2395" spans="1:5" x14ac:dyDescent="0.3">
      <c r="A2395" s="2">
        <v>8007</v>
      </c>
      <c r="B2395" s="2" t="s">
        <v>2736</v>
      </c>
      <c r="C2395" s="2" t="s">
        <v>328</v>
      </c>
      <c r="D2395" s="483">
        <v>3790150</v>
      </c>
      <c r="E2395" s="2" t="s">
        <v>331</v>
      </c>
    </row>
    <row r="2396" spans="1:5" x14ac:dyDescent="0.3">
      <c r="A2396" s="2">
        <v>8008</v>
      </c>
      <c r="B2396" s="2" t="s">
        <v>2737</v>
      </c>
      <c r="C2396" s="2" t="s">
        <v>328</v>
      </c>
      <c r="D2396" s="483">
        <v>4237152</v>
      </c>
      <c r="E2396" s="2" t="s">
        <v>331</v>
      </c>
    </row>
    <row r="2397" spans="1:5" x14ac:dyDescent="0.3">
      <c r="A2397" s="2">
        <v>8009</v>
      </c>
      <c r="B2397" s="2" t="s">
        <v>2738</v>
      </c>
      <c r="C2397" s="2" t="s">
        <v>328</v>
      </c>
      <c r="D2397" s="483">
        <v>5033700</v>
      </c>
      <c r="E2397" s="2" t="s">
        <v>331</v>
      </c>
    </row>
    <row r="2398" spans="1:5" x14ac:dyDescent="0.3">
      <c r="A2398" s="2">
        <v>8010</v>
      </c>
      <c r="B2398" s="2" t="s">
        <v>2739</v>
      </c>
      <c r="C2398" s="2" t="s">
        <v>328</v>
      </c>
      <c r="D2398" s="483">
        <v>6012016</v>
      </c>
      <c r="E2398" s="2" t="s">
        <v>331</v>
      </c>
    </row>
    <row r="2399" spans="1:5" x14ac:dyDescent="0.3">
      <c r="A2399" s="2">
        <v>8011</v>
      </c>
      <c r="B2399" s="2" t="s">
        <v>2740</v>
      </c>
      <c r="C2399" s="2" t="s">
        <v>328</v>
      </c>
      <c r="D2399" s="483">
        <v>7610050</v>
      </c>
      <c r="E2399" s="2" t="s">
        <v>331</v>
      </c>
    </row>
    <row r="2400" spans="1:5" x14ac:dyDescent="0.3">
      <c r="A2400" s="2">
        <v>8012</v>
      </c>
      <c r="B2400" s="2" t="s">
        <v>2741</v>
      </c>
      <c r="C2400" s="2" t="s">
        <v>328</v>
      </c>
      <c r="D2400" s="483">
        <v>9686600</v>
      </c>
      <c r="E2400" s="2" t="s">
        <v>331</v>
      </c>
    </row>
    <row r="2401" spans="1:5" x14ac:dyDescent="0.3">
      <c r="A2401" s="2">
        <v>8013</v>
      </c>
      <c r="B2401" s="2" t="s">
        <v>2742</v>
      </c>
      <c r="C2401" s="2" t="s">
        <v>328</v>
      </c>
      <c r="D2401" s="483">
        <v>10642406</v>
      </c>
      <c r="E2401" s="2" t="s">
        <v>331</v>
      </c>
    </row>
    <row r="2402" spans="1:5" x14ac:dyDescent="0.3">
      <c r="A2402" s="2">
        <v>8016</v>
      </c>
      <c r="B2402" s="2" t="s">
        <v>2743</v>
      </c>
      <c r="C2402" s="2" t="s">
        <v>328</v>
      </c>
      <c r="D2402" s="483">
        <v>676203</v>
      </c>
      <c r="E2402" s="2" t="s">
        <v>324</v>
      </c>
    </row>
    <row r="2403" spans="1:5" x14ac:dyDescent="0.3">
      <c r="A2403" s="2">
        <v>8017</v>
      </c>
      <c r="B2403" s="2" t="s">
        <v>2744</v>
      </c>
      <c r="C2403" s="2" t="s">
        <v>32</v>
      </c>
      <c r="D2403" s="483">
        <v>813820</v>
      </c>
      <c r="E2403" s="2" t="s">
        <v>324</v>
      </c>
    </row>
    <row r="2404" spans="1:5" x14ac:dyDescent="0.3">
      <c r="A2404" s="2">
        <v>8018</v>
      </c>
      <c r="B2404" s="2" t="s">
        <v>2745</v>
      </c>
      <c r="C2404" s="2" t="s">
        <v>32</v>
      </c>
      <c r="D2404" s="483">
        <v>1211857</v>
      </c>
      <c r="E2404" s="2" t="s">
        <v>324</v>
      </c>
    </row>
    <row r="2405" spans="1:5" x14ac:dyDescent="0.3">
      <c r="A2405" s="2">
        <v>8019</v>
      </c>
      <c r="B2405" s="2" t="s">
        <v>2746</v>
      </c>
      <c r="C2405" s="2" t="s">
        <v>328</v>
      </c>
      <c r="D2405" s="483">
        <v>1423037</v>
      </c>
      <c r="E2405" s="2" t="s">
        <v>324</v>
      </c>
    </row>
    <row r="2406" spans="1:5" x14ac:dyDescent="0.3">
      <c r="A2406" s="2">
        <v>8020</v>
      </c>
      <c r="B2406" s="2" t="s">
        <v>2747</v>
      </c>
      <c r="C2406" s="2" t="s">
        <v>32</v>
      </c>
      <c r="D2406" s="483">
        <v>1715174</v>
      </c>
      <c r="E2406" s="2" t="s">
        <v>324</v>
      </c>
    </row>
    <row r="2407" spans="1:5" x14ac:dyDescent="0.3">
      <c r="A2407" s="2">
        <v>8022</v>
      </c>
      <c r="B2407" s="2" t="s">
        <v>2748</v>
      </c>
      <c r="C2407" s="2" t="s">
        <v>32</v>
      </c>
      <c r="D2407" s="483">
        <v>690151</v>
      </c>
      <c r="E2407" s="2" t="s">
        <v>324</v>
      </c>
    </row>
    <row r="2408" spans="1:5" x14ac:dyDescent="0.3">
      <c r="A2408" s="2">
        <v>8023</v>
      </c>
      <c r="B2408" s="2" t="s">
        <v>2749</v>
      </c>
      <c r="C2408" s="2" t="s">
        <v>32</v>
      </c>
      <c r="D2408" s="483">
        <v>951953</v>
      </c>
      <c r="E2408" s="2" t="s">
        <v>324</v>
      </c>
    </row>
    <row r="2409" spans="1:5" x14ac:dyDescent="0.3">
      <c r="A2409" s="2">
        <v>8025</v>
      </c>
      <c r="B2409" s="2" t="s">
        <v>2750</v>
      </c>
      <c r="C2409" s="2" t="s">
        <v>32</v>
      </c>
      <c r="D2409" s="483">
        <v>510320</v>
      </c>
      <c r="E2409" s="2" t="s">
        <v>324</v>
      </c>
    </row>
    <row r="2410" spans="1:5" x14ac:dyDescent="0.3">
      <c r="A2410" s="2">
        <v>8026</v>
      </c>
      <c r="B2410" s="2" t="s">
        <v>2751</v>
      </c>
      <c r="C2410" s="2" t="s">
        <v>32</v>
      </c>
      <c r="D2410" s="483">
        <v>807562</v>
      </c>
      <c r="E2410" s="2" t="s">
        <v>324</v>
      </c>
    </row>
    <row r="2411" spans="1:5" x14ac:dyDescent="0.3">
      <c r="A2411" s="2">
        <v>8044</v>
      </c>
      <c r="B2411" s="2" t="s">
        <v>2752</v>
      </c>
      <c r="C2411" s="2" t="s">
        <v>32</v>
      </c>
      <c r="D2411" s="483">
        <v>3914177</v>
      </c>
      <c r="E2411" s="2" t="s">
        <v>331</v>
      </c>
    </row>
    <row r="2412" spans="1:5" x14ac:dyDescent="0.3">
      <c r="A2412" s="2">
        <v>8045</v>
      </c>
      <c r="B2412" s="2" t="s">
        <v>2753</v>
      </c>
      <c r="C2412" s="2" t="s">
        <v>32</v>
      </c>
      <c r="D2412" s="483">
        <v>4808742</v>
      </c>
      <c r="E2412" s="2" t="s">
        <v>331</v>
      </c>
    </row>
    <row r="2413" spans="1:5" x14ac:dyDescent="0.3">
      <c r="A2413" s="2">
        <v>8046</v>
      </c>
      <c r="B2413" s="2" t="s">
        <v>2754</v>
      </c>
      <c r="C2413" s="2" t="s">
        <v>32</v>
      </c>
      <c r="D2413" s="483">
        <v>5968689</v>
      </c>
      <c r="E2413" s="2" t="s">
        <v>331</v>
      </c>
    </row>
    <row r="2414" spans="1:5" x14ac:dyDescent="0.3">
      <c r="A2414" s="2">
        <v>8047</v>
      </c>
      <c r="B2414" s="2" t="s">
        <v>2755</v>
      </c>
      <c r="C2414" s="2" t="s">
        <v>32</v>
      </c>
      <c r="D2414" s="483">
        <v>7526709</v>
      </c>
      <c r="E2414" s="2" t="s">
        <v>331</v>
      </c>
    </row>
    <row r="2415" spans="1:5" x14ac:dyDescent="0.3">
      <c r="A2415" s="2">
        <v>8048</v>
      </c>
      <c r="B2415" s="2" t="s">
        <v>2756</v>
      </c>
      <c r="C2415" s="2" t="s">
        <v>32</v>
      </c>
      <c r="D2415" s="483">
        <v>4286800</v>
      </c>
      <c r="E2415" s="2" t="s">
        <v>331</v>
      </c>
    </row>
    <row r="2416" spans="1:5" x14ac:dyDescent="0.3">
      <c r="A2416" s="2">
        <v>8049</v>
      </c>
      <c r="B2416" s="2" t="s">
        <v>2757</v>
      </c>
      <c r="C2416" s="2" t="s">
        <v>32</v>
      </c>
      <c r="D2416" s="483">
        <v>5409391</v>
      </c>
      <c r="E2416" s="2" t="s">
        <v>331</v>
      </c>
    </row>
    <row r="2417" spans="1:5" x14ac:dyDescent="0.3">
      <c r="A2417" s="2">
        <v>8050</v>
      </c>
      <c r="B2417" s="2" t="s">
        <v>2758</v>
      </c>
      <c r="C2417" s="2" t="s">
        <v>32</v>
      </c>
      <c r="D2417" s="483">
        <v>4727170</v>
      </c>
      <c r="E2417" s="2" t="s">
        <v>331</v>
      </c>
    </row>
    <row r="2418" spans="1:5" x14ac:dyDescent="0.3">
      <c r="A2418" s="2">
        <v>8051</v>
      </c>
      <c r="B2418" s="2" t="s">
        <v>2759</v>
      </c>
      <c r="C2418" s="2" t="s">
        <v>32</v>
      </c>
      <c r="D2418" s="483">
        <v>7205889</v>
      </c>
      <c r="E2418" s="2" t="s">
        <v>331</v>
      </c>
    </row>
    <row r="2419" spans="1:5" x14ac:dyDescent="0.3">
      <c r="A2419" s="2">
        <v>8052</v>
      </c>
      <c r="B2419" s="2" t="s">
        <v>2760</v>
      </c>
      <c r="C2419" s="2" t="s">
        <v>32</v>
      </c>
      <c r="D2419" s="483">
        <v>9338277</v>
      </c>
      <c r="E2419" s="2" t="s">
        <v>331</v>
      </c>
    </row>
    <row r="2420" spans="1:5" x14ac:dyDescent="0.3">
      <c r="A2420" s="2">
        <v>8058</v>
      </c>
      <c r="B2420" s="2" t="s">
        <v>2761</v>
      </c>
      <c r="C2420" s="2" t="s">
        <v>328</v>
      </c>
      <c r="D2420" s="483">
        <v>41313</v>
      </c>
      <c r="E2420" s="2" t="s">
        <v>324</v>
      </c>
    </row>
    <row r="2421" spans="1:5" x14ac:dyDescent="0.3">
      <c r="A2421" s="2">
        <v>8060</v>
      </c>
      <c r="B2421" s="2" t="s">
        <v>2762</v>
      </c>
      <c r="C2421" s="2" t="s">
        <v>32</v>
      </c>
      <c r="D2421" s="483">
        <v>981494</v>
      </c>
      <c r="E2421" s="2" t="s">
        <v>324</v>
      </c>
    </row>
    <row r="2422" spans="1:5" x14ac:dyDescent="0.3">
      <c r="A2422" s="2">
        <v>8076</v>
      </c>
      <c r="B2422" s="2" t="s">
        <v>2763</v>
      </c>
      <c r="C2422" s="2" t="s">
        <v>32</v>
      </c>
      <c r="D2422" s="483">
        <v>46956</v>
      </c>
      <c r="E2422" s="2" t="s">
        <v>331</v>
      </c>
    </row>
    <row r="2423" spans="1:5" x14ac:dyDescent="0.3">
      <c r="A2423" s="2">
        <v>8077</v>
      </c>
      <c r="B2423" s="2" t="s">
        <v>2764</v>
      </c>
      <c r="C2423" s="2" t="s">
        <v>32</v>
      </c>
      <c r="D2423" s="483">
        <v>241211</v>
      </c>
      <c r="E2423" s="2" t="s">
        <v>324</v>
      </c>
    </row>
    <row r="2424" spans="1:5" x14ac:dyDescent="0.3">
      <c r="A2424" s="2">
        <v>8078</v>
      </c>
      <c r="B2424" s="2" t="s">
        <v>2765</v>
      </c>
      <c r="C2424" s="2" t="s">
        <v>32</v>
      </c>
      <c r="D2424" s="483">
        <v>231371</v>
      </c>
      <c r="E2424" s="2" t="s">
        <v>324</v>
      </c>
    </row>
    <row r="2425" spans="1:5" x14ac:dyDescent="0.3">
      <c r="A2425" s="2">
        <v>8079</v>
      </c>
      <c r="B2425" s="2" t="s">
        <v>2766</v>
      </c>
      <c r="C2425" s="2" t="s">
        <v>32</v>
      </c>
      <c r="D2425" s="483">
        <v>336566</v>
      </c>
      <c r="E2425" s="2" t="s">
        <v>324</v>
      </c>
    </row>
    <row r="2426" spans="1:5" x14ac:dyDescent="0.3">
      <c r="A2426" s="2">
        <v>8080</v>
      </c>
      <c r="B2426" s="2" t="s">
        <v>2767</v>
      </c>
      <c r="C2426" s="2" t="s">
        <v>32</v>
      </c>
      <c r="D2426" s="483">
        <v>138706</v>
      </c>
      <c r="E2426" s="2" t="s">
        <v>367</v>
      </c>
    </row>
    <row r="2427" spans="1:5" x14ac:dyDescent="0.3">
      <c r="A2427" s="2">
        <v>8081</v>
      </c>
      <c r="B2427" s="2" t="s">
        <v>2768</v>
      </c>
      <c r="C2427" s="2" t="s">
        <v>32</v>
      </c>
      <c r="D2427" s="483">
        <v>31806</v>
      </c>
      <c r="E2427" s="2" t="s">
        <v>331</v>
      </c>
    </row>
    <row r="2428" spans="1:5" x14ac:dyDescent="0.3">
      <c r="A2428" s="2">
        <v>8082</v>
      </c>
      <c r="B2428" s="2" t="s">
        <v>2769</v>
      </c>
      <c r="C2428" s="2" t="s">
        <v>21</v>
      </c>
      <c r="D2428" s="483">
        <v>100457</v>
      </c>
      <c r="E2428" s="2" t="s">
        <v>324</v>
      </c>
    </row>
    <row r="2429" spans="1:5" x14ac:dyDescent="0.3">
      <c r="A2429" s="2">
        <v>8083</v>
      </c>
      <c r="B2429" s="2" t="s">
        <v>2770</v>
      </c>
      <c r="C2429" s="2" t="s">
        <v>21</v>
      </c>
      <c r="D2429" s="483">
        <v>79199</v>
      </c>
      <c r="E2429" s="2" t="s">
        <v>324</v>
      </c>
    </row>
    <row r="2430" spans="1:5" x14ac:dyDescent="0.3">
      <c r="A2430" s="2">
        <v>8084</v>
      </c>
      <c r="B2430" s="2" t="s">
        <v>2771</v>
      </c>
      <c r="C2430" s="2" t="s">
        <v>21</v>
      </c>
      <c r="D2430" s="483">
        <v>54190</v>
      </c>
      <c r="E2430" s="2" t="s">
        <v>324</v>
      </c>
    </row>
    <row r="2431" spans="1:5" x14ac:dyDescent="0.3">
      <c r="A2431" s="2">
        <v>8086</v>
      </c>
      <c r="B2431" s="2" t="s">
        <v>2772</v>
      </c>
      <c r="C2431" s="2" t="s">
        <v>30</v>
      </c>
      <c r="D2431" s="483">
        <v>990799</v>
      </c>
      <c r="E2431" s="2" t="s">
        <v>331</v>
      </c>
    </row>
    <row r="2432" spans="1:5" x14ac:dyDescent="0.3">
      <c r="A2432" s="2">
        <v>8087</v>
      </c>
      <c r="B2432" s="2" t="s">
        <v>2773</v>
      </c>
      <c r="C2432" s="2" t="s">
        <v>30</v>
      </c>
      <c r="D2432" s="483">
        <v>1021982</v>
      </c>
      <c r="E2432" s="2" t="s">
        <v>331</v>
      </c>
    </row>
    <row r="2433" spans="1:5" x14ac:dyDescent="0.3">
      <c r="A2433" s="2">
        <v>8088</v>
      </c>
      <c r="B2433" s="2" t="s">
        <v>2774</v>
      </c>
      <c r="C2433" s="2" t="s">
        <v>30</v>
      </c>
      <c r="D2433" s="483">
        <v>1000317</v>
      </c>
      <c r="E2433" s="2" t="s">
        <v>331</v>
      </c>
    </row>
    <row r="2434" spans="1:5" x14ac:dyDescent="0.3">
      <c r="A2434" s="2">
        <v>8090</v>
      </c>
      <c r="B2434" s="2" t="s">
        <v>2775</v>
      </c>
      <c r="C2434" s="2" t="s">
        <v>21</v>
      </c>
      <c r="D2434" s="483">
        <v>552323</v>
      </c>
      <c r="E2434" s="2" t="s">
        <v>331</v>
      </c>
    </row>
    <row r="2435" spans="1:5" x14ac:dyDescent="0.3">
      <c r="A2435" s="2">
        <v>8091</v>
      </c>
      <c r="B2435" s="2" t="s">
        <v>2776</v>
      </c>
      <c r="C2435" s="2" t="s">
        <v>32</v>
      </c>
      <c r="D2435" s="483">
        <v>11365</v>
      </c>
      <c r="E2435" s="2" t="s">
        <v>331</v>
      </c>
    </row>
    <row r="2436" spans="1:5" x14ac:dyDescent="0.3">
      <c r="A2436" s="2">
        <v>8092</v>
      </c>
      <c r="B2436" s="2" t="s">
        <v>2777</v>
      </c>
      <c r="C2436" s="2" t="s">
        <v>32</v>
      </c>
      <c r="D2436" s="483">
        <v>42002</v>
      </c>
      <c r="E2436" s="2" t="s">
        <v>331</v>
      </c>
    </row>
    <row r="2437" spans="1:5" x14ac:dyDescent="0.3">
      <c r="A2437" s="2">
        <v>8093</v>
      </c>
      <c r="B2437" s="2" t="s">
        <v>2778</v>
      </c>
      <c r="C2437" s="2" t="s">
        <v>32</v>
      </c>
      <c r="D2437" s="483">
        <v>48342</v>
      </c>
      <c r="E2437" s="2" t="s">
        <v>331</v>
      </c>
    </row>
    <row r="2438" spans="1:5" x14ac:dyDescent="0.3">
      <c r="A2438" s="2">
        <v>8094</v>
      </c>
      <c r="B2438" s="2" t="s">
        <v>2779</v>
      </c>
      <c r="C2438" s="2" t="s">
        <v>32</v>
      </c>
      <c r="D2438" s="483">
        <v>386915</v>
      </c>
      <c r="E2438" s="2" t="s">
        <v>331</v>
      </c>
    </row>
    <row r="2439" spans="1:5" x14ac:dyDescent="0.3">
      <c r="A2439" s="2">
        <v>8098</v>
      </c>
      <c r="B2439" s="2" t="s">
        <v>2780</v>
      </c>
      <c r="C2439" s="2" t="s">
        <v>32</v>
      </c>
      <c r="D2439" s="483">
        <v>297500</v>
      </c>
      <c r="E2439" s="2" t="s">
        <v>1416</v>
      </c>
    </row>
    <row r="2440" spans="1:5" x14ac:dyDescent="0.3">
      <c r="A2440" s="2">
        <v>8099</v>
      </c>
      <c r="B2440" s="2" t="s">
        <v>2781</v>
      </c>
      <c r="C2440" s="2" t="s">
        <v>30</v>
      </c>
      <c r="D2440" s="483">
        <v>225149</v>
      </c>
      <c r="E2440" s="2" t="s">
        <v>331</v>
      </c>
    </row>
    <row r="2441" spans="1:5" x14ac:dyDescent="0.3">
      <c r="A2441" s="2">
        <v>8100</v>
      </c>
      <c r="B2441" s="2" t="s">
        <v>2782</v>
      </c>
      <c r="C2441" s="2" t="s">
        <v>32</v>
      </c>
      <c r="D2441" s="483">
        <v>964763</v>
      </c>
      <c r="E2441" s="2" t="s">
        <v>324</v>
      </c>
    </row>
    <row r="2442" spans="1:5" x14ac:dyDescent="0.3">
      <c r="A2442" s="2">
        <v>8101</v>
      </c>
      <c r="B2442" s="2" t="s">
        <v>2783</v>
      </c>
      <c r="C2442" s="2" t="s">
        <v>32</v>
      </c>
      <c r="D2442" s="483">
        <v>2253168</v>
      </c>
      <c r="E2442" s="2" t="s">
        <v>324</v>
      </c>
    </row>
    <row r="2443" spans="1:5" x14ac:dyDescent="0.3">
      <c r="A2443" s="2">
        <v>8103</v>
      </c>
      <c r="B2443" s="2" t="s">
        <v>2784</v>
      </c>
      <c r="C2443" s="2" t="s">
        <v>21</v>
      </c>
      <c r="D2443" s="483">
        <v>23183</v>
      </c>
      <c r="E2443" s="2" t="s">
        <v>331</v>
      </c>
    </row>
    <row r="2444" spans="1:5" x14ac:dyDescent="0.3">
      <c r="A2444" s="2">
        <v>8104</v>
      </c>
      <c r="B2444" s="2" t="s">
        <v>2785</v>
      </c>
      <c r="C2444" s="2" t="s">
        <v>21</v>
      </c>
      <c r="D2444" s="483">
        <v>101938</v>
      </c>
      <c r="E2444" s="2" t="s">
        <v>324</v>
      </c>
    </row>
    <row r="2445" spans="1:5" x14ac:dyDescent="0.3">
      <c r="A2445" s="2">
        <v>8106</v>
      </c>
      <c r="B2445" s="2" t="s">
        <v>2786</v>
      </c>
      <c r="C2445" s="2" t="s">
        <v>21</v>
      </c>
      <c r="D2445" s="483">
        <v>162453</v>
      </c>
      <c r="E2445" s="2" t="s">
        <v>331</v>
      </c>
    </row>
    <row r="2446" spans="1:5" x14ac:dyDescent="0.3">
      <c r="A2446" s="2">
        <v>8107</v>
      </c>
      <c r="B2446" s="2" t="s">
        <v>2787</v>
      </c>
      <c r="C2446" s="2" t="s">
        <v>32</v>
      </c>
      <c r="D2446" s="483">
        <v>55138</v>
      </c>
      <c r="E2446" s="2" t="s">
        <v>331</v>
      </c>
    </row>
    <row r="2447" spans="1:5" x14ac:dyDescent="0.3">
      <c r="A2447" s="2">
        <v>8109</v>
      </c>
      <c r="B2447" s="2" t="s">
        <v>2788</v>
      </c>
      <c r="C2447" s="2" t="s">
        <v>328</v>
      </c>
      <c r="D2447" s="483">
        <v>59877</v>
      </c>
      <c r="E2447" s="2" t="s">
        <v>331</v>
      </c>
    </row>
    <row r="2448" spans="1:5" x14ac:dyDescent="0.3">
      <c r="A2448" s="2">
        <v>8110</v>
      </c>
      <c r="B2448" s="2" t="s">
        <v>2789</v>
      </c>
      <c r="C2448" s="2" t="s">
        <v>328</v>
      </c>
      <c r="D2448" s="483">
        <v>76314</v>
      </c>
      <c r="E2448" s="2" t="s">
        <v>331</v>
      </c>
    </row>
    <row r="2449" spans="1:5" x14ac:dyDescent="0.3">
      <c r="A2449" s="2">
        <v>8111</v>
      </c>
      <c r="B2449" s="2" t="s">
        <v>2790</v>
      </c>
      <c r="C2449" s="2" t="s">
        <v>328</v>
      </c>
      <c r="D2449" s="483">
        <v>208209</v>
      </c>
      <c r="E2449" s="2" t="s">
        <v>331</v>
      </c>
    </row>
    <row r="2450" spans="1:5" x14ac:dyDescent="0.3">
      <c r="A2450" s="2">
        <v>8112</v>
      </c>
      <c r="B2450" s="2" t="s">
        <v>2791</v>
      </c>
      <c r="C2450" s="2" t="s">
        <v>32</v>
      </c>
      <c r="D2450" s="483">
        <v>225459</v>
      </c>
      <c r="E2450" s="2" t="s">
        <v>324</v>
      </c>
    </row>
    <row r="2451" spans="1:5" x14ac:dyDescent="0.3">
      <c r="A2451" s="2">
        <v>8113</v>
      </c>
      <c r="B2451" s="2" t="s">
        <v>2792</v>
      </c>
      <c r="C2451" s="2" t="s">
        <v>32</v>
      </c>
      <c r="D2451" s="483">
        <v>112730</v>
      </c>
      <c r="E2451" s="2" t="s">
        <v>324</v>
      </c>
    </row>
    <row r="2452" spans="1:5" x14ac:dyDescent="0.3">
      <c r="A2452" s="2">
        <v>8114</v>
      </c>
      <c r="B2452" s="2" t="s">
        <v>2793</v>
      </c>
      <c r="C2452" s="2" t="s">
        <v>328</v>
      </c>
      <c r="D2452" s="483">
        <v>26444</v>
      </c>
      <c r="E2452" s="2" t="s">
        <v>324</v>
      </c>
    </row>
    <row r="2453" spans="1:5" x14ac:dyDescent="0.3">
      <c r="A2453" s="2">
        <v>8115</v>
      </c>
      <c r="B2453" s="2" t="s">
        <v>2794</v>
      </c>
      <c r="C2453" s="2" t="s">
        <v>32</v>
      </c>
      <c r="D2453" s="483">
        <v>181084</v>
      </c>
      <c r="E2453" s="2" t="s">
        <v>331</v>
      </c>
    </row>
    <row r="2454" spans="1:5" x14ac:dyDescent="0.3">
      <c r="A2454" s="2">
        <v>8116</v>
      </c>
      <c r="B2454" s="2" t="s">
        <v>2795</v>
      </c>
      <c r="C2454" s="2" t="s">
        <v>32</v>
      </c>
      <c r="D2454" s="483">
        <v>4113570</v>
      </c>
      <c r="E2454" s="2" t="s">
        <v>324</v>
      </c>
    </row>
    <row r="2455" spans="1:5" x14ac:dyDescent="0.3">
      <c r="A2455" s="2">
        <v>8117</v>
      </c>
      <c r="B2455" s="2" t="s">
        <v>2796</v>
      </c>
      <c r="C2455" s="2" t="s">
        <v>328</v>
      </c>
      <c r="D2455" s="483">
        <v>43992</v>
      </c>
      <c r="E2455" s="2" t="s">
        <v>331</v>
      </c>
    </row>
    <row r="2456" spans="1:5" x14ac:dyDescent="0.3">
      <c r="A2456" s="2">
        <v>8118</v>
      </c>
      <c r="B2456" s="2" t="s">
        <v>2797</v>
      </c>
      <c r="C2456" s="2" t="s">
        <v>328</v>
      </c>
      <c r="D2456" s="483">
        <v>38217</v>
      </c>
      <c r="E2456" s="2" t="s">
        <v>331</v>
      </c>
    </row>
    <row r="2457" spans="1:5" x14ac:dyDescent="0.3">
      <c r="A2457" s="2">
        <v>8119</v>
      </c>
      <c r="B2457" s="2" t="s">
        <v>2798</v>
      </c>
      <c r="C2457" s="2" t="s">
        <v>32</v>
      </c>
      <c r="D2457" s="483">
        <v>402879</v>
      </c>
      <c r="E2457" s="2" t="s">
        <v>324</v>
      </c>
    </row>
    <row r="2458" spans="1:5" x14ac:dyDescent="0.3">
      <c r="A2458" s="2">
        <v>8120</v>
      </c>
      <c r="B2458" s="2" t="s">
        <v>2799</v>
      </c>
      <c r="C2458" s="2" t="s">
        <v>32</v>
      </c>
      <c r="D2458" s="483">
        <v>2327233</v>
      </c>
      <c r="E2458" s="2" t="s">
        <v>331</v>
      </c>
    </row>
    <row r="2459" spans="1:5" x14ac:dyDescent="0.3">
      <c r="A2459" s="2">
        <v>8121</v>
      </c>
      <c r="B2459" s="2" t="s">
        <v>2800</v>
      </c>
      <c r="C2459" s="2" t="s">
        <v>32</v>
      </c>
      <c r="D2459" s="483">
        <v>2555421</v>
      </c>
      <c r="E2459" s="2" t="s">
        <v>331</v>
      </c>
    </row>
    <row r="2460" spans="1:5" x14ac:dyDescent="0.3">
      <c r="A2460" s="2">
        <v>8122</v>
      </c>
      <c r="B2460" s="2" t="s">
        <v>2801</v>
      </c>
      <c r="C2460" s="2" t="s">
        <v>32</v>
      </c>
      <c r="D2460" s="483">
        <v>1002874</v>
      </c>
      <c r="E2460" s="2" t="s">
        <v>331</v>
      </c>
    </row>
    <row r="2461" spans="1:5" x14ac:dyDescent="0.3">
      <c r="A2461" s="2">
        <v>8123</v>
      </c>
      <c r="B2461" s="2" t="s">
        <v>2802</v>
      </c>
      <c r="C2461" s="2" t="s">
        <v>21</v>
      </c>
      <c r="D2461" s="483">
        <v>116715</v>
      </c>
      <c r="E2461" s="2" t="s">
        <v>331</v>
      </c>
    </row>
    <row r="2462" spans="1:5" x14ac:dyDescent="0.3">
      <c r="A2462" s="2">
        <v>8125</v>
      </c>
      <c r="B2462" s="2" t="s">
        <v>2803</v>
      </c>
      <c r="C2462" s="2" t="s">
        <v>32</v>
      </c>
      <c r="D2462" s="483">
        <v>82724</v>
      </c>
      <c r="E2462" s="2" t="s">
        <v>331</v>
      </c>
    </row>
    <row r="2463" spans="1:5" x14ac:dyDescent="0.3">
      <c r="A2463" s="2">
        <v>8126</v>
      </c>
      <c r="B2463" s="2" t="s">
        <v>2804</v>
      </c>
      <c r="C2463" s="2" t="s">
        <v>328</v>
      </c>
      <c r="D2463" s="483">
        <v>184961</v>
      </c>
      <c r="E2463" s="2" t="s">
        <v>331</v>
      </c>
    </row>
    <row r="2464" spans="1:5" x14ac:dyDescent="0.3">
      <c r="A2464" s="2">
        <v>8129</v>
      </c>
      <c r="B2464" s="2" t="s">
        <v>2805</v>
      </c>
      <c r="C2464" s="2" t="s">
        <v>328</v>
      </c>
      <c r="D2464" s="483">
        <v>72279</v>
      </c>
      <c r="E2464" s="2" t="s">
        <v>324</v>
      </c>
    </row>
    <row r="2465" spans="1:5" x14ac:dyDescent="0.3">
      <c r="A2465" s="2">
        <v>8130</v>
      </c>
      <c r="B2465" s="2" t="s">
        <v>2806</v>
      </c>
      <c r="C2465" s="2" t="s">
        <v>328</v>
      </c>
      <c r="D2465" s="483">
        <v>51193</v>
      </c>
      <c r="E2465" s="2" t="s">
        <v>331</v>
      </c>
    </row>
    <row r="2466" spans="1:5" x14ac:dyDescent="0.3">
      <c r="A2466" s="2">
        <v>8131</v>
      </c>
      <c r="B2466" s="2" t="s">
        <v>2807</v>
      </c>
      <c r="C2466" s="2" t="s">
        <v>328</v>
      </c>
      <c r="D2466" s="483">
        <v>3541</v>
      </c>
      <c r="E2466" s="2" t="s">
        <v>331</v>
      </c>
    </row>
    <row r="2467" spans="1:5" x14ac:dyDescent="0.3">
      <c r="A2467" s="2">
        <v>8133</v>
      </c>
      <c r="B2467" s="2" t="s">
        <v>2808</v>
      </c>
      <c r="C2467" s="2" t="s">
        <v>328</v>
      </c>
      <c r="D2467" s="483">
        <v>7523</v>
      </c>
      <c r="E2467" s="2" t="s">
        <v>324</v>
      </c>
    </row>
    <row r="2468" spans="1:5" x14ac:dyDescent="0.3">
      <c r="A2468" s="2">
        <v>8134</v>
      </c>
      <c r="B2468" s="2" t="s">
        <v>2809</v>
      </c>
      <c r="C2468" s="2" t="s">
        <v>32</v>
      </c>
      <c r="D2468" s="483">
        <v>966132</v>
      </c>
      <c r="E2468" s="2" t="s">
        <v>331</v>
      </c>
    </row>
    <row r="2469" spans="1:5" x14ac:dyDescent="0.3">
      <c r="A2469" s="2">
        <v>8135</v>
      </c>
      <c r="B2469" s="2" t="s">
        <v>2810</v>
      </c>
      <c r="C2469" s="2" t="s">
        <v>328</v>
      </c>
      <c r="D2469" s="483">
        <v>807063</v>
      </c>
      <c r="E2469" s="2" t="s">
        <v>331</v>
      </c>
    </row>
    <row r="2470" spans="1:5" x14ac:dyDescent="0.3">
      <c r="A2470" s="2">
        <v>8136</v>
      </c>
      <c r="B2470" s="2" t="s">
        <v>2811</v>
      </c>
      <c r="C2470" s="2" t="s">
        <v>328</v>
      </c>
      <c r="D2470" s="483">
        <v>81276</v>
      </c>
      <c r="E2470" s="2" t="s">
        <v>331</v>
      </c>
    </row>
    <row r="2471" spans="1:5" x14ac:dyDescent="0.3">
      <c r="A2471" s="2">
        <v>8138</v>
      </c>
      <c r="B2471" s="2" t="s">
        <v>2812</v>
      </c>
      <c r="C2471" s="2" t="s">
        <v>328</v>
      </c>
      <c r="D2471" s="483">
        <v>109500</v>
      </c>
      <c r="E2471" s="2" t="s">
        <v>331</v>
      </c>
    </row>
    <row r="2472" spans="1:5" x14ac:dyDescent="0.3">
      <c r="A2472" s="2">
        <v>8139</v>
      </c>
      <c r="B2472" s="2" t="s">
        <v>2813</v>
      </c>
      <c r="C2472" s="2" t="s">
        <v>30</v>
      </c>
      <c r="D2472" s="483">
        <v>719293</v>
      </c>
      <c r="E2472" s="2" t="s">
        <v>331</v>
      </c>
    </row>
    <row r="2473" spans="1:5" x14ac:dyDescent="0.3">
      <c r="A2473" s="2">
        <v>8140</v>
      </c>
      <c r="B2473" s="2" t="s">
        <v>2814</v>
      </c>
      <c r="C2473" s="2" t="s">
        <v>32</v>
      </c>
      <c r="D2473" s="483">
        <v>1440901</v>
      </c>
      <c r="E2473" s="2" t="s">
        <v>331</v>
      </c>
    </row>
    <row r="2474" spans="1:5" x14ac:dyDescent="0.3">
      <c r="A2474" s="2">
        <v>8142</v>
      </c>
      <c r="B2474" s="2" t="s">
        <v>2815</v>
      </c>
      <c r="C2474" s="2" t="s">
        <v>328</v>
      </c>
      <c r="D2474" s="483">
        <v>104772</v>
      </c>
      <c r="E2474" s="2" t="s">
        <v>324</v>
      </c>
    </row>
    <row r="2475" spans="1:5" x14ac:dyDescent="0.3">
      <c r="A2475" s="2">
        <v>8143</v>
      </c>
      <c r="B2475" s="2" t="s">
        <v>2816</v>
      </c>
      <c r="C2475" s="2" t="s">
        <v>32</v>
      </c>
      <c r="D2475" s="483">
        <v>3023999</v>
      </c>
      <c r="E2475" s="2" t="s">
        <v>331</v>
      </c>
    </row>
    <row r="2476" spans="1:5" x14ac:dyDescent="0.3">
      <c r="A2476" s="2">
        <v>8144</v>
      </c>
      <c r="B2476" s="2" t="s">
        <v>2817</v>
      </c>
      <c r="C2476" s="2" t="s">
        <v>32</v>
      </c>
      <c r="D2476" s="483">
        <v>1311929</v>
      </c>
      <c r="E2476" s="2" t="s">
        <v>331</v>
      </c>
    </row>
    <row r="2477" spans="1:5" x14ac:dyDescent="0.3">
      <c r="A2477" s="2">
        <v>8145</v>
      </c>
      <c r="B2477" s="2" t="s">
        <v>2818</v>
      </c>
      <c r="C2477" s="2" t="s">
        <v>32</v>
      </c>
      <c r="D2477" s="483">
        <v>905712</v>
      </c>
      <c r="E2477" s="2" t="s">
        <v>331</v>
      </c>
    </row>
    <row r="2478" spans="1:5" x14ac:dyDescent="0.3">
      <c r="A2478" s="2">
        <v>8146</v>
      </c>
      <c r="B2478" s="2" t="s">
        <v>2819</v>
      </c>
      <c r="C2478" s="2" t="s">
        <v>32</v>
      </c>
      <c r="D2478" s="483">
        <v>447007</v>
      </c>
      <c r="E2478" s="2" t="s">
        <v>331</v>
      </c>
    </row>
    <row r="2479" spans="1:5" x14ac:dyDescent="0.3">
      <c r="A2479" s="2">
        <v>8148</v>
      </c>
      <c r="B2479" s="2" t="s">
        <v>2820</v>
      </c>
      <c r="C2479" s="2" t="s">
        <v>32</v>
      </c>
      <c r="D2479" s="483">
        <v>509316</v>
      </c>
      <c r="E2479" s="2" t="s">
        <v>331</v>
      </c>
    </row>
    <row r="2480" spans="1:5" x14ac:dyDescent="0.3">
      <c r="A2480" s="2">
        <v>8150</v>
      </c>
      <c r="B2480" s="2" t="s">
        <v>2821</v>
      </c>
      <c r="C2480" s="2" t="s">
        <v>32</v>
      </c>
      <c r="D2480" s="483">
        <v>2330538</v>
      </c>
      <c r="E2480" s="2" t="s">
        <v>331</v>
      </c>
    </row>
    <row r="2481" spans="1:5" x14ac:dyDescent="0.3">
      <c r="A2481" s="2">
        <v>8151</v>
      </c>
      <c r="B2481" s="2" t="s">
        <v>2822</v>
      </c>
      <c r="C2481" s="2" t="s">
        <v>32</v>
      </c>
      <c r="D2481" s="483">
        <v>1986674</v>
      </c>
      <c r="E2481" s="2" t="s">
        <v>331</v>
      </c>
    </row>
    <row r="2482" spans="1:5" x14ac:dyDescent="0.3">
      <c r="A2482" s="2">
        <v>8152</v>
      </c>
      <c r="B2482" s="2" t="s">
        <v>2823</v>
      </c>
      <c r="C2482" s="2" t="s">
        <v>32</v>
      </c>
      <c r="D2482" s="483">
        <v>54576</v>
      </c>
      <c r="E2482" s="2" t="s">
        <v>331</v>
      </c>
    </row>
    <row r="2483" spans="1:5" x14ac:dyDescent="0.3">
      <c r="A2483" s="2">
        <v>8153</v>
      </c>
      <c r="B2483" s="2" t="s">
        <v>2824</v>
      </c>
      <c r="C2483" s="2" t="s">
        <v>32</v>
      </c>
      <c r="D2483" s="483">
        <v>29588201</v>
      </c>
      <c r="E2483" s="2" t="s">
        <v>331</v>
      </c>
    </row>
    <row r="2484" spans="1:5" x14ac:dyDescent="0.3">
      <c r="A2484" s="2">
        <v>8154</v>
      </c>
      <c r="B2484" s="2" t="s">
        <v>2825</v>
      </c>
      <c r="C2484" s="2" t="s">
        <v>32</v>
      </c>
      <c r="D2484" s="483">
        <v>1426414</v>
      </c>
      <c r="E2484" s="2" t="s">
        <v>331</v>
      </c>
    </row>
    <row r="2485" spans="1:5" x14ac:dyDescent="0.3">
      <c r="A2485" s="2">
        <v>8155</v>
      </c>
      <c r="B2485" s="2" t="s">
        <v>2826</v>
      </c>
      <c r="C2485" s="2" t="s">
        <v>32</v>
      </c>
      <c r="D2485" s="483">
        <v>1835765</v>
      </c>
      <c r="E2485" s="2" t="s">
        <v>331</v>
      </c>
    </row>
    <row r="2486" spans="1:5" x14ac:dyDescent="0.3">
      <c r="A2486" s="2">
        <v>8156</v>
      </c>
      <c r="B2486" s="2" t="s">
        <v>2827</v>
      </c>
      <c r="C2486" s="2" t="s">
        <v>32</v>
      </c>
      <c r="D2486" s="483">
        <v>5439</v>
      </c>
      <c r="E2486" s="2" t="s">
        <v>331</v>
      </c>
    </row>
    <row r="2487" spans="1:5" x14ac:dyDescent="0.3">
      <c r="A2487" s="2">
        <v>8157</v>
      </c>
      <c r="B2487" s="2" t="s">
        <v>2828</v>
      </c>
      <c r="C2487" s="2" t="s">
        <v>32</v>
      </c>
      <c r="D2487" s="483">
        <v>24053023</v>
      </c>
      <c r="E2487" s="2" t="s">
        <v>331</v>
      </c>
    </row>
    <row r="2488" spans="1:5" x14ac:dyDescent="0.3">
      <c r="A2488" s="2">
        <v>8158</v>
      </c>
      <c r="B2488" s="2" t="s">
        <v>2829</v>
      </c>
      <c r="C2488" s="2" t="s">
        <v>30</v>
      </c>
      <c r="D2488" s="483">
        <v>738210</v>
      </c>
      <c r="E2488" s="2" t="s">
        <v>331</v>
      </c>
    </row>
    <row r="2489" spans="1:5" x14ac:dyDescent="0.3">
      <c r="A2489" s="2">
        <v>8159</v>
      </c>
      <c r="B2489" s="2" t="s">
        <v>2830</v>
      </c>
      <c r="C2489" s="2" t="s">
        <v>32</v>
      </c>
      <c r="D2489" s="483">
        <v>61717256</v>
      </c>
      <c r="E2489" s="2" t="s">
        <v>331</v>
      </c>
    </row>
    <row r="2490" spans="1:5" x14ac:dyDescent="0.3">
      <c r="A2490" s="2">
        <v>8160</v>
      </c>
      <c r="B2490" s="2" t="s">
        <v>2831</v>
      </c>
      <c r="C2490" s="2" t="s">
        <v>328</v>
      </c>
      <c r="D2490" s="483">
        <v>27308</v>
      </c>
      <c r="E2490" s="2" t="s">
        <v>331</v>
      </c>
    </row>
    <row r="2491" spans="1:5" x14ac:dyDescent="0.3">
      <c r="A2491" s="2">
        <v>8161</v>
      </c>
      <c r="B2491" s="2" t="s">
        <v>2832</v>
      </c>
      <c r="C2491" s="2" t="s">
        <v>32</v>
      </c>
      <c r="D2491" s="483">
        <v>2220631</v>
      </c>
      <c r="E2491" s="2" t="s">
        <v>331</v>
      </c>
    </row>
    <row r="2492" spans="1:5" x14ac:dyDescent="0.3">
      <c r="A2492" s="2">
        <v>8162</v>
      </c>
      <c r="B2492" s="2" t="s">
        <v>2833</v>
      </c>
      <c r="C2492" s="2" t="s">
        <v>328</v>
      </c>
      <c r="D2492" s="483">
        <v>54400</v>
      </c>
      <c r="E2492" s="2" t="s">
        <v>324</v>
      </c>
    </row>
    <row r="2493" spans="1:5" x14ac:dyDescent="0.3">
      <c r="A2493" s="2">
        <v>8163</v>
      </c>
      <c r="B2493" s="2" t="s">
        <v>2834</v>
      </c>
      <c r="C2493" s="2" t="s">
        <v>328</v>
      </c>
      <c r="D2493" s="483">
        <v>200674</v>
      </c>
      <c r="E2493" s="2" t="s">
        <v>324</v>
      </c>
    </row>
    <row r="2494" spans="1:5" x14ac:dyDescent="0.3">
      <c r="A2494" s="2">
        <v>8165</v>
      </c>
      <c r="B2494" s="2" t="s">
        <v>2835</v>
      </c>
      <c r="C2494" s="2" t="s">
        <v>32</v>
      </c>
      <c r="D2494" s="483">
        <v>501451</v>
      </c>
      <c r="E2494" s="2" t="s">
        <v>331</v>
      </c>
    </row>
    <row r="2495" spans="1:5" x14ac:dyDescent="0.3">
      <c r="A2495" s="2">
        <v>8166</v>
      </c>
      <c r="B2495" s="2" t="s">
        <v>2836</v>
      </c>
      <c r="C2495" s="2" t="s">
        <v>21</v>
      </c>
      <c r="D2495" s="483">
        <v>112423</v>
      </c>
      <c r="E2495" s="2" t="s">
        <v>331</v>
      </c>
    </row>
    <row r="2496" spans="1:5" x14ac:dyDescent="0.3">
      <c r="A2496" s="2">
        <v>8167</v>
      </c>
      <c r="B2496" s="2" t="s">
        <v>2837</v>
      </c>
      <c r="C2496" s="2" t="s">
        <v>21</v>
      </c>
      <c r="D2496" s="483">
        <v>177773</v>
      </c>
      <c r="E2496" s="2" t="s">
        <v>331</v>
      </c>
    </row>
    <row r="2497" spans="1:5" x14ac:dyDescent="0.3">
      <c r="A2497" s="2">
        <v>8168</v>
      </c>
      <c r="B2497" s="2" t="s">
        <v>2838</v>
      </c>
      <c r="C2497" s="2" t="s">
        <v>32</v>
      </c>
      <c r="D2497" s="483">
        <v>2576547</v>
      </c>
      <c r="E2497" s="2" t="s">
        <v>331</v>
      </c>
    </row>
    <row r="2498" spans="1:5" x14ac:dyDescent="0.3">
      <c r="A2498" s="2">
        <v>8169</v>
      </c>
      <c r="B2498" s="2" t="s">
        <v>2839</v>
      </c>
      <c r="C2498" s="2" t="s">
        <v>21</v>
      </c>
      <c r="D2498" s="483">
        <v>112423</v>
      </c>
      <c r="E2498" s="2" t="s">
        <v>331</v>
      </c>
    </row>
    <row r="2499" spans="1:5" x14ac:dyDescent="0.3">
      <c r="A2499" s="2">
        <v>8170</v>
      </c>
      <c r="B2499" s="2" t="s">
        <v>2840</v>
      </c>
      <c r="C2499" s="2" t="s">
        <v>32</v>
      </c>
      <c r="D2499" s="483">
        <v>1138638</v>
      </c>
      <c r="E2499" s="2" t="s">
        <v>324</v>
      </c>
    </row>
    <row r="2500" spans="1:5" x14ac:dyDescent="0.3">
      <c r="A2500" s="2">
        <v>8171</v>
      </c>
      <c r="B2500" s="2" t="s">
        <v>2841</v>
      </c>
      <c r="C2500" s="2" t="s">
        <v>328</v>
      </c>
      <c r="D2500" s="483">
        <v>505276</v>
      </c>
      <c r="E2500" s="2" t="s">
        <v>324</v>
      </c>
    </row>
    <row r="2501" spans="1:5" x14ac:dyDescent="0.3">
      <c r="A2501" s="2">
        <v>8172</v>
      </c>
      <c r="B2501" s="2" t="s">
        <v>2842</v>
      </c>
      <c r="C2501" s="2" t="s">
        <v>32</v>
      </c>
      <c r="D2501" s="483">
        <v>798371</v>
      </c>
      <c r="E2501" s="2" t="s">
        <v>324</v>
      </c>
    </row>
    <row r="2502" spans="1:5" x14ac:dyDescent="0.3">
      <c r="A2502" s="2">
        <v>8173</v>
      </c>
      <c r="B2502" s="2" t="s">
        <v>2843</v>
      </c>
      <c r="C2502" s="2" t="s">
        <v>32</v>
      </c>
      <c r="D2502" s="483">
        <v>997662</v>
      </c>
      <c r="E2502" s="2" t="s">
        <v>324</v>
      </c>
    </row>
    <row r="2503" spans="1:5" x14ac:dyDescent="0.3">
      <c r="A2503" s="2">
        <v>8177</v>
      </c>
      <c r="B2503" s="2" t="s">
        <v>2844</v>
      </c>
      <c r="C2503" s="2" t="s">
        <v>328</v>
      </c>
      <c r="D2503" s="483">
        <v>333992</v>
      </c>
      <c r="E2503" s="2" t="s">
        <v>324</v>
      </c>
    </row>
    <row r="2504" spans="1:5" x14ac:dyDescent="0.3">
      <c r="A2504" s="2">
        <v>8181</v>
      </c>
      <c r="B2504" s="2" t="s">
        <v>2845</v>
      </c>
      <c r="C2504" s="2" t="s">
        <v>32</v>
      </c>
      <c r="D2504" s="483">
        <v>2056271</v>
      </c>
      <c r="E2504" s="2" t="s">
        <v>331</v>
      </c>
    </row>
    <row r="2505" spans="1:5" x14ac:dyDescent="0.3">
      <c r="A2505" s="2">
        <v>8182</v>
      </c>
      <c r="B2505" s="2" t="s">
        <v>2846</v>
      </c>
      <c r="C2505" s="2" t="s">
        <v>32</v>
      </c>
      <c r="D2505" s="483">
        <v>5815365</v>
      </c>
      <c r="E2505" s="2" t="s">
        <v>331</v>
      </c>
    </row>
    <row r="2506" spans="1:5" x14ac:dyDescent="0.3">
      <c r="A2506" s="2">
        <v>8184</v>
      </c>
      <c r="B2506" s="2" t="s">
        <v>2847</v>
      </c>
      <c r="C2506" s="2" t="s">
        <v>21</v>
      </c>
      <c r="D2506" s="483">
        <v>8246</v>
      </c>
      <c r="E2506" s="2" t="s">
        <v>324</v>
      </c>
    </row>
    <row r="2507" spans="1:5" x14ac:dyDescent="0.3">
      <c r="A2507" s="2">
        <v>8185</v>
      </c>
      <c r="B2507" s="2" t="s">
        <v>2848</v>
      </c>
      <c r="C2507" s="2" t="s">
        <v>32</v>
      </c>
      <c r="D2507" s="483">
        <v>49437</v>
      </c>
      <c r="E2507" s="2" t="s">
        <v>331</v>
      </c>
    </row>
    <row r="2508" spans="1:5" x14ac:dyDescent="0.3">
      <c r="A2508" s="2">
        <v>8186</v>
      </c>
      <c r="B2508" s="2" t="s">
        <v>2849</v>
      </c>
      <c r="C2508" s="2" t="s">
        <v>21</v>
      </c>
      <c r="D2508" s="483">
        <v>101891</v>
      </c>
      <c r="E2508" s="2" t="s">
        <v>324</v>
      </c>
    </row>
    <row r="2509" spans="1:5" x14ac:dyDescent="0.3">
      <c r="A2509" s="2">
        <v>8187</v>
      </c>
      <c r="B2509" s="2" t="s">
        <v>2850</v>
      </c>
      <c r="C2509" s="2" t="s">
        <v>32</v>
      </c>
      <c r="D2509" s="483">
        <v>5307386</v>
      </c>
      <c r="E2509" s="2" t="s">
        <v>331</v>
      </c>
    </row>
    <row r="2510" spans="1:5" x14ac:dyDescent="0.3">
      <c r="A2510" s="2">
        <v>8188</v>
      </c>
      <c r="B2510" s="2" t="s">
        <v>2851</v>
      </c>
      <c r="C2510" s="2" t="s">
        <v>32</v>
      </c>
      <c r="D2510" s="483">
        <v>5213065</v>
      </c>
      <c r="E2510" s="2" t="s">
        <v>331</v>
      </c>
    </row>
    <row r="2511" spans="1:5" x14ac:dyDescent="0.3">
      <c r="A2511" s="2">
        <v>8194</v>
      </c>
      <c r="B2511" s="2" t="s">
        <v>2852</v>
      </c>
      <c r="C2511" s="2" t="s">
        <v>32</v>
      </c>
      <c r="D2511" s="483">
        <v>8778497</v>
      </c>
      <c r="E2511" s="2" t="s">
        <v>324</v>
      </c>
    </row>
    <row r="2512" spans="1:5" x14ac:dyDescent="0.3">
      <c r="A2512" s="2">
        <v>8195</v>
      </c>
      <c r="B2512" s="2" t="s">
        <v>2853</v>
      </c>
      <c r="C2512" s="2" t="s">
        <v>30</v>
      </c>
      <c r="D2512" s="483">
        <v>1284323</v>
      </c>
      <c r="E2512" s="2" t="s">
        <v>331</v>
      </c>
    </row>
    <row r="2513" spans="1:5" x14ac:dyDescent="0.3">
      <c r="A2513" s="2">
        <v>8196</v>
      </c>
      <c r="B2513" s="2" t="s">
        <v>2854</v>
      </c>
      <c r="C2513" s="2" t="s">
        <v>30</v>
      </c>
      <c r="D2513" s="483">
        <v>801255</v>
      </c>
      <c r="E2513" s="2" t="s">
        <v>331</v>
      </c>
    </row>
    <row r="2514" spans="1:5" x14ac:dyDescent="0.3">
      <c r="A2514" s="2">
        <v>8200</v>
      </c>
      <c r="B2514" s="2" t="s">
        <v>2855</v>
      </c>
      <c r="C2514" s="2" t="s">
        <v>328</v>
      </c>
      <c r="D2514" s="483">
        <v>998837</v>
      </c>
      <c r="E2514" s="2" t="s">
        <v>331</v>
      </c>
    </row>
    <row r="2515" spans="1:5" x14ac:dyDescent="0.3">
      <c r="A2515" s="2">
        <v>8202</v>
      </c>
      <c r="B2515" s="2" t="s">
        <v>2856</v>
      </c>
      <c r="C2515" s="2" t="s">
        <v>32</v>
      </c>
      <c r="D2515" s="483">
        <v>353416</v>
      </c>
      <c r="E2515" s="2" t="s">
        <v>324</v>
      </c>
    </row>
    <row r="2516" spans="1:5" x14ac:dyDescent="0.3">
      <c r="A2516" s="2">
        <v>8204</v>
      </c>
      <c r="B2516" s="2" t="s">
        <v>2857</v>
      </c>
      <c r="C2516" s="2" t="s">
        <v>30</v>
      </c>
      <c r="D2516" s="483">
        <v>821174</v>
      </c>
      <c r="E2516" s="2" t="s">
        <v>331</v>
      </c>
    </row>
    <row r="2517" spans="1:5" x14ac:dyDescent="0.3">
      <c r="A2517" s="2">
        <v>8205</v>
      </c>
      <c r="B2517" s="2" t="s">
        <v>2858</v>
      </c>
      <c r="C2517" s="2" t="s">
        <v>21</v>
      </c>
      <c r="D2517" s="483">
        <v>219344</v>
      </c>
      <c r="E2517" s="2" t="s">
        <v>331</v>
      </c>
    </row>
    <row r="2518" spans="1:5" x14ac:dyDescent="0.3">
      <c r="A2518" s="2">
        <v>8209</v>
      </c>
      <c r="B2518" s="2" t="s">
        <v>2859</v>
      </c>
      <c r="C2518" s="2" t="s">
        <v>32</v>
      </c>
      <c r="D2518" s="483">
        <v>627543</v>
      </c>
      <c r="E2518" s="2" t="s">
        <v>331</v>
      </c>
    </row>
    <row r="2519" spans="1:5" x14ac:dyDescent="0.3">
      <c r="A2519" s="2">
        <v>8210</v>
      </c>
      <c r="B2519" s="2" t="s">
        <v>2860</v>
      </c>
      <c r="C2519" s="2" t="s">
        <v>328</v>
      </c>
      <c r="D2519" s="483">
        <v>6482</v>
      </c>
      <c r="E2519" s="2" t="s">
        <v>324</v>
      </c>
    </row>
    <row r="2520" spans="1:5" x14ac:dyDescent="0.3">
      <c r="A2520" s="2">
        <v>8212</v>
      </c>
      <c r="B2520" s="2" t="s">
        <v>2861</v>
      </c>
      <c r="C2520" s="2" t="s">
        <v>21</v>
      </c>
      <c r="D2520" s="483">
        <v>97763</v>
      </c>
      <c r="E2520" s="2" t="s">
        <v>331</v>
      </c>
    </row>
    <row r="2521" spans="1:5" x14ac:dyDescent="0.3">
      <c r="A2521" s="2">
        <v>8213</v>
      </c>
      <c r="B2521" s="2" t="s">
        <v>2862</v>
      </c>
      <c r="C2521" s="2" t="s">
        <v>328</v>
      </c>
      <c r="D2521" s="483">
        <v>189072</v>
      </c>
      <c r="E2521" s="2" t="s">
        <v>324</v>
      </c>
    </row>
    <row r="2522" spans="1:5" x14ac:dyDescent="0.3">
      <c r="A2522" s="2">
        <v>8214</v>
      </c>
      <c r="B2522" s="2" t="s">
        <v>2863</v>
      </c>
      <c r="C2522" s="2" t="s">
        <v>328</v>
      </c>
      <c r="D2522" s="483">
        <v>175964</v>
      </c>
      <c r="E2522" s="2" t="s">
        <v>324</v>
      </c>
    </row>
    <row r="2523" spans="1:5" x14ac:dyDescent="0.3">
      <c r="A2523" s="2">
        <v>8217</v>
      </c>
      <c r="B2523" s="2" t="s">
        <v>2864</v>
      </c>
      <c r="C2523" s="2" t="s">
        <v>328</v>
      </c>
      <c r="D2523" s="483">
        <v>482706</v>
      </c>
      <c r="E2523" s="2" t="s">
        <v>324</v>
      </c>
    </row>
    <row r="2524" spans="1:5" x14ac:dyDescent="0.3">
      <c r="A2524" s="2">
        <v>8218</v>
      </c>
      <c r="B2524" s="2" t="s">
        <v>2865</v>
      </c>
      <c r="C2524" s="2" t="s">
        <v>32</v>
      </c>
      <c r="D2524" s="483">
        <v>1773326</v>
      </c>
      <c r="E2524" s="2" t="s">
        <v>324</v>
      </c>
    </row>
    <row r="2525" spans="1:5" x14ac:dyDescent="0.3">
      <c r="A2525" s="2">
        <v>8219</v>
      </c>
      <c r="B2525" s="2" t="s">
        <v>2866</v>
      </c>
      <c r="C2525" s="2" t="s">
        <v>32</v>
      </c>
      <c r="D2525" s="483">
        <v>1828586</v>
      </c>
      <c r="E2525" s="2" t="s">
        <v>324</v>
      </c>
    </row>
    <row r="2526" spans="1:5" x14ac:dyDescent="0.3">
      <c r="A2526" s="2">
        <v>8220</v>
      </c>
      <c r="B2526" s="2" t="s">
        <v>2867</v>
      </c>
      <c r="C2526" s="2" t="s">
        <v>32</v>
      </c>
      <c r="D2526" s="483">
        <v>1716906</v>
      </c>
      <c r="E2526" s="2" t="s">
        <v>324</v>
      </c>
    </row>
    <row r="2527" spans="1:5" x14ac:dyDescent="0.3">
      <c r="A2527" s="2">
        <v>8221</v>
      </c>
      <c r="B2527" s="2" t="s">
        <v>2868</v>
      </c>
      <c r="C2527" s="2" t="s">
        <v>32</v>
      </c>
      <c r="D2527" s="483">
        <v>450023</v>
      </c>
      <c r="E2527" s="2" t="s">
        <v>324</v>
      </c>
    </row>
    <row r="2528" spans="1:5" x14ac:dyDescent="0.3">
      <c r="A2528" s="2">
        <v>8222</v>
      </c>
      <c r="B2528" s="2" t="s">
        <v>2869</v>
      </c>
      <c r="C2528" s="2" t="s">
        <v>21</v>
      </c>
      <c r="D2528" s="483">
        <v>69625</v>
      </c>
      <c r="E2528" s="2" t="s">
        <v>324</v>
      </c>
    </row>
    <row r="2529" spans="1:5" x14ac:dyDescent="0.3">
      <c r="A2529" s="2">
        <v>8223</v>
      </c>
      <c r="B2529" s="2" t="s">
        <v>2870</v>
      </c>
      <c r="C2529" s="2" t="s">
        <v>21</v>
      </c>
      <c r="D2529" s="483">
        <v>69625</v>
      </c>
      <c r="E2529" s="2" t="s">
        <v>324</v>
      </c>
    </row>
    <row r="2530" spans="1:5" x14ac:dyDescent="0.3">
      <c r="A2530" s="2">
        <v>8224</v>
      </c>
      <c r="B2530" s="2" t="s">
        <v>2871</v>
      </c>
      <c r="C2530" s="2" t="s">
        <v>32</v>
      </c>
      <c r="D2530" s="483">
        <v>8279791</v>
      </c>
      <c r="E2530" s="2" t="s">
        <v>331</v>
      </c>
    </row>
    <row r="2531" spans="1:5" x14ac:dyDescent="0.3">
      <c r="A2531" s="2">
        <v>8225</v>
      </c>
      <c r="B2531" s="2" t="s">
        <v>2872</v>
      </c>
      <c r="C2531" s="2" t="s">
        <v>32</v>
      </c>
      <c r="D2531" s="483">
        <v>1781902</v>
      </c>
      <c r="E2531" s="2" t="s">
        <v>331</v>
      </c>
    </row>
    <row r="2532" spans="1:5" x14ac:dyDescent="0.3">
      <c r="A2532" s="2">
        <v>8226</v>
      </c>
      <c r="B2532" s="2" t="s">
        <v>2873</v>
      </c>
      <c r="C2532" s="2" t="s">
        <v>21</v>
      </c>
      <c r="D2532" s="483">
        <v>60966</v>
      </c>
      <c r="E2532" s="2" t="s">
        <v>331</v>
      </c>
    </row>
    <row r="2533" spans="1:5" x14ac:dyDescent="0.3">
      <c r="A2533" s="2">
        <v>8227</v>
      </c>
      <c r="B2533" s="2" t="s">
        <v>2874</v>
      </c>
      <c r="C2533" s="2" t="s">
        <v>328</v>
      </c>
      <c r="D2533" s="483">
        <v>68437</v>
      </c>
      <c r="E2533" s="2" t="s">
        <v>331</v>
      </c>
    </row>
    <row r="2534" spans="1:5" x14ac:dyDescent="0.3">
      <c r="A2534" s="2">
        <v>8228</v>
      </c>
      <c r="B2534" s="2" t="s">
        <v>2875</v>
      </c>
      <c r="C2534" s="2" t="s">
        <v>328</v>
      </c>
      <c r="D2534" s="483">
        <v>28230</v>
      </c>
      <c r="E2534" s="2" t="s">
        <v>331</v>
      </c>
    </row>
    <row r="2535" spans="1:5" x14ac:dyDescent="0.3">
      <c r="A2535" s="2">
        <v>8229</v>
      </c>
      <c r="B2535" s="2" t="s">
        <v>2876</v>
      </c>
      <c r="C2535" s="2" t="s">
        <v>328</v>
      </c>
      <c r="D2535" s="483">
        <v>22450</v>
      </c>
      <c r="E2535" s="2" t="s">
        <v>331</v>
      </c>
    </row>
    <row r="2536" spans="1:5" x14ac:dyDescent="0.3">
      <c r="A2536" s="2">
        <v>8230</v>
      </c>
      <c r="B2536" s="2" t="s">
        <v>2877</v>
      </c>
      <c r="C2536" s="2" t="s">
        <v>21</v>
      </c>
      <c r="D2536" s="483">
        <v>144234</v>
      </c>
      <c r="E2536" s="2" t="s">
        <v>331</v>
      </c>
    </row>
    <row r="2537" spans="1:5" x14ac:dyDescent="0.3">
      <c r="A2537" s="2">
        <v>8231</v>
      </c>
      <c r="B2537" s="2" t="s">
        <v>2878</v>
      </c>
      <c r="C2537" s="2" t="s">
        <v>670</v>
      </c>
      <c r="D2537" s="483">
        <v>19100</v>
      </c>
      <c r="E2537" s="2" t="s">
        <v>331</v>
      </c>
    </row>
    <row r="2538" spans="1:5" x14ac:dyDescent="0.3">
      <c r="A2538" s="2">
        <v>8237</v>
      </c>
      <c r="B2538" s="2" t="s">
        <v>2879</v>
      </c>
      <c r="C2538" s="2" t="s">
        <v>328</v>
      </c>
      <c r="D2538" s="483">
        <v>22988</v>
      </c>
      <c r="E2538" s="2" t="s">
        <v>331</v>
      </c>
    </row>
    <row r="2539" spans="1:5" x14ac:dyDescent="0.3">
      <c r="A2539" s="2">
        <v>8238</v>
      </c>
      <c r="B2539" s="2" t="s">
        <v>2880</v>
      </c>
      <c r="C2539" s="2" t="s">
        <v>32</v>
      </c>
      <c r="D2539" s="483">
        <v>268340</v>
      </c>
      <c r="E2539" s="2" t="s">
        <v>331</v>
      </c>
    </row>
    <row r="2540" spans="1:5" x14ac:dyDescent="0.3">
      <c r="A2540" s="2">
        <v>8241</v>
      </c>
      <c r="B2540" s="2" t="s">
        <v>2881</v>
      </c>
      <c r="C2540" s="2" t="s">
        <v>32</v>
      </c>
      <c r="D2540" s="483">
        <v>8561373</v>
      </c>
      <c r="E2540" s="2" t="s">
        <v>331</v>
      </c>
    </row>
    <row r="2541" spans="1:5" x14ac:dyDescent="0.3">
      <c r="A2541" s="2">
        <v>8242</v>
      </c>
      <c r="B2541" s="2" t="s">
        <v>2882</v>
      </c>
      <c r="C2541" s="2" t="s">
        <v>32</v>
      </c>
      <c r="D2541" s="483">
        <v>3712297</v>
      </c>
      <c r="E2541" s="2" t="s">
        <v>331</v>
      </c>
    </row>
    <row r="2542" spans="1:5" x14ac:dyDescent="0.3">
      <c r="A2542" s="2">
        <v>8243</v>
      </c>
      <c r="B2542" s="2" t="s">
        <v>2883</v>
      </c>
      <c r="C2542" s="2" t="s">
        <v>32</v>
      </c>
      <c r="D2542" s="483">
        <v>12065722</v>
      </c>
      <c r="E2542" s="2" t="s">
        <v>331</v>
      </c>
    </row>
    <row r="2543" spans="1:5" x14ac:dyDescent="0.3">
      <c r="A2543" s="2">
        <v>8244</v>
      </c>
      <c r="B2543" s="2" t="s">
        <v>2884</v>
      </c>
      <c r="C2543" s="2" t="s">
        <v>32</v>
      </c>
      <c r="D2543" s="483">
        <v>15503334</v>
      </c>
      <c r="E2543" s="2" t="s">
        <v>331</v>
      </c>
    </row>
    <row r="2544" spans="1:5" x14ac:dyDescent="0.3">
      <c r="A2544" s="2">
        <v>8245</v>
      </c>
      <c r="B2544" s="2" t="s">
        <v>2885</v>
      </c>
      <c r="C2544" s="2" t="s">
        <v>32</v>
      </c>
      <c r="D2544" s="483">
        <v>19257887</v>
      </c>
      <c r="E2544" s="2" t="s">
        <v>331</v>
      </c>
    </row>
    <row r="2545" spans="1:5" x14ac:dyDescent="0.3">
      <c r="A2545" s="2">
        <v>8246</v>
      </c>
      <c r="B2545" s="2" t="s">
        <v>2886</v>
      </c>
      <c r="C2545" s="2" t="s">
        <v>32</v>
      </c>
      <c r="D2545" s="483">
        <v>8546762</v>
      </c>
      <c r="E2545" s="2" t="s">
        <v>331</v>
      </c>
    </row>
    <row r="2546" spans="1:5" x14ac:dyDescent="0.3">
      <c r="A2546" s="2">
        <v>8247</v>
      </c>
      <c r="B2546" s="2" t="s">
        <v>2887</v>
      </c>
      <c r="C2546" s="2" t="s">
        <v>32</v>
      </c>
      <c r="D2546" s="483">
        <v>11767303</v>
      </c>
      <c r="E2546" s="2" t="s">
        <v>331</v>
      </c>
    </row>
    <row r="2547" spans="1:5" x14ac:dyDescent="0.3">
      <c r="A2547" s="2">
        <v>8252</v>
      </c>
      <c r="B2547" s="2" t="s">
        <v>2888</v>
      </c>
      <c r="C2547" s="2" t="s">
        <v>32</v>
      </c>
      <c r="D2547" s="483">
        <v>4746874</v>
      </c>
      <c r="E2547" s="2" t="s">
        <v>331</v>
      </c>
    </row>
    <row r="2548" spans="1:5" x14ac:dyDescent="0.3">
      <c r="A2548" s="2">
        <v>8253</v>
      </c>
      <c r="B2548" s="2" t="s">
        <v>2889</v>
      </c>
      <c r="C2548" s="2" t="s">
        <v>32</v>
      </c>
      <c r="D2548" s="483">
        <v>9934593</v>
      </c>
      <c r="E2548" s="2" t="s">
        <v>331</v>
      </c>
    </row>
    <row r="2549" spans="1:5" x14ac:dyDescent="0.3">
      <c r="A2549" s="2">
        <v>8255</v>
      </c>
      <c r="B2549" s="2" t="s">
        <v>2890</v>
      </c>
      <c r="C2549" s="2" t="s">
        <v>32</v>
      </c>
      <c r="D2549" s="483">
        <v>990273</v>
      </c>
      <c r="E2549" s="2" t="s">
        <v>331</v>
      </c>
    </row>
    <row r="2550" spans="1:5" x14ac:dyDescent="0.3">
      <c r="A2550" s="2">
        <v>8257</v>
      </c>
      <c r="B2550" s="2" t="s">
        <v>2891</v>
      </c>
      <c r="C2550" s="2" t="s">
        <v>32</v>
      </c>
      <c r="D2550" s="483">
        <v>12059520</v>
      </c>
      <c r="E2550" s="2" t="s">
        <v>331</v>
      </c>
    </row>
    <row r="2551" spans="1:5" x14ac:dyDescent="0.3">
      <c r="A2551" s="2">
        <v>8258</v>
      </c>
      <c r="B2551" s="2" t="s">
        <v>2892</v>
      </c>
      <c r="C2551" s="2" t="s">
        <v>32</v>
      </c>
      <c r="D2551" s="483">
        <v>5818557</v>
      </c>
      <c r="E2551" s="2" t="s">
        <v>331</v>
      </c>
    </row>
    <row r="2552" spans="1:5" x14ac:dyDescent="0.3">
      <c r="A2552" s="2">
        <v>8259</v>
      </c>
      <c r="B2552" s="2" t="s">
        <v>2893</v>
      </c>
      <c r="C2552" s="2" t="s">
        <v>32</v>
      </c>
      <c r="D2552" s="483">
        <v>5150394</v>
      </c>
      <c r="E2552" s="2" t="s">
        <v>331</v>
      </c>
    </row>
    <row r="2553" spans="1:5" x14ac:dyDescent="0.3">
      <c r="A2553" s="2">
        <v>8262</v>
      </c>
      <c r="B2553" s="2" t="s">
        <v>2894</v>
      </c>
      <c r="C2553" s="2" t="s">
        <v>32</v>
      </c>
      <c r="D2553" s="483">
        <v>15190039</v>
      </c>
      <c r="E2553" s="2" t="s">
        <v>331</v>
      </c>
    </row>
    <row r="2554" spans="1:5" x14ac:dyDescent="0.3">
      <c r="A2554" s="2">
        <v>8263</v>
      </c>
      <c r="B2554" s="2" t="s">
        <v>2895</v>
      </c>
      <c r="C2554" s="2" t="s">
        <v>32</v>
      </c>
      <c r="D2554" s="483">
        <v>16498227</v>
      </c>
      <c r="E2554" s="2" t="s">
        <v>331</v>
      </c>
    </row>
    <row r="2555" spans="1:5" x14ac:dyDescent="0.3">
      <c r="A2555" s="2">
        <v>8265</v>
      </c>
      <c r="B2555" s="2" t="s">
        <v>2896</v>
      </c>
      <c r="C2555" s="2" t="s">
        <v>32</v>
      </c>
      <c r="D2555" s="483">
        <v>636530</v>
      </c>
      <c r="E2555" s="2" t="s">
        <v>324</v>
      </c>
    </row>
    <row r="2556" spans="1:5" x14ac:dyDescent="0.3">
      <c r="A2556" s="2">
        <v>8267</v>
      </c>
      <c r="B2556" s="2" t="s">
        <v>2897</v>
      </c>
      <c r="C2556" s="2" t="s">
        <v>32</v>
      </c>
      <c r="D2556" s="483">
        <v>9224955</v>
      </c>
      <c r="E2556" s="2" t="s">
        <v>331</v>
      </c>
    </row>
    <row r="2557" spans="1:5" x14ac:dyDescent="0.3">
      <c r="A2557" s="2">
        <v>8273</v>
      </c>
      <c r="B2557" s="2" t="s">
        <v>2898</v>
      </c>
      <c r="C2557" s="2" t="s">
        <v>32</v>
      </c>
      <c r="D2557" s="483">
        <v>1977283</v>
      </c>
      <c r="E2557" s="2" t="s">
        <v>331</v>
      </c>
    </row>
    <row r="2558" spans="1:5" x14ac:dyDescent="0.3">
      <c r="A2558" s="2">
        <v>8274</v>
      </c>
      <c r="B2558" s="2" t="s">
        <v>2899</v>
      </c>
      <c r="C2558" s="2" t="s">
        <v>328</v>
      </c>
      <c r="D2558" s="483">
        <v>22629771</v>
      </c>
      <c r="E2558" s="2" t="s">
        <v>331</v>
      </c>
    </row>
    <row r="2559" spans="1:5" x14ac:dyDescent="0.3">
      <c r="A2559" s="2">
        <v>8276</v>
      </c>
      <c r="B2559" s="2" t="s">
        <v>2900</v>
      </c>
      <c r="C2559" s="2" t="s">
        <v>32</v>
      </c>
      <c r="D2559" s="483">
        <v>398220</v>
      </c>
      <c r="E2559" s="2" t="s">
        <v>331</v>
      </c>
    </row>
    <row r="2560" spans="1:5" x14ac:dyDescent="0.3">
      <c r="A2560" s="2">
        <v>8278</v>
      </c>
      <c r="B2560" s="2" t="s">
        <v>2901</v>
      </c>
      <c r="C2560" s="2" t="s">
        <v>32</v>
      </c>
      <c r="D2560" s="483">
        <v>1177219</v>
      </c>
      <c r="E2560" s="2" t="s">
        <v>324</v>
      </c>
    </row>
    <row r="2561" spans="1:5" x14ac:dyDescent="0.3">
      <c r="A2561" s="2">
        <v>8291</v>
      </c>
      <c r="B2561" s="2" t="s">
        <v>2902</v>
      </c>
      <c r="C2561" s="2" t="s">
        <v>328</v>
      </c>
      <c r="D2561" s="483">
        <v>6948080</v>
      </c>
      <c r="E2561" s="2" t="s">
        <v>331</v>
      </c>
    </row>
    <row r="2562" spans="1:5" x14ac:dyDescent="0.3">
      <c r="A2562" s="2">
        <v>8298</v>
      </c>
      <c r="B2562" s="2" t="s">
        <v>2903</v>
      </c>
      <c r="C2562" s="2" t="s">
        <v>32</v>
      </c>
      <c r="D2562" s="483">
        <v>3153680</v>
      </c>
      <c r="E2562" s="2" t="s">
        <v>324</v>
      </c>
    </row>
    <row r="2563" spans="1:5" x14ac:dyDescent="0.3">
      <c r="A2563" s="2">
        <v>8301</v>
      </c>
      <c r="B2563" s="2" t="s">
        <v>2904</v>
      </c>
      <c r="C2563" s="2" t="s">
        <v>32</v>
      </c>
      <c r="D2563" s="483">
        <v>366830</v>
      </c>
      <c r="E2563" s="2" t="s">
        <v>324</v>
      </c>
    </row>
    <row r="2564" spans="1:5" x14ac:dyDescent="0.3">
      <c r="A2564" s="2">
        <v>8304</v>
      </c>
      <c r="B2564" s="2" t="s">
        <v>2905</v>
      </c>
      <c r="C2564" s="2" t="s">
        <v>32</v>
      </c>
      <c r="D2564" s="483">
        <v>7829570</v>
      </c>
      <c r="E2564" s="2" t="s">
        <v>331</v>
      </c>
    </row>
    <row r="2565" spans="1:5" x14ac:dyDescent="0.3">
      <c r="A2565" s="2">
        <v>8305</v>
      </c>
      <c r="B2565" s="2" t="s">
        <v>2906</v>
      </c>
      <c r="C2565" s="2" t="s">
        <v>32</v>
      </c>
      <c r="D2565" s="483">
        <v>4410711</v>
      </c>
      <c r="E2565" s="2" t="s">
        <v>324</v>
      </c>
    </row>
    <row r="2566" spans="1:5" x14ac:dyDescent="0.3">
      <c r="A2566" s="2">
        <v>8306</v>
      </c>
      <c r="B2566" s="2" t="s">
        <v>2907</v>
      </c>
      <c r="C2566" s="2" t="s">
        <v>32</v>
      </c>
      <c r="D2566" s="483">
        <v>7208</v>
      </c>
      <c r="E2566" s="2" t="s">
        <v>331</v>
      </c>
    </row>
    <row r="2567" spans="1:5" x14ac:dyDescent="0.3">
      <c r="A2567" s="2">
        <v>8307</v>
      </c>
      <c r="B2567" s="2" t="s">
        <v>2908</v>
      </c>
      <c r="C2567" s="2" t="s">
        <v>328</v>
      </c>
      <c r="D2567" s="483">
        <v>3740996</v>
      </c>
      <c r="E2567" s="2" t="s">
        <v>331</v>
      </c>
    </row>
    <row r="2568" spans="1:5" x14ac:dyDescent="0.3">
      <c r="A2568" s="2">
        <v>8308</v>
      </c>
      <c r="B2568" s="2" t="s">
        <v>2909</v>
      </c>
      <c r="C2568" s="2" t="s">
        <v>32</v>
      </c>
      <c r="D2568" s="483">
        <v>9483409</v>
      </c>
      <c r="E2568" s="2" t="s">
        <v>324</v>
      </c>
    </row>
    <row r="2569" spans="1:5" x14ac:dyDescent="0.3">
      <c r="A2569" s="2">
        <v>8309</v>
      </c>
      <c r="B2569" s="2" t="s">
        <v>2910</v>
      </c>
      <c r="C2569" s="2" t="s">
        <v>328</v>
      </c>
      <c r="D2569" s="483">
        <v>4087534</v>
      </c>
      <c r="E2569" s="2" t="s">
        <v>331</v>
      </c>
    </row>
    <row r="2570" spans="1:5" x14ac:dyDescent="0.3">
      <c r="A2570" s="2">
        <v>8310</v>
      </c>
      <c r="B2570" s="2" t="s">
        <v>2911</v>
      </c>
      <c r="C2570" s="2" t="s">
        <v>328</v>
      </c>
      <c r="D2570" s="483">
        <v>4609301</v>
      </c>
      <c r="E2570" s="2" t="s">
        <v>331</v>
      </c>
    </row>
    <row r="2571" spans="1:5" x14ac:dyDescent="0.3">
      <c r="A2571" s="2">
        <v>8311</v>
      </c>
      <c r="B2571" s="2" t="s">
        <v>2912</v>
      </c>
      <c r="C2571" s="2" t="s">
        <v>328</v>
      </c>
      <c r="D2571" s="483">
        <v>5166581</v>
      </c>
      <c r="E2571" s="2" t="s">
        <v>331</v>
      </c>
    </row>
    <row r="2572" spans="1:5" x14ac:dyDescent="0.3">
      <c r="A2572" s="2">
        <v>8312</v>
      </c>
      <c r="B2572" s="2" t="s">
        <v>2913</v>
      </c>
      <c r="C2572" s="2" t="s">
        <v>328</v>
      </c>
      <c r="D2572" s="483">
        <v>6564428</v>
      </c>
      <c r="E2572" s="2" t="s">
        <v>331</v>
      </c>
    </row>
    <row r="2573" spans="1:5" x14ac:dyDescent="0.3">
      <c r="A2573" s="2">
        <v>8313</v>
      </c>
      <c r="B2573" s="2" t="s">
        <v>2914</v>
      </c>
      <c r="C2573" s="2" t="s">
        <v>328</v>
      </c>
      <c r="D2573" s="483">
        <v>7991029</v>
      </c>
      <c r="E2573" s="2" t="s">
        <v>331</v>
      </c>
    </row>
    <row r="2574" spans="1:5" x14ac:dyDescent="0.3">
      <c r="A2574" s="2">
        <v>8314</v>
      </c>
      <c r="B2574" s="2" t="s">
        <v>2915</v>
      </c>
      <c r="C2574" s="2" t="s">
        <v>32</v>
      </c>
      <c r="D2574" s="483">
        <v>872698</v>
      </c>
      <c r="E2574" s="2" t="s">
        <v>324</v>
      </c>
    </row>
    <row r="2575" spans="1:5" x14ac:dyDescent="0.3">
      <c r="A2575" s="2">
        <v>8315</v>
      </c>
      <c r="B2575" s="2" t="s">
        <v>2916</v>
      </c>
      <c r="C2575" s="2" t="s">
        <v>32</v>
      </c>
      <c r="D2575" s="483">
        <v>833000</v>
      </c>
      <c r="E2575" s="2" t="s">
        <v>1416</v>
      </c>
    </row>
    <row r="2576" spans="1:5" x14ac:dyDescent="0.3">
      <c r="A2576" s="2">
        <v>8316</v>
      </c>
      <c r="B2576" s="2" t="s">
        <v>2917</v>
      </c>
      <c r="C2576" s="2" t="s">
        <v>32</v>
      </c>
      <c r="D2576" s="483">
        <v>19690</v>
      </c>
      <c r="E2576" s="2" t="s">
        <v>331</v>
      </c>
    </row>
    <row r="2577" spans="1:5" x14ac:dyDescent="0.3">
      <c r="A2577" s="2">
        <v>8317</v>
      </c>
      <c r="B2577" s="2" t="s">
        <v>2918</v>
      </c>
      <c r="C2577" s="2" t="s">
        <v>328</v>
      </c>
      <c r="D2577" s="483">
        <v>45871</v>
      </c>
      <c r="E2577" s="2" t="s">
        <v>324</v>
      </c>
    </row>
    <row r="2578" spans="1:5" x14ac:dyDescent="0.3">
      <c r="A2578" s="2">
        <v>8318</v>
      </c>
      <c r="B2578" s="2" t="s">
        <v>2919</v>
      </c>
      <c r="C2578" s="2" t="s">
        <v>328</v>
      </c>
      <c r="D2578" s="483">
        <v>65846</v>
      </c>
      <c r="E2578" s="2" t="s">
        <v>324</v>
      </c>
    </row>
    <row r="2579" spans="1:5" x14ac:dyDescent="0.3">
      <c r="A2579" s="2">
        <v>8319</v>
      </c>
      <c r="B2579" s="2" t="s">
        <v>2920</v>
      </c>
      <c r="C2579" s="2" t="s">
        <v>328</v>
      </c>
      <c r="D2579" s="483">
        <v>74062</v>
      </c>
      <c r="E2579" s="2" t="s">
        <v>324</v>
      </c>
    </row>
    <row r="2580" spans="1:5" x14ac:dyDescent="0.3">
      <c r="A2580" s="2">
        <v>8320</v>
      </c>
      <c r="B2580" s="2" t="s">
        <v>2921</v>
      </c>
      <c r="C2580" s="2" t="s">
        <v>32</v>
      </c>
      <c r="D2580" s="483">
        <v>170598</v>
      </c>
      <c r="E2580" s="2" t="s">
        <v>324</v>
      </c>
    </row>
    <row r="2581" spans="1:5" x14ac:dyDescent="0.3">
      <c r="A2581" s="2">
        <v>8321</v>
      </c>
      <c r="B2581" s="2" t="s">
        <v>2922</v>
      </c>
      <c r="C2581" s="2" t="s">
        <v>32</v>
      </c>
      <c r="D2581" s="483">
        <v>315863</v>
      </c>
      <c r="E2581" s="2" t="s">
        <v>324</v>
      </c>
    </row>
    <row r="2582" spans="1:5" x14ac:dyDescent="0.3">
      <c r="A2582" s="2">
        <v>8322</v>
      </c>
      <c r="B2582" s="2" t="s">
        <v>2923</v>
      </c>
      <c r="C2582" s="2" t="s">
        <v>32</v>
      </c>
      <c r="D2582" s="483">
        <v>373413</v>
      </c>
      <c r="E2582" s="2" t="s">
        <v>324</v>
      </c>
    </row>
    <row r="2583" spans="1:5" x14ac:dyDescent="0.3">
      <c r="A2583" s="2">
        <v>8323</v>
      </c>
      <c r="B2583" s="2" t="s">
        <v>2924</v>
      </c>
      <c r="C2583" s="2" t="s">
        <v>32</v>
      </c>
      <c r="D2583" s="483">
        <v>540951</v>
      </c>
      <c r="E2583" s="2" t="s">
        <v>324</v>
      </c>
    </row>
    <row r="2584" spans="1:5" x14ac:dyDescent="0.3">
      <c r="A2584" s="2">
        <v>8324</v>
      </c>
      <c r="B2584" s="2" t="s">
        <v>2925</v>
      </c>
      <c r="C2584" s="2" t="s">
        <v>32</v>
      </c>
      <c r="D2584" s="483">
        <v>4353406</v>
      </c>
      <c r="E2584" s="2" t="s">
        <v>331</v>
      </c>
    </row>
    <row r="2585" spans="1:5" x14ac:dyDescent="0.3">
      <c r="A2585" s="2">
        <v>8325</v>
      </c>
      <c r="B2585" s="2" t="s">
        <v>2926</v>
      </c>
      <c r="C2585" s="2" t="s">
        <v>32</v>
      </c>
      <c r="D2585" s="483">
        <v>4353406</v>
      </c>
      <c r="E2585" s="2" t="s">
        <v>331</v>
      </c>
    </row>
    <row r="2586" spans="1:5" x14ac:dyDescent="0.3">
      <c r="A2586" s="2">
        <v>8330</v>
      </c>
      <c r="B2586" s="2" t="s">
        <v>2927</v>
      </c>
      <c r="C2586" s="2" t="s">
        <v>328</v>
      </c>
      <c r="D2586" s="483">
        <v>118704</v>
      </c>
      <c r="E2586" s="2" t="s">
        <v>331</v>
      </c>
    </row>
    <row r="2587" spans="1:5" x14ac:dyDescent="0.3">
      <c r="A2587" s="2">
        <v>8331</v>
      </c>
      <c r="B2587" s="2" t="s">
        <v>2928</v>
      </c>
      <c r="C2587" s="2" t="s">
        <v>328</v>
      </c>
      <c r="D2587" s="483">
        <v>36074</v>
      </c>
      <c r="E2587" s="2" t="s">
        <v>331</v>
      </c>
    </row>
    <row r="2588" spans="1:5" x14ac:dyDescent="0.3">
      <c r="A2588" s="2">
        <v>8332</v>
      </c>
      <c r="B2588" s="2" t="s">
        <v>2929</v>
      </c>
      <c r="C2588" s="2" t="s">
        <v>328</v>
      </c>
      <c r="D2588" s="483">
        <v>116828</v>
      </c>
      <c r="E2588" s="2" t="s">
        <v>331</v>
      </c>
    </row>
    <row r="2589" spans="1:5" x14ac:dyDescent="0.3">
      <c r="A2589" s="2">
        <v>8333</v>
      </c>
      <c r="B2589" s="2" t="s">
        <v>2930</v>
      </c>
      <c r="C2589" s="2" t="s">
        <v>328</v>
      </c>
      <c r="D2589" s="483">
        <v>75513</v>
      </c>
      <c r="E2589" s="2" t="s">
        <v>331</v>
      </c>
    </row>
    <row r="2590" spans="1:5" x14ac:dyDescent="0.3">
      <c r="A2590" s="2">
        <v>8335</v>
      </c>
      <c r="B2590" s="2" t="s">
        <v>2931</v>
      </c>
      <c r="C2590" s="2" t="s">
        <v>30</v>
      </c>
      <c r="D2590" s="483">
        <v>1078900</v>
      </c>
      <c r="E2590" s="2" t="s">
        <v>331</v>
      </c>
    </row>
    <row r="2591" spans="1:5" x14ac:dyDescent="0.3">
      <c r="A2591" s="2">
        <v>8336</v>
      </c>
      <c r="B2591" s="2" t="s">
        <v>2932</v>
      </c>
      <c r="C2591" s="2" t="s">
        <v>30</v>
      </c>
      <c r="D2591" s="483">
        <v>142973</v>
      </c>
      <c r="E2591" s="2" t="s">
        <v>331</v>
      </c>
    </row>
    <row r="2592" spans="1:5" x14ac:dyDescent="0.3">
      <c r="A2592" s="2">
        <v>8337</v>
      </c>
      <c r="B2592" s="2" t="s">
        <v>2933</v>
      </c>
      <c r="C2592" s="2" t="s">
        <v>328</v>
      </c>
      <c r="D2592" s="483">
        <v>50323</v>
      </c>
      <c r="E2592" s="2" t="s">
        <v>331</v>
      </c>
    </row>
    <row r="2593" spans="1:5" x14ac:dyDescent="0.3">
      <c r="A2593" s="2">
        <v>8338</v>
      </c>
      <c r="B2593" s="2" t="s">
        <v>2934</v>
      </c>
      <c r="C2593" s="2" t="s">
        <v>32</v>
      </c>
      <c r="D2593" s="483">
        <v>105223</v>
      </c>
      <c r="E2593" s="2" t="s">
        <v>331</v>
      </c>
    </row>
    <row r="2594" spans="1:5" x14ac:dyDescent="0.3">
      <c r="A2594" s="2">
        <v>8339</v>
      </c>
      <c r="B2594" s="2" t="s">
        <v>2935</v>
      </c>
      <c r="C2594" s="2" t="s">
        <v>32</v>
      </c>
      <c r="D2594" s="483">
        <v>688412</v>
      </c>
      <c r="E2594" s="2" t="s">
        <v>324</v>
      </c>
    </row>
    <row r="2595" spans="1:5" x14ac:dyDescent="0.3">
      <c r="A2595" s="2">
        <v>8340</v>
      </c>
      <c r="B2595" s="2" t="s">
        <v>2936</v>
      </c>
      <c r="C2595" s="2" t="s">
        <v>32</v>
      </c>
      <c r="D2595" s="483">
        <v>100018</v>
      </c>
      <c r="E2595" s="2" t="s">
        <v>324</v>
      </c>
    </row>
    <row r="2596" spans="1:5" x14ac:dyDescent="0.3">
      <c r="A2596" s="2">
        <v>8341</v>
      </c>
      <c r="B2596" s="2" t="s">
        <v>2937</v>
      </c>
      <c r="C2596" s="2" t="s">
        <v>32</v>
      </c>
      <c r="D2596" s="483">
        <v>88217</v>
      </c>
      <c r="E2596" s="2" t="s">
        <v>324</v>
      </c>
    </row>
    <row r="2597" spans="1:5" x14ac:dyDescent="0.3">
      <c r="A2597" s="2">
        <v>8342</v>
      </c>
      <c r="B2597" s="2" t="s">
        <v>2938</v>
      </c>
      <c r="C2597" s="2" t="s">
        <v>32</v>
      </c>
      <c r="D2597" s="483">
        <v>3356210</v>
      </c>
      <c r="E2597" s="2" t="s">
        <v>331</v>
      </c>
    </row>
    <row r="2598" spans="1:5" x14ac:dyDescent="0.3">
      <c r="A2598" s="2">
        <v>8344</v>
      </c>
      <c r="B2598" s="2" t="s">
        <v>2939</v>
      </c>
      <c r="C2598" s="2" t="s">
        <v>32</v>
      </c>
      <c r="D2598" s="483">
        <v>3192564</v>
      </c>
      <c r="E2598" s="2" t="s">
        <v>331</v>
      </c>
    </row>
    <row r="2599" spans="1:5" x14ac:dyDescent="0.3">
      <c r="A2599" s="2">
        <v>8345</v>
      </c>
      <c r="B2599" s="2" t="s">
        <v>2940</v>
      </c>
      <c r="C2599" s="2" t="s">
        <v>32</v>
      </c>
      <c r="D2599" s="483">
        <v>98870</v>
      </c>
      <c r="E2599" s="2" t="s">
        <v>331</v>
      </c>
    </row>
    <row r="2600" spans="1:5" x14ac:dyDescent="0.3">
      <c r="A2600" s="2">
        <v>8346</v>
      </c>
      <c r="B2600" s="2" t="s">
        <v>2941</v>
      </c>
      <c r="C2600" s="2" t="s">
        <v>32</v>
      </c>
      <c r="D2600" s="483">
        <v>2090625</v>
      </c>
      <c r="E2600" s="2" t="s">
        <v>331</v>
      </c>
    </row>
    <row r="2601" spans="1:5" x14ac:dyDescent="0.3">
      <c r="A2601" s="2">
        <v>8347</v>
      </c>
      <c r="B2601" s="2" t="s">
        <v>2942</v>
      </c>
      <c r="C2601" s="2" t="s">
        <v>32</v>
      </c>
      <c r="D2601" s="483">
        <v>1708622</v>
      </c>
      <c r="E2601" s="2" t="s">
        <v>331</v>
      </c>
    </row>
    <row r="2602" spans="1:5" x14ac:dyDescent="0.3">
      <c r="A2602" s="2">
        <v>8348</v>
      </c>
      <c r="B2602" s="2" t="s">
        <v>2943</v>
      </c>
      <c r="C2602" s="2" t="s">
        <v>32</v>
      </c>
      <c r="D2602" s="483">
        <v>715588</v>
      </c>
      <c r="E2602" s="2" t="s">
        <v>324</v>
      </c>
    </row>
    <row r="2603" spans="1:5" x14ac:dyDescent="0.3">
      <c r="A2603" s="2">
        <v>8349</v>
      </c>
      <c r="B2603" s="2" t="s">
        <v>2944</v>
      </c>
      <c r="C2603" s="2" t="s">
        <v>32</v>
      </c>
      <c r="D2603" s="483">
        <v>1040916</v>
      </c>
      <c r="E2603" s="2" t="s">
        <v>324</v>
      </c>
    </row>
    <row r="2604" spans="1:5" x14ac:dyDescent="0.3">
      <c r="A2604" s="2">
        <v>8351</v>
      </c>
      <c r="B2604" s="2" t="s">
        <v>2945</v>
      </c>
      <c r="C2604" s="2" t="s">
        <v>32</v>
      </c>
      <c r="D2604" s="483">
        <v>1880806</v>
      </c>
      <c r="E2604" s="2" t="s">
        <v>331</v>
      </c>
    </row>
    <row r="2605" spans="1:5" x14ac:dyDescent="0.3">
      <c r="A2605" s="2">
        <v>8352</v>
      </c>
      <c r="B2605" s="2" t="s">
        <v>2946</v>
      </c>
      <c r="C2605" s="2" t="s">
        <v>32</v>
      </c>
      <c r="D2605" s="483">
        <v>614618</v>
      </c>
      <c r="E2605" s="2" t="s">
        <v>331</v>
      </c>
    </row>
    <row r="2606" spans="1:5" x14ac:dyDescent="0.3">
      <c r="A2606" s="2">
        <v>8353</v>
      </c>
      <c r="B2606" s="2" t="s">
        <v>2947</v>
      </c>
      <c r="C2606" s="2" t="s">
        <v>32</v>
      </c>
      <c r="D2606" s="483">
        <v>2525681</v>
      </c>
      <c r="E2606" s="2" t="s">
        <v>331</v>
      </c>
    </row>
    <row r="2607" spans="1:5" x14ac:dyDescent="0.3">
      <c r="A2607" s="2">
        <v>8357</v>
      </c>
      <c r="B2607" s="2" t="s">
        <v>2948</v>
      </c>
      <c r="C2607" s="2" t="s">
        <v>32</v>
      </c>
      <c r="D2607" s="483">
        <v>3080437</v>
      </c>
      <c r="E2607" s="2" t="s">
        <v>331</v>
      </c>
    </row>
    <row r="2608" spans="1:5" x14ac:dyDescent="0.3">
      <c r="A2608" s="2">
        <v>8361</v>
      </c>
      <c r="B2608" s="2" t="s">
        <v>2949</v>
      </c>
      <c r="C2608" s="2" t="s">
        <v>32</v>
      </c>
      <c r="D2608" s="483">
        <v>611213</v>
      </c>
      <c r="E2608" s="2" t="s">
        <v>324</v>
      </c>
    </row>
    <row r="2609" spans="1:5" x14ac:dyDescent="0.3">
      <c r="A2609" s="2">
        <v>8362</v>
      </c>
      <c r="B2609" s="2" t="s">
        <v>2950</v>
      </c>
      <c r="C2609" s="2" t="s">
        <v>32</v>
      </c>
      <c r="D2609" s="483">
        <v>410740</v>
      </c>
      <c r="E2609" s="2" t="s">
        <v>324</v>
      </c>
    </row>
    <row r="2610" spans="1:5" x14ac:dyDescent="0.3">
      <c r="A2610" s="2">
        <v>8364</v>
      </c>
      <c r="B2610" s="2" t="s">
        <v>2951</v>
      </c>
      <c r="C2610" s="2" t="s">
        <v>32</v>
      </c>
      <c r="D2610" s="483">
        <v>1145602</v>
      </c>
      <c r="E2610" s="2" t="s">
        <v>324</v>
      </c>
    </row>
    <row r="2611" spans="1:5" x14ac:dyDescent="0.3">
      <c r="A2611" s="2">
        <v>8365</v>
      </c>
      <c r="B2611" s="2" t="s">
        <v>2952</v>
      </c>
      <c r="C2611" s="2" t="s">
        <v>32</v>
      </c>
      <c r="D2611" s="483">
        <v>221838</v>
      </c>
      <c r="E2611" s="2" t="s">
        <v>331</v>
      </c>
    </row>
    <row r="2612" spans="1:5" x14ac:dyDescent="0.3">
      <c r="A2612" s="2">
        <v>8366</v>
      </c>
      <c r="B2612" s="2" t="s">
        <v>2953</v>
      </c>
      <c r="C2612" s="2" t="s">
        <v>32</v>
      </c>
      <c r="D2612" s="483">
        <v>29221217</v>
      </c>
      <c r="E2612" s="2" t="s">
        <v>331</v>
      </c>
    </row>
    <row r="2613" spans="1:5" x14ac:dyDescent="0.3">
      <c r="A2613" s="2">
        <v>8367</v>
      </c>
      <c r="B2613" s="2" t="s">
        <v>2954</v>
      </c>
      <c r="C2613" s="2" t="s">
        <v>328</v>
      </c>
      <c r="D2613" s="483">
        <v>107365</v>
      </c>
      <c r="E2613" s="2" t="s">
        <v>324</v>
      </c>
    </row>
    <row r="2614" spans="1:5" x14ac:dyDescent="0.3">
      <c r="A2614" s="2">
        <v>8368</v>
      </c>
      <c r="B2614" s="2" t="s">
        <v>2955</v>
      </c>
      <c r="C2614" s="2" t="s">
        <v>328</v>
      </c>
      <c r="D2614" s="483">
        <v>171616</v>
      </c>
      <c r="E2614" s="2" t="s">
        <v>324</v>
      </c>
    </row>
    <row r="2615" spans="1:5" x14ac:dyDescent="0.3">
      <c r="A2615" s="2">
        <v>8369</v>
      </c>
      <c r="B2615" s="2" t="s">
        <v>2956</v>
      </c>
      <c r="C2615" s="2" t="s">
        <v>328</v>
      </c>
      <c r="D2615" s="483">
        <v>263670</v>
      </c>
      <c r="E2615" s="2" t="s">
        <v>324</v>
      </c>
    </row>
    <row r="2616" spans="1:5" x14ac:dyDescent="0.3">
      <c r="A2616" s="2">
        <v>8370</v>
      </c>
      <c r="B2616" s="2" t="s">
        <v>2957</v>
      </c>
      <c r="C2616" s="2" t="s">
        <v>328</v>
      </c>
      <c r="D2616" s="483">
        <v>288022</v>
      </c>
      <c r="E2616" s="2" t="s">
        <v>324</v>
      </c>
    </row>
    <row r="2617" spans="1:5" x14ac:dyDescent="0.3">
      <c r="A2617" s="2">
        <v>8371</v>
      </c>
      <c r="B2617" s="2" t="s">
        <v>2958</v>
      </c>
      <c r="C2617" s="2" t="s">
        <v>328</v>
      </c>
      <c r="D2617" s="483">
        <v>325849</v>
      </c>
      <c r="E2617" s="2" t="s">
        <v>324</v>
      </c>
    </row>
    <row r="2618" spans="1:5" x14ac:dyDescent="0.3">
      <c r="A2618" s="2">
        <v>8384</v>
      </c>
      <c r="B2618" s="2" t="s">
        <v>2959</v>
      </c>
      <c r="C2618" s="2" t="s">
        <v>328</v>
      </c>
      <c r="D2618" s="483">
        <v>2271486</v>
      </c>
      <c r="E2618" s="2" t="s">
        <v>331</v>
      </c>
    </row>
    <row r="2619" spans="1:5" x14ac:dyDescent="0.3">
      <c r="A2619" s="2">
        <v>8386</v>
      </c>
      <c r="B2619" s="2" t="s">
        <v>2960</v>
      </c>
      <c r="C2619" s="2" t="s">
        <v>32</v>
      </c>
      <c r="D2619" s="483">
        <v>1788522</v>
      </c>
      <c r="E2619" s="2" t="s">
        <v>324</v>
      </c>
    </row>
    <row r="2620" spans="1:5" x14ac:dyDescent="0.3">
      <c r="A2620" s="2">
        <v>8388</v>
      </c>
      <c r="B2620" s="2" t="s">
        <v>2961</v>
      </c>
      <c r="C2620" s="2" t="s">
        <v>32</v>
      </c>
      <c r="D2620" s="483">
        <v>32250</v>
      </c>
      <c r="E2620" s="2" t="s">
        <v>331</v>
      </c>
    </row>
    <row r="2621" spans="1:5" x14ac:dyDescent="0.3">
      <c r="A2621" s="2">
        <v>8389</v>
      </c>
      <c r="B2621" s="2" t="s">
        <v>2962</v>
      </c>
      <c r="C2621" s="2" t="s">
        <v>328</v>
      </c>
      <c r="D2621" s="483">
        <v>42217</v>
      </c>
      <c r="E2621" s="2" t="s">
        <v>331</v>
      </c>
    </row>
    <row r="2622" spans="1:5" x14ac:dyDescent="0.3">
      <c r="A2622" s="2">
        <v>8390</v>
      </c>
      <c r="B2622" s="2" t="s">
        <v>2963</v>
      </c>
      <c r="C2622" s="2" t="s">
        <v>328</v>
      </c>
      <c r="D2622" s="483">
        <v>82826</v>
      </c>
      <c r="E2622" s="2" t="s">
        <v>331</v>
      </c>
    </row>
    <row r="2623" spans="1:5" x14ac:dyDescent="0.3">
      <c r="A2623" s="2">
        <v>8392</v>
      </c>
      <c r="B2623" s="2" t="s">
        <v>2964</v>
      </c>
      <c r="C2623" s="2" t="s">
        <v>32</v>
      </c>
      <c r="D2623" s="483">
        <v>11042</v>
      </c>
      <c r="E2623" s="2" t="s">
        <v>324</v>
      </c>
    </row>
    <row r="2624" spans="1:5" x14ac:dyDescent="0.3">
      <c r="A2624" s="2">
        <v>8393</v>
      </c>
      <c r="B2624" s="2" t="s">
        <v>2965</v>
      </c>
      <c r="C2624" s="2" t="s">
        <v>32</v>
      </c>
      <c r="D2624" s="483">
        <v>408801</v>
      </c>
      <c r="E2624" s="2" t="s">
        <v>324</v>
      </c>
    </row>
    <row r="2625" spans="1:5" x14ac:dyDescent="0.3">
      <c r="A2625" s="2">
        <v>8402</v>
      </c>
      <c r="B2625" s="2" t="s">
        <v>2966</v>
      </c>
      <c r="C2625" s="2" t="s">
        <v>32</v>
      </c>
      <c r="D2625" s="483">
        <v>5507</v>
      </c>
      <c r="E2625" s="2" t="s">
        <v>324</v>
      </c>
    </row>
    <row r="2626" spans="1:5" x14ac:dyDescent="0.3">
      <c r="A2626" s="2">
        <v>8407</v>
      </c>
      <c r="B2626" s="2" t="s">
        <v>2967</v>
      </c>
      <c r="C2626" s="2" t="s">
        <v>328</v>
      </c>
      <c r="D2626" s="483">
        <v>1813109</v>
      </c>
      <c r="E2626" s="2" t="s">
        <v>331</v>
      </c>
    </row>
    <row r="2627" spans="1:5" x14ac:dyDescent="0.3">
      <c r="A2627" s="2">
        <v>8409</v>
      </c>
      <c r="B2627" s="2" t="s">
        <v>2968</v>
      </c>
      <c r="C2627" s="2" t="s">
        <v>32</v>
      </c>
      <c r="D2627" s="483">
        <v>6378543</v>
      </c>
      <c r="E2627" s="2" t="s">
        <v>331</v>
      </c>
    </row>
    <row r="2628" spans="1:5" x14ac:dyDescent="0.3">
      <c r="A2628" s="2">
        <v>8410</v>
      </c>
      <c r="B2628" s="2" t="s">
        <v>2969</v>
      </c>
      <c r="C2628" s="2" t="s">
        <v>32</v>
      </c>
      <c r="D2628" s="483">
        <v>5238766</v>
      </c>
      <c r="E2628" s="2" t="s">
        <v>331</v>
      </c>
    </row>
    <row r="2629" spans="1:5" x14ac:dyDescent="0.3">
      <c r="A2629" s="2">
        <v>8411</v>
      </c>
      <c r="B2629" s="2" t="s">
        <v>2970</v>
      </c>
      <c r="C2629" s="2" t="s">
        <v>328</v>
      </c>
      <c r="D2629" s="483">
        <v>699764</v>
      </c>
      <c r="E2629" s="2" t="s">
        <v>331</v>
      </c>
    </row>
    <row r="2630" spans="1:5" x14ac:dyDescent="0.3">
      <c r="A2630" s="2">
        <v>8412</v>
      </c>
      <c r="B2630" s="2" t="s">
        <v>2971</v>
      </c>
      <c r="C2630" s="2" t="s">
        <v>32</v>
      </c>
      <c r="D2630" s="483">
        <v>955720</v>
      </c>
      <c r="E2630" s="2" t="s">
        <v>331</v>
      </c>
    </row>
    <row r="2631" spans="1:5" x14ac:dyDescent="0.3">
      <c r="A2631" s="2">
        <v>8413</v>
      </c>
      <c r="B2631" s="2" t="s">
        <v>2972</v>
      </c>
      <c r="C2631" s="2" t="s">
        <v>32</v>
      </c>
      <c r="D2631" s="483">
        <v>472130</v>
      </c>
      <c r="E2631" s="2" t="s">
        <v>331</v>
      </c>
    </row>
    <row r="2632" spans="1:5" x14ac:dyDescent="0.3">
      <c r="A2632" s="2">
        <v>8414</v>
      </c>
      <c r="B2632" s="2" t="s">
        <v>2973</v>
      </c>
      <c r="C2632" s="2" t="s">
        <v>32</v>
      </c>
      <c r="D2632" s="483">
        <v>3211821</v>
      </c>
      <c r="E2632" s="2" t="s">
        <v>331</v>
      </c>
    </row>
    <row r="2633" spans="1:5" x14ac:dyDescent="0.3">
      <c r="A2633" s="2">
        <v>8415</v>
      </c>
      <c r="B2633" s="2" t="s">
        <v>2974</v>
      </c>
      <c r="C2633" s="2" t="s">
        <v>32</v>
      </c>
      <c r="D2633" s="483">
        <v>1151684</v>
      </c>
      <c r="E2633" s="2" t="s">
        <v>331</v>
      </c>
    </row>
    <row r="2634" spans="1:5" x14ac:dyDescent="0.3">
      <c r="A2634" s="2">
        <v>8416</v>
      </c>
      <c r="B2634" s="2" t="s">
        <v>2975</v>
      </c>
      <c r="C2634" s="2" t="s">
        <v>32</v>
      </c>
      <c r="D2634" s="483">
        <v>1300589</v>
      </c>
      <c r="E2634" s="2" t="s">
        <v>331</v>
      </c>
    </row>
    <row r="2635" spans="1:5" x14ac:dyDescent="0.3">
      <c r="A2635" s="2">
        <v>8418</v>
      </c>
      <c r="B2635" s="2" t="s">
        <v>2976</v>
      </c>
      <c r="C2635" s="2" t="s">
        <v>32</v>
      </c>
      <c r="D2635" s="483">
        <v>20594468</v>
      </c>
      <c r="E2635" s="2" t="s">
        <v>324</v>
      </c>
    </row>
    <row r="2636" spans="1:5" x14ac:dyDescent="0.3">
      <c r="A2636" s="2">
        <v>8419</v>
      </c>
      <c r="B2636" s="2" t="s">
        <v>2977</v>
      </c>
      <c r="C2636" s="2" t="s">
        <v>32</v>
      </c>
      <c r="D2636" s="483">
        <v>190204</v>
      </c>
      <c r="E2636" s="2" t="s">
        <v>331</v>
      </c>
    </row>
    <row r="2637" spans="1:5" x14ac:dyDescent="0.3">
      <c r="A2637" s="2">
        <v>8420</v>
      </c>
      <c r="B2637" s="2" t="s">
        <v>2978</v>
      </c>
      <c r="C2637" s="2" t="s">
        <v>32</v>
      </c>
      <c r="D2637" s="483">
        <v>190204</v>
      </c>
      <c r="E2637" s="2" t="s">
        <v>331</v>
      </c>
    </row>
    <row r="2638" spans="1:5" x14ac:dyDescent="0.3">
      <c r="A2638" s="2">
        <v>8421</v>
      </c>
      <c r="B2638" s="2" t="s">
        <v>2979</v>
      </c>
      <c r="C2638" s="2" t="s">
        <v>32</v>
      </c>
      <c r="D2638" s="483">
        <v>204611</v>
      </c>
      <c r="E2638" s="2" t="s">
        <v>331</v>
      </c>
    </row>
    <row r="2639" spans="1:5" x14ac:dyDescent="0.3">
      <c r="A2639" s="2">
        <v>8422</v>
      </c>
      <c r="B2639" s="2" t="s">
        <v>2980</v>
      </c>
      <c r="C2639" s="2" t="s">
        <v>32</v>
      </c>
      <c r="D2639" s="483">
        <v>644907</v>
      </c>
      <c r="E2639" s="2" t="s">
        <v>331</v>
      </c>
    </row>
    <row r="2640" spans="1:5" x14ac:dyDescent="0.3">
      <c r="A2640" s="2">
        <v>8423</v>
      </c>
      <c r="B2640" s="2" t="s">
        <v>2981</v>
      </c>
      <c r="C2640" s="2" t="s">
        <v>32</v>
      </c>
      <c r="D2640" s="483">
        <v>1182759</v>
      </c>
      <c r="E2640" s="2" t="s">
        <v>331</v>
      </c>
    </row>
    <row r="2641" spans="1:5" x14ac:dyDescent="0.3">
      <c r="A2641" s="2">
        <v>8425</v>
      </c>
      <c r="B2641" s="2" t="s">
        <v>2982</v>
      </c>
      <c r="C2641" s="2" t="s">
        <v>32</v>
      </c>
      <c r="D2641" s="483">
        <v>260342</v>
      </c>
      <c r="E2641" s="2" t="s">
        <v>324</v>
      </c>
    </row>
    <row r="2642" spans="1:5" x14ac:dyDescent="0.3">
      <c r="A2642" s="2">
        <v>8427</v>
      </c>
      <c r="B2642" s="2" t="s">
        <v>2983</v>
      </c>
      <c r="C2642" s="2" t="s">
        <v>32</v>
      </c>
      <c r="D2642" s="483">
        <v>944196</v>
      </c>
      <c r="E2642" s="2" t="s">
        <v>331</v>
      </c>
    </row>
    <row r="2643" spans="1:5" x14ac:dyDescent="0.3">
      <c r="A2643" s="2">
        <v>8436</v>
      </c>
      <c r="B2643" s="2" t="s">
        <v>2984</v>
      </c>
      <c r="C2643" s="2" t="s">
        <v>32</v>
      </c>
      <c r="D2643" s="483">
        <v>265195</v>
      </c>
      <c r="E2643" s="2" t="s">
        <v>331</v>
      </c>
    </row>
    <row r="2644" spans="1:5" x14ac:dyDescent="0.3">
      <c r="A2644" s="2">
        <v>8437</v>
      </c>
      <c r="B2644" s="2" t="s">
        <v>2985</v>
      </c>
      <c r="C2644" s="2" t="s">
        <v>32</v>
      </c>
      <c r="D2644" s="483">
        <v>589772</v>
      </c>
      <c r="E2644" s="2" t="s">
        <v>331</v>
      </c>
    </row>
    <row r="2645" spans="1:5" x14ac:dyDescent="0.3">
      <c r="A2645" s="2">
        <v>8438</v>
      </c>
      <c r="B2645" s="2" t="s">
        <v>2986</v>
      </c>
      <c r="C2645" s="2" t="s">
        <v>21</v>
      </c>
      <c r="D2645" s="483">
        <v>116842</v>
      </c>
      <c r="E2645" s="2" t="s">
        <v>331</v>
      </c>
    </row>
    <row r="2646" spans="1:5" x14ac:dyDescent="0.3">
      <c r="A2646" s="2">
        <v>8439</v>
      </c>
      <c r="B2646" s="2" t="s">
        <v>2987</v>
      </c>
      <c r="C2646" s="2" t="s">
        <v>21</v>
      </c>
      <c r="D2646" s="483">
        <v>116842</v>
      </c>
      <c r="E2646" s="2" t="s">
        <v>331</v>
      </c>
    </row>
    <row r="2647" spans="1:5" x14ac:dyDescent="0.3">
      <c r="A2647" s="2">
        <v>8440</v>
      </c>
      <c r="B2647" s="2" t="s">
        <v>2988</v>
      </c>
      <c r="C2647" s="2" t="s">
        <v>21</v>
      </c>
      <c r="D2647" s="483">
        <v>116842</v>
      </c>
      <c r="E2647" s="2" t="s">
        <v>331</v>
      </c>
    </row>
    <row r="2648" spans="1:5" x14ac:dyDescent="0.3">
      <c r="A2648" s="2">
        <v>8442</v>
      </c>
      <c r="B2648" s="2" t="s">
        <v>2989</v>
      </c>
      <c r="C2648" s="2" t="s">
        <v>328</v>
      </c>
      <c r="D2648" s="483">
        <v>9177</v>
      </c>
      <c r="E2648" s="2" t="s">
        <v>324</v>
      </c>
    </row>
    <row r="2649" spans="1:5" x14ac:dyDescent="0.3">
      <c r="A2649" s="2">
        <v>8445</v>
      </c>
      <c r="B2649" s="2" t="s">
        <v>2990</v>
      </c>
      <c r="C2649" s="2" t="s">
        <v>32</v>
      </c>
      <c r="D2649" s="483">
        <v>1097904</v>
      </c>
      <c r="E2649" s="2" t="s">
        <v>324</v>
      </c>
    </row>
    <row r="2650" spans="1:5" x14ac:dyDescent="0.3">
      <c r="A2650" s="2">
        <v>8448</v>
      </c>
      <c r="B2650" s="2" t="s">
        <v>2991</v>
      </c>
      <c r="C2650" s="2" t="s">
        <v>21</v>
      </c>
      <c r="D2650" s="483">
        <v>116842</v>
      </c>
      <c r="E2650" s="2" t="s">
        <v>331</v>
      </c>
    </row>
    <row r="2651" spans="1:5" x14ac:dyDescent="0.3">
      <c r="A2651" s="2">
        <v>8449</v>
      </c>
      <c r="B2651" s="2" t="s">
        <v>2992</v>
      </c>
      <c r="C2651" s="2" t="s">
        <v>21</v>
      </c>
      <c r="D2651" s="483">
        <v>116842</v>
      </c>
      <c r="E2651" s="2" t="s">
        <v>331</v>
      </c>
    </row>
    <row r="2652" spans="1:5" x14ac:dyDescent="0.3">
      <c r="A2652" s="2">
        <v>8452</v>
      </c>
      <c r="B2652" s="2" t="s">
        <v>2993</v>
      </c>
      <c r="C2652" s="2" t="s">
        <v>328</v>
      </c>
      <c r="D2652" s="483">
        <v>284885</v>
      </c>
      <c r="E2652" s="2" t="s">
        <v>331</v>
      </c>
    </row>
    <row r="2653" spans="1:5" x14ac:dyDescent="0.3">
      <c r="A2653" s="2">
        <v>8453</v>
      </c>
      <c r="B2653" s="2" t="s">
        <v>2994</v>
      </c>
      <c r="C2653" s="2" t="s">
        <v>328</v>
      </c>
      <c r="D2653" s="483">
        <v>29212</v>
      </c>
      <c r="E2653" s="2" t="s">
        <v>331</v>
      </c>
    </row>
    <row r="2654" spans="1:5" x14ac:dyDescent="0.3">
      <c r="A2654" s="2">
        <v>8455</v>
      </c>
      <c r="B2654" s="2" t="s">
        <v>2995</v>
      </c>
      <c r="C2654" s="2" t="s">
        <v>32</v>
      </c>
      <c r="D2654" s="483">
        <v>56216284</v>
      </c>
      <c r="E2654" s="2" t="s">
        <v>331</v>
      </c>
    </row>
    <row r="2655" spans="1:5" x14ac:dyDescent="0.3">
      <c r="A2655" s="2">
        <v>8456</v>
      </c>
      <c r="B2655" s="2" t="s">
        <v>2996</v>
      </c>
      <c r="C2655" s="2" t="s">
        <v>32</v>
      </c>
      <c r="D2655" s="483">
        <v>58612237</v>
      </c>
      <c r="E2655" s="2" t="s">
        <v>331</v>
      </c>
    </row>
    <row r="2656" spans="1:5" x14ac:dyDescent="0.3">
      <c r="A2656" s="2">
        <v>8457</v>
      </c>
      <c r="B2656" s="2" t="s">
        <v>2997</v>
      </c>
      <c r="C2656" s="2" t="s">
        <v>32</v>
      </c>
      <c r="D2656" s="483">
        <v>19960099</v>
      </c>
      <c r="E2656" s="2" t="s">
        <v>331</v>
      </c>
    </row>
    <row r="2657" spans="1:5" x14ac:dyDescent="0.3">
      <c r="A2657" s="2">
        <v>8458</v>
      </c>
      <c r="B2657" s="2" t="s">
        <v>2998</v>
      </c>
      <c r="C2657" s="2" t="s">
        <v>32</v>
      </c>
      <c r="D2657" s="483">
        <v>6679416</v>
      </c>
      <c r="E2657" s="2" t="s">
        <v>331</v>
      </c>
    </row>
    <row r="2658" spans="1:5" x14ac:dyDescent="0.3">
      <c r="A2658" s="2">
        <v>8459</v>
      </c>
      <c r="B2658" s="2" t="s">
        <v>2999</v>
      </c>
      <c r="C2658" s="2" t="s">
        <v>32</v>
      </c>
      <c r="D2658" s="483">
        <v>9117269</v>
      </c>
      <c r="E2658" s="2" t="s">
        <v>331</v>
      </c>
    </row>
    <row r="2659" spans="1:5" x14ac:dyDescent="0.3">
      <c r="A2659" s="2">
        <v>8460</v>
      </c>
      <c r="B2659" s="2" t="s">
        <v>3000</v>
      </c>
      <c r="C2659" s="2" t="s">
        <v>32</v>
      </c>
      <c r="D2659" s="483">
        <v>14118637</v>
      </c>
      <c r="E2659" s="2" t="s">
        <v>331</v>
      </c>
    </row>
    <row r="2660" spans="1:5" x14ac:dyDescent="0.3">
      <c r="A2660" s="2">
        <v>8464</v>
      </c>
      <c r="B2660" s="2" t="s">
        <v>3001</v>
      </c>
      <c r="C2660" s="2" t="s">
        <v>328</v>
      </c>
      <c r="D2660" s="483">
        <v>58939</v>
      </c>
      <c r="E2660" s="2" t="s">
        <v>331</v>
      </c>
    </row>
    <row r="2661" spans="1:5" x14ac:dyDescent="0.3">
      <c r="A2661" s="2">
        <v>8466</v>
      </c>
      <c r="B2661" s="2" t="s">
        <v>3002</v>
      </c>
      <c r="C2661" s="2" t="s">
        <v>328</v>
      </c>
      <c r="D2661" s="483">
        <v>106695</v>
      </c>
      <c r="E2661" s="2" t="s">
        <v>331</v>
      </c>
    </row>
    <row r="2662" spans="1:5" x14ac:dyDescent="0.3">
      <c r="A2662" s="2">
        <v>8467</v>
      </c>
      <c r="B2662" s="2" t="s">
        <v>3003</v>
      </c>
      <c r="C2662" s="2" t="s">
        <v>21</v>
      </c>
      <c r="D2662" s="483">
        <v>31778</v>
      </c>
      <c r="E2662" s="2" t="s">
        <v>331</v>
      </c>
    </row>
    <row r="2663" spans="1:5" x14ac:dyDescent="0.3">
      <c r="A2663" s="2">
        <v>8471</v>
      </c>
      <c r="B2663" s="2" t="s">
        <v>3004</v>
      </c>
      <c r="C2663" s="2" t="s">
        <v>670</v>
      </c>
      <c r="D2663" s="483">
        <v>6948</v>
      </c>
      <c r="E2663" s="2" t="s">
        <v>331</v>
      </c>
    </row>
    <row r="2664" spans="1:5" x14ac:dyDescent="0.3">
      <c r="A2664" s="2">
        <v>8472</v>
      </c>
      <c r="B2664" s="2" t="s">
        <v>3005</v>
      </c>
      <c r="C2664" s="2" t="s">
        <v>32</v>
      </c>
      <c r="D2664" s="483">
        <v>1080339</v>
      </c>
      <c r="E2664" s="2" t="s">
        <v>331</v>
      </c>
    </row>
    <row r="2665" spans="1:5" x14ac:dyDescent="0.3">
      <c r="A2665" s="2">
        <v>8474</v>
      </c>
      <c r="B2665" s="2" t="s">
        <v>3006</v>
      </c>
      <c r="C2665" s="2" t="s">
        <v>32</v>
      </c>
      <c r="D2665" s="483">
        <v>620243</v>
      </c>
      <c r="E2665" s="2" t="s">
        <v>331</v>
      </c>
    </row>
    <row r="2666" spans="1:5" x14ac:dyDescent="0.3">
      <c r="A2666" s="2">
        <v>8475</v>
      </c>
      <c r="B2666" s="2" t="s">
        <v>3007</v>
      </c>
      <c r="C2666" s="2" t="s">
        <v>328</v>
      </c>
      <c r="D2666" s="483">
        <v>60959</v>
      </c>
      <c r="E2666" s="2" t="s">
        <v>331</v>
      </c>
    </row>
    <row r="2667" spans="1:5" x14ac:dyDescent="0.3">
      <c r="A2667" s="2">
        <v>8476</v>
      </c>
      <c r="B2667" s="2" t="s">
        <v>3008</v>
      </c>
      <c r="C2667" s="2" t="s">
        <v>32</v>
      </c>
      <c r="D2667" s="483">
        <v>2088233</v>
      </c>
      <c r="E2667" s="2" t="s">
        <v>331</v>
      </c>
    </row>
    <row r="2668" spans="1:5" x14ac:dyDescent="0.3">
      <c r="A2668" s="2">
        <v>8480</v>
      </c>
      <c r="B2668" s="2" t="s">
        <v>3009</v>
      </c>
      <c r="C2668" s="2" t="s">
        <v>32</v>
      </c>
      <c r="D2668" s="483">
        <v>620243</v>
      </c>
      <c r="E2668" s="2" t="s">
        <v>331</v>
      </c>
    </row>
    <row r="2669" spans="1:5" x14ac:dyDescent="0.3">
      <c r="A2669" s="2">
        <v>8482</v>
      </c>
      <c r="B2669" s="2" t="s">
        <v>3010</v>
      </c>
      <c r="C2669" s="2" t="s">
        <v>32</v>
      </c>
      <c r="D2669" s="483">
        <v>1312885</v>
      </c>
      <c r="E2669" s="2" t="s">
        <v>331</v>
      </c>
    </row>
    <row r="2670" spans="1:5" x14ac:dyDescent="0.3">
      <c r="A2670" s="2">
        <v>8483</v>
      </c>
      <c r="B2670" s="2" t="s">
        <v>3011</v>
      </c>
      <c r="C2670" s="2" t="s">
        <v>32</v>
      </c>
      <c r="D2670" s="483">
        <v>951467</v>
      </c>
      <c r="E2670" s="2" t="s">
        <v>331</v>
      </c>
    </row>
    <row r="2671" spans="1:5" x14ac:dyDescent="0.3">
      <c r="A2671" s="2">
        <v>8484</v>
      </c>
      <c r="B2671" s="2" t="s">
        <v>3012</v>
      </c>
      <c r="C2671" s="2" t="s">
        <v>32</v>
      </c>
      <c r="D2671" s="483">
        <v>181871</v>
      </c>
      <c r="E2671" s="2" t="s">
        <v>331</v>
      </c>
    </row>
    <row r="2672" spans="1:5" x14ac:dyDescent="0.3">
      <c r="A2672" s="2">
        <v>8486</v>
      </c>
      <c r="B2672" s="2" t="s">
        <v>3013</v>
      </c>
      <c r="C2672" s="2" t="s">
        <v>328</v>
      </c>
      <c r="D2672" s="483">
        <v>1152334</v>
      </c>
      <c r="E2672" s="2" t="s">
        <v>331</v>
      </c>
    </row>
    <row r="2673" spans="1:5" x14ac:dyDescent="0.3">
      <c r="A2673" s="2">
        <v>8487</v>
      </c>
      <c r="B2673" s="2" t="s">
        <v>3014</v>
      </c>
      <c r="C2673" s="2" t="s">
        <v>328</v>
      </c>
      <c r="D2673" s="483">
        <v>32672</v>
      </c>
      <c r="E2673" s="2" t="s">
        <v>331</v>
      </c>
    </row>
    <row r="2674" spans="1:5" x14ac:dyDescent="0.3">
      <c r="A2674" s="2">
        <v>8488</v>
      </c>
      <c r="B2674" s="2" t="s">
        <v>3015</v>
      </c>
      <c r="C2674" s="2" t="s">
        <v>328</v>
      </c>
      <c r="D2674" s="483">
        <v>21409</v>
      </c>
      <c r="E2674" s="2" t="s">
        <v>331</v>
      </c>
    </row>
    <row r="2675" spans="1:5" x14ac:dyDescent="0.3">
      <c r="A2675" s="2">
        <v>8489</v>
      </c>
      <c r="B2675" s="2" t="s">
        <v>3016</v>
      </c>
      <c r="C2675" s="2" t="s">
        <v>32</v>
      </c>
      <c r="D2675" s="483">
        <v>48420</v>
      </c>
      <c r="E2675" s="2" t="s">
        <v>331</v>
      </c>
    </row>
    <row r="2676" spans="1:5" x14ac:dyDescent="0.3">
      <c r="A2676" s="2">
        <v>8491</v>
      </c>
      <c r="B2676" s="2" t="s">
        <v>3017</v>
      </c>
      <c r="C2676" s="2" t="s">
        <v>32</v>
      </c>
      <c r="D2676" s="483">
        <v>10357</v>
      </c>
      <c r="E2676" s="2" t="s">
        <v>324</v>
      </c>
    </row>
    <row r="2677" spans="1:5" x14ac:dyDescent="0.3">
      <c r="A2677" s="2">
        <v>8492</v>
      </c>
      <c r="B2677" s="2" t="s">
        <v>3018</v>
      </c>
      <c r="C2677" s="2" t="s">
        <v>32</v>
      </c>
      <c r="D2677" s="483">
        <v>187420</v>
      </c>
      <c r="E2677" s="2" t="s">
        <v>331</v>
      </c>
    </row>
    <row r="2678" spans="1:5" x14ac:dyDescent="0.3">
      <c r="A2678" s="2">
        <v>8493</v>
      </c>
      <c r="B2678" s="2" t="s">
        <v>3019</v>
      </c>
      <c r="C2678" s="2" t="s">
        <v>32</v>
      </c>
      <c r="D2678" s="483">
        <v>761328</v>
      </c>
      <c r="E2678" s="2" t="s">
        <v>331</v>
      </c>
    </row>
    <row r="2679" spans="1:5" x14ac:dyDescent="0.3">
      <c r="A2679" s="2">
        <v>8494</v>
      </c>
      <c r="B2679" s="2" t="s">
        <v>3020</v>
      </c>
      <c r="C2679" s="2" t="s">
        <v>32</v>
      </c>
      <c r="D2679" s="483">
        <v>1077260</v>
      </c>
      <c r="E2679" s="2" t="s">
        <v>331</v>
      </c>
    </row>
    <row r="2680" spans="1:5" x14ac:dyDescent="0.3">
      <c r="A2680" s="2">
        <v>8495</v>
      </c>
      <c r="B2680" s="2" t="s">
        <v>3021</v>
      </c>
      <c r="C2680" s="2" t="s">
        <v>328</v>
      </c>
      <c r="D2680" s="483">
        <v>28133</v>
      </c>
      <c r="E2680" s="2" t="s">
        <v>324</v>
      </c>
    </row>
    <row r="2681" spans="1:5" x14ac:dyDescent="0.3">
      <c r="A2681" s="2">
        <v>8496</v>
      </c>
      <c r="B2681" s="2" t="s">
        <v>3022</v>
      </c>
      <c r="C2681" s="2" t="s">
        <v>328</v>
      </c>
      <c r="D2681" s="483">
        <v>25037</v>
      </c>
      <c r="E2681" s="2" t="s">
        <v>324</v>
      </c>
    </row>
    <row r="2682" spans="1:5" x14ac:dyDescent="0.3">
      <c r="A2682" s="2">
        <v>8497</v>
      </c>
      <c r="B2682" s="2" t="s">
        <v>3023</v>
      </c>
      <c r="C2682" s="2" t="s">
        <v>328</v>
      </c>
      <c r="D2682" s="483">
        <v>28140</v>
      </c>
      <c r="E2682" s="2" t="s">
        <v>324</v>
      </c>
    </row>
    <row r="2683" spans="1:5" x14ac:dyDescent="0.3">
      <c r="A2683" s="2">
        <v>8498</v>
      </c>
      <c r="B2683" s="2" t="s">
        <v>3024</v>
      </c>
      <c r="C2683" s="2" t="s">
        <v>328</v>
      </c>
      <c r="D2683" s="483">
        <v>11029</v>
      </c>
      <c r="E2683" s="2" t="s">
        <v>331</v>
      </c>
    </row>
    <row r="2684" spans="1:5" x14ac:dyDescent="0.3">
      <c r="A2684" s="2">
        <v>8499</v>
      </c>
      <c r="B2684" s="2" t="s">
        <v>3025</v>
      </c>
      <c r="C2684" s="2" t="s">
        <v>21</v>
      </c>
      <c r="D2684" s="483">
        <v>130142</v>
      </c>
      <c r="E2684" s="2" t="s">
        <v>331</v>
      </c>
    </row>
    <row r="2685" spans="1:5" x14ac:dyDescent="0.3">
      <c r="A2685" s="2">
        <v>8500</v>
      </c>
      <c r="B2685" s="2" t="s">
        <v>3026</v>
      </c>
      <c r="C2685" s="2" t="s">
        <v>21</v>
      </c>
      <c r="D2685" s="483">
        <v>62443</v>
      </c>
      <c r="E2685" s="2" t="s">
        <v>367</v>
      </c>
    </row>
    <row r="2686" spans="1:5" x14ac:dyDescent="0.3">
      <c r="A2686" s="2">
        <v>8501</v>
      </c>
      <c r="B2686" s="2" t="s">
        <v>3027</v>
      </c>
      <c r="C2686" s="2" t="s">
        <v>32</v>
      </c>
      <c r="D2686" s="483">
        <v>132353</v>
      </c>
      <c r="E2686" s="2" t="s">
        <v>331</v>
      </c>
    </row>
    <row r="2687" spans="1:5" x14ac:dyDescent="0.3">
      <c r="A2687" s="2">
        <v>8503</v>
      </c>
      <c r="B2687" s="2" t="s">
        <v>3028</v>
      </c>
      <c r="C2687" s="2" t="s">
        <v>32</v>
      </c>
      <c r="D2687" s="483">
        <v>127191</v>
      </c>
      <c r="E2687" s="2" t="s">
        <v>331</v>
      </c>
    </row>
    <row r="2688" spans="1:5" x14ac:dyDescent="0.3">
      <c r="A2688" s="2">
        <v>8504</v>
      </c>
      <c r="B2688" s="2" t="s">
        <v>3029</v>
      </c>
      <c r="C2688" s="2" t="s">
        <v>32</v>
      </c>
      <c r="D2688" s="483">
        <v>326981</v>
      </c>
      <c r="E2688" s="2" t="s">
        <v>331</v>
      </c>
    </row>
    <row r="2689" spans="1:5" x14ac:dyDescent="0.3">
      <c r="A2689" s="2">
        <v>8505</v>
      </c>
      <c r="B2689" s="2" t="s">
        <v>3030</v>
      </c>
      <c r="C2689" s="2" t="s">
        <v>32</v>
      </c>
      <c r="D2689" s="483">
        <v>998408</v>
      </c>
      <c r="E2689" s="2" t="s">
        <v>324</v>
      </c>
    </row>
    <row r="2690" spans="1:5" x14ac:dyDescent="0.3">
      <c r="A2690" s="2">
        <v>8506</v>
      </c>
      <c r="B2690" s="2" t="s">
        <v>3031</v>
      </c>
      <c r="C2690" s="2" t="s">
        <v>32</v>
      </c>
      <c r="D2690" s="483">
        <v>699663</v>
      </c>
      <c r="E2690" s="2" t="s">
        <v>331</v>
      </c>
    </row>
    <row r="2691" spans="1:5" x14ac:dyDescent="0.3">
      <c r="A2691" s="2">
        <v>8507</v>
      </c>
      <c r="B2691" s="2" t="s">
        <v>3032</v>
      </c>
      <c r="C2691" s="2" t="s">
        <v>328</v>
      </c>
      <c r="D2691" s="483">
        <v>797274</v>
      </c>
      <c r="E2691" s="2" t="s">
        <v>331</v>
      </c>
    </row>
    <row r="2692" spans="1:5" x14ac:dyDescent="0.3">
      <c r="A2692" s="2">
        <v>8508</v>
      </c>
      <c r="B2692" s="2" t="s">
        <v>3033</v>
      </c>
      <c r="C2692" s="2" t="s">
        <v>328</v>
      </c>
      <c r="D2692" s="483">
        <v>812617</v>
      </c>
      <c r="E2692" s="2" t="s">
        <v>331</v>
      </c>
    </row>
    <row r="2693" spans="1:5" x14ac:dyDescent="0.3">
      <c r="A2693" s="2">
        <v>8509</v>
      </c>
      <c r="B2693" s="2" t="s">
        <v>3034</v>
      </c>
      <c r="C2693" s="2" t="s">
        <v>328</v>
      </c>
      <c r="D2693" s="483">
        <v>916376</v>
      </c>
      <c r="E2693" s="2" t="s">
        <v>331</v>
      </c>
    </row>
    <row r="2694" spans="1:5" x14ac:dyDescent="0.3">
      <c r="A2694" s="2">
        <v>8511</v>
      </c>
      <c r="B2694" s="2" t="s">
        <v>3035</v>
      </c>
      <c r="C2694" s="2" t="s">
        <v>328</v>
      </c>
      <c r="D2694" s="483">
        <v>530445</v>
      </c>
      <c r="E2694" s="2" t="s">
        <v>331</v>
      </c>
    </row>
    <row r="2695" spans="1:5" x14ac:dyDescent="0.3">
      <c r="A2695" s="2">
        <v>8512</v>
      </c>
      <c r="B2695" s="2" t="s">
        <v>3036</v>
      </c>
      <c r="C2695" s="2" t="s">
        <v>328</v>
      </c>
      <c r="D2695" s="483">
        <v>232858</v>
      </c>
      <c r="E2695" s="2" t="s">
        <v>331</v>
      </c>
    </row>
    <row r="2696" spans="1:5" x14ac:dyDescent="0.3">
      <c r="A2696" s="2">
        <v>8513</v>
      </c>
      <c r="B2696" s="2" t="s">
        <v>3037</v>
      </c>
      <c r="C2696" s="2" t="s">
        <v>32</v>
      </c>
      <c r="D2696" s="483">
        <v>684475</v>
      </c>
      <c r="E2696" s="2" t="s">
        <v>331</v>
      </c>
    </row>
    <row r="2697" spans="1:5" x14ac:dyDescent="0.3">
      <c r="A2697" s="2">
        <v>8514</v>
      </c>
      <c r="B2697" s="2" t="s">
        <v>3038</v>
      </c>
      <c r="C2697" s="2" t="s">
        <v>328</v>
      </c>
      <c r="D2697" s="483">
        <v>22222</v>
      </c>
      <c r="E2697" s="2" t="s">
        <v>331</v>
      </c>
    </row>
    <row r="2698" spans="1:5" x14ac:dyDescent="0.3">
      <c r="A2698" s="2">
        <v>8515</v>
      </c>
      <c r="B2698" s="2" t="s">
        <v>3039</v>
      </c>
      <c r="C2698" s="2" t="s">
        <v>32</v>
      </c>
      <c r="D2698" s="483">
        <v>21038</v>
      </c>
      <c r="E2698" s="2" t="s">
        <v>331</v>
      </c>
    </row>
    <row r="2699" spans="1:5" x14ac:dyDescent="0.3">
      <c r="A2699" s="2">
        <v>8516</v>
      </c>
      <c r="B2699" s="2" t="s">
        <v>3040</v>
      </c>
      <c r="C2699" s="2" t="s">
        <v>32</v>
      </c>
      <c r="D2699" s="483">
        <v>47248</v>
      </c>
      <c r="E2699" s="2" t="s">
        <v>331</v>
      </c>
    </row>
    <row r="2700" spans="1:5" x14ac:dyDescent="0.3">
      <c r="A2700" s="2">
        <v>8518</v>
      </c>
      <c r="B2700" s="2" t="s">
        <v>3041</v>
      </c>
      <c r="C2700" s="2" t="s">
        <v>32</v>
      </c>
      <c r="D2700" s="483">
        <v>34040</v>
      </c>
      <c r="E2700" s="2" t="s">
        <v>331</v>
      </c>
    </row>
    <row r="2701" spans="1:5" x14ac:dyDescent="0.3">
      <c r="A2701" s="2">
        <v>8519</v>
      </c>
      <c r="B2701" s="2" t="s">
        <v>3042</v>
      </c>
      <c r="C2701" s="2" t="s">
        <v>32</v>
      </c>
      <c r="D2701" s="483">
        <v>24126</v>
      </c>
      <c r="E2701" s="2" t="s">
        <v>331</v>
      </c>
    </row>
    <row r="2702" spans="1:5" x14ac:dyDescent="0.3">
      <c r="A2702" s="2">
        <v>8522</v>
      </c>
      <c r="B2702" s="2" t="s">
        <v>3043</v>
      </c>
      <c r="C2702" s="2" t="s">
        <v>328</v>
      </c>
      <c r="D2702" s="483">
        <v>15326</v>
      </c>
      <c r="E2702" s="2" t="s">
        <v>331</v>
      </c>
    </row>
    <row r="2703" spans="1:5" x14ac:dyDescent="0.3">
      <c r="A2703" s="2">
        <v>8523</v>
      </c>
      <c r="B2703" s="2" t="s">
        <v>3044</v>
      </c>
      <c r="C2703" s="2" t="s">
        <v>32</v>
      </c>
      <c r="D2703" s="483">
        <v>6568</v>
      </c>
      <c r="E2703" s="2" t="s">
        <v>331</v>
      </c>
    </row>
    <row r="2704" spans="1:5" x14ac:dyDescent="0.3">
      <c r="A2704" s="2">
        <v>8524</v>
      </c>
      <c r="B2704" s="2" t="s">
        <v>3045</v>
      </c>
      <c r="C2704" s="2" t="s">
        <v>32</v>
      </c>
      <c r="D2704" s="483">
        <v>7372</v>
      </c>
      <c r="E2704" s="2" t="s">
        <v>331</v>
      </c>
    </row>
    <row r="2705" spans="1:5" x14ac:dyDescent="0.3">
      <c r="A2705" s="2">
        <v>8525</v>
      </c>
      <c r="B2705" s="2" t="s">
        <v>3046</v>
      </c>
      <c r="C2705" s="2" t="s">
        <v>32</v>
      </c>
      <c r="D2705" s="483">
        <v>7839</v>
      </c>
      <c r="E2705" s="2" t="s">
        <v>331</v>
      </c>
    </row>
    <row r="2706" spans="1:5" x14ac:dyDescent="0.3">
      <c r="A2706" s="2">
        <v>8526</v>
      </c>
      <c r="B2706" s="2" t="s">
        <v>3047</v>
      </c>
      <c r="C2706" s="2" t="s">
        <v>32</v>
      </c>
      <c r="D2706" s="483">
        <v>17257</v>
      </c>
      <c r="E2706" s="2" t="s">
        <v>331</v>
      </c>
    </row>
    <row r="2707" spans="1:5" x14ac:dyDescent="0.3">
      <c r="A2707" s="2">
        <v>8527</v>
      </c>
      <c r="B2707" s="2" t="s">
        <v>3048</v>
      </c>
      <c r="C2707" s="2" t="s">
        <v>32</v>
      </c>
      <c r="D2707" s="483">
        <v>19057</v>
      </c>
      <c r="E2707" s="2" t="s">
        <v>331</v>
      </c>
    </row>
    <row r="2708" spans="1:5" x14ac:dyDescent="0.3">
      <c r="A2708" s="2">
        <v>8528</v>
      </c>
      <c r="B2708" s="2" t="s">
        <v>3049</v>
      </c>
      <c r="C2708" s="2" t="s">
        <v>32</v>
      </c>
      <c r="D2708" s="483">
        <v>24440</v>
      </c>
      <c r="E2708" s="2" t="s">
        <v>331</v>
      </c>
    </row>
    <row r="2709" spans="1:5" x14ac:dyDescent="0.3">
      <c r="A2709" s="2">
        <v>8529</v>
      </c>
      <c r="B2709" s="2" t="s">
        <v>3050</v>
      </c>
      <c r="C2709" s="2" t="s">
        <v>32</v>
      </c>
      <c r="D2709" s="483">
        <v>25324</v>
      </c>
      <c r="E2709" s="2" t="s">
        <v>331</v>
      </c>
    </row>
    <row r="2710" spans="1:5" x14ac:dyDescent="0.3">
      <c r="A2710" s="2">
        <v>8530</v>
      </c>
      <c r="B2710" s="2" t="s">
        <v>3051</v>
      </c>
      <c r="C2710" s="2" t="s">
        <v>32</v>
      </c>
      <c r="D2710" s="483">
        <v>63133</v>
      </c>
      <c r="E2710" s="2" t="s">
        <v>331</v>
      </c>
    </row>
    <row r="2711" spans="1:5" x14ac:dyDescent="0.3">
      <c r="A2711" s="2">
        <v>8531</v>
      </c>
      <c r="B2711" s="2" t="s">
        <v>3052</v>
      </c>
      <c r="C2711" s="2" t="s">
        <v>32</v>
      </c>
      <c r="D2711" s="483">
        <v>188491</v>
      </c>
      <c r="E2711" s="2" t="s">
        <v>331</v>
      </c>
    </row>
    <row r="2712" spans="1:5" x14ac:dyDescent="0.3">
      <c r="A2712" s="2">
        <v>8533</v>
      </c>
      <c r="B2712" s="2" t="s">
        <v>3053</v>
      </c>
      <c r="C2712" s="2" t="s">
        <v>32</v>
      </c>
      <c r="D2712" s="483">
        <v>29758</v>
      </c>
      <c r="E2712" s="2" t="s">
        <v>324</v>
      </c>
    </row>
    <row r="2713" spans="1:5" x14ac:dyDescent="0.3">
      <c r="A2713" s="2">
        <v>8534</v>
      </c>
      <c r="B2713" s="2" t="s">
        <v>3054</v>
      </c>
      <c r="C2713" s="2" t="s">
        <v>32</v>
      </c>
      <c r="D2713" s="483">
        <v>429983</v>
      </c>
      <c r="E2713" s="2" t="s">
        <v>367</v>
      </c>
    </row>
    <row r="2714" spans="1:5" x14ac:dyDescent="0.3">
      <c r="A2714" s="2">
        <v>8535</v>
      </c>
      <c r="B2714" s="2" t="s">
        <v>3055</v>
      </c>
      <c r="C2714" s="2" t="s">
        <v>32</v>
      </c>
      <c r="D2714" s="483">
        <v>513283</v>
      </c>
      <c r="E2714" s="2" t="s">
        <v>367</v>
      </c>
    </row>
    <row r="2715" spans="1:5" x14ac:dyDescent="0.3">
      <c r="A2715" s="2">
        <v>8536</v>
      </c>
      <c r="B2715" s="2" t="s">
        <v>3056</v>
      </c>
      <c r="C2715" s="2" t="s">
        <v>21</v>
      </c>
      <c r="D2715" s="483">
        <v>21696</v>
      </c>
      <c r="E2715" s="2" t="s">
        <v>324</v>
      </c>
    </row>
    <row r="2716" spans="1:5" x14ac:dyDescent="0.3">
      <c r="A2716" s="2">
        <v>8537</v>
      </c>
      <c r="B2716" s="2" t="s">
        <v>3057</v>
      </c>
      <c r="C2716" s="2" t="s">
        <v>32</v>
      </c>
      <c r="D2716" s="483">
        <v>2022967</v>
      </c>
      <c r="E2716" s="2" t="s">
        <v>331</v>
      </c>
    </row>
    <row r="2717" spans="1:5" x14ac:dyDescent="0.3">
      <c r="A2717" s="2">
        <v>8538</v>
      </c>
      <c r="B2717" s="2" t="s">
        <v>3058</v>
      </c>
      <c r="C2717" s="2" t="s">
        <v>328</v>
      </c>
      <c r="D2717" s="483">
        <v>50597</v>
      </c>
      <c r="E2717" s="2" t="s">
        <v>331</v>
      </c>
    </row>
    <row r="2718" spans="1:5" x14ac:dyDescent="0.3">
      <c r="A2718" s="2">
        <v>8539</v>
      </c>
      <c r="B2718" s="2" t="s">
        <v>3059</v>
      </c>
      <c r="C2718" s="2" t="s">
        <v>328</v>
      </c>
      <c r="D2718" s="483">
        <v>56603</v>
      </c>
      <c r="E2718" s="2" t="s">
        <v>331</v>
      </c>
    </row>
    <row r="2719" spans="1:5" x14ac:dyDescent="0.3">
      <c r="A2719" s="2">
        <v>8540</v>
      </c>
      <c r="B2719" s="2" t="s">
        <v>3060</v>
      </c>
      <c r="C2719" s="2" t="s">
        <v>328</v>
      </c>
      <c r="D2719" s="483">
        <v>116611</v>
      </c>
      <c r="E2719" s="2" t="s">
        <v>331</v>
      </c>
    </row>
    <row r="2720" spans="1:5" x14ac:dyDescent="0.3">
      <c r="A2720" s="2">
        <v>8541</v>
      </c>
      <c r="B2720" s="2" t="s">
        <v>3061</v>
      </c>
      <c r="C2720" s="2" t="s">
        <v>328</v>
      </c>
      <c r="D2720" s="483">
        <v>488256</v>
      </c>
      <c r="E2720" s="2" t="s">
        <v>331</v>
      </c>
    </row>
    <row r="2721" spans="1:5" x14ac:dyDescent="0.3">
      <c r="A2721" s="2">
        <v>8542</v>
      </c>
      <c r="B2721" s="2" t="s">
        <v>3062</v>
      </c>
      <c r="C2721" s="2" t="s">
        <v>32</v>
      </c>
      <c r="D2721" s="483">
        <v>176842</v>
      </c>
      <c r="E2721" s="2" t="s">
        <v>331</v>
      </c>
    </row>
    <row r="2722" spans="1:5" x14ac:dyDescent="0.3">
      <c r="A2722" s="2">
        <v>8543</v>
      </c>
      <c r="B2722" s="2" t="s">
        <v>3063</v>
      </c>
      <c r="C2722" s="2" t="s">
        <v>32</v>
      </c>
      <c r="D2722" s="483">
        <v>1286</v>
      </c>
      <c r="E2722" s="2" t="s">
        <v>331</v>
      </c>
    </row>
    <row r="2723" spans="1:5" x14ac:dyDescent="0.3">
      <c r="A2723" s="2">
        <v>8544</v>
      </c>
      <c r="B2723" s="2" t="s">
        <v>3064</v>
      </c>
      <c r="C2723" s="2" t="s">
        <v>32</v>
      </c>
      <c r="D2723" s="483">
        <v>1286</v>
      </c>
      <c r="E2723" s="2" t="s">
        <v>331</v>
      </c>
    </row>
    <row r="2724" spans="1:5" x14ac:dyDescent="0.3">
      <c r="A2724" s="2">
        <v>8545</v>
      </c>
      <c r="B2724" s="2" t="s">
        <v>3065</v>
      </c>
      <c r="C2724" s="2" t="s">
        <v>30</v>
      </c>
      <c r="D2724" s="483">
        <v>48565</v>
      </c>
      <c r="E2724" s="2" t="s">
        <v>331</v>
      </c>
    </row>
    <row r="2725" spans="1:5" x14ac:dyDescent="0.3">
      <c r="A2725" s="2">
        <v>8546</v>
      </c>
      <c r="B2725" s="2" t="s">
        <v>3066</v>
      </c>
      <c r="C2725" s="2" t="s">
        <v>32</v>
      </c>
      <c r="D2725" s="483">
        <v>533350</v>
      </c>
      <c r="E2725" s="2" t="s">
        <v>331</v>
      </c>
    </row>
    <row r="2726" spans="1:5" x14ac:dyDescent="0.3">
      <c r="A2726" s="2">
        <v>8547</v>
      </c>
      <c r="B2726" s="2" t="s">
        <v>3067</v>
      </c>
      <c r="C2726" s="2" t="s">
        <v>32</v>
      </c>
      <c r="D2726" s="483">
        <v>533350</v>
      </c>
      <c r="E2726" s="2" t="s">
        <v>331</v>
      </c>
    </row>
    <row r="2727" spans="1:5" x14ac:dyDescent="0.3">
      <c r="A2727" s="2">
        <v>8548</v>
      </c>
      <c r="B2727" s="2" t="s">
        <v>3068</v>
      </c>
      <c r="C2727" s="2" t="s">
        <v>32</v>
      </c>
      <c r="D2727" s="483">
        <v>394805</v>
      </c>
      <c r="E2727" s="2" t="s">
        <v>331</v>
      </c>
    </row>
    <row r="2728" spans="1:5" x14ac:dyDescent="0.3">
      <c r="A2728" s="2">
        <v>8549</v>
      </c>
      <c r="B2728" s="2" t="s">
        <v>3069</v>
      </c>
      <c r="C2728" s="2" t="s">
        <v>32</v>
      </c>
      <c r="D2728" s="483">
        <v>616868</v>
      </c>
      <c r="E2728" s="2" t="s">
        <v>331</v>
      </c>
    </row>
    <row r="2729" spans="1:5" x14ac:dyDescent="0.3">
      <c r="A2729" s="2">
        <v>8553</v>
      </c>
      <c r="B2729" s="2" t="s">
        <v>3070</v>
      </c>
      <c r="C2729" s="2" t="s">
        <v>32</v>
      </c>
      <c r="D2729" s="483">
        <v>50811</v>
      </c>
      <c r="E2729" s="2" t="s">
        <v>331</v>
      </c>
    </row>
    <row r="2730" spans="1:5" x14ac:dyDescent="0.3">
      <c r="A2730" s="2">
        <v>8556</v>
      </c>
      <c r="B2730" s="2" t="s">
        <v>3071</v>
      </c>
      <c r="C2730" s="2" t="s">
        <v>21</v>
      </c>
      <c r="D2730" s="483">
        <v>65563</v>
      </c>
      <c r="E2730" s="2" t="s">
        <v>331</v>
      </c>
    </row>
    <row r="2731" spans="1:5" x14ac:dyDescent="0.3">
      <c r="A2731" s="2">
        <v>8557</v>
      </c>
      <c r="B2731" s="2" t="s">
        <v>3072</v>
      </c>
      <c r="C2731" s="2" t="s">
        <v>21</v>
      </c>
      <c r="D2731" s="483">
        <v>142858</v>
      </c>
      <c r="E2731" s="2" t="s">
        <v>331</v>
      </c>
    </row>
    <row r="2732" spans="1:5" x14ac:dyDescent="0.3">
      <c r="A2732" s="2">
        <v>8558</v>
      </c>
      <c r="B2732" s="2" t="s">
        <v>3073</v>
      </c>
      <c r="C2732" s="2" t="s">
        <v>32</v>
      </c>
      <c r="D2732" s="483">
        <v>24274701</v>
      </c>
      <c r="E2732" s="2" t="s">
        <v>331</v>
      </c>
    </row>
    <row r="2733" spans="1:5" x14ac:dyDescent="0.3">
      <c r="A2733" s="2">
        <v>8559</v>
      </c>
      <c r="B2733" s="2" t="s">
        <v>3074</v>
      </c>
      <c r="C2733" s="2" t="s">
        <v>32</v>
      </c>
      <c r="D2733" s="483">
        <v>18051961</v>
      </c>
      <c r="E2733" s="2" t="s">
        <v>331</v>
      </c>
    </row>
    <row r="2734" spans="1:5" x14ac:dyDescent="0.3">
      <c r="A2734" s="2">
        <v>8560</v>
      </c>
      <c r="B2734" s="2" t="s">
        <v>3075</v>
      </c>
      <c r="C2734" s="2" t="s">
        <v>32</v>
      </c>
      <c r="D2734" s="483">
        <v>2471129</v>
      </c>
      <c r="E2734" s="2" t="s">
        <v>331</v>
      </c>
    </row>
    <row r="2735" spans="1:5" x14ac:dyDescent="0.3">
      <c r="A2735" s="2">
        <v>8561</v>
      </c>
      <c r="B2735" s="2" t="s">
        <v>3076</v>
      </c>
      <c r="C2735" s="2" t="s">
        <v>32</v>
      </c>
      <c r="D2735" s="483">
        <v>405329</v>
      </c>
      <c r="E2735" s="2" t="s">
        <v>367</v>
      </c>
    </row>
    <row r="2736" spans="1:5" x14ac:dyDescent="0.3">
      <c r="A2736" s="2">
        <v>8562</v>
      </c>
      <c r="B2736" s="2" t="s">
        <v>3077</v>
      </c>
      <c r="C2736" s="2" t="s">
        <v>32</v>
      </c>
      <c r="D2736" s="483">
        <v>377627</v>
      </c>
      <c r="E2736" s="2" t="s">
        <v>331</v>
      </c>
    </row>
    <row r="2737" spans="1:5" x14ac:dyDescent="0.3">
      <c r="A2737" s="2">
        <v>8563</v>
      </c>
      <c r="B2737" s="2" t="s">
        <v>3078</v>
      </c>
      <c r="C2737" s="2" t="s">
        <v>32</v>
      </c>
      <c r="D2737" s="483">
        <v>405329</v>
      </c>
      <c r="E2737" s="2" t="s">
        <v>367</v>
      </c>
    </row>
    <row r="2738" spans="1:5" x14ac:dyDescent="0.3">
      <c r="A2738" s="2">
        <v>8564</v>
      </c>
      <c r="B2738" s="2" t="s">
        <v>3079</v>
      </c>
      <c r="C2738" s="2" t="s">
        <v>32</v>
      </c>
      <c r="D2738" s="483">
        <v>405329</v>
      </c>
      <c r="E2738" s="2" t="s">
        <v>367</v>
      </c>
    </row>
    <row r="2739" spans="1:5" x14ac:dyDescent="0.3">
      <c r="A2739" s="2">
        <v>8566</v>
      </c>
      <c r="B2739" s="2" t="s">
        <v>3080</v>
      </c>
      <c r="C2739" s="2" t="s">
        <v>21</v>
      </c>
      <c r="D2739" s="483">
        <v>144457</v>
      </c>
      <c r="E2739" s="2" t="s">
        <v>324</v>
      </c>
    </row>
    <row r="2740" spans="1:5" x14ac:dyDescent="0.3">
      <c r="A2740" s="2">
        <v>8569</v>
      </c>
      <c r="B2740" s="2" t="s">
        <v>3081</v>
      </c>
      <c r="C2740" s="2" t="s">
        <v>32</v>
      </c>
      <c r="D2740" s="483">
        <v>26926332</v>
      </c>
      <c r="E2740" s="2" t="s">
        <v>324</v>
      </c>
    </row>
    <row r="2741" spans="1:5" x14ac:dyDescent="0.3">
      <c r="A2741" s="2">
        <v>8574</v>
      </c>
      <c r="B2741" s="2" t="s">
        <v>3082</v>
      </c>
      <c r="C2741" s="2" t="s">
        <v>32</v>
      </c>
      <c r="D2741" s="483">
        <v>162965</v>
      </c>
      <c r="E2741" s="2" t="s">
        <v>331</v>
      </c>
    </row>
    <row r="2742" spans="1:5" x14ac:dyDescent="0.3">
      <c r="A2742" s="2">
        <v>8575</v>
      </c>
      <c r="B2742" s="2" t="s">
        <v>3083</v>
      </c>
      <c r="C2742" s="2" t="s">
        <v>32</v>
      </c>
      <c r="D2742" s="483">
        <v>9103</v>
      </c>
      <c r="E2742" s="2" t="s">
        <v>331</v>
      </c>
    </row>
    <row r="2743" spans="1:5" x14ac:dyDescent="0.3">
      <c r="A2743" s="2">
        <v>8576</v>
      </c>
      <c r="B2743" s="2" t="s">
        <v>3084</v>
      </c>
      <c r="C2743" s="2" t="s">
        <v>32</v>
      </c>
      <c r="D2743" s="483">
        <v>164180</v>
      </c>
      <c r="E2743" s="2" t="s">
        <v>324</v>
      </c>
    </row>
    <row r="2744" spans="1:5" x14ac:dyDescent="0.3">
      <c r="A2744" s="2">
        <v>8579</v>
      </c>
      <c r="B2744" s="2" t="s">
        <v>3085</v>
      </c>
      <c r="C2744" s="2" t="s">
        <v>32</v>
      </c>
      <c r="D2744" s="483">
        <v>186610</v>
      </c>
      <c r="E2744" s="2" t="s">
        <v>331</v>
      </c>
    </row>
    <row r="2745" spans="1:5" x14ac:dyDescent="0.3">
      <c r="A2745" s="2">
        <v>8581</v>
      </c>
      <c r="B2745" s="2" t="s">
        <v>3086</v>
      </c>
      <c r="C2745" s="2" t="s">
        <v>32</v>
      </c>
      <c r="D2745" s="483">
        <v>6469</v>
      </c>
      <c r="E2745" s="2" t="s">
        <v>331</v>
      </c>
    </row>
    <row r="2746" spans="1:5" x14ac:dyDescent="0.3">
      <c r="A2746" s="2">
        <v>8582</v>
      </c>
      <c r="B2746" s="2" t="s">
        <v>3087</v>
      </c>
      <c r="C2746" s="2" t="s">
        <v>32</v>
      </c>
      <c r="D2746" s="483">
        <v>8206</v>
      </c>
      <c r="E2746" s="2" t="s">
        <v>331</v>
      </c>
    </row>
    <row r="2747" spans="1:5" x14ac:dyDescent="0.3">
      <c r="A2747" s="2">
        <v>8583</v>
      </c>
      <c r="B2747" s="2" t="s">
        <v>3088</v>
      </c>
      <c r="C2747" s="2" t="s">
        <v>328</v>
      </c>
      <c r="D2747" s="483">
        <v>9928</v>
      </c>
      <c r="E2747" s="2" t="s">
        <v>331</v>
      </c>
    </row>
    <row r="2748" spans="1:5" x14ac:dyDescent="0.3">
      <c r="A2748" s="2">
        <v>8584</v>
      </c>
      <c r="B2748" s="2" t="s">
        <v>3089</v>
      </c>
      <c r="C2748" s="2" t="s">
        <v>32</v>
      </c>
      <c r="D2748" s="483">
        <v>8812</v>
      </c>
      <c r="E2748" s="2" t="s">
        <v>331</v>
      </c>
    </row>
    <row r="2749" spans="1:5" x14ac:dyDescent="0.3">
      <c r="A2749" s="2">
        <v>8585</v>
      </c>
      <c r="B2749" s="2" t="s">
        <v>3090</v>
      </c>
      <c r="C2749" s="2" t="s">
        <v>32</v>
      </c>
      <c r="D2749" s="483">
        <v>5855</v>
      </c>
      <c r="E2749" s="2" t="s">
        <v>331</v>
      </c>
    </row>
    <row r="2750" spans="1:5" x14ac:dyDescent="0.3">
      <c r="A2750" s="2">
        <v>8586</v>
      </c>
      <c r="B2750" s="2" t="s">
        <v>3091</v>
      </c>
      <c r="C2750" s="2" t="s">
        <v>32</v>
      </c>
      <c r="D2750" s="483">
        <v>8409</v>
      </c>
      <c r="E2750" s="2" t="s">
        <v>331</v>
      </c>
    </row>
    <row r="2751" spans="1:5" x14ac:dyDescent="0.3">
      <c r="A2751" s="2">
        <v>8587</v>
      </c>
      <c r="B2751" s="2" t="s">
        <v>3092</v>
      </c>
      <c r="C2751" s="2" t="s">
        <v>32</v>
      </c>
      <c r="D2751" s="483">
        <v>19638</v>
      </c>
      <c r="E2751" s="2" t="s">
        <v>331</v>
      </c>
    </row>
    <row r="2752" spans="1:5" x14ac:dyDescent="0.3">
      <c r="A2752" s="2">
        <v>8588</v>
      </c>
      <c r="B2752" s="2" t="s">
        <v>3093</v>
      </c>
      <c r="C2752" s="2" t="s">
        <v>32</v>
      </c>
      <c r="D2752" s="483">
        <v>19638</v>
      </c>
      <c r="E2752" s="2" t="s">
        <v>331</v>
      </c>
    </row>
    <row r="2753" spans="1:5" x14ac:dyDescent="0.3">
      <c r="A2753" s="2">
        <v>8589</v>
      </c>
      <c r="B2753" s="2" t="s">
        <v>3094</v>
      </c>
      <c r="C2753" s="2" t="s">
        <v>32</v>
      </c>
      <c r="D2753" s="483">
        <v>19638</v>
      </c>
      <c r="E2753" s="2" t="s">
        <v>331</v>
      </c>
    </row>
    <row r="2754" spans="1:5" x14ac:dyDescent="0.3">
      <c r="A2754" s="2">
        <v>8590</v>
      </c>
      <c r="B2754" s="2" t="s">
        <v>3095</v>
      </c>
      <c r="C2754" s="2" t="s">
        <v>32</v>
      </c>
      <c r="D2754" s="483">
        <v>2628135</v>
      </c>
      <c r="E2754" s="2" t="s">
        <v>331</v>
      </c>
    </row>
    <row r="2755" spans="1:5" x14ac:dyDescent="0.3">
      <c r="A2755" s="2">
        <v>8591</v>
      </c>
      <c r="B2755" s="2" t="s">
        <v>3096</v>
      </c>
      <c r="C2755" s="2" t="s">
        <v>21</v>
      </c>
      <c r="D2755" s="483">
        <v>72754</v>
      </c>
      <c r="E2755" s="2" t="s">
        <v>331</v>
      </c>
    </row>
    <row r="2756" spans="1:5" x14ac:dyDescent="0.3">
      <c r="A2756" s="2">
        <v>8592</v>
      </c>
      <c r="B2756" s="2" t="s">
        <v>3097</v>
      </c>
      <c r="C2756" s="2" t="s">
        <v>328</v>
      </c>
      <c r="D2756" s="483">
        <v>122816</v>
      </c>
      <c r="E2756" s="2" t="s">
        <v>331</v>
      </c>
    </row>
    <row r="2757" spans="1:5" x14ac:dyDescent="0.3">
      <c r="A2757" s="2">
        <v>8593</v>
      </c>
      <c r="B2757" s="2" t="s">
        <v>3098</v>
      </c>
      <c r="C2757" s="2" t="s">
        <v>32</v>
      </c>
      <c r="D2757" s="483">
        <v>53088</v>
      </c>
      <c r="E2757" s="2" t="s">
        <v>331</v>
      </c>
    </row>
    <row r="2758" spans="1:5" x14ac:dyDescent="0.3">
      <c r="A2758" s="2">
        <v>8594</v>
      </c>
      <c r="B2758" s="2" t="s">
        <v>3099</v>
      </c>
      <c r="C2758" s="2" t="s">
        <v>32</v>
      </c>
      <c r="D2758" s="483">
        <v>211517</v>
      </c>
      <c r="E2758" s="2" t="s">
        <v>331</v>
      </c>
    </row>
    <row r="2759" spans="1:5" x14ac:dyDescent="0.3">
      <c r="A2759" s="2">
        <v>8595</v>
      </c>
      <c r="B2759" s="2" t="s">
        <v>3100</v>
      </c>
      <c r="C2759" s="2" t="s">
        <v>32</v>
      </c>
      <c r="D2759" s="483">
        <v>229367</v>
      </c>
      <c r="E2759" s="2" t="s">
        <v>331</v>
      </c>
    </row>
    <row r="2760" spans="1:5" x14ac:dyDescent="0.3">
      <c r="A2760" s="2">
        <v>8597</v>
      </c>
      <c r="B2760" s="2" t="s">
        <v>3101</v>
      </c>
      <c r="C2760" s="2" t="s">
        <v>32</v>
      </c>
      <c r="D2760" s="483">
        <v>178154</v>
      </c>
      <c r="E2760" s="2" t="s">
        <v>324</v>
      </c>
    </row>
    <row r="2761" spans="1:5" x14ac:dyDescent="0.3">
      <c r="A2761" s="2">
        <v>8598</v>
      </c>
      <c r="B2761" s="2" t="s">
        <v>3102</v>
      </c>
      <c r="C2761" s="2" t="s">
        <v>32</v>
      </c>
      <c r="D2761" s="483">
        <v>426101</v>
      </c>
      <c r="E2761" s="2" t="s">
        <v>324</v>
      </c>
    </row>
    <row r="2762" spans="1:5" x14ac:dyDescent="0.3">
      <c r="A2762" s="2">
        <v>8599</v>
      </c>
      <c r="B2762" s="2" t="s">
        <v>3103</v>
      </c>
      <c r="C2762" s="2" t="s">
        <v>32</v>
      </c>
      <c r="D2762" s="483">
        <v>77042</v>
      </c>
      <c r="E2762" s="2" t="s">
        <v>324</v>
      </c>
    </row>
    <row r="2763" spans="1:5" x14ac:dyDescent="0.3">
      <c r="A2763" s="2">
        <v>8601</v>
      </c>
      <c r="B2763" s="2" t="s">
        <v>3104</v>
      </c>
      <c r="C2763" s="2" t="s">
        <v>32</v>
      </c>
      <c r="D2763" s="483">
        <v>295652</v>
      </c>
      <c r="E2763" s="2" t="s">
        <v>324</v>
      </c>
    </row>
    <row r="2764" spans="1:5" x14ac:dyDescent="0.3">
      <c r="A2764" s="2">
        <v>8603</v>
      </c>
      <c r="B2764" s="2" t="s">
        <v>3105</v>
      </c>
      <c r="C2764" s="2" t="s">
        <v>32</v>
      </c>
      <c r="D2764" s="483">
        <v>61671</v>
      </c>
      <c r="E2764" s="2" t="s">
        <v>331</v>
      </c>
    </row>
    <row r="2765" spans="1:5" x14ac:dyDescent="0.3">
      <c r="A2765" s="2">
        <v>8605</v>
      </c>
      <c r="B2765" s="2" t="s">
        <v>3106</v>
      </c>
      <c r="C2765" s="2" t="s">
        <v>21</v>
      </c>
      <c r="D2765" s="483">
        <v>75428</v>
      </c>
      <c r="E2765" s="2" t="s">
        <v>331</v>
      </c>
    </row>
    <row r="2766" spans="1:5" x14ac:dyDescent="0.3">
      <c r="A2766" s="2">
        <v>8606</v>
      </c>
      <c r="B2766" s="2" t="s">
        <v>3107</v>
      </c>
      <c r="C2766" s="2" t="s">
        <v>21</v>
      </c>
      <c r="D2766" s="483">
        <v>12822</v>
      </c>
      <c r="E2766" s="2" t="s">
        <v>331</v>
      </c>
    </row>
    <row r="2767" spans="1:5" x14ac:dyDescent="0.3">
      <c r="A2767" s="2">
        <v>8610</v>
      </c>
      <c r="B2767" s="2" t="s">
        <v>3108</v>
      </c>
      <c r="C2767" s="2" t="s">
        <v>32</v>
      </c>
      <c r="D2767" s="483">
        <v>37138116</v>
      </c>
      <c r="E2767" s="2" t="s">
        <v>324</v>
      </c>
    </row>
    <row r="2768" spans="1:5" x14ac:dyDescent="0.3">
      <c r="A2768" s="2">
        <v>8611</v>
      </c>
      <c r="B2768" s="2" t="s">
        <v>3109</v>
      </c>
      <c r="C2768" s="2" t="s">
        <v>670</v>
      </c>
      <c r="D2768" s="483">
        <v>4772</v>
      </c>
      <c r="E2768" s="2" t="s">
        <v>331</v>
      </c>
    </row>
    <row r="2769" spans="1:5" x14ac:dyDescent="0.3">
      <c r="A2769" s="2">
        <v>8612</v>
      </c>
      <c r="B2769" s="2" t="s">
        <v>3110</v>
      </c>
      <c r="C2769" s="2" t="s">
        <v>21</v>
      </c>
      <c r="D2769" s="483">
        <v>217920</v>
      </c>
      <c r="E2769" s="2" t="s">
        <v>331</v>
      </c>
    </row>
    <row r="2770" spans="1:5" x14ac:dyDescent="0.3">
      <c r="A2770" s="2">
        <v>8613</v>
      </c>
      <c r="B2770" s="2" t="s">
        <v>3111</v>
      </c>
      <c r="C2770" s="2" t="s">
        <v>30</v>
      </c>
      <c r="D2770" s="483">
        <v>1364622</v>
      </c>
      <c r="E2770" s="2" t="s">
        <v>331</v>
      </c>
    </row>
    <row r="2771" spans="1:5" x14ac:dyDescent="0.3">
      <c r="A2771" s="2">
        <v>8614</v>
      </c>
      <c r="B2771" s="2" t="s">
        <v>3112</v>
      </c>
      <c r="C2771" s="2" t="s">
        <v>30</v>
      </c>
      <c r="D2771" s="483">
        <v>1261579</v>
      </c>
      <c r="E2771" s="2" t="s">
        <v>331</v>
      </c>
    </row>
    <row r="2772" spans="1:5" x14ac:dyDescent="0.3">
      <c r="A2772" s="2">
        <v>8615</v>
      </c>
      <c r="B2772" s="2" t="s">
        <v>3113</v>
      </c>
      <c r="C2772" s="2" t="s">
        <v>30</v>
      </c>
      <c r="D2772" s="483">
        <v>209477</v>
      </c>
      <c r="E2772" s="2" t="s">
        <v>331</v>
      </c>
    </row>
    <row r="2773" spans="1:5" x14ac:dyDescent="0.3">
      <c r="A2773" s="2">
        <v>8616</v>
      </c>
      <c r="B2773" s="2" t="s">
        <v>3114</v>
      </c>
      <c r="C2773" s="2" t="s">
        <v>30</v>
      </c>
      <c r="D2773" s="483">
        <v>194893</v>
      </c>
      <c r="E2773" s="2" t="s">
        <v>331</v>
      </c>
    </row>
    <row r="2774" spans="1:5" x14ac:dyDescent="0.3">
      <c r="A2774" s="2">
        <v>8617</v>
      </c>
      <c r="B2774" s="2" t="s">
        <v>3115</v>
      </c>
      <c r="C2774" s="2" t="s">
        <v>30</v>
      </c>
      <c r="D2774" s="483">
        <v>191200</v>
      </c>
      <c r="E2774" s="2" t="s">
        <v>331</v>
      </c>
    </row>
    <row r="2775" spans="1:5" x14ac:dyDescent="0.3">
      <c r="A2775" s="2">
        <v>8618</v>
      </c>
      <c r="B2775" s="2" t="s">
        <v>3116</v>
      </c>
      <c r="C2775" s="2" t="s">
        <v>30</v>
      </c>
      <c r="D2775" s="483">
        <v>1256298</v>
      </c>
      <c r="E2775" s="2" t="s">
        <v>331</v>
      </c>
    </row>
    <row r="2776" spans="1:5" x14ac:dyDescent="0.3">
      <c r="A2776" s="2">
        <v>8619</v>
      </c>
      <c r="B2776" s="2" t="s">
        <v>3117</v>
      </c>
      <c r="C2776" s="2" t="s">
        <v>30</v>
      </c>
      <c r="D2776" s="483">
        <v>1395418</v>
      </c>
      <c r="E2776" s="2" t="s">
        <v>331</v>
      </c>
    </row>
    <row r="2777" spans="1:5" x14ac:dyDescent="0.3">
      <c r="A2777" s="2">
        <v>8620</v>
      </c>
      <c r="B2777" s="2" t="s">
        <v>3118</v>
      </c>
      <c r="C2777" s="2" t="s">
        <v>30</v>
      </c>
      <c r="D2777" s="483">
        <v>1269267</v>
      </c>
      <c r="E2777" s="2" t="s">
        <v>331</v>
      </c>
    </row>
    <row r="2778" spans="1:5" x14ac:dyDescent="0.3">
      <c r="A2778" s="2">
        <v>8621</v>
      </c>
      <c r="B2778" s="2" t="s">
        <v>3119</v>
      </c>
      <c r="C2778" s="2" t="s">
        <v>30</v>
      </c>
      <c r="D2778" s="483">
        <v>1237920</v>
      </c>
      <c r="E2778" s="2" t="s">
        <v>331</v>
      </c>
    </row>
    <row r="2779" spans="1:5" x14ac:dyDescent="0.3">
      <c r="A2779" s="2">
        <v>8622</v>
      </c>
      <c r="B2779" s="2" t="s">
        <v>3120</v>
      </c>
      <c r="C2779" s="2" t="s">
        <v>21</v>
      </c>
      <c r="D2779" s="483">
        <v>15087</v>
      </c>
      <c r="E2779" s="2" t="s">
        <v>324</v>
      </c>
    </row>
    <row r="2780" spans="1:5" x14ac:dyDescent="0.3">
      <c r="A2780" s="2">
        <v>8624</v>
      </c>
      <c r="B2780" s="2" t="s">
        <v>3121</v>
      </c>
      <c r="C2780" s="2" t="s">
        <v>32</v>
      </c>
      <c r="D2780" s="483">
        <v>5653267</v>
      </c>
      <c r="E2780" s="2" t="s">
        <v>331</v>
      </c>
    </row>
    <row r="2781" spans="1:5" x14ac:dyDescent="0.3">
      <c r="A2781" s="2">
        <v>8625</v>
      </c>
      <c r="B2781" s="2" t="s">
        <v>3122</v>
      </c>
      <c r="C2781" s="2" t="s">
        <v>32</v>
      </c>
      <c r="D2781" s="483">
        <v>401679</v>
      </c>
      <c r="E2781" s="2" t="s">
        <v>331</v>
      </c>
    </row>
    <row r="2782" spans="1:5" x14ac:dyDescent="0.3">
      <c r="A2782" s="2">
        <v>8626</v>
      </c>
      <c r="B2782" s="2" t="s">
        <v>3123</v>
      </c>
      <c r="C2782" s="2" t="s">
        <v>32</v>
      </c>
      <c r="D2782" s="483">
        <v>2815970</v>
      </c>
      <c r="E2782" s="2" t="s">
        <v>331</v>
      </c>
    </row>
    <row r="2783" spans="1:5" x14ac:dyDescent="0.3">
      <c r="A2783" s="2">
        <v>8627</v>
      </c>
      <c r="B2783" s="2" t="s">
        <v>3124</v>
      </c>
      <c r="C2783" s="2" t="s">
        <v>32</v>
      </c>
      <c r="D2783" s="483">
        <v>677720</v>
      </c>
      <c r="E2783" s="2" t="s">
        <v>331</v>
      </c>
    </row>
    <row r="2784" spans="1:5" x14ac:dyDescent="0.3">
      <c r="A2784" s="2">
        <v>8628</v>
      </c>
      <c r="B2784" s="2" t="s">
        <v>3125</v>
      </c>
      <c r="C2784" s="2" t="s">
        <v>32</v>
      </c>
      <c r="D2784" s="483">
        <v>230487</v>
      </c>
      <c r="E2784" s="2" t="s">
        <v>331</v>
      </c>
    </row>
    <row r="2785" spans="1:5" x14ac:dyDescent="0.3">
      <c r="A2785" s="2">
        <v>8629</v>
      </c>
      <c r="B2785" s="2" t="s">
        <v>3126</v>
      </c>
      <c r="C2785" s="2" t="s">
        <v>328</v>
      </c>
      <c r="D2785" s="483">
        <v>1178052</v>
      </c>
      <c r="E2785" s="2" t="s">
        <v>331</v>
      </c>
    </row>
    <row r="2786" spans="1:5" x14ac:dyDescent="0.3">
      <c r="A2786" s="2">
        <v>8631</v>
      </c>
      <c r="B2786" s="2" t="s">
        <v>3127</v>
      </c>
      <c r="C2786" s="2" t="s">
        <v>32</v>
      </c>
      <c r="D2786" s="483">
        <v>1224048</v>
      </c>
      <c r="E2786" s="2" t="s">
        <v>331</v>
      </c>
    </row>
    <row r="2787" spans="1:5" x14ac:dyDescent="0.3">
      <c r="A2787" s="2">
        <v>8632</v>
      </c>
      <c r="B2787" s="2" t="s">
        <v>3128</v>
      </c>
      <c r="C2787" s="2" t="s">
        <v>328</v>
      </c>
      <c r="D2787" s="483">
        <v>532327</v>
      </c>
      <c r="E2787" s="2" t="s">
        <v>331</v>
      </c>
    </row>
    <row r="2788" spans="1:5" x14ac:dyDescent="0.3">
      <c r="A2788" s="2">
        <v>8633</v>
      </c>
      <c r="B2788" s="2" t="s">
        <v>3129</v>
      </c>
      <c r="C2788" s="2" t="s">
        <v>328</v>
      </c>
      <c r="D2788" s="483">
        <v>1170608</v>
      </c>
      <c r="E2788" s="2" t="s">
        <v>331</v>
      </c>
    </row>
    <row r="2789" spans="1:5" x14ac:dyDescent="0.3">
      <c r="A2789" s="2">
        <v>8634</v>
      </c>
      <c r="B2789" s="2" t="s">
        <v>3130</v>
      </c>
      <c r="C2789" s="2" t="s">
        <v>32</v>
      </c>
      <c r="D2789" s="483">
        <v>1248374</v>
      </c>
      <c r="E2789" s="2" t="s">
        <v>331</v>
      </c>
    </row>
    <row r="2790" spans="1:5" x14ac:dyDescent="0.3">
      <c r="A2790" s="2">
        <v>8636</v>
      </c>
      <c r="B2790" s="2" t="s">
        <v>3131</v>
      </c>
      <c r="C2790" s="2" t="s">
        <v>32</v>
      </c>
      <c r="D2790" s="483">
        <v>722523</v>
      </c>
      <c r="E2790" s="2" t="s">
        <v>331</v>
      </c>
    </row>
    <row r="2791" spans="1:5" x14ac:dyDescent="0.3">
      <c r="A2791" s="2">
        <v>8637</v>
      </c>
      <c r="B2791" s="2" t="s">
        <v>3132</v>
      </c>
      <c r="C2791" s="2" t="s">
        <v>32</v>
      </c>
      <c r="D2791" s="483">
        <v>2092543</v>
      </c>
      <c r="E2791" s="2" t="s">
        <v>331</v>
      </c>
    </row>
    <row r="2792" spans="1:5" x14ac:dyDescent="0.3">
      <c r="A2792" s="2">
        <v>8638</v>
      </c>
      <c r="B2792" s="2" t="s">
        <v>3133</v>
      </c>
      <c r="C2792" s="2" t="s">
        <v>32</v>
      </c>
      <c r="D2792" s="483">
        <v>4704330</v>
      </c>
      <c r="E2792" s="2" t="s">
        <v>331</v>
      </c>
    </row>
    <row r="2793" spans="1:5" x14ac:dyDescent="0.3">
      <c r="A2793" s="2">
        <v>8639</v>
      </c>
      <c r="B2793" s="2" t="s">
        <v>3134</v>
      </c>
      <c r="C2793" s="2" t="s">
        <v>32</v>
      </c>
      <c r="D2793" s="483">
        <v>7969185</v>
      </c>
      <c r="E2793" s="2" t="s">
        <v>331</v>
      </c>
    </row>
    <row r="2794" spans="1:5" x14ac:dyDescent="0.3">
      <c r="A2794" s="2">
        <v>8640</v>
      </c>
      <c r="B2794" s="2" t="s">
        <v>3135</v>
      </c>
      <c r="C2794" s="2" t="s">
        <v>32</v>
      </c>
      <c r="D2794" s="483">
        <v>148782</v>
      </c>
      <c r="E2794" s="2" t="s">
        <v>331</v>
      </c>
    </row>
    <row r="2795" spans="1:5" x14ac:dyDescent="0.3">
      <c r="A2795" s="2">
        <v>8641</v>
      </c>
      <c r="B2795" s="2" t="s">
        <v>3136</v>
      </c>
      <c r="C2795" s="2" t="s">
        <v>32</v>
      </c>
      <c r="D2795" s="2">
        <v>1704195</v>
      </c>
      <c r="E2795" s="2" t="s">
        <v>331</v>
      </c>
    </row>
    <row r="2796" spans="1:5" x14ac:dyDescent="0.3">
      <c r="A2796" s="2">
        <v>8642</v>
      </c>
      <c r="B2796" s="2" t="s">
        <v>3137</v>
      </c>
      <c r="C2796" s="2" t="s">
        <v>32</v>
      </c>
      <c r="D2796" s="2">
        <v>121144</v>
      </c>
      <c r="E2796" s="2" t="s">
        <v>331</v>
      </c>
    </row>
    <row r="2797" spans="1:5" x14ac:dyDescent="0.3">
      <c r="A2797" s="2">
        <v>8644</v>
      </c>
      <c r="B2797" s="2" t="s">
        <v>3138</v>
      </c>
      <c r="C2797" s="2" t="s">
        <v>32</v>
      </c>
      <c r="D2797" s="2">
        <v>4779790</v>
      </c>
      <c r="E2797" s="2" t="s">
        <v>331</v>
      </c>
    </row>
    <row r="2798" spans="1:5" x14ac:dyDescent="0.3">
      <c r="A2798" s="2">
        <v>8645</v>
      </c>
      <c r="B2798" s="2" t="s">
        <v>3139</v>
      </c>
      <c r="C2798" s="2" t="s">
        <v>32</v>
      </c>
      <c r="D2798" s="2">
        <v>2335956</v>
      </c>
      <c r="E2798" s="2" t="s">
        <v>331</v>
      </c>
    </row>
    <row r="2799" spans="1:5" x14ac:dyDescent="0.3">
      <c r="A2799" s="2">
        <v>8647</v>
      </c>
      <c r="B2799" s="2" t="s">
        <v>3140</v>
      </c>
      <c r="C2799" s="2" t="s">
        <v>32</v>
      </c>
      <c r="D2799" s="2">
        <v>5225625</v>
      </c>
      <c r="E2799" s="2" t="s">
        <v>331</v>
      </c>
    </row>
    <row r="2800" spans="1:5" x14ac:dyDescent="0.3">
      <c r="A2800" s="2">
        <v>8648</v>
      </c>
      <c r="B2800" s="2" t="s">
        <v>3141</v>
      </c>
      <c r="C2800" s="2" t="s">
        <v>328</v>
      </c>
      <c r="D2800" s="2">
        <v>612140</v>
      </c>
      <c r="E2800" s="2" t="s">
        <v>331</v>
      </c>
    </row>
    <row r="2801" spans="1:5" x14ac:dyDescent="0.3">
      <c r="A2801" s="2">
        <v>8649</v>
      </c>
      <c r="B2801" s="2" t="s">
        <v>3142</v>
      </c>
      <c r="C2801" s="2" t="s">
        <v>328</v>
      </c>
      <c r="D2801" s="2">
        <v>509744</v>
      </c>
      <c r="E2801" s="2" t="s">
        <v>331</v>
      </c>
    </row>
    <row r="2802" spans="1:5" x14ac:dyDescent="0.3">
      <c r="A2802" s="2">
        <v>8650</v>
      </c>
      <c r="B2802" s="2" t="s">
        <v>3143</v>
      </c>
      <c r="C2802" s="2" t="s">
        <v>3144</v>
      </c>
      <c r="D2802" s="2">
        <v>64</v>
      </c>
      <c r="E2802" s="2" t="s">
        <v>331</v>
      </c>
    </row>
    <row r="2803" spans="1:5" x14ac:dyDescent="0.3">
      <c r="A2803" s="2">
        <v>8651</v>
      </c>
      <c r="B2803" s="2" t="s">
        <v>3145</v>
      </c>
      <c r="C2803" s="2" t="s">
        <v>32</v>
      </c>
      <c r="D2803" s="2">
        <v>185067</v>
      </c>
      <c r="E2803" s="2" t="s">
        <v>367</v>
      </c>
    </row>
    <row r="2804" spans="1:5" x14ac:dyDescent="0.3">
      <c r="A2804" s="2">
        <v>8652</v>
      </c>
      <c r="B2804" s="2" t="s">
        <v>3146</v>
      </c>
      <c r="C2804" s="2" t="s">
        <v>32</v>
      </c>
      <c r="D2804" s="2">
        <v>145010</v>
      </c>
      <c r="E2804" s="2" t="s">
        <v>367</v>
      </c>
    </row>
    <row r="2805" spans="1:5" x14ac:dyDescent="0.3">
      <c r="A2805" s="2">
        <v>8653</v>
      </c>
      <c r="B2805" s="2" t="s">
        <v>3147</v>
      </c>
      <c r="C2805" s="2" t="s">
        <v>32</v>
      </c>
      <c r="D2805" s="2">
        <v>181316</v>
      </c>
      <c r="E2805" s="2" t="s">
        <v>367</v>
      </c>
    </row>
    <row r="2806" spans="1:5" x14ac:dyDescent="0.3">
      <c r="A2806" s="2">
        <v>8654</v>
      </c>
      <c r="B2806" s="2" t="s">
        <v>3148</v>
      </c>
      <c r="C2806" s="2" t="s">
        <v>32</v>
      </c>
      <c r="D2806" s="2">
        <v>293856</v>
      </c>
      <c r="E2806" s="2" t="s">
        <v>367</v>
      </c>
    </row>
    <row r="2807" spans="1:5" x14ac:dyDescent="0.3">
      <c r="A2807" s="2">
        <v>8655</v>
      </c>
      <c r="B2807" s="2" t="s">
        <v>3149</v>
      </c>
      <c r="C2807" s="2" t="s">
        <v>30</v>
      </c>
      <c r="D2807" s="2">
        <v>98133</v>
      </c>
      <c r="E2807" s="2" t="s">
        <v>331</v>
      </c>
    </row>
    <row r="2808" spans="1:5" x14ac:dyDescent="0.3">
      <c r="A2808" s="2">
        <v>8656</v>
      </c>
      <c r="B2808" s="2" t="s">
        <v>3150</v>
      </c>
      <c r="C2808" s="2" t="s">
        <v>30</v>
      </c>
      <c r="D2808" s="2">
        <v>23175</v>
      </c>
      <c r="E2808" s="2" t="s">
        <v>331</v>
      </c>
    </row>
    <row r="2809" spans="1:5" x14ac:dyDescent="0.3">
      <c r="A2809" s="2">
        <v>8657</v>
      </c>
      <c r="B2809" s="2" t="s">
        <v>3151</v>
      </c>
      <c r="C2809" s="2" t="s">
        <v>21</v>
      </c>
      <c r="D2809" s="2">
        <v>7596</v>
      </c>
      <c r="E2809" s="2" t="s">
        <v>331</v>
      </c>
    </row>
    <row r="2810" spans="1:5" x14ac:dyDescent="0.3">
      <c r="A2810" s="2">
        <v>8659</v>
      </c>
      <c r="B2810" s="2" t="s">
        <v>3152</v>
      </c>
      <c r="C2810" s="2" t="s">
        <v>21</v>
      </c>
      <c r="D2810" s="2">
        <v>20912</v>
      </c>
      <c r="E2810" s="2" t="s">
        <v>331</v>
      </c>
    </row>
    <row r="2811" spans="1:5" x14ac:dyDescent="0.3">
      <c r="A2811" s="2">
        <v>8660</v>
      </c>
      <c r="B2811" s="2" t="s">
        <v>3153</v>
      </c>
      <c r="C2811" s="2" t="s">
        <v>21</v>
      </c>
      <c r="D2811" s="2">
        <v>178285</v>
      </c>
      <c r="E2811" s="2" t="s">
        <v>331</v>
      </c>
    </row>
    <row r="2812" spans="1:5" x14ac:dyDescent="0.3">
      <c r="A2812" s="2">
        <v>8661</v>
      </c>
      <c r="B2812" s="2" t="s">
        <v>3154</v>
      </c>
      <c r="C2812" s="2" t="s">
        <v>21</v>
      </c>
      <c r="D2812" s="2">
        <v>353053</v>
      </c>
      <c r="E2812" s="2" t="s">
        <v>331</v>
      </c>
    </row>
    <row r="2813" spans="1:5" x14ac:dyDescent="0.3">
      <c r="A2813" s="2">
        <v>8662</v>
      </c>
      <c r="B2813" s="2" t="s">
        <v>3155</v>
      </c>
      <c r="C2813" s="2" t="s">
        <v>21</v>
      </c>
      <c r="D2813" s="2">
        <v>538653</v>
      </c>
      <c r="E2813" s="2" t="s">
        <v>331</v>
      </c>
    </row>
    <row r="2814" spans="1:5" x14ac:dyDescent="0.3">
      <c r="A2814" s="2">
        <v>8663</v>
      </c>
      <c r="B2814" s="2" t="s">
        <v>3156</v>
      </c>
      <c r="C2814" s="2" t="s">
        <v>21</v>
      </c>
      <c r="D2814" s="2">
        <v>534446</v>
      </c>
      <c r="E2814" s="2" t="s">
        <v>331</v>
      </c>
    </row>
    <row r="2815" spans="1:5" x14ac:dyDescent="0.3">
      <c r="A2815" s="2">
        <v>8664</v>
      </c>
      <c r="B2815" s="2" t="s">
        <v>3157</v>
      </c>
      <c r="C2815" s="2" t="s">
        <v>21</v>
      </c>
      <c r="D2815" s="2">
        <v>593390</v>
      </c>
      <c r="E2815" s="2" t="s">
        <v>331</v>
      </c>
    </row>
    <row r="2816" spans="1:5" x14ac:dyDescent="0.3">
      <c r="A2816" s="2">
        <v>8665</v>
      </c>
      <c r="B2816" s="2" t="s">
        <v>3158</v>
      </c>
      <c r="C2816" s="2" t="s">
        <v>21</v>
      </c>
      <c r="D2816" s="2">
        <v>613408</v>
      </c>
      <c r="E2816" s="2" t="s">
        <v>331</v>
      </c>
    </row>
    <row r="2817" spans="1:5" x14ac:dyDescent="0.3">
      <c r="A2817" s="2">
        <v>8667</v>
      </c>
      <c r="B2817" s="2" t="s">
        <v>3159</v>
      </c>
      <c r="C2817" s="2" t="s">
        <v>21</v>
      </c>
      <c r="D2817" s="2">
        <v>17625</v>
      </c>
      <c r="E2817" s="2" t="s">
        <v>331</v>
      </c>
    </row>
    <row r="2818" spans="1:5" x14ac:dyDescent="0.3">
      <c r="A2818" s="2">
        <v>8668</v>
      </c>
      <c r="B2818" s="2" t="s">
        <v>3160</v>
      </c>
      <c r="C2818" s="2" t="s">
        <v>21</v>
      </c>
      <c r="D2818" s="2">
        <v>176349</v>
      </c>
      <c r="E2818" s="2" t="s">
        <v>331</v>
      </c>
    </row>
    <row r="2819" spans="1:5" x14ac:dyDescent="0.3">
      <c r="A2819" s="2">
        <v>8669</v>
      </c>
      <c r="B2819" s="2" t="s">
        <v>3161</v>
      </c>
      <c r="C2819" s="2" t="s">
        <v>21</v>
      </c>
      <c r="D2819" s="2">
        <v>235505</v>
      </c>
      <c r="E2819" s="2" t="s">
        <v>331</v>
      </c>
    </row>
    <row r="2820" spans="1:5" x14ac:dyDescent="0.3">
      <c r="A2820" s="2">
        <v>8670</v>
      </c>
      <c r="B2820" s="2" t="s">
        <v>3162</v>
      </c>
      <c r="C2820" s="2" t="s">
        <v>21</v>
      </c>
      <c r="D2820" s="2">
        <v>534167</v>
      </c>
      <c r="E2820" s="2" t="s">
        <v>331</v>
      </c>
    </row>
    <row r="2821" spans="1:5" x14ac:dyDescent="0.3">
      <c r="A2821" s="2">
        <v>8671</v>
      </c>
      <c r="B2821" s="2" t="s">
        <v>3163</v>
      </c>
      <c r="C2821" s="2" t="s">
        <v>21</v>
      </c>
      <c r="D2821" s="2">
        <v>527714</v>
      </c>
      <c r="E2821" s="2" t="s">
        <v>331</v>
      </c>
    </row>
    <row r="2822" spans="1:5" x14ac:dyDescent="0.3">
      <c r="A2822" s="2">
        <v>8672</v>
      </c>
      <c r="B2822" s="2" t="s">
        <v>3164</v>
      </c>
      <c r="C2822" s="2" t="s">
        <v>21</v>
      </c>
      <c r="D2822" s="2">
        <v>592212</v>
      </c>
      <c r="E2822" s="2" t="s">
        <v>331</v>
      </c>
    </row>
    <row r="2823" spans="1:5" x14ac:dyDescent="0.3">
      <c r="A2823" s="2">
        <v>8673</v>
      </c>
      <c r="B2823" s="2" t="s">
        <v>3165</v>
      </c>
      <c r="C2823" s="2" t="s">
        <v>21</v>
      </c>
      <c r="D2823" s="2">
        <v>609117</v>
      </c>
      <c r="E2823" s="2" t="s">
        <v>331</v>
      </c>
    </row>
    <row r="2824" spans="1:5" x14ac:dyDescent="0.3">
      <c r="A2824" s="2">
        <v>8675</v>
      </c>
      <c r="B2824" s="2" t="s">
        <v>3166</v>
      </c>
      <c r="C2824" s="2" t="s">
        <v>21</v>
      </c>
      <c r="D2824" s="2">
        <v>11698</v>
      </c>
      <c r="E2824" s="2" t="s">
        <v>331</v>
      </c>
    </row>
    <row r="2825" spans="1:5" x14ac:dyDescent="0.3">
      <c r="A2825" s="2">
        <v>8676</v>
      </c>
      <c r="B2825" s="2" t="s">
        <v>3167</v>
      </c>
      <c r="C2825" s="2" t="s">
        <v>21</v>
      </c>
      <c r="D2825" s="2">
        <v>118978</v>
      </c>
      <c r="E2825" s="2" t="s">
        <v>331</v>
      </c>
    </row>
    <row r="2826" spans="1:5" x14ac:dyDescent="0.3">
      <c r="A2826" s="2">
        <v>8677</v>
      </c>
      <c r="B2826" s="2" t="s">
        <v>3168</v>
      </c>
      <c r="C2826" s="2" t="s">
        <v>21</v>
      </c>
      <c r="D2826" s="2">
        <v>233929</v>
      </c>
      <c r="E2826" s="2" t="s">
        <v>331</v>
      </c>
    </row>
    <row r="2827" spans="1:5" x14ac:dyDescent="0.3">
      <c r="A2827" s="2">
        <v>8678</v>
      </c>
      <c r="B2827" s="2" t="s">
        <v>3169</v>
      </c>
      <c r="C2827" s="2" t="s">
        <v>21</v>
      </c>
      <c r="D2827" s="2">
        <v>407737</v>
      </c>
      <c r="E2827" s="2" t="s">
        <v>331</v>
      </c>
    </row>
    <row r="2828" spans="1:5" x14ac:dyDescent="0.3">
      <c r="A2828" s="2">
        <v>8679</v>
      </c>
      <c r="B2828" s="2" t="s">
        <v>3170</v>
      </c>
      <c r="C2828" s="2" t="s">
        <v>21</v>
      </c>
      <c r="D2828" s="2">
        <v>489636</v>
      </c>
      <c r="E2828" s="2" t="s">
        <v>331</v>
      </c>
    </row>
    <row r="2829" spans="1:5" x14ac:dyDescent="0.3">
      <c r="A2829" s="2">
        <v>8680</v>
      </c>
      <c r="B2829" s="2" t="s">
        <v>3171</v>
      </c>
      <c r="C2829" s="2" t="s">
        <v>21</v>
      </c>
      <c r="D2829" s="2">
        <v>515748</v>
      </c>
      <c r="E2829" s="2" t="s">
        <v>331</v>
      </c>
    </row>
    <row r="2830" spans="1:5" x14ac:dyDescent="0.3">
      <c r="A2830" s="2">
        <v>8681</v>
      </c>
      <c r="B2830" s="2" t="s">
        <v>3172</v>
      </c>
      <c r="C2830" s="2" t="s">
        <v>21</v>
      </c>
      <c r="D2830" s="2">
        <v>565259</v>
      </c>
      <c r="E2830" s="2" t="s">
        <v>331</v>
      </c>
    </row>
    <row r="2831" spans="1:5" x14ac:dyDescent="0.3">
      <c r="A2831" s="2">
        <v>8683</v>
      </c>
      <c r="B2831" s="2" t="s">
        <v>3173</v>
      </c>
      <c r="C2831" s="2" t="s">
        <v>21</v>
      </c>
      <c r="D2831" s="2">
        <v>11698</v>
      </c>
      <c r="E2831" s="2" t="s">
        <v>331</v>
      </c>
    </row>
    <row r="2832" spans="1:5" x14ac:dyDescent="0.3">
      <c r="A2832" s="2">
        <v>8684</v>
      </c>
      <c r="B2832" s="2" t="s">
        <v>3174</v>
      </c>
      <c r="C2832" s="2" t="s">
        <v>21</v>
      </c>
      <c r="D2832" s="2">
        <v>102537</v>
      </c>
      <c r="E2832" s="2" t="s">
        <v>331</v>
      </c>
    </row>
    <row r="2833" spans="1:5" x14ac:dyDescent="0.3">
      <c r="A2833" s="2">
        <v>8685</v>
      </c>
      <c r="B2833" s="2" t="s">
        <v>3175</v>
      </c>
      <c r="C2833" s="2" t="s">
        <v>21</v>
      </c>
      <c r="D2833" s="2">
        <v>233929</v>
      </c>
      <c r="E2833" s="2" t="s">
        <v>331</v>
      </c>
    </row>
    <row r="2834" spans="1:5" x14ac:dyDescent="0.3">
      <c r="A2834" s="2">
        <v>8686</v>
      </c>
      <c r="B2834" s="2" t="s">
        <v>3176</v>
      </c>
      <c r="C2834" s="2" t="s">
        <v>21</v>
      </c>
      <c r="D2834" s="2">
        <v>367658</v>
      </c>
      <c r="E2834" s="2" t="s">
        <v>331</v>
      </c>
    </row>
    <row r="2835" spans="1:5" x14ac:dyDescent="0.3">
      <c r="A2835" s="2">
        <v>8687</v>
      </c>
      <c r="B2835" s="2" t="s">
        <v>3177</v>
      </c>
      <c r="C2835" s="2" t="s">
        <v>21</v>
      </c>
      <c r="D2835" s="2">
        <v>346819</v>
      </c>
      <c r="E2835" s="2" t="s">
        <v>331</v>
      </c>
    </row>
    <row r="2836" spans="1:5" x14ac:dyDescent="0.3">
      <c r="A2836" s="2">
        <v>8688</v>
      </c>
      <c r="B2836" s="2" t="s">
        <v>3178</v>
      </c>
      <c r="C2836" s="2" t="s">
        <v>21</v>
      </c>
      <c r="D2836" s="2">
        <v>474943</v>
      </c>
      <c r="E2836" s="2" t="s">
        <v>331</v>
      </c>
    </row>
    <row r="2837" spans="1:5" x14ac:dyDescent="0.3">
      <c r="A2837" s="2">
        <v>8689</v>
      </c>
      <c r="B2837" s="2" t="s">
        <v>3179</v>
      </c>
      <c r="C2837" s="2" t="s">
        <v>21</v>
      </c>
      <c r="D2837" s="2">
        <v>419808</v>
      </c>
      <c r="E2837" s="2" t="s">
        <v>331</v>
      </c>
    </row>
    <row r="2838" spans="1:5" x14ac:dyDescent="0.3">
      <c r="A2838" s="2">
        <v>8690</v>
      </c>
      <c r="B2838" s="2" t="s">
        <v>3180</v>
      </c>
      <c r="C2838" s="2" t="s">
        <v>21</v>
      </c>
      <c r="D2838" s="2">
        <v>19465</v>
      </c>
      <c r="E2838" s="2" t="s">
        <v>331</v>
      </c>
    </row>
    <row r="2839" spans="1:5" x14ac:dyDescent="0.3">
      <c r="A2839" s="2">
        <v>8691</v>
      </c>
      <c r="B2839" s="2" t="s">
        <v>3181</v>
      </c>
      <c r="C2839" s="2" t="s">
        <v>21</v>
      </c>
      <c r="D2839" s="2">
        <v>52881</v>
      </c>
      <c r="E2839" s="2" t="s">
        <v>331</v>
      </c>
    </row>
    <row r="2840" spans="1:5" x14ac:dyDescent="0.3">
      <c r="A2840" s="2">
        <v>8692</v>
      </c>
      <c r="B2840" s="2" t="s">
        <v>3182</v>
      </c>
      <c r="C2840" s="2" t="s">
        <v>21</v>
      </c>
      <c r="D2840" s="2">
        <v>71831</v>
      </c>
      <c r="E2840" s="2" t="s">
        <v>331</v>
      </c>
    </row>
    <row r="2841" spans="1:5" x14ac:dyDescent="0.3">
      <c r="A2841" s="2">
        <v>8693</v>
      </c>
      <c r="B2841" s="2" t="s">
        <v>3183</v>
      </c>
      <c r="C2841" s="2" t="s">
        <v>21</v>
      </c>
      <c r="D2841" s="2">
        <v>19274</v>
      </c>
      <c r="E2841" s="2" t="s">
        <v>331</v>
      </c>
    </row>
    <row r="2842" spans="1:5" x14ac:dyDescent="0.3">
      <c r="A2842" s="2">
        <v>8694</v>
      </c>
      <c r="B2842" s="2" t="s">
        <v>3184</v>
      </c>
      <c r="C2842" s="2" t="s">
        <v>21</v>
      </c>
      <c r="D2842" s="2">
        <v>56011</v>
      </c>
      <c r="E2842" s="2" t="s">
        <v>331</v>
      </c>
    </row>
    <row r="2843" spans="1:5" x14ac:dyDescent="0.3">
      <c r="A2843" s="2">
        <v>8695</v>
      </c>
      <c r="B2843" s="2" t="s">
        <v>3185</v>
      </c>
      <c r="C2843" s="2" t="s">
        <v>21</v>
      </c>
      <c r="D2843" s="2">
        <v>71831</v>
      </c>
      <c r="E2843" s="2" t="s">
        <v>331</v>
      </c>
    </row>
    <row r="2844" spans="1:5" x14ac:dyDescent="0.3">
      <c r="A2844" s="2">
        <v>8697</v>
      </c>
      <c r="B2844" s="2" t="s">
        <v>3186</v>
      </c>
      <c r="C2844" s="2" t="s">
        <v>21</v>
      </c>
      <c r="D2844" s="2">
        <v>17559</v>
      </c>
      <c r="E2844" s="2" t="s">
        <v>331</v>
      </c>
    </row>
    <row r="2845" spans="1:5" x14ac:dyDescent="0.3">
      <c r="A2845" s="2">
        <v>8698</v>
      </c>
      <c r="B2845" s="2" t="s">
        <v>3187</v>
      </c>
      <c r="C2845" s="2" t="s">
        <v>21</v>
      </c>
      <c r="D2845" s="2">
        <v>57598</v>
      </c>
      <c r="E2845" s="2" t="s">
        <v>331</v>
      </c>
    </row>
    <row r="2846" spans="1:5" x14ac:dyDescent="0.3">
      <c r="A2846" s="2">
        <v>8699</v>
      </c>
      <c r="B2846" s="2" t="s">
        <v>3188</v>
      </c>
      <c r="C2846" s="2" t="s">
        <v>21</v>
      </c>
      <c r="D2846" s="2">
        <v>187856</v>
      </c>
      <c r="E2846" s="2" t="s">
        <v>331</v>
      </c>
    </row>
    <row r="2847" spans="1:5" x14ac:dyDescent="0.3">
      <c r="A2847" s="2">
        <v>8700</v>
      </c>
      <c r="B2847" s="2" t="s">
        <v>3189</v>
      </c>
      <c r="C2847" s="2" t="s">
        <v>21</v>
      </c>
      <c r="D2847" s="2">
        <v>374975</v>
      </c>
      <c r="E2847" s="2" t="s">
        <v>331</v>
      </c>
    </row>
    <row r="2848" spans="1:5" x14ac:dyDescent="0.3">
      <c r="A2848" s="2">
        <v>8701</v>
      </c>
      <c r="B2848" s="2" t="s">
        <v>3190</v>
      </c>
      <c r="C2848" s="2" t="s">
        <v>21</v>
      </c>
      <c r="D2848" s="2">
        <v>395778</v>
      </c>
      <c r="E2848" s="2" t="s">
        <v>331</v>
      </c>
    </row>
    <row r="2849" spans="1:5" x14ac:dyDescent="0.3">
      <c r="A2849" s="2">
        <v>8702</v>
      </c>
      <c r="B2849" s="2" t="s">
        <v>3191</v>
      </c>
      <c r="C2849" s="2" t="s">
        <v>21</v>
      </c>
      <c r="D2849" s="2">
        <v>431017</v>
      </c>
      <c r="E2849" s="2" t="s">
        <v>331</v>
      </c>
    </row>
    <row r="2850" spans="1:5" x14ac:dyDescent="0.3">
      <c r="A2850" s="2">
        <v>8703</v>
      </c>
      <c r="B2850" s="2" t="s">
        <v>3192</v>
      </c>
      <c r="C2850" s="2" t="s">
        <v>21</v>
      </c>
      <c r="D2850" s="2">
        <v>450515</v>
      </c>
      <c r="E2850" s="2" t="s">
        <v>331</v>
      </c>
    </row>
    <row r="2851" spans="1:5" x14ac:dyDescent="0.3">
      <c r="A2851" s="2">
        <v>8705</v>
      </c>
      <c r="B2851" s="2" t="s">
        <v>3193</v>
      </c>
      <c r="C2851" s="2" t="s">
        <v>21</v>
      </c>
      <c r="D2851" s="2">
        <v>10503</v>
      </c>
      <c r="E2851" s="2" t="s">
        <v>331</v>
      </c>
    </row>
    <row r="2852" spans="1:5" x14ac:dyDescent="0.3">
      <c r="A2852" s="2">
        <v>8706</v>
      </c>
      <c r="B2852" s="2" t="s">
        <v>3194</v>
      </c>
      <c r="C2852" s="2" t="s">
        <v>21</v>
      </c>
      <c r="D2852" s="2">
        <v>33695</v>
      </c>
      <c r="E2852" s="2" t="s">
        <v>331</v>
      </c>
    </row>
    <row r="2853" spans="1:5" x14ac:dyDescent="0.3">
      <c r="A2853" s="2">
        <v>8707</v>
      </c>
      <c r="B2853" s="2" t="s">
        <v>3195</v>
      </c>
      <c r="C2853" s="2" t="s">
        <v>21</v>
      </c>
      <c r="D2853" s="2">
        <v>197010</v>
      </c>
      <c r="E2853" s="2" t="s">
        <v>331</v>
      </c>
    </row>
    <row r="2854" spans="1:5" x14ac:dyDescent="0.3">
      <c r="A2854" s="2">
        <v>8708</v>
      </c>
      <c r="B2854" s="2" t="s">
        <v>3196</v>
      </c>
      <c r="C2854" s="2" t="s">
        <v>21</v>
      </c>
      <c r="D2854" s="2">
        <v>365970</v>
      </c>
      <c r="E2854" s="2" t="s">
        <v>331</v>
      </c>
    </row>
    <row r="2855" spans="1:5" x14ac:dyDescent="0.3">
      <c r="A2855" s="2">
        <v>8709</v>
      </c>
      <c r="B2855" s="2" t="s">
        <v>3197</v>
      </c>
      <c r="C2855" s="2" t="s">
        <v>21</v>
      </c>
      <c r="D2855" s="2">
        <v>414430</v>
      </c>
      <c r="E2855" s="2" t="s">
        <v>331</v>
      </c>
    </row>
    <row r="2856" spans="1:5" x14ac:dyDescent="0.3">
      <c r="A2856" s="2">
        <v>8710</v>
      </c>
      <c r="B2856" s="2" t="s">
        <v>3198</v>
      </c>
      <c r="C2856" s="2" t="s">
        <v>21</v>
      </c>
      <c r="D2856" s="2">
        <v>422380</v>
      </c>
      <c r="E2856" s="2" t="s">
        <v>331</v>
      </c>
    </row>
    <row r="2857" spans="1:5" x14ac:dyDescent="0.3">
      <c r="A2857" s="2">
        <v>8711</v>
      </c>
      <c r="B2857" s="2" t="s">
        <v>3199</v>
      </c>
      <c r="C2857" s="2" t="s">
        <v>21</v>
      </c>
      <c r="D2857" s="2">
        <v>469168</v>
      </c>
      <c r="E2857" s="2" t="s">
        <v>331</v>
      </c>
    </row>
    <row r="2858" spans="1:5" x14ac:dyDescent="0.3">
      <c r="A2858" s="2">
        <v>8712</v>
      </c>
      <c r="B2858" s="2" t="s">
        <v>3200</v>
      </c>
      <c r="C2858" s="2" t="s">
        <v>328</v>
      </c>
      <c r="D2858" s="2">
        <v>410578</v>
      </c>
      <c r="E2858" s="2" t="s">
        <v>331</v>
      </c>
    </row>
    <row r="2859" spans="1:5" x14ac:dyDescent="0.3">
      <c r="A2859" s="2">
        <v>8713</v>
      </c>
      <c r="B2859" s="2" t="s">
        <v>3201</v>
      </c>
      <c r="C2859" s="2" t="s">
        <v>328</v>
      </c>
      <c r="D2859" s="2">
        <v>169880</v>
      </c>
      <c r="E2859" s="2" t="s">
        <v>331</v>
      </c>
    </row>
    <row r="2860" spans="1:5" x14ac:dyDescent="0.3">
      <c r="A2860" s="2">
        <v>8714</v>
      </c>
      <c r="B2860" s="2" t="s">
        <v>3202</v>
      </c>
      <c r="C2860" s="2" t="s">
        <v>328</v>
      </c>
      <c r="D2860" s="2">
        <v>211822</v>
      </c>
      <c r="E2860" s="2" t="s">
        <v>331</v>
      </c>
    </row>
    <row r="2861" spans="1:5" x14ac:dyDescent="0.3">
      <c r="A2861" s="2">
        <v>8715</v>
      </c>
      <c r="B2861" s="2" t="s">
        <v>3203</v>
      </c>
      <c r="C2861" s="2" t="s">
        <v>32</v>
      </c>
      <c r="D2861" s="2">
        <v>699907</v>
      </c>
      <c r="E2861" s="2" t="s">
        <v>331</v>
      </c>
    </row>
    <row r="2862" spans="1:5" x14ac:dyDescent="0.3">
      <c r="A2862" s="2">
        <v>8716</v>
      </c>
      <c r="B2862" s="2" t="s">
        <v>3204</v>
      </c>
      <c r="C2862" s="2" t="s">
        <v>328</v>
      </c>
      <c r="D2862" s="2">
        <v>66543</v>
      </c>
      <c r="E2862" s="2" t="s">
        <v>331</v>
      </c>
    </row>
    <row r="2863" spans="1:5" x14ac:dyDescent="0.3">
      <c r="A2863" s="2">
        <v>8717</v>
      </c>
      <c r="B2863" s="2" t="s">
        <v>3205</v>
      </c>
      <c r="C2863" s="2" t="s">
        <v>32</v>
      </c>
      <c r="D2863" s="2">
        <v>1157970</v>
      </c>
      <c r="E2863" s="2" t="s">
        <v>331</v>
      </c>
    </row>
    <row r="2864" spans="1:5" x14ac:dyDescent="0.3">
      <c r="A2864" s="2">
        <v>8718</v>
      </c>
      <c r="B2864" s="2" t="s">
        <v>3206</v>
      </c>
      <c r="C2864" s="2" t="s">
        <v>32</v>
      </c>
      <c r="D2864" s="2">
        <v>1629507</v>
      </c>
      <c r="E2864" s="2" t="s">
        <v>331</v>
      </c>
    </row>
    <row r="2865" spans="1:5" x14ac:dyDescent="0.3">
      <c r="A2865" s="2">
        <v>8719</v>
      </c>
      <c r="B2865" s="2" t="s">
        <v>3207</v>
      </c>
      <c r="C2865" s="2" t="s">
        <v>32</v>
      </c>
      <c r="D2865" s="2">
        <v>1762647</v>
      </c>
      <c r="E2865" s="2" t="s">
        <v>331</v>
      </c>
    </row>
    <row r="2866" spans="1:5" x14ac:dyDescent="0.3">
      <c r="A2866" s="2">
        <v>8720</v>
      </c>
      <c r="B2866" s="2" t="s">
        <v>3208</v>
      </c>
      <c r="C2866" s="2" t="s">
        <v>32</v>
      </c>
      <c r="D2866" s="2">
        <v>741119</v>
      </c>
      <c r="E2866" s="2" t="s">
        <v>331</v>
      </c>
    </row>
    <row r="2867" spans="1:5" x14ac:dyDescent="0.3">
      <c r="A2867" s="2">
        <v>8722</v>
      </c>
      <c r="B2867" s="2" t="s">
        <v>3209</v>
      </c>
      <c r="C2867" s="2" t="s">
        <v>32</v>
      </c>
      <c r="D2867" s="2">
        <v>213353</v>
      </c>
      <c r="E2867" s="2" t="s">
        <v>331</v>
      </c>
    </row>
    <row r="2868" spans="1:5" x14ac:dyDescent="0.3">
      <c r="A2868" s="2">
        <v>8724</v>
      </c>
      <c r="B2868" s="2" t="s">
        <v>3210</v>
      </c>
      <c r="C2868" s="2" t="s">
        <v>32</v>
      </c>
      <c r="D2868" s="2">
        <v>138706</v>
      </c>
      <c r="E2868" s="2" t="s">
        <v>367</v>
      </c>
    </row>
    <row r="2869" spans="1:5" x14ac:dyDescent="0.3">
      <c r="A2869" s="2">
        <v>8725</v>
      </c>
      <c r="B2869" s="2" t="s">
        <v>3211</v>
      </c>
      <c r="C2869" s="2" t="s">
        <v>328</v>
      </c>
      <c r="D2869" s="2">
        <v>64463</v>
      </c>
      <c r="E2869" s="2" t="s">
        <v>331</v>
      </c>
    </row>
    <row r="2870" spans="1:5" x14ac:dyDescent="0.3">
      <c r="A2870" s="2">
        <v>8726</v>
      </c>
      <c r="B2870" s="2" t="s">
        <v>3212</v>
      </c>
      <c r="C2870" s="2" t="s">
        <v>32</v>
      </c>
      <c r="D2870" s="2">
        <v>1210343</v>
      </c>
      <c r="E2870" s="2" t="s">
        <v>331</v>
      </c>
    </row>
    <row r="2871" spans="1:5" x14ac:dyDescent="0.3">
      <c r="A2871" s="2">
        <v>8727</v>
      </c>
      <c r="B2871" s="2" t="s">
        <v>3213</v>
      </c>
      <c r="C2871" s="2" t="s">
        <v>21</v>
      </c>
      <c r="D2871" s="2">
        <v>721393</v>
      </c>
      <c r="E2871" s="2" t="s">
        <v>324</v>
      </c>
    </row>
    <row r="2872" spans="1:5" x14ac:dyDescent="0.3">
      <c r="A2872" s="2">
        <v>8728</v>
      </c>
      <c r="B2872" s="2" t="s">
        <v>3214</v>
      </c>
      <c r="C2872" s="2" t="s">
        <v>328</v>
      </c>
      <c r="D2872" s="2">
        <v>661051</v>
      </c>
      <c r="E2872" s="2" t="s">
        <v>331</v>
      </c>
    </row>
    <row r="2873" spans="1:5" x14ac:dyDescent="0.3">
      <c r="A2873" s="2">
        <v>8729</v>
      </c>
      <c r="B2873" s="2" t="s">
        <v>3215</v>
      </c>
      <c r="C2873" s="2" t="s">
        <v>328</v>
      </c>
      <c r="D2873" s="2">
        <v>1327714</v>
      </c>
      <c r="E2873" s="2" t="s">
        <v>331</v>
      </c>
    </row>
    <row r="2874" spans="1:5" x14ac:dyDescent="0.3">
      <c r="A2874" s="2">
        <v>8730</v>
      </c>
      <c r="B2874" s="2" t="s">
        <v>3216</v>
      </c>
      <c r="C2874" s="2" t="s">
        <v>32</v>
      </c>
      <c r="D2874" s="2">
        <v>4842539</v>
      </c>
      <c r="E2874" s="2" t="s">
        <v>324</v>
      </c>
    </row>
    <row r="2875" spans="1:5" x14ac:dyDescent="0.3">
      <c r="A2875" s="2">
        <v>8731</v>
      </c>
      <c r="B2875" s="2" t="s">
        <v>3217</v>
      </c>
      <c r="C2875" s="2" t="s">
        <v>32</v>
      </c>
      <c r="D2875" s="2">
        <v>399187</v>
      </c>
      <c r="E2875" s="2" t="s">
        <v>331</v>
      </c>
    </row>
    <row r="2876" spans="1:5" x14ac:dyDescent="0.3">
      <c r="A2876" s="2">
        <v>8732</v>
      </c>
      <c r="B2876" s="2" t="s">
        <v>3218</v>
      </c>
      <c r="C2876" s="2" t="s">
        <v>32</v>
      </c>
      <c r="D2876" s="2">
        <v>677685</v>
      </c>
      <c r="E2876" s="2" t="s">
        <v>331</v>
      </c>
    </row>
    <row r="2877" spans="1:5" x14ac:dyDescent="0.3">
      <c r="A2877" s="2">
        <v>8733</v>
      </c>
      <c r="B2877" s="2" t="s">
        <v>3219</v>
      </c>
      <c r="C2877" s="2" t="s">
        <v>328</v>
      </c>
      <c r="D2877" s="2">
        <v>251849</v>
      </c>
      <c r="E2877" s="2" t="s">
        <v>331</v>
      </c>
    </row>
    <row r="2878" spans="1:5" x14ac:dyDescent="0.3">
      <c r="A2878" s="2">
        <v>8734</v>
      </c>
      <c r="B2878" s="2" t="s">
        <v>3220</v>
      </c>
      <c r="C2878" s="2" t="s">
        <v>328</v>
      </c>
      <c r="D2878" s="2">
        <v>318555</v>
      </c>
      <c r="E2878" s="2" t="s">
        <v>331</v>
      </c>
    </row>
    <row r="2879" spans="1:5" x14ac:dyDescent="0.3">
      <c r="A2879" s="2">
        <v>8735</v>
      </c>
      <c r="B2879" s="2" t="s">
        <v>3221</v>
      </c>
      <c r="C2879" s="2" t="s">
        <v>328</v>
      </c>
      <c r="D2879" s="2">
        <v>678069</v>
      </c>
      <c r="E2879" s="2" t="s">
        <v>331</v>
      </c>
    </row>
    <row r="2880" spans="1:5" x14ac:dyDescent="0.3">
      <c r="A2880" s="2">
        <v>8736</v>
      </c>
      <c r="B2880" s="2" t="s">
        <v>3222</v>
      </c>
      <c r="C2880" s="2" t="s">
        <v>328</v>
      </c>
      <c r="D2880" s="2">
        <v>344326</v>
      </c>
      <c r="E2880" s="2" t="s">
        <v>331</v>
      </c>
    </row>
    <row r="2881" spans="1:5" x14ac:dyDescent="0.3">
      <c r="A2881" s="2">
        <v>8737</v>
      </c>
      <c r="B2881" s="2" t="s">
        <v>3223</v>
      </c>
      <c r="C2881" s="2" t="s">
        <v>32</v>
      </c>
      <c r="D2881" s="2">
        <v>8128</v>
      </c>
      <c r="E2881" s="2" t="s">
        <v>331</v>
      </c>
    </row>
    <row r="2882" spans="1:5" x14ac:dyDescent="0.3">
      <c r="A2882" s="2">
        <v>8738</v>
      </c>
      <c r="B2882" s="2" t="s">
        <v>3224</v>
      </c>
      <c r="C2882" s="2" t="s">
        <v>32</v>
      </c>
      <c r="D2882" s="2">
        <v>403594</v>
      </c>
      <c r="E2882" s="2" t="s">
        <v>331</v>
      </c>
    </row>
    <row r="2883" spans="1:5" x14ac:dyDescent="0.3">
      <c r="A2883" s="2">
        <v>8739</v>
      </c>
      <c r="B2883" s="2" t="s">
        <v>3225</v>
      </c>
      <c r="C2883" s="2" t="s">
        <v>328</v>
      </c>
      <c r="D2883" s="2">
        <v>185452</v>
      </c>
      <c r="E2883" s="2" t="s">
        <v>331</v>
      </c>
    </row>
    <row r="2884" spans="1:5" x14ac:dyDescent="0.3">
      <c r="A2884" s="2">
        <v>8740</v>
      </c>
      <c r="B2884" s="2" t="s">
        <v>3226</v>
      </c>
      <c r="C2884" s="2" t="s">
        <v>328</v>
      </c>
      <c r="D2884" s="2">
        <v>384456</v>
      </c>
      <c r="E2884" s="2" t="s">
        <v>331</v>
      </c>
    </row>
    <row r="2885" spans="1:5" x14ac:dyDescent="0.3">
      <c r="A2885" s="2">
        <v>8741</v>
      </c>
      <c r="B2885" s="2" t="s">
        <v>3227</v>
      </c>
      <c r="C2885" s="2" t="s">
        <v>328</v>
      </c>
      <c r="D2885" s="2">
        <v>118827</v>
      </c>
      <c r="E2885" s="2" t="s">
        <v>331</v>
      </c>
    </row>
    <row r="2886" spans="1:5" x14ac:dyDescent="0.3">
      <c r="A2886" s="2">
        <v>8742</v>
      </c>
      <c r="B2886" s="2" t="s">
        <v>3228</v>
      </c>
      <c r="C2886" s="2" t="s">
        <v>328</v>
      </c>
      <c r="D2886" s="2">
        <v>277929</v>
      </c>
      <c r="E2886" s="2" t="s">
        <v>331</v>
      </c>
    </row>
    <row r="2887" spans="1:5" x14ac:dyDescent="0.3">
      <c r="A2887" s="2">
        <v>8743</v>
      </c>
      <c r="B2887" s="2" t="s">
        <v>3229</v>
      </c>
      <c r="C2887" s="2" t="s">
        <v>32</v>
      </c>
      <c r="D2887" s="2">
        <v>5254180</v>
      </c>
      <c r="E2887" s="2" t="s">
        <v>331</v>
      </c>
    </row>
    <row r="2888" spans="1:5" x14ac:dyDescent="0.3">
      <c r="A2888" s="2">
        <v>8744</v>
      </c>
      <c r="B2888" s="2" t="s">
        <v>3230</v>
      </c>
      <c r="C2888" s="2" t="s">
        <v>32</v>
      </c>
      <c r="D2888" s="2">
        <v>2262590</v>
      </c>
      <c r="E2888" s="2" t="s">
        <v>324</v>
      </c>
    </row>
    <row r="2889" spans="1:5" x14ac:dyDescent="0.3">
      <c r="A2889" s="2">
        <v>8745</v>
      </c>
      <c r="B2889" s="2" t="s">
        <v>3231</v>
      </c>
      <c r="C2889" s="2" t="s">
        <v>32</v>
      </c>
      <c r="D2889" s="2">
        <v>4054776</v>
      </c>
      <c r="E2889" s="2" t="s">
        <v>331</v>
      </c>
    </row>
    <row r="2890" spans="1:5" x14ac:dyDescent="0.3">
      <c r="A2890" s="2">
        <v>8746</v>
      </c>
      <c r="B2890" s="2" t="s">
        <v>3232</v>
      </c>
      <c r="C2890" s="2" t="s">
        <v>32</v>
      </c>
      <c r="D2890" s="2">
        <v>1261491</v>
      </c>
      <c r="E2890" s="2" t="s">
        <v>331</v>
      </c>
    </row>
    <row r="2891" spans="1:5" x14ac:dyDescent="0.3">
      <c r="A2891" s="2">
        <v>8747</v>
      </c>
      <c r="B2891" s="2" t="s">
        <v>3233</v>
      </c>
      <c r="C2891" s="2" t="s">
        <v>32</v>
      </c>
      <c r="D2891" s="2">
        <v>808532</v>
      </c>
      <c r="E2891" s="2" t="s">
        <v>331</v>
      </c>
    </row>
    <row r="2892" spans="1:5" x14ac:dyDescent="0.3">
      <c r="A2892" s="2">
        <v>8748</v>
      </c>
      <c r="B2892" s="2" t="s">
        <v>3234</v>
      </c>
      <c r="C2892" s="2" t="s">
        <v>32</v>
      </c>
      <c r="D2892" s="2">
        <v>592832</v>
      </c>
      <c r="E2892" s="2" t="s">
        <v>324</v>
      </c>
    </row>
    <row r="2893" spans="1:5" x14ac:dyDescent="0.3">
      <c r="A2893" s="2">
        <v>8749</v>
      </c>
      <c r="B2893" s="2" t="s">
        <v>3235</v>
      </c>
      <c r="C2893" s="2" t="s">
        <v>32</v>
      </c>
      <c r="D2893" s="2">
        <v>212645</v>
      </c>
      <c r="E2893" s="2" t="s">
        <v>324</v>
      </c>
    </row>
    <row r="2894" spans="1:5" x14ac:dyDescent="0.3">
      <c r="A2894" s="2">
        <v>8750</v>
      </c>
      <c r="B2894" s="2" t="s">
        <v>3236</v>
      </c>
      <c r="C2894" s="2" t="s">
        <v>32</v>
      </c>
      <c r="D2894" s="2">
        <v>1238388</v>
      </c>
      <c r="E2894" s="2" t="s">
        <v>324</v>
      </c>
    </row>
    <row r="2895" spans="1:5" x14ac:dyDescent="0.3">
      <c r="A2895" s="2">
        <v>8753</v>
      </c>
      <c r="B2895" s="2" t="s">
        <v>3237</v>
      </c>
      <c r="C2895" s="2" t="s">
        <v>32</v>
      </c>
      <c r="D2895" s="2">
        <v>170823</v>
      </c>
      <c r="E2895" s="2" t="s">
        <v>331</v>
      </c>
    </row>
    <row r="2896" spans="1:5" x14ac:dyDescent="0.3">
      <c r="A2896" s="2">
        <v>8754</v>
      </c>
      <c r="B2896" s="2" t="s">
        <v>3238</v>
      </c>
      <c r="C2896" s="2" t="s">
        <v>32</v>
      </c>
      <c r="D2896" s="2">
        <v>80902</v>
      </c>
      <c r="E2896" s="2" t="s">
        <v>331</v>
      </c>
    </row>
    <row r="2897" spans="1:5" x14ac:dyDescent="0.3">
      <c r="A2897" s="2">
        <v>8755</v>
      </c>
      <c r="B2897" s="2" t="s">
        <v>3239</v>
      </c>
      <c r="C2897" s="2" t="s">
        <v>32</v>
      </c>
      <c r="D2897" s="2">
        <v>38496</v>
      </c>
      <c r="E2897" s="2" t="s">
        <v>331</v>
      </c>
    </row>
    <row r="2898" spans="1:5" x14ac:dyDescent="0.3">
      <c r="A2898" s="2">
        <v>8756</v>
      </c>
      <c r="B2898" s="2" t="s">
        <v>3240</v>
      </c>
      <c r="C2898" s="2" t="s">
        <v>32</v>
      </c>
      <c r="D2898" s="2">
        <v>38496</v>
      </c>
      <c r="E2898" s="2" t="s">
        <v>331</v>
      </c>
    </row>
    <row r="2899" spans="1:5" x14ac:dyDescent="0.3">
      <c r="A2899" s="2">
        <v>8764</v>
      </c>
      <c r="B2899" s="2" t="s">
        <v>3241</v>
      </c>
      <c r="C2899" s="2" t="s">
        <v>307</v>
      </c>
      <c r="D2899" s="2">
        <v>4443</v>
      </c>
      <c r="E2899" s="2" t="s">
        <v>1416</v>
      </c>
    </row>
    <row r="2900" spans="1:5" x14ac:dyDescent="0.3">
      <c r="A2900" s="2">
        <v>8765</v>
      </c>
      <c r="B2900" s="2" t="s">
        <v>3242</v>
      </c>
      <c r="C2900" s="2" t="s">
        <v>307</v>
      </c>
      <c r="D2900" s="2">
        <v>7493</v>
      </c>
      <c r="E2900" s="2" t="s">
        <v>1416</v>
      </c>
    </row>
    <row r="2901" spans="1:5" x14ac:dyDescent="0.3">
      <c r="A2901" s="2">
        <v>8766</v>
      </c>
      <c r="B2901" s="2" t="s">
        <v>3243</v>
      </c>
      <c r="C2901" s="2" t="s">
        <v>307</v>
      </c>
      <c r="D2901" s="2">
        <v>5858</v>
      </c>
      <c r="E2901" s="2" t="s">
        <v>1416</v>
      </c>
    </row>
    <row r="2902" spans="1:5" x14ac:dyDescent="0.3">
      <c r="A2902" s="2">
        <v>8768</v>
      </c>
      <c r="B2902" s="2" t="s">
        <v>3244</v>
      </c>
      <c r="C2902" s="2" t="s">
        <v>307</v>
      </c>
      <c r="D2902" s="2">
        <v>82500</v>
      </c>
      <c r="E2902" s="2" t="s">
        <v>1416</v>
      </c>
    </row>
    <row r="2903" spans="1:5" x14ac:dyDescent="0.3">
      <c r="A2903" s="2">
        <v>8771</v>
      </c>
      <c r="B2903" s="2" t="s">
        <v>3245</v>
      </c>
      <c r="C2903" s="2" t="s">
        <v>307</v>
      </c>
      <c r="D2903" s="2">
        <v>11363</v>
      </c>
      <c r="E2903" s="2" t="s">
        <v>367</v>
      </c>
    </row>
    <row r="2904" spans="1:5" x14ac:dyDescent="0.3">
      <c r="A2904" s="2">
        <v>8772</v>
      </c>
      <c r="B2904" s="2" t="s">
        <v>3246</v>
      </c>
      <c r="C2904" s="2" t="s">
        <v>307</v>
      </c>
      <c r="D2904" s="2">
        <v>7568</v>
      </c>
      <c r="E2904" s="2" t="s">
        <v>367</v>
      </c>
    </row>
    <row r="2905" spans="1:5" x14ac:dyDescent="0.3">
      <c r="A2905" s="2">
        <v>8773</v>
      </c>
      <c r="B2905" s="2" t="s">
        <v>3247</v>
      </c>
      <c r="C2905" s="2" t="s">
        <v>307</v>
      </c>
      <c r="D2905" s="2">
        <v>752779</v>
      </c>
      <c r="E2905" s="2" t="s">
        <v>331</v>
      </c>
    </row>
    <row r="2906" spans="1:5" x14ac:dyDescent="0.3">
      <c r="A2906" s="2">
        <v>8774</v>
      </c>
      <c r="B2906" s="2" t="s">
        <v>3248</v>
      </c>
      <c r="C2906" s="2" t="s">
        <v>307</v>
      </c>
      <c r="D2906" s="2">
        <v>550279</v>
      </c>
      <c r="E2906" s="2" t="s">
        <v>367</v>
      </c>
    </row>
    <row r="2907" spans="1:5" x14ac:dyDescent="0.3">
      <c r="A2907" s="2">
        <v>8775</v>
      </c>
      <c r="B2907" s="2" t="s">
        <v>3249</v>
      </c>
      <c r="C2907" s="2" t="s">
        <v>307</v>
      </c>
      <c r="D2907" s="2">
        <v>50446</v>
      </c>
      <c r="E2907" s="2" t="s">
        <v>331</v>
      </c>
    </row>
    <row r="2908" spans="1:5" x14ac:dyDescent="0.3">
      <c r="A2908" s="2">
        <v>8776</v>
      </c>
      <c r="B2908" s="2" t="s">
        <v>3250</v>
      </c>
      <c r="C2908" s="2" t="s">
        <v>328</v>
      </c>
      <c r="D2908" s="2">
        <v>31937</v>
      </c>
      <c r="E2908" s="2" t="s">
        <v>331</v>
      </c>
    </row>
    <row r="2909" spans="1:5" x14ac:dyDescent="0.3">
      <c r="A2909" s="2">
        <v>8779</v>
      </c>
      <c r="B2909" s="2" t="s">
        <v>3251</v>
      </c>
      <c r="C2909" s="2" t="s">
        <v>21</v>
      </c>
      <c r="D2909" s="2">
        <v>3305</v>
      </c>
      <c r="E2909" s="2" t="s">
        <v>324</v>
      </c>
    </row>
    <row r="2910" spans="1:5" x14ac:dyDescent="0.3">
      <c r="A2910" s="2">
        <v>8780</v>
      </c>
      <c r="B2910" s="2" t="s">
        <v>3252</v>
      </c>
      <c r="C2910" s="2" t="s">
        <v>30</v>
      </c>
      <c r="D2910" s="2">
        <v>101097</v>
      </c>
      <c r="E2910" s="2" t="s">
        <v>331</v>
      </c>
    </row>
    <row r="2911" spans="1:5" x14ac:dyDescent="0.3">
      <c r="A2911" s="2">
        <v>8781</v>
      </c>
      <c r="B2911" s="2" t="s">
        <v>3253</v>
      </c>
      <c r="C2911" s="2" t="s">
        <v>32</v>
      </c>
      <c r="D2911" s="2">
        <v>3125715</v>
      </c>
      <c r="E2911" s="2" t="s">
        <v>324</v>
      </c>
    </row>
    <row r="2912" spans="1:5" x14ac:dyDescent="0.3">
      <c r="A2912" s="2">
        <v>8782</v>
      </c>
      <c r="B2912" s="2" t="s">
        <v>3254</v>
      </c>
      <c r="C2912" s="2" t="s">
        <v>32</v>
      </c>
      <c r="D2912" s="2">
        <v>143367</v>
      </c>
      <c r="E2912" s="2" t="s">
        <v>324</v>
      </c>
    </row>
    <row r="2913" spans="1:5" x14ac:dyDescent="0.3">
      <c r="A2913" s="2">
        <v>8785</v>
      </c>
      <c r="B2913" s="2" t="s">
        <v>3255</v>
      </c>
      <c r="C2913" s="2" t="s">
        <v>32</v>
      </c>
      <c r="D2913" s="2">
        <v>642365</v>
      </c>
      <c r="E2913" s="2" t="s">
        <v>331</v>
      </c>
    </row>
    <row r="2914" spans="1:5" x14ac:dyDescent="0.3">
      <c r="A2914" s="2">
        <v>8786</v>
      </c>
      <c r="B2914" s="2" t="s">
        <v>3256</v>
      </c>
      <c r="C2914" s="2" t="s">
        <v>32</v>
      </c>
      <c r="D2914" s="2">
        <v>1101787</v>
      </c>
      <c r="E2914" s="2" t="s">
        <v>331</v>
      </c>
    </row>
    <row r="2915" spans="1:5" x14ac:dyDescent="0.3">
      <c r="A2915" s="2">
        <v>8787</v>
      </c>
      <c r="B2915" s="2" t="s">
        <v>3257</v>
      </c>
      <c r="C2915" s="2" t="s">
        <v>32</v>
      </c>
      <c r="D2915" s="2">
        <v>3068467</v>
      </c>
      <c r="E2915" s="2" t="s">
        <v>331</v>
      </c>
    </row>
    <row r="2916" spans="1:5" x14ac:dyDescent="0.3">
      <c r="A2916" s="2">
        <v>8788</v>
      </c>
      <c r="B2916" s="2" t="s">
        <v>3258</v>
      </c>
      <c r="C2916" s="2" t="s">
        <v>32</v>
      </c>
      <c r="D2916" s="2">
        <v>3068467</v>
      </c>
      <c r="E2916" s="2" t="s">
        <v>331</v>
      </c>
    </row>
    <row r="2917" spans="1:5" x14ac:dyDescent="0.3">
      <c r="A2917" s="2">
        <v>8789</v>
      </c>
      <c r="B2917" s="2" t="s">
        <v>3259</v>
      </c>
      <c r="C2917" s="2" t="s">
        <v>30</v>
      </c>
      <c r="D2917" s="2">
        <v>11304426</v>
      </c>
      <c r="E2917" s="2" t="s">
        <v>331</v>
      </c>
    </row>
    <row r="2918" spans="1:5" x14ac:dyDescent="0.3">
      <c r="A2918" s="2">
        <v>8791</v>
      </c>
      <c r="B2918" s="2" t="s">
        <v>3260</v>
      </c>
      <c r="C2918" s="2" t="s">
        <v>328</v>
      </c>
      <c r="D2918" s="2">
        <v>854348</v>
      </c>
      <c r="E2918" s="2" t="s">
        <v>324</v>
      </c>
    </row>
    <row r="2919" spans="1:5" x14ac:dyDescent="0.3">
      <c r="A2919" s="2">
        <v>8792</v>
      </c>
      <c r="B2919" s="2" t="s">
        <v>3261</v>
      </c>
      <c r="C2919" s="2" t="s">
        <v>328</v>
      </c>
      <c r="D2919" s="2">
        <v>240247</v>
      </c>
      <c r="E2919" s="2" t="s">
        <v>331</v>
      </c>
    </row>
    <row r="2920" spans="1:5" x14ac:dyDescent="0.3">
      <c r="A2920" s="2">
        <v>8793</v>
      </c>
      <c r="B2920" s="2" t="s">
        <v>3262</v>
      </c>
      <c r="C2920" s="2" t="s">
        <v>32</v>
      </c>
      <c r="D2920" s="2">
        <v>259411</v>
      </c>
      <c r="E2920" s="2" t="s">
        <v>331</v>
      </c>
    </row>
    <row r="2921" spans="1:5" x14ac:dyDescent="0.3">
      <c r="A2921" s="2">
        <v>8799</v>
      </c>
      <c r="B2921" s="2" t="s">
        <v>3263</v>
      </c>
      <c r="C2921" s="2" t="s">
        <v>32</v>
      </c>
      <c r="D2921" s="2">
        <v>424572</v>
      </c>
      <c r="E2921" s="2" t="s">
        <v>324</v>
      </c>
    </row>
    <row r="2922" spans="1:5" x14ac:dyDescent="0.3">
      <c r="A2922" s="2">
        <v>8827</v>
      </c>
      <c r="B2922" s="2" t="s">
        <v>3264</v>
      </c>
      <c r="C2922" s="2" t="s">
        <v>21</v>
      </c>
      <c r="D2922" s="2">
        <v>113338</v>
      </c>
      <c r="E2922" s="2" t="s">
        <v>324</v>
      </c>
    </row>
    <row r="2923" spans="1:5" x14ac:dyDescent="0.3">
      <c r="A2923" s="2">
        <v>8830</v>
      </c>
      <c r="B2923" s="2" t="s">
        <v>3265</v>
      </c>
      <c r="C2923" s="2" t="s">
        <v>21</v>
      </c>
      <c r="D2923" s="2">
        <v>39493</v>
      </c>
      <c r="E2923" s="2" t="s">
        <v>331</v>
      </c>
    </row>
    <row r="2924" spans="1:5" x14ac:dyDescent="0.3">
      <c r="A2924" s="2">
        <v>8831</v>
      </c>
      <c r="B2924" s="2" t="s">
        <v>3266</v>
      </c>
      <c r="C2924" s="2" t="s">
        <v>21</v>
      </c>
      <c r="D2924" s="2">
        <v>36729</v>
      </c>
      <c r="E2924" s="2" t="s">
        <v>331</v>
      </c>
    </row>
    <row r="2925" spans="1:5" x14ac:dyDescent="0.3">
      <c r="A2925" s="2">
        <v>8832</v>
      </c>
      <c r="B2925" s="2" t="s">
        <v>3267</v>
      </c>
      <c r="C2925" s="2" t="s">
        <v>21</v>
      </c>
      <c r="D2925" s="2">
        <v>12752</v>
      </c>
      <c r="E2925" s="2" t="s">
        <v>331</v>
      </c>
    </row>
    <row r="2926" spans="1:5" x14ac:dyDescent="0.3">
      <c r="A2926" s="2">
        <v>8833</v>
      </c>
      <c r="B2926" s="2" t="s">
        <v>3268</v>
      </c>
      <c r="C2926" s="2" t="s">
        <v>21</v>
      </c>
      <c r="D2926" s="2">
        <v>15959</v>
      </c>
      <c r="E2926" s="2" t="s">
        <v>331</v>
      </c>
    </row>
    <row r="2927" spans="1:5" x14ac:dyDescent="0.3">
      <c r="A2927" s="2">
        <v>8834</v>
      </c>
      <c r="B2927" s="2" t="s">
        <v>3269</v>
      </c>
      <c r="C2927" s="2" t="s">
        <v>21</v>
      </c>
      <c r="D2927" s="2">
        <v>10751</v>
      </c>
      <c r="E2927" s="2" t="s">
        <v>331</v>
      </c>
    </row>
    <row r="2928" spans="1:5" x14ac:dyDescent="0.3">
      <c r="A2928" s="2">
        <v>8835</v>
      </c>
      <c r="B2928" s="2" t="s">
        <v>3270</v>
      </c>
      <c r="C2928" s="2" t="s">
        <v>21</v>
      </c>
      <c r="D2928" s="2">
        <v>12743</v>
      </c>
      <c r="E2928" s="2" t="s">
        <v>331</v>
      </c>
    </row>
    <row r="2929" spans="1:5" x14ac:dyDescent="0.3">
      <c r="A2929" s="2">
        <v>8951</v>
      </c>
      <c r="B2929" s="2" t="s">
        <v>3271</v>
      </c>
      <c r="C2929" s="2" t="s">
        <v>32</v>
      </c>
      <c r="D2929" s="2">
        <v>489347</v>
      </c>
      <c r="E2929" s="2" t="s">
        <v>324</v>
      </c>
    </row>
    <row r="2930" spans="1:5" x14ac:dyDescent="0.3">
      <c r="A2930" s="2">
        <v>8953</v>
      </c>
      <c r="B2930" s="2" t="s">
        <v>3272</v>
      </c>
      <c r="C2930" s="2" t="s">
        <v>328</v>
      </c>
      <c r="D2930" s="2">
        <v>559053</v>
      </c>
      <c r="E2930" s="2" t="s">
        <v>331</v>
      </c>
    </row>
    <row r="2931" spans="1:5" x14ac:dyDescent="0.3">
      <c r="A2931" s="2">
        <v>8955</v>
      </c>
      <c r="B2931" s="2" t="s">
        <v>3273</v>
      </c>
      <c r="C2931" s="2" t="s">
        <v>328</v>
      </c>
      <c r="D2931" s="2">
        <v>527961</v>
      </c>
      <c r="E2931" s="2" t="s">
        <v>331</v>
      </c>
    </row>
    <row r="2932" spans="1:5" x14ac:dyDescent="0.3">
      <c r="A2932" s="2">
        <v>8958</v>
      </c>
      <c r="B2932" s="2" t="s">
        <v>3274</v>
      </c>
      <c r="C2932" s="2" t="s">
        <v>21</v>
      </c>
      <c r="D2932" s="2">
        <v>119997</v>
      </c>
      <c r="E2932" s="2" t="s">
        <v>331</v>
      </c>
    </row>
    <row r="2933" spans="1:5" x14ac:dyDescent="0.3">
      <c r="A2933" s="2">
        <v>8960</v>
      </c>
      <c r="B2933" s="2" t="s">
        <v>3275</v>
      </c>
      <c r="C2933" s="2" t="s">
        <v>307</v>
      </c>
      <c r="D2933" s="2">
        <v>74591</v>
      </c>
      <c r="E2933" s="2" t="s">
        <v>1416</v>
      </c>
    </row>
    <row r="2934" spans="1:5" x14ac:dyDescent="0.3">
      <c r="A2934" s="2">
        <v>8961</v>
      </c>
      <c r="B2934" s="2" t="s">
        <v>3276</v>
      </c>
      <c r="C2934" s="2" t="s">
        <v>307</v>
      </c>
      <c r="D2934" s="2">
        <v>74862</v>
      </c>
      <c r="E2934" s="2" t="s">
        <v>1416</v>
      </c>
    </row>
    <row r="2935" spans="1:5" x14ac:dyDescent="0.3">
      <c r="A2935" s="2">
        <v>8962</v>
      </c>
      <c r="B2935" s="2" t="s">
        <v>3277</v>
      </c>
      <c r="C2935" s="2" t="s">
        <v>307</v>
      </c>
      <c r="D2935" s="2">
        <v>6995</v>
      </c>
      <c r="E2935" s="2" t="s">
        <v>1416</v>
      </c>
    </row>
    <row r="2936" spans="1:5" x14ac:dyDescent="0.3">
      <c r="A2936" s="2">
        <v>8963</v>
      </c>
      <c r="B2936" s="2" t="s">
        <v>3278</v>
      </c>
      <c r="C2936" s="2" t="s">
        <v>307</v>
      </c>
      <c r="D2936" s="2">
        <v>4443</v>
      </c>
      <c r="E2936" s="2" t="s">
        <v>1416</v>
      </c>
    </row>
    <row r="2937" spans="1:5" x14ac:dyDescent="0.3">
      <c r="A2937" s="2">
        <v>8964</v>
      </c>
      <c r="B2937" s="2" t="s">
        <v>3279</v>
      </c>
      <c r="C2937" s="2" t="s">
        <v>307</v>
      </c>
      <c r="D2937" s="2">
        <v>625360</v>
      </c>
      <c r="E2937" s="2" t="s">
        <v>331</v>
      </c>
    </row>
    <row r="2938" spans="1:5" x14ac:dyDescent="0.3">
      <c r="A2938" s="2">
        <v>8965</v>
      </c>
      <c r="B2938" s="2" t="s">
        <v>3280</v>
      </c>
      <c r="C2938" s="2" t="s">
        <v>30</v>
      </c>
      <c r="D2938" s="2">
        <v>371137</v>
      </c>
      <c r="E2938" s="2" t="s">
        <v>331</v>
      </c>
    </row>
    <row r="2939" spans="1:5" x14ac:dyDescent="0.3">
      <c r="A2939" s="2">
        <v>8966</v>
      </c>
      <c r="B2939" s="2" t="s">
        <v>3281</v>
      </c>
      <c r="C2939" s="2" t="s">
        <v>307</v>
      </c>
      <c r="D2939" s="2">
        <v>29093</v>
      </c>
      <c r="E2939" s="2" t="s">
        <v>1416</v>
      </c>
    </row>
    <row r="2940" spans="1:5" x14ac:dyDescent="0.3">
      <c r="A2940" s="2">
        <v>8970</v>
      </c>
      <c r="B2940" s="2" t="s">
        <v>3282</v>
      </c>
      <c r="C2940" s="2" t="s">
        <v>32</v>
      </c>
      <c r="D2940" s="2">
        <v>407062</v>
      </c>
      <c r="E2940" s="2" t="s">
        <v>331</v>
      </c>
    </row>
    <row r="2941" spans="1:5" x14ac:dyDescent="0.3">
      <c r="A2941" s="2">
        <v>8972</v>
      </c>
      <c r="B2941" s="2" t="s">
        <v>3283</v>
      </c>
      <c r="C2941" s="2" t="s">
        <v>979</v>
      </c>
      <c r="D2941" s="2">
        <v>251285</v>
      </c>
      <c r="E2941" s="2" t="s">
        <v>367</v>
      </c>
    </row>
    <row r="2942" spans="1:5" x14ac:dyDescent="0.3">
      <c r="A2942" s="2">
        <v>9030</v>
      </c>
      <c r="B2942" s="2" t="s">
        <v>3284</v>
      </c>
      <c r="C2942" s="2" t="s">
        <v>32</v>
      </c>
      <c r="D2942" s="2">
        <v>1128864</v>
      </c>
      <c r="E2942" s="2" t="s">
        <v>331</v>
      </c>
    </row>
    <row r="2943" spans="1:5" x14ac:dyDescent="0.3">
      <c r="A2943" s="2">
        <v>9031</v>
      </c>
      <c r="B2943" s="2" t="s">
        <v>3285</v>
      </c>
      <c r="C2943" s="2" t="s">
        <v>32</v>
      </c>
      <c r="D2943" s="2">
        <v>2212421</v>
      </c>
      <c r="E2943" s="2" t="s">
        <v>331</v>
      </c>
    </row>
    <row r="2944" spans="1:5" x14ac:dyDescent="0.3">
      <c r="A2944" s="2">
        <v>9032</v>
      </c>
      <c r="B2944" s="2" t="s">
        <v>3286</v>
      </c>
      <c r="C2944" s="2" t="s">
        <v>32</v>
      </c>
      <c r="D2944" s="2">
        <v>3633785</v>
      </c>
      <c r="E2944" s="2" t="s">
        <v>331</v>
      </c>
    </row>
    <row r="2945" spans="1:5" x14ac:dyDescent="0.3">
      <c r="A2945" s="2">
        <v>9033</v>
      </c>
      <c r="B2945" s="2" t="s">
        <v>3287</v>
      </c>
      <c r="C2945" s="2" t="s">
        <v>32</v>
      </c>
      <c r="D2945" s="2">
        <v>4791706</v>
      </c>
      <c r="E2945" s="2" t="s">
        <v>331</v>
      </c>
    </row>
    <row r="2946" spans="1:5" x14ac:dyDescent="0.3">
      <c r="A2946" s="2">
        <v>9034</v>
      </c>
      <c r="B2946" s="2" t="s">
        <v>3288</v>
      </c>
      <c r="C2946" s="2" t="s">
        <v>32</v>
      </c>
      <c r="D2946" s="2">
        <v>4736497</v>
      </c>
      <c r="E2946" s="2" t="s">
        <v>331</v>
      </c>
    </row>
    <row r="2947" spans="1:5" x14ac:dyDescent="0.3">
      <c r="A2947" s="2">
        <v>9035</v>
      </c>
      <c r="B2947" s="2" t="s">
        <v>3289</v>
      </c>
      <c r="C2947" s="2" t="s">
        <v>32</v>
      </c>
      <c r="D2947" s="2">
        <v>7882437</v>
      </c>
      <c r="E2947" s="2" t="s">
        <v>331</v>
      </c>
    </row>
    <row r="2948" spans="1:5" x14ac:dyDescent="0.3">
      <c r="A2948" s="2">
        <v>9042</v>
      </c>
      <c r="B2948" s="2" t="s">
        <v>3290</v>
      </c>
      <c r="C2948" s="2" t="s">
        <v>328</v>
      </c>
      <c r="D2948" s="2">
        <v>76699</v>
      </c>
      <c r="E2948" s="2" t="s">
        <v>331</v>
      </c>
    </row>
    <row r="2949" spans="1:5" x14ac:dyDescent="0.3">
      <c r="A2949" s="2">
        <v>9045</v>
      </c>
      <c r="B2949" s="2" t="s">
        <v>3291</v>
      </c>
      <c r="C2949" s="2" t="s">
        <v>328</v>
      </c>
      <c r="D2949" s="2">
        <v>8683</v>
      </c>
      <c r="E2949" s="2" t="s">
        <v>331</v>
      </c>
    </row>
    <row r="2950" spans="1:5" x14ac:dyDescent="0.3">
      <c r="A2950" s="2">
        <v>9046</v>
      </c>
      <c r="B2950" s="2" t="s">
        <v>3292</v>
      </c>
      <c r="C2950" s="2" t="s">
        <v>32</v>
      </c>
      <c r="D2950" s="2">
        <v>32954</v>
      </c>
      <c r="E2950" s="2" t="s">
        <v>331</v>
      </c>
    </row>
    <row r="2951" spans="1:5" x14ac:dyDescent="0.3">
      <c r="A2951" s="2">
        <v>9047</v>
      </c>
      <c r="B2951" s="2" t="s">
        <v>3293</v>
      </c>
      <c r="C2951" s="2" t="s">
        <v>32</v>
      </c>
      <c r="D2951" s="2">
        <v>92077</v>
      </c>
      <c r="E2951" s="2" t="s">
        <v>331</v>
      </c>
    </row>
    <row r="2952" spans="1:5" x14ac:dyDescent="0.3">
      <c r="A2952" s="2">
        <v>9048</v>
      </c>
      <c r="B2952" s="2" t="s">
        <v>3294</v>
      </c>
      <c r="C2952" s="2" t="s">
        <v>328</v>
      </c>
      <c r="D2952" s="2">
        <v>4342</v>
      </c>
      <c r="E2952" s="2" t="s">
        <v>331</v>
      </c>
    </row>
    <row r="2953" spans="1:5" x14ac:dyDescent="0.3">
      <c r="A2953" s="2">
        <v>9052</v>
      </c>
      <c r="B2953" s="2" t="s">
        <v>3295</v>
      </c>
      <c r="C2953" s="2" t="s">
        <v>2125</v>
      </c>
      <c r="D2953" s="2">
        <v>3251</v>
      </c>
      <c r="E2953" s="2" t="s">
        <v>331</v>
      </c>
    </row>
    <row r="2954" spans="1:5" x14ac:dyDescent="0.3">
      <c r="A2954" s="2">
        <v>9055</v>
      </c>
      <c r="B2954" s="2" t="s">
        <v>3296</v>
      </c>
      <c r="C2954" s="2" t="s">
        <v>328</v>
      </c>
      <c r="D2954" s="2">
        <v>17463</v>
      </c>
      <c r="E2954" s="2" t="s">
        <v>331</v>
      </c>
    </row>
    <row r="2955" spans="1:5" x14ac:dyDescent="0.3">
      <c r="A2955" s="2">
        <v>9056</v>
      </c>
      <c r="B2955" s="2" t="s">
        <v>3297</v>
      </c>
      <c r="C2955" s="2" t="s">
        <v>328</v>
      </c>
      <c r="D2955" s="2">
        <v>719072</v>
      </c>
      <c r="E2955" s="2" t="s">
        <v>331</v>
      </c>
    </row>
    <row r="2956" spans="1:5" x14ac:dyDescent="0.3">
      <c r="A2956" s="2">
        <v>9058</v>
      </c>
      <c r="B2956" s="2" t="s">
        <v>3298</v>
      </c>
      <c r="C2956" s="2" t="s">
        <v>21</v>
      </c>
      <c r="D2956" s="2">
        <v>136721</v>
      </c>
      <c r="E2956" s="2" t="s">
        <v>331</v>
      </c>
    </row>
    <row r="2957" spans="1:5" x14ac:dyDescent="0.3">
      <c r="A2957" s="2">
        <v>9072</v>
      </c>
      <c r="B2957" s="2" t="s">
        <v>3299</v>
      </c>
      <c r="C2957" s="2" t="s">
        <v>30</v>
      </c>
      <c r="D2957" s="2">
        <v>938449</v>
      </c>
      <c r="E2957" s="2" t="s">
        <v>331</v>
      </c>
    </row>
    <row r="2958" spans="1:5" x14ac:dyDescent="0.3">
      <c r="A2958" s="2">
        <v>9075</v>
      </c>
      <c r="B2958" s="2" t="s">
        <v>3300</v>
      </c>
      <c r="C2958" s="2" t="s">
        <v>32</v>
      </c>
      <c r="D2958" s="2">
        <v>3120017</v>
      </c>
      <c r="E2958" s="2" t="s">
        <v>331</v>
      </c>
    </row>
    <row r="2959" spans="1:5" x14ac:dyDescent="0.3">
      <c r="A2959" s="2">
        <v>9076</v>
      </c>
      <c r="B2959" s="2" t="s">
        <v>3301</v>
      </c>
      <c r="C2959" s="2" t="s">
        <v>32</v>
      </c>
      <c r="D2959" s="2">
        <v>11123525</v>
      </c>
      <c r="E2959" s="2" t="s">
        <v>331</v>
      </c>
    </row>
    <row r="2960" spans="1:5" x14ac:dyDescent="0.3">
      <c r="A2960" s="2">
        <v>9077</v>
      </c>
      <c r="B2960" s="2" t="s">
        <v>3302</v>
      </c>
      <c r="C2960" s="2" t="s">
        <v>32</v>
      </c>
      <c r="D2960" s="2">
        <v>575622</v>
      </c>
      <c r="E2960" s="2" t="s">
        <v>324</v>
      </c>
    </row>
    <row r="2961" spans="1:5" x14ac:dyDescent="0.3">
      <c r="A2961" s="2">
        <v>9087</v>
      </c>
      <c r="B2961" s="2" t="s">
        <v>3303</v>
      </c>
      <c r="C2961" s="2" t="s">
        <v>328</v>
      </c>
      <c r="D2961" s="2">
        <v>2951725</v>
      </c>
      <c r="E2961" s="2" t="s">
        <v>324</v>
      </c>
    </row>
    <row r="2962" spans="1:5" x14ac:dyDescent="0.3">
      <c r="A2962" s="2">
        <v>9088</v>
      </c>
      <c r="B2962" s="2" t="s">
        <v>3304</v>
      </c>
      <c r="C2962" s="2" t="s">
        <v>328</v>
      </c>
      <c r="D2962" s="2">
        <v>6085952</v>
      </c>
      <c r="E2962" s="2" t="s">
        <v>324</v>
      </c>
    </row>
    <row r="2963" spans="1:5" x14ac:dyDescent="0.3">
      <c r="A2963" s="2">
        <v>9094</v>
      </c>
      <c r="B2963" s="2" t="s">
        <v>3305</v>
      </c>
      <c r="C2963" s="2" t="s">
        <v>30</v>
      </c>
      <c r="D2963" s="2">
        <v>1066205</v>
      </c>
      <c r="E2963" s="2" t="s">
        <v>331</v>
      </c>
    </row>
    <row r="2964" spans="1:5" x14ac:dyDescent="0.3">
      <c r="A2964" s="2">
        <v>9095</v>
      </c>
      <c r="B2964" s="2" t="s">
        <v>3306</v>
      </c>
      <c r="C2964" s="2" t="s">
        <v>30</v>
      </c>
      <c r="D2964" s="2">
        <v>825172</v>
      </c>
      <c r="E2964" s="2" t="s">
        <v>331</v>
      </c>
    </row>
    <row r="2965" spans="1:5" x14ac:dyDescent="0.3">
      <c r="A2965" s="2">
        <v>9096</v>
      </c>
      <c r="B2965" s="2" t="s">
        <v>3307</v>
      </c>
      <c r="C2965" s="2" t="s">
        <v>30</v>
      </c>
      <c r="D2965" s="2">
        <v>1222341</v>
      </c>
      <c r="E2965" s="2" t="s">
        <v>331</v>
      </c>
    </row>
    <row r="2966" spans="1:5" x14ac:dyDescent="0.3">
      <c r="A2966" s="2">
        <v>9097</v>
      </c>
      <c r="B2966" s="2" t="s">
        <v>3308</v>
      </c>
      <c r="C2966" s="2" t="s">
        <v>32</v>
      </c>
      <c r="D2966" s="2">
        <v>2085475</v>
      </c>
      <c r="E2966" s="2" t="s">
        <v>367</v>
      </c>
    </row>
    <row r="2967" spans="1:5" x14ac:dyDescent="0.3">
      <c r="A2967" s="2">
        <v>9098</v>
      </c>
      <c r="B2967" s="2" t="s">
        <v>3309</v>
      </c>
      <c r="C2967" s="2" t="s">
        <v>32</v>
      </c>
      <c r="D2967" s="2">
        <v>4880931</v>
      </c>
      <c r="E2967" s="2" t="s">
        <v>367</v>
      </c>
    </row>
    <row r="2968" spans="1:5" x14ac:dyDescent="0.3">
      <c r="A2968" s="2">
        <v>9099</v>
      </c>
      <c r="B2968" s="2" t="s">
        <v>3310</v>
      </c>
      <c r="C2968" s="2" t="s">
        <v>32</v>
      </c>
      <c r="D2968" s="2">
        <v>1332800</v>
      </c>
      <c r="E2968" s="2" t="s">
        <v>367</v>
      </c>
    </row>
    <row r="2969" spans="1:5" x14ac:dyDescent="0.3">
      <c r="A2969" s="2">
        <v>9100</v>
      </c>
      <c r="B2969" s="2" t="s">
        <v>3311</v>
      </c>
      <c r="C2969" s="2" t="s">
        <v>32</v>
      </c>
      <c r="D2969" s="2">
        <v>19499839</v>
      </c>
      <c r="E2969" s="2" t="s">
        <v>1416</v>
      </c>
    </row>
    <row r="2970" spans="1:5" x14ac:dyDescent="0.3">
      <c r="A2970" s="2">
        <v>9101</v>
      </c>
      <c r="B2970" s="2" t="s">
        <v>3312</v>
      </c>
      <c r="C2970" s="2" t="s">
        <v>32</v>
      </c>
      <c r="D2970" s="2">
        <v>2289000</v>
      </c>
      <c r="E2970" s="2" t="s">
        <v>367</v>
      </c>
    </row>
    <row r="2971" spans="1:5" x14ac:dyDescent="0.3">
      <c r="A2971" s="2">
        <v>9109</v>
      </c>
      <c r="B2971" s="2" t="s">
        <v>3313</v>
      </c>
      <c r="C2971" s="2" t="s">
        <v>30</v>
      </c>
      <c r="D2971" s="2">
        <v>622699</v>
      </c>
      <c r="E2971" s="2" t="s">
        <v>331</v>
      </c>
    </row>
    <row r="2972" spans="1:5" x14ac:dyDescent="0.3">
      <c r="A2972" s="2">
        <v>9122</v>
      </c>
      <c r="B2972" s="2" t="s">
        <v>3314</v>
      </c>
      <c r="C2972" s="2" t="s">
        <v>670</v>
      </c>
      <c r="D2972" s="2">
        <v>5137</v>
      </c>
      <c r="E2972" s="2" t="s">
        <v>331</v>
      </c>
    </row>
    <row r="2973" spans="1:5" x14ac:dyDescent="0.3">
      <c r="A2973" s="2">
        <v>9129</v>
      </c>
      <c r="B2973" s="2" t="s">
        <v>3315</v>
      </c>
      <c r="C2973" s="2" t="s">
        <v>307</v>
      </c>
      <c r="D2973" s="2">
        <v>456581</v>
      </c>
      <c r="E2973" s="2" t="s">
        <v>1416</v>
      </c>
    </row>
    <row r="2974" spans="1:5" x14ac:dyDescent="0.3">
      <c r="A2974" s="2">
        <v>9130</v>
      </c>
      <c r="B2974" s="2" t="s">
        <v>3316</v>
      </c>
      <c r="C2974" s="2" t="s">
        <v>307</v>
      </c>
      <c r="D2974" s="2">
        <v>645909</v>
      </c>
      <c r="E2974" s="2" t="s">
        <v>1416</v>
      </c>
    </row>
    <row r="2975" spans="1:5" x14ac:dyDescent="0.3">
      <c r="A2975" s="2">
        <v>9131</v>
      </c>
      <c r="B2975" s="2" t="s">
        <v>3317</v>
      </c>
      <c r="C2975" s="2" t="s">
        <v>307</v>
      </c>
      <c r="D2975" s="2">
        <v>544693</v>
      </c>
      <c r="E2975" s="2" t="s">
        <v>1416</v>
      </c>
    </row>
    <row r="2976" spans="1:5" x14ac:dyDescent="0.3">
      <c r="A2976" s="2">
        <v>9132</v>
      </c>
      <c r="B2976" s="2" t="s">
        <v>3318</v>
      </c>
      <c r="C2976" s="2" t="s">
        <v>30</v>
      </c>
      <c r="D2976" s="2">
        <v>311880</v>
      </c>
      <c r="E2976" s="2" t="s">
        <v>1416</v>
      </c>
    </row>
    <row r="2977" spans="1:5" x14ac:dyDescent="0.3">
      <c r="A2977" s="2">
        <v>9133</v>
      </c>
      <c r="B2977" s="2" t="s">
        <v>3319</v>
      </c>
      <c r="C2977" s="2" t="s">
        <v>307</v>
      </c>
      <c r="D2977" s="2">
        <v>11850</v>
      </c>
      <c r="E2977" s="2" t="s">
        <v>1416</v>
      </c>
    </row>
    <row r="2978" spans="1:5" x14ac:dyDescent="0.3">
      <c r="A2978" s="2">
        <v>9134</v>
      </c>
      <c r="B2978" s="2" t="s">
        <v>3320</v>
      </c>
      <c r="C2978" s="2" t="s">
        <v>307</v>
      </c>
      <c r="D2978" s="2">
        <v>137611</v>
      </c>
      <c r="E2978" s="2" t="s">
        <v>1416</v>
      </c>
    </row>
    <row r="2979" spans="1:5" x14ac:dyDescent="0.3">
      <c r="A2979" s="2">
        <v>9135</v>
      </c>
      <c r="B2979" s="2" t="s">
        <v>3321</v>
      </c>
      <c r="C2979" s="2" t="s">
        <v>307</v>
      </c>
      <c r="D2979" s="2">
        <v>5879</v>
      </c>
      <c r="E2979" s="2" t="s">
        <v>1416</v>
      </c>
    </row>
    <row r="2980" spans="1:5" x14ac:dyDescent="0.3">
      <c r="A2980" s="2">
        <v>9136</v>
      </c>
      <c r="B2980" s="2" t="s">
        <v>3322</v>
      </c>
      <c r="C2980" s="2" t="s">
        <v>307</v>
      </c>
      <c r="D2980" s="2">
        <v>4406</v>
      </c>
      <c r="E2980" s="2" t="s">
        <v>1416</v>
      </c>
    </row>
    <row r="2981" spans="1:5" x14ac:dyDescent="0.3">
      <c r="A2981" s="2">
        <v>9137</v>
      </c>
      <c r="B2981" s="2" t="s">
        <v>3323</v>
      </c>
      <c r="C2981" s="2" t="s">
        <v>307</v>
      </c>
      <c r="D2981" s="2">
        <v>3734</v>
      </c>
      <c r="E2981" s="2" t="s">
        <v>1416</v>
      </c>
    </row>
    <row r="2982" spans="1:5" x14ac:dyDescent="0.3">
      <c r="A2982" s="2">
        <v>9138</v>
      </c>
      <c r="B2982" s="2" t="s">
        <v>3324</v>
      </c>
      <c r="C2982" s="2" t="s">
        <v>307</v>
      </c>
      <c r="D2982" s="2">
        <v>3734</v>
      </c>
      <c r="E2982" s="2" t="s">
        <v>1416</v>
      </c>
    </row>
    <row r="2983" spans="1:5" x14ac:dyDescent="0.3">
      <c r="A2983" s="2">
        <v>9139</v>
      </c>
      <c r="B2983" s="2" t="s">
        <v>3325</v>
      </c>
      <c r="C2983" s="2" t="s">
        <v>307</v>
      </c>
      <c r="D2983" s="2">
        <v>44187</v>
      </c>
      <c r="E2983" s="2" t="s">
        <v>1416</v>
      </c>
    </row>
    <row r="2984" spans="1:5" x14ac:dyDescent="0.3">
      <c r="A2984" s="2">
        <v>9140</v>
      </c>
      <c r="B2984" s="2" t="s">
        <v>3326</v>
      </c>
      <c r="C2984" s="2" t="s">
        <v>307</v>
      </c>
      <c r="D2984" s="2">
        <v>62681</v>
      </c>
      <c r="E2984" s="2" t="s">
        <v>1416</v>
      </c>
    </row>
    <row r="2985" spans="1:5" x14ac:dyDescent="0.3">
      <c r="A2985" s="2">
        <v>9141</v>
      </c>
      <c r="B2985" s="2" t="s">
        <v>3327</v>
      </c>
      <c r="C2985" s="2" t="s">
        <v>307</v>
      </c>
      <c r="D2985" s="2">
        <v>6297</v>
      </c>
      <c r="E2985" s="2" t="s">
        <v>1416</v>
      </c>
    </row>
    <row r="2986" spans="1:5" x14ac:dyDescent="0.3">
      <c r="A2986" s="2">
        <v>9142</v>
      </c>
      <c r="B2986" s="2" t="s">
        <v>3328</v>
      </c>
      <c r="C2986" s="2" t="s">
        <v>307</v>
      </c>
      <c r="D2986" s="2">
        <v>2435</v>
      </c>
      <c r="E2986" s="2" t="s">
        <v>1416</v>
      </c>
    </row>
    <row r="2987" spans="1:5" x14ac:dyDescent="0.3">
      <c r="A2987" s="2">
        <v>9143</v>
      </c>
      <c r="B2987" s="2" t="s">
        <v>3329</v>
      </c>
      <c r="C2987" s="2" t="s">
        <v>307</v>
      </c>
      <c r="D2987" s="2">
        <v>62910</v>
      </c>
      <c r="E2987" s="2" t="s">
        <v>1416</v>
      </c>
    </row>
    <row r="2988" spans="1:5" x14ac:dyDescent="0.3">
      <c r="A2988" s="2">
        <v>9144</v>
      </c>
      <c r="B2988" s="2" t="s">
        <v>3330</v>
      </c>
      <c r="C2988" s="2" t="s">
        <v>307</v>
      </c>
      <c r="D2988" s="2">
        <v>4923</v>
      </c>
      <c r="E2988" s="2" t="s">
        <v>1416</v>
      </c>
    </row>
    <row r="2989" spans="1:5" x14ac:dyDescent="0.3">
      <c r="A2989" s="2">
        <v>9145</v>
      </c>
      <c r="B2989" s="2" t="s">
        <v>3331</v>
      </c>
      <c r="C2989" s="2" t="s">
        <v>307</v>
      </c>
      <c r="D2989" s="2">
        <v>69328</v>
      </c>
      <c r="E2989" s="2" t="s">
        <v>1416</v>
      </c>
    </row>
    <row r="2990" spans="1:5" x14ac:dyDescent="0.3">
      <c r="A2990" s="2">
        <v>9146</v>
      </c>
      <c r="B2990" s="2" t="s">
        <v>3332</v>
      </c>
      <c r="C2990" s="2" t="s">
        <v>21</v>
      </c>
      <c r="D2990" s="2">
        <v>29564</v>
      </c>
      <c r="E2990" s="2" t="s">
        <v>331</v>
      </c>
    </row>
    <row r="2991" spans="1:5" x14ac:dyDescent="0.3">
      <c r="A2991" s="2">
        <v>9147</v>
      </c>
      <c r="B2991" s="2" t="s">
        <v>3333</v>
      </c>
      <c r="C2991" s="2" t="s">
        <v>21</v>
      </c>
      <c r="D2991" s="2">
        <v>32319</v>
      </c>
      <c r="E2991" s="2" t="s">
        <v>331</v>
      </c>
    </row>
    <row r="2992" spans="1:5" x14ac:dyDescent="0.3">
      <c r="A2992" s="2">
        <v>9148</v>
      </c>
      <c r="B2992" s="2" t="s">
        <v>3334</v>
      </c>
      <c r="C2992" s="2" t="s">
        <v>32</v>
      </c>
      <c r="D2992" s="2">
        <v>1217224</v>
      </c>
      <c r="E2992" s="2" t="s">
        <v>331</v>
      </c>
    </row>
    <row r="2993" spans="1:5" x14ac:dyDescent="0.3">
      <c r="A2993" s="2">
        <v>9149</v>
      </c>
      <c r="B2993" s="2" t="s">
        <v>3335</v>
      </c>
      <c r="C2993" s="2" t="s">
        <v>30</v>
      </c>
      <c r="D2993" s="2">
        <v>311880</v>
      </c>
      <c r="E2993" s="2" t="s">
        <v>1416</v>
      </c>
    </row>
    <row r="2994" spans="1:5" x14ac:dyDescent="0.3">
      <c r="A2994" s="2">
        <v>9150</v>
      </c>
      <c r="B2994" s="2" t="s">
        <v>3336</v>
      </c>
      <c r="C2994" s="2" t="s">
        <v>307</v>
      </c>
      <c r="D2994" s="2">
        <v>3734</v>
      </c>
      <c r="E2994" s="2" t="s">
        <v>1416</v>
      </c>
    </row>
    <row r="2995" spans="1:5" x14ac:dyDescent="0.3">
      <c r="A2995" s="2">
        <v>9151</v>
      </c>
      <c r="B2995" s="2" t="s">
        <v>3337</v>
      </c>
      <c r="C2995" s="2" t="s">
        <v>307</v>
      </c>
      <c r="D2995" s="2">
        <v>44187</v>
      </c>
      <c r="E2995" s="2" t="s">
        <v>1416</v>
      </c>
    </row>
    <row r="2996" spans="1:5" x14ac:dyDescent="0.3">
      <c r="A2996" s="2">
        <v>9152</v>
      </c>
      <c r="B2996" s="2" t="s">
        <v>3338</v>
      </c>
      <c r="C2996" s="2" t="s">
        <v>307</v>
      </c>
      <c r="D2996" s="2">
        <v>62681</v>
      </c>
      <c r="E2996" s="2" t="s">
        <v>1416</v>
      </c>
    </row>
    <row r="2997" spans="1:5" x14ac:dyDescent="0.3">
      <c r="A2997" s="2">
        <v>9153</v>
      </c>
      <c r="B2997" s="2" t="s">
        <v>3339</v>
      </c>
      <c r="C2997" s="2" t="s">
        <v>307</v>
      </c>
      <c r="D2997" s="2">
        <v>412792</v>
      </c>
      <c r="E2997" s="2" t="s">
        <v>1416</v>
      </c>
    </row>
    <row r="2998" spans="1:5" x14ac:dyDescent="0.3">
      <c r="A2998" s="2">
        <v>9154</v>
      </c>
      <c r="B2998" s="2" t="s">
        <v>3340</v>
      </c>
      <c r="C2998" s="2" t="s">
        <v>307</v>
      </c>
      <c r="D2998" s="2">
        <v>5879</v>
      </c>
      <c r="E2998" s="2" t="s">
        <v>1416</v>
      </c>
    </row>
    <row r="2999" spans="1:5" x14ac:dyDescent="0.3">
      <c r="A2999" s="2">
        <v>9322</v>
      </c>
      <c r="B2999" s="2" t="s">
        <v>3341</v>
      </c>
      <c r="C2999" s="2" t="s">
        <v>21</v>
      </c>
      <c r="D2999" s="2">
        <v>1689778</v>
      </c>
      <c r="E2999" s="2" t="s">
        <v>331</v>
      </c>
    </row>
    <row r="3000" spans="1:5" x14ac:dyDescent="0.3">
      <c r="A3000" s="2">
        <v>9323</v>
      </c>
      <c r="B3000" s="2" t="s">
        <v>3342</v>
      </c>
      <c r="C3000" s="2" t="s">
        <v>21</v>
      </c>
      <c r="D3000" s="2">
        <v>2380780</v>
      </c>
      <c r="E3000" s="2" t="s">
        <v>331</v>
      </c>
    </row>
    <row r="3001" spans="1:5" x14ac:dyDescent="0.3">
      <c r="A3001" s="2">
        <v>9324</v>
      </c>
      <c r="B3001" s="2" t="s">
        <v>3343</v>
      </c>
      <c r="C3001" s="2" t="s">
        <v>21</v>
      </c>
      <c r="D3001" s="2">
        <v>2375151</v>
      </c>
      <c r="E3001" s="2" t="s">
        <v>331</v>
      </c>
    </row>
    <row r="3002" spans="1:5" x14ac:dyDescent="0.3">
      <c r="A3002" s="2">
        <v>9325</v>
      </c>
      <c r="B3002" s="2" t="s">
        <v>3344</v>
      </c>
      <c r="C3002" s="2" t="s">
        <v>328</v>
      </c>
      <c r="D3002" s="2">
        <v>904599</v>
      </c>
      <c r="E3002" s="2" t="s">
        <v>331</v>
      </c>
    </row>
    <row r="3003" spans="1:5" x14ac:dyDescent="0.3">
      <c r="A3003" s="2">
        <v>9326</v>
      </c>
      <c r="B3003" s="2" t="s">
        <v>3345</v>
      </c>
      <c r="C3003" s="2" t="s">
        <v>328</v>
      </c>
      <c r="D3003" s="2">
        <v>1379264</v>
      </c>
      <c r="E3003" s="2" t="s">
        <v>331</v>
      </c>
    </row>
    <row r="3004" spans="1:5" x14ac:dyDescent="0.3">
      <c r="A3004" s="2">
        <v>9327</v>
      </c>
      <c r="B3004" s="2" t="s">
        <v>3346</v>
      </c>
      <c r="C3004" s="2" t="s">
        <v>328</v>
      </c>
      <c r="D3004" s="2">
        <v>1377124</v>
      </c>
      <c r="E3004" s="2" t="s">
        <v>331</v>
      </c>
    </row>
    <row r="3005" spans="1:5" x14ac:dyDescent="0.3">
      <c r="A3005" s="2">
        <v>9394</v>
      </c>
      <c r="B3005" s="2" t="s">
        <v>3347</v>
      </c>
      <c r="C3005" s="2" t="s">
        <v>328</v>
      </c>
      <c r="D3005" s="2">
        <v>1545491</v>
      </c>
      <c r="E3005" s="2" t="s">
        <v>331</v>
      </c>
    </row>
    <row r="3006" spans="1:5" x14ac:dyDescent="0.3">
      <c r="A3006" s="2">
        <v>9395</v>
      </c>
      <c r="B3006" s="2" t="s">
        <v>3348</v>
      </c>
      <c r="C3006" s="2" t="s">
        <v>328</v>
      </c>
      <c r="D3006" s="2">
        <v>2730490</v>
      </c>
      <c r="E3006" s="2" t="s">
        <v>331</v>
      </c>
    </row>
    <row r="3007" spans="1:5" x14ac:dyDescent="0.3">
      <c r="A3007" s="2">
        <v>9396</v>
      </c>
      <c r="B3007" s="2" t="s">
        <v>3349</v>
      </c>
      <c r="C3007" s="2" t="s">
        <v>328</v>
      </c>
      <c r="D3007" s="2">
        <v>855296</v>
      </c>
      <c r="E3007" s="2" t="s">
        <v>331</v>
      </c>
    </row>
    <row r="3008" spans="1:5" x14ac:dyDescent="0.3">
      <c r="A3008" s="2">
        <v>9397</v>
      </c>
      <c r="B3008" s="2" t="s">
        <v>3350</v>
      </c>
      <c r="C3008" s="2" t="s">
        <v>328</v>
      </c>
      <c r="D3008" s="2">
        <v>855296</v>
      </c>
      <c r="E3008" s="2" t="s">
        <v>331</v>
      </c>
    </row>
    <row r="3009" spans="1:5" x14ac:dyDescent="0.3">
      <c r="A3009" s="2">
        <v>9398</v>
      </c>
      <c r="B3009" s="2" t="s">
        <v>3351</v>
      </c>
      <c r="C3009" s="2" t="s">
        <v>328</v>
      </c>
      <c r="D3009" s="2">
        <v>924101</v>
      </c>
      <c r="E3009" s="2" t="s">
        <v>331</v>
      </c>
    </row>
    <row r="3010" spans="1:5" x14ac:dyDescent="0.3">
      <c r="A3010" s="2">
        <v>9425</v>
      </c>
      <c r="B3010" s="2" t="s">
        <v>3352</v>
      </c>
      <c r="C3010" s="2" t="s">
        <v>328</v>
      </c>
      <c r="D3010" s="2">
        <v>2276511</v>
      </c>
      <c r="E3010" s="2" t="s">
        <v>331</v>
      </c>
    </row>
    <row r="3011" spans="1:5" x14ac:dyDescent="0.3">
      <c r="A3011" s="2">
        <v>9463</v>
      </c>
      <c r="B3011" s="2" t="s">
        <v>3353</v>
      </c>
      <c r="C3011" s="2" t="s">
        <v>2405</v>
      </c>
      <c r="D3011" s="2">
        <v>59753</v>
      </c>
      <c r="E3011" s="2" t="s">
        <v>324</v>
      </c>
    </row>
    <row r="3012" spans="1:5" x14ac:dyDescent="0.3">
      <c r="A3012" s="2">
        <v>9466</v>
      </c>
      <c r="B3012" s="2" t="s">
        <v>3354</v>
      </c>
      <c r="C3012" s="2" t="s">
        <v>307</v>
      </c>
      <c r="D3012" s="2">
        <v>412792</v>
      </c>
      <c r="E3012" s="2" t="s">
        <v>1416</v>
      </c>
    </row>
    <row r="3013" spans="1:5" x14ac:dyDescent="0.3">
      <c r="A3013" s="2">
        <v>9467</v>
      </c>
      <c r="B3013" s="2" t="s">
        <v>3355</v>
      </c>
      <c r="C3013" s="2" t="s">
        <v>30</v>
      </c>
      <c r="D3013" s="2">
        <v>311880</v>
      </c>
      <c r="E3013" s="2" t="s">
        <v>1416</v>
      </c>
    </row>
    <row r="3014" spans="1:5" x14ac:dyDescent="0.3">
      <c r="A3014" s="2">
        <v>9468</v>
      </c>
      <c r="B3014" s="2" t="s">
        <v>3356</v>
      </c>
      <c r="C3014" s="2" t="s">
        <v>307</v>
      </c>
      <c r="D3014" s="2">
        <v>62681</v>
      </c>
      <c r="E3014" s="2" t="s">
        <v>1416</v>
      </c>
    </row>
    <row r="3015" spans="1:5" x14ac:dyDescent="0.3">
      <c r="A3015" s="2">
        <v>9469</v>
      </c>
      <c r="B3015" s="2" t="s">
        <v>3357</v>
      </c>
      <c r="C3015" s="2" t="s">
        <v>307</v>
      </c>
      <c r="D3015" s="2">
        <v>5879</v>
      </c>
      <c r="E3015" s="2" t="s">
        <v>1416</v>
      </c>
    </row>
    <row r="3016" spans="1:5" x14ac:dyDescent="0.3">
      <c r="A3016" s="2">
        <v>9470</v>
      </c>
      <c r="B3016" s="2" t="s">
        <v>3358</v>
      </c>
      <c r="C3016" s="2" t="s">
        <v>307</v>
      </c>
      <c r="D3016" s="2">
        <v>3734</v>
      </c>
      <c r="E3016" s="2" t="s">
        <v>1416</v>
      </c>
    </row>
    <row r="3017" spans="1:5" x14ac:dyDescent="0.3">
      <c r="A3017" s="2">
        <v>9563</v>
      </c>
      <c r="B3017" s="2" t="s">
        <v>3359</v>
      </c>
      <c r="C3017" s="2" t="s">
        <v>328</v>
      </c>
      <c r="D3017" s="2">
        <v>161672</v>
      </c>
      <c r="E3017" s="2" t="s">
        <v>331</v>
      </c>
    </row>
    <row r="3018" spans="1:5" x14ac:dyDescent="0.3">
      <c r="A3018" s="2">
        <v>9997</v>
      </c>
      <c r="B3018" s="2" t="s">
        <v>3360</v>
      </c>
      <c r="C3018" s="2" t="s">
        <v>21</v>
      </c>
      <c r="D3018" s="2">
        <v>2560</v>
      </c>
      <c r="E3018" s="2" t="s">
        <v>331</v>
      </c>
    </row>
    <row r="3019" spans="1:5" x14ac:dyDescent="0.3">
      <c r="A3019" s="2">
        <v>9998</v>
      </c>
      <c r="B3019" s="2" t="s">
        <v>3361</v>
      </c>
      <c r="C3019" s="2" t="s">
        <v>30</v>
      </c>
      <c r="D3019" s="2">
        <v>1555325</v>
      </c>
      <c r="E3019" s="2" t="s">
        <v>331</v>
      </c>
    </row>
    <row r="3020" spans="1:5" x14ac:dyDescent="0.3">
      <c r="A3020" s="2">
        <v>9999</v>
      </c>
      <c r="B3020" s="2" t="s">
        <v>3362</v>
      </c>
      <c r="C3020" s="2" t="s">
        <v>21</v>
      </c>
      <c r="D3020" s="2">
        <v>166657</v>
      </c>
      <c r="E3020" s="2" t="s">
        <v>331</v>
      </c>
    </row>
    <row r="3021" spans="1:5" x14ac:dyDescent="0.3">
      <c r="A3021" s="2">
        <v>10000</v>
      </c>
      <c r="B3021" s="2" t="s">
        <v>3363</v>
      </c>
      <c r="C3021" s="2" t="s">
        <v>21</v>
      </c>
      <c r="D3021" s="2">
        <v>131754</v>
      </c>
      <c r="E3021" s="2" t="s">
        <v>331</v>
      </c>
    </row>
    <row r="3022" spans="1:5" x14ac:dyDescent="0.3">
      <c r="A3022" s="2">
        <v>10014</v>
      </c>
      <c r="B3022" s="2" t="s">
        <v>3364</v>
      </c>
      <c r="C3022" s="2" t="s">
        <v>30</v>
      </c>
      <c r="D3022" s="2">
        <v>174066</v>
      </c>
      <c r="E3022" s="2" t="s">
        <v>331</v>
      </c>
    </row>
    <row r="3023" spans="1:5" x14ac:dyDescent="0.3">
      <c r="A3023" s="2">
        <v>10015</v>
      </c>
      <c r="B3023" s="2" t="s">
        <v>3365</v>
      </c>
      <c r="C3023" s="2" t="s">
        <v>30</v>
      </c>
      <c r="D3023" s="2">
        <v>175069</v>
      </c>
      <c r="E3023" s="2" t="s">
        <v>331</v>
      </c>
    </row>
    <row r="3024" spans="1:5" x14ac:dyDescent="0.3">
      <c r="A3024" s="2">
        <v>10016</v>
      </c>
      <c r="B3024" s="2" t="s">
        <v>3366</v>
      </c>
      <c r="C3024" s="2" t="s">
        <v>30</v>
      </c>
      <c r="D3024" s="2">
        <v>184030</v>
      </c>
      <c r="E3024" s="2" t="s">
        <v>331</v>
      </c>
    </row>
    <row r="3025" spans="1:5" x14ac:dyDescent="0.3">
      <c r="A3025" s="2">
        <v>10017</v>
      </c>
      <c r="B3025" s="2" t="s">
        <v>3367</v>
      </c>
      <c r="C3025" s="2" t="s">
        <v>30</v>
      </c>
      <c r="D3025" s="2">
        <v>174662</v>
      </c>
      <c r="E3025" s="2" t="s">
        <v>331</v>
      </c>
    </row>
    <row r="3026" spans="1:5" x14ac:dyDescent="0.3">
      <c r="A3026" s="2">
        <v>10018</v>
      </c>
      <c r="B3026" s="2" t="s">
        <v>3368</v>
      </c>
      <c r="C3026" s="2" t="s">
        <v>30</v>
      </c>
      <c r="D3026" s="2">
        <v>175664</v>
      </c>
      <c r="E3026" s="2" t="s">
        <v>331</v>
      </c>
    </row>
    <row r="3027" spans="1:5" x14ac:dyDescent="0.3">
      <c r="A3027" s="2">
        <v>10019</v>
      </c>
      <c r="B3027" s="2" t="s">
        <v>3369</v>
      </c>
      <c r="C3027" s="2" t="s">
        <v>30</v>
      </c>
      <c r="D3027" s="2">
        <v>184625</v>
      </c>
      <c r="E3027" s="2" t="s">
        <v>331</v>
      </c>
    </row>
    <row r="3028" spans="1:5" x14ac:dyDescent="0.3">
      <c r="A3028" s="2">
        <v>10020</v>
      </c>
      <c r="B3028" s="2" t="s">
        <v>3370</v>
      </c>
      <c r="C3028" s="2" t="s">
        <v>30</v>
      </c>
      <c r="D3028" s="2">
        <v>178711</v>
      </c>
      <c r="E3028" s="2" t="s">
        <v>331</v>
      </c>
    </row>
    <row r="3029" spans="1:5" x14ac:dyDescent="0.3">
      <c r="A3029" s="2">
        <v>10021</v>
      </c>
      <c r="B3029" s="2" t="s">
        <v>3371</v>
      </c>
      <c r="C3029" s="2" t="s">
        <v>30</v>
      </c>
      <c r="D3029" s="2">
        <v>179713</v>
      </c>
      <c r="E3029" s="2" t="s">
        <v>331</v>
      </c>
    </row>
    <row r="3030" spans="1:5" x14ac:dyDescent="0.3">
      <c r="A3030" s="2">
        <v>10022</v>
      </c>
      <c r="B3030" s="2" t="s">
        <v>3372</v>
      </c>
      <c r="C3030" s="2" t="s">
        <v>30</v>
      </c>
      <c r="D3030" s="2">
        <v>188674</v>
      </c>
      <c r="E3030" s="2" t="s">
        <v>331</v>
      </c>
    </row>
    <row r="3031" spans="1:5" x14ac:dyDescent="0.3">
      <c r="A3031" s="2">
        <v>10030</v>
      </c>
      <c r="B3031" s="2" t="s">
        <v>3373</v>
      </c>
      <c r="C3031" s="2" t="s">
        <v>30</v>
      </c>
      <c r="D3031" s="2">
        <v>204678</v>
      </c>
      <c r="E3031" s="2" t="s">
        <v>331</v>
      </c>
    </row>
    <row r="3032" spans="1:5" x14ac:dyDescent="0.3">
      <c r="A3032" s="2">
        <v>10072</v>
      </c>
      <c r="B3032" s="2" t="s">
        <v>3374</v>
      </c>
      <c r="C3032" s="2" t="s">
        <v>30</v>
      </c>
      <c r="D3032" s="2">
        <v>184634</v>
      </c>
      <c r="E3032" s="2" t="s">
        <v>331</v>
      </c>
    </row>
    <row r="3033" spans="1:5" x14ac:dyDescent="0.3">
      <c r="A3033" s="2">
        <v>10074</v>
      </c>
      <c r="B3033" s="2" t="s">
        <v>3375</v>
      </c>
      <c r="C3033" s="2" t="s">
        <v>32</v>
      </c>
      <c r="D3033" s="2">
        <v>6790735</v>
      </c>
      <c r="E3033" s="2" t="s">
        <v>367</v>
      </c>
    </row>
    <row r="3034" spans="1:5" x14ac:dyDescent="0.3">
      <c r="A3034" s="2">
        <v>10075</v>
      </c>
      <c r="B3034" s="2" t="s">
        <v>3376</v>
      </c>
      <c r="C3034" s="2" t="s">
        <v>32</v>
      </c>
      <c r="D3034" s="2">
        <v>9254630</v>
      </c>
      <c r="E3034" s="2" t="s">
        <v>367</v>
      </c>
    </row>
    <row r="3035" spans="1:5" x14ac:dyDescent="0.3">
      <c r="A3035" s="2">
        <v>10214</v>
      </c>
      <c r="B3035" s="2" t="s">
        <v>3377</v>
      </c>
      <c r="C3035" s="2" t="s">
        <v>328</v>
      </c>
      <c r="D3035" s="2">
        <v>360165</v>
      </c>
      <c r="E3035" s="2" t="s">
        <v>331</v>
      </c>
    </row>
    <row r="3036" spans="1:5" x14ac:dyDescent="0.3">
      <c r="A3036" s="2">
        <v>10246</v>
      </c>
      <c r="B3036" s="2" t="s">
        <v>3378</v>
      </c>
      <c r="C3036" s="2" t="s">
        <v>21</v>
      </c>
      <c r="D3036" s="2">
        <v>111187</v>
      </c>
      <c r="E3036" s="2" t="s">
        <v>331</v>
      </c>
    </row>
    <row r="3037" spans="1:5" x14ac:dyDescent="0.3">
      <c r="A3037" s="2">
        <v>10247</v>
      </c>
      <c r="B3037" s="2" t="s">
        <v>3379</v>
      </c>
      <c r="C3037" s="2" t="s">
        <v>21</v>
      </c>
      <c r="D3037" s="2">
        <v>116679</v>
      </c>
      <c r="E3037" s="2" t="s">
        <v>331</v>
      </c>
    </row>
    <row r="3038" spans="1:5" x14ac:dyDescent="0.3">
      <c r="A3038" s="2">
        <v>10248</v>
      </c>
      <c r="B3038" s="2" t="s">
        <v>3380</v>
      </c>
      <c r="C3038" s="2" t="s">
        <v>21</v>
      </c>
      <c r="D3038" s="2">
        <v>117291</v>
      </c>
      <c r="E3038" s="2" t="s">
        <v>331</v>
      </c>
    </row>
    <row r="3039" spans="1:5" x14ac:dyDescent="0.3">
      <c r="A3039" s="2">
        <v>10249</v>
      </c>
      <c r="B3039" s="2" t="s">
        <v>3381</v>
      </c>
      <c r="C3039" s="2" t="s">
        <v>21</v>
      </c>
      <c r="D3039" s="2">
        <v>115771</v>
      </c>
      <c r="E3039" s="2" t="s">
        <v>331</v>
      </c>
    </row>
    <row r="3040" spans="1:5" x14ac:dyDescent="0.3">
      <c r="A3040" s="2">
        <v>10250</v>
      </c>
      <c r="B3040" s="2" t="s">
        <v>3382</v>
      </c>
      <c r="C3040" s="2" t="s">
        <v>21</v>
      </c>
      <c r="D3040" s="2">
        <v>101411</v>
      </c>
      <c r="E3040" s="2" t="s">
        <v>331</v>
      </c>
    </row>
    <row r="3041" spans="1:5" x14ac:dyDescent="0.3">
      <c r="A3041" s="2">
        <v>10251</v>
      </c>
      <c r="B3041" s="2" t="s">
        <v>3383</v>
      </c>
      <c r="C3041" s="2" t="s">
        <v>21</v>
      </c>
      <c r="D3041" s="2">
        <v>109771</v>
      </c>
      <c r="E3041" s="2" t="s">
        <v>331</v>
      </c>
    </row>
    <row r="3042" spans="1:5" x14ac:dyDescent="0.3">
      <c r="A3042" s="2">
        <v>10252</v>
      </c>
      <c r="B3042" s="2" t="s">
        <v>3384</v>
      </c>
      <c r="C3042" s="2" t="s">
        <v>2145</v>
      </c>
      <c r="D3042" s="2">
        <v>7981</v>
      </c>
      <c r="E3042" s="2" t="s">
        <v>324</v>
      </c>
    </row>
    <row r="3043" spans="1:5" x14ac:dyDescent="0.3">
      <c r="A3043" s="2">
        <v>10253</v>
      </c>
      <c r="B3043" s="2" t="s">
        <v>3385</v>
      </c>
      <c r="C3043" s="2" t="s">
        <v>32</v>
      </c>
      <c r="D3043" s="2">
        <v>131367807</v>
      </c>
      <c r="E3043" s="2" t="s">
        <v>1416</v>
      </c>
    </row>
    <row r="3044" spans="1:5" x14ac:dyDescent="0.3">
      <c r="A3044" s="2">
        <v>10254</v>
      </c>
      <c r="B3044" s="2" t="s">
        <v>3386</v>
      </c>
      <c r="C3044" s="2" t="s">
        <v>32</v>
      </c>
      <c r="D3044" s="2">
        <v>148988043</v>
      </c>
      <c r="E3044" s="2" t="s">
        <v>1416</v>
      </c>
    </row>
    <row r="3045" spans="1:5" x14ac:dyDescent="0.3">
      <c r="A3045" s="2">
        <v>10255</v>
      </c>
      <c r="B3045" s="2" t="s">
        <v>3387</v>
      </c>
      <c r="C3045" s="2" t="s">
        <v>32</v>
      </c>
      <c r="D3045" s="2">
        <v>165562794</v>
      </c>
      <c r="E3045" s="2" t="s">
        <v>1416</v>
      </c>
    </row>
    <row r="3046" spans="1:5" x14ac:dyDescent="0.3">
      <c r="A3046" s="2">
        <v>10256</v>
      </c>
      <c r="B3046" s="2" t="s">
        <v>3388</v>
      </c>
      <c r="C3046" s="2" t="s">
        <v>32</v>
      </c>
      <c r="D3046" s="2">
        <v>1671653</v>
      </c>
      <c r="E3046" s="2" t="s">
        <v>1416</v>
      </c>
    </row>
    <row r="3047" spans="1:5" x14ac:dyDescent="0.3">
      <c r="A3047" s="2">
        <v>10257</v>
      </c>
      <c r="B3047" s="2" t="s">
        <v>3389</v>
      </c>
      <c r="C3047" s="2" t="s">
        <v>21</v>
      </c>
      <c r="D3047" s="2">
        <v>139650</v>
      </c>
      <c r="E3047" s="2" t="s">
        <v>324</v>
      </c>
    </row>
    <row r="3048" spans="1:5" x14ac:dyDescent="0.3">
      <c r="A3048" s="2">
        <v>10258</v>
      </c>
      <c r="B3048" s="2" t="s">
        <v>3390</v>
      </c>
      <c r="C3048" s="2" t="s">
        <v>670</v>
      </c>
      <c r="D3048" s="2">
        <v>17116</v>
      </c>
      <c r="E3048" s="2" t="s">
        <v>331</v>
      </c>
    </row>
    <row r="3049" spans="1:5" x14ac:dyDescent="0.3">
      <c r="A3049" s="2">
        <v>10259</v>
      </c>
      <c r="B3049" s="2" t="s">
        <v>3391</v>
      </c>
      <c r="C3049" s="2" t="s">
        <v>21</v>
      </c>
      <c r="D3049" s="2">
        <v>1915</v>
      </c>
      <c r="E3049" s="2" t="s">
        <v>331</v>
      </c>
    </row>
    <row r="3050" spans="1:5" x14ac:dyDescent="0.3">
      <c r="A3050" s="2">
        <v>10260</v>
      </c>
      <c r="B3050" s="2" t="s">
        <v>3392</v>
      </c>
      <c r="C3050" s="2" t="s">
        <v>21</v>
      </c>
      <c r="D3050" s="2">
        <v>44576</v>
      </c>
      <c r="E3050" s="2" t="s">
        <v>324</v>
      </c>
    </row>
    <row r="3051" spans="1:5" x14ac:dyDescent="0.3">
      <c r="A3051" s="2">
        <v>10261</v>
      </c>
      <c r="B3051" s="2" t="s">
        <v>3393</v>
      </c>
      <c r="C3051" s="2" t="s">
        <v>21</v>
      </c>
      <c r="D3051" s="2">
        <v>90757</v>
      </c>
      <c r="E3051" s="2" t="s">
        <v>324</v>
      </c>
    </row>
    <row r="3052" spans="1:5" x14ac:dyDescent="0.3">
      <c r="A3052" s="2">
        <v>10262</v>
      </c>
      <c r="B3052" s="2" t="s">
        <v>3394</v>
      </c>
      <c r="C3052" s="2" t="s">
        <v>328</v>
      </c>
      <c r="D3052" s="2">
        <v>52657</v>
      </c>
      <c r="E3052" s="2" t="s">
        <v>331</v>
      </c>
    </row>
    <row r="3053" spans="1:5" x14ac:dyDescent="0.3">
      <c r="A3053" s="2">
        <v>10263</v>
      </c>
      <c r="B3053" s="2" t="s">
        <v>3395</v>
      </c>
      <c r="C3053" s="2" t="s">
        <v>21</v>
      </c>
      <c r="D3053" s="2">
        <v>221742</v>
      </c>
      <c r="E3053" s="2" t="s">
        <v>331</v>
      </c>
    </row>
    <row r="3054" spans="1:5" x14ac:dyDescent="0.3">
      <c r="A3054" s="2">
        <v>10264</v>
      </c>
      <c r="B3054" s="2" t="s">
        <v>3396</v>
      </c>
      <c r="C3054" s="2" t="s">
        <v>21</v>
      </c>
      <c r="D3054" s="2">
        <v>222740</v>
      </c>
      <c r="E3054" s="2" t="s">
        <v>331</v>
      </c>
    </row>
    <row r="3055" spans="1:5" x14ac:dyDescent="0.3">
      <c r="A3055" s="2">
        <v>10265</v>
      </c>
      <c r="B3055" s="2" t="s">
        <v>3397</v>
      </c>
      <c r="C3055" s="2" t="s">
        <v>30</v>
      </c>
      <c r="D3055" s="2">
        <v>1190418</v>
      </c>
      <c r="E3055" s="2" t="s">
        <v>331</v>
      </c>
    </row>
    <row r="3056" spans="1:5" x14ac:dyDescent="0.3">
      <c r="A3056" s="2">
        <v>10266</v>
      </c>
      <c r="B3056" s="2" t="s">
        <v>3398</v>
      </c>
      <c r="C3056" s="2" t="s">
        <v>30</v>
      </c>
      <c r="D3056" s="2">
        <v>1033886</v>
      </c>
      <c r="E3056" s="2" t="s">
        <v>331</v>
      </c>
    </row>
    <row r="3057" spans="1:5" x14ac:dyDescent="0.3">
      <c r="A3057" s="2">
        <v>10267</v>
      </c>
      <c r="B3057" s="2" t="s">
        <v>3399</v>
      </c>
      <c r="C3057" s="2" t="s">
        <v>21</v>
      </c>
      <c r="D3057" s="2">
        <v>142629</v>
      </c>
      <c r="E3057" s="2" t="s">
        <v>331</v>
      </c>
    </row>
    <row r="3058" spans="1:5" x14ac:dyDescent="0.3">
      <c r="A3058" s="2">
        <v>10268</v>
      </c>
      <c r="B3058" s="2" t="s">
        <v>3400</v>
      </c>
      <c r="C3058" s="2" t="s">
        <v>21</v>
      </c>
      <c r="D3058" s="2">
        <v>209250</v>
      </c>
      <c r="E3058" s="2" t="s">
        <v>331</v>
      </c>
    </row>
    <row r="3059" spans="1:5" x14ac:dyDescent="0.3">
      <c r="A3059" s="2">
        <v>10269</v>
      </c>
      <c r="B3059" s="2" t="s">
        <v>3401</v>
      </c>
      <c r="C3059" s="2" t="s">
        <v>21</v>
      </c>
      <c r="D3059" s="2">
        <v>299063</v>
      </c>
      <c r="E3059" s="2" t="s">
        <v>331</v>
      </c>
    </row>
    <row r="3060" spans="1:5" x14ac:dyDescent="0.3">
      <c r="A3060" s="2">
        <v>10270</v>
      </c>
      <c r="B3060" s="2" t="s">
        <v>3402</v>
      </c>
      <c r="C3060" s="2" t="s">
        <v>21</v>
      </c>
      <c r="D3060" s="2">
        <v>271192</v>
      </c>
      <c r="E3060" s="2" t="s">
        <v>331</v>
      </c>
    </row>
    <row r="3061" spans="1:5" x14ac:dyDescent="0.3">
      <c r="A3061" s="2">
        <v>10271</v>
      </c>
      <c r="B3061" s="2" t="s">
        <v>3403</v>
      </c>
      <c r="C3061" s="2" t="s">
        <v>21</v>
      </c>
      <c r="D3061" s="2">
        <v>43734</v>
      </c>
      <c r="E3061" s="2" t="s">
        <v>331</v>
      </c>
    </row>
    <row r="3062" spans="1:5" x14ac:dyDescent="0.3">
      <c r="A3062" s="2">
        <v>10272</v>
      </c>
      <c r="B3062" s="2" t="s">
        <v>3404</v>
      </c>
      <c r="C3062" s="2" t="s">
        <v>21</v>
      </c>
      <c r="D3062" s="2">
        <v>183039</v>
      </c>
      <c r="E3062" s="2" t="s">
        <v>331</v>
      </c>
    </row>
    <row r="3063" spans="1:5" x14ac:dyDescent="0.3">
      <c r="A3063" s="2">
        <v>10273</v>
      </c>
      <c r="B3063" s="2" t="s">
        <v>3405</v>
      </c>
      <c r="C3063" s="2" t="s">
        <v>30</v>
      </c>
      <c r="D3063" s="2">
        <v>1506846</v>
      </c>
      <c r="E3063" s="2" t="s">
        <v>331</v>
      </c>
    </row>
    <row r="3064" spans="1:5" x14ac:dyDescent="0.3">
      <c r="A3064" s="2">
        <v>10274</v>
      </c>
      <c r="B3064" s="2" t="s">
        <v>3406</v>
      </c>
      <c r="C3064" s="2" t="s">
        <v>30</v>
      </c>
      <c r="D3064" s="2">
        <v>1576167</v>
      </c>
      <c r="E3064" s="2" t="s">
        <v>331</v>
      </c>
    </row>
    <row r="3065" spans="1:5" x14ac:dyDescent="0.3">
      <c r="A3065" s="2">
        <v>10275</v>
      </c>
      <c r="B3065" s="2" t="s">
        <v>3407</v>
      </c>
      <c r="C3065" s="2" t="s">
        <v>21</v>
      </c>
      <c r="D3065" s="2">
        <v>300993</v>
      </c>
      <c r="E3065" s="2" t="s">
        <v>331</v>
      </c>
    </row>
    <row r="3066" spans="1:5" x14ac:dyDescent="0.3">
      <c r="A3066" s="2">
        <v>10276</v>
      </c>
      <c r="B3066" s="2" t="s">
        <v>3408</v>
      </c>
      <c r="C3066" s="2" t="s">
        <v>30</v>
      </c>
      <c r="D3066" s="2">
        <v>1078031</v>
      </c>
      <c r="E3066" s="2" t="s">
        <v>331</v>
      </c>
    </row>
    <row r="3067" spans="1:5" x14ac:dyDescent="0.3">
      <c r="A3067" s="2">
        <v>10277</v>
      </c>
      <c r="B3067" s="2" t="s">
        <v>3409</v>
      </c>
      <c r="C3067" s="2" t="s">
        <v>30</v>
      </c>
      <c r="D3067" s="2">
        <v>1163114</v>
      </c>
      <c r="E3067" s="2" t="s">
        <v>331</v>
      </c>
    </row>
    <row r="3068" spans="1:5" x14ac:dyDescent="0.3">
      <c r="A3068" s="2">
        <v>10321</v>
      </c>
      <c r="B3068" s="2" t="s">
        <v>3410</v>
      </c>
      <c r="C3068" s="2" t="s">
        <v>32</v>
      </c>
      <c r="D3068" s="2">
        <v>28755</v>
      </c>
      <c r="E3068" s="2" t="s">
        <v>1416</v>
      </c>
    </row>
    <row r="3069" spans="1:5" x14ac:dyDescent="0.3">
      <c r="A3069" s="2">
        <v>10322</v>
      </c>
      <c r="B3069" s="2" t="s">
        <v>3411</v>
      </c>
      <c r="C3069" s="2" t="s">
        <v>32</v>
      </c>
      <c r="D3069" s="2">
        <v>50516</v>
      </c>
      <c r="E3069" s="2" t="s">
        <v>1416</v>
      </c>
    </row>
    <row r="3070" spans="1:5" x14ac:dyDescent="0.3">
      <c r="A3070" s="2">
        <v>10323</v>
      </c>
      <c r="B3070" s="2" t="s">
        <v>3412</v>
      </c>
      <c r="C3070" s="2" t="s">
        <v>32</v>
      </c>
      <c r="D3070" s="2">
        <v>43522</v>
      </c>
      <c r="E3070" s="2" t="s">
        <v>1416</v>
      </c>
    </row>
    <row r="3071" spans="1:5" x14ac:dyDescent="0.3">
      <c r="A3071" s="2">
        <v>10324</v>
      </c>
      <c r="B3071" s="2" t="s">
        <v>3413</v>
      </c>
      <c r="C3071" s="2" t="s">
        <v>32</v>
      </c>
      <c r="D3071" s="2">
        <v>189629</v>
      </c>
      <c r="E3071" s="2" t="s">
        <v>1416</v>
      </c>
    </row>
    <row r="3072" spans="1:5" x14ac:dyDescent="0.3">
      <c r="A3072" s="2">
        <v>10325</v>
      </c>
      <c r="B3072" s="2" t="s">
        <v>3414</v>
      </c>
      <c r="C3072" s="2" t="s">
        <v>328</v>
      </c>
      <c r="D3072" s="2">
        <v>132119</v>
      </c>
      <c r="E3072" s="2" t="s">
        <v>1416</v>
      </c>
    </row>
    <row r="3073" spans="1:5" x14ac:dyDescent="0.3">
      <c r="A3073" s="2">
        <v>10326</v>
      </c>
      <c r="B3073" s="2" t="s">
        <v>3415</v>
      </c>
      <c r="C3073" s="2" t="s">
        <v>32</v>
      </c>
      <c r="D3073" s="2">
        <v>1002546</v>
      </c>
      <c r="E3073" s="2" t="s">
        <v>1416</v>
      </c>
    </row>
    <row r="3074" spans="1:5" x14ac:dyDescent="0.3">
      <c r="A3074" s="2">
        <v>10327</v>
      </c>
      <c r="B3074" s="2" t="s">
        <v>3416</v>
      </c>
      <c r="C3074" s="2" t="s">
        <v>32</v>
      </c>
      <c r="D3074" s="2">
        <v>1002546</v>
      </c>
      <c r="E3074" s="2" t="s">
        <v>1416</v>
      </c>
    </row>
    <row r="3075" spans="1:5" x14ac:dyDescent="0.3">
      <c r="A3075" s="2">
        <v>10328</v>
      </c>
      <c r="B3075" s="2" t="s">
        <v>3417</v>
      </c>
      <c r="C3075" s="2" t="s">
        <v>32</v>
      </c>
      <c r="D3075" s="2">
        <v>1002546</v>
      </c>
      <c r="E3075" s="2" t="s">
        <v>1416</v>
      </c>
    </row>
    <row r="3076" spans="1:5" x14ac:dyDescent="0.3">
      <c r="A3076" s="2">
        <v>10329</v>
      </c>
      <c r="B3076" s="2" t="s">
        <v>3418</v>
      </c>
      <c r="C3076" s="2" t="s">
        <v>32</v>
      </c>
      <c r="D3076" s="2">
        <v>1381404</v>
      </c>
      <c r="E3076" s="2" t="s">
        <v>1416</v>
      </c>
    </row>
    <row r="3077" spans="1:5" x14ac:dyDescent="0.3">
      <c r="A3077" s="2">
        <v>10330</v>
      </c>
      <c r="B3077" s="2" t="s">
        <v>3419</v>
      </c>
      <c r="C3077" s="2" t="s">
        <v>32</v>
      </c>
      <c r="D3077" s="2">
        <v>1002546</v>
      </c>
      <c r="E3077" s="2" t="s">
        <v>1416</v>
      </c>
    </row>
    <row r="3078" spans="1:5" x14ac:dyDescent="0.3">
      <c r="A3078" s="2">
        <v>10331</v>
      </c>
      <c r="B3078" s="2" t="s">
        <v>3420</v>
      </c>
      <c r="C3078" s="2" t="s">
        <v>32</v>
      </c>
      <c r="D3078" s="2">
        <v>2609649</v>
      </c>
      <c r="E3078" s="2" t="s">
        <v>1416</v>
      </c>
    </row>
    <row r="3079" spans="1:5" x14ac:dyDescent="0.3">
      <c r="A3079" s="2">
        <v>10332</v>
      </c>
      <c r="B3079" s="2" t="s">
        <v>3421</v>
      </c>
      <c r="C3079" s="2" t="s">
        <v>32</v>
      </c>
      <c r="D3079" s="2">
        <v>2969601</v>
      </c>
      <c r="E3079" s="2" t="s">
        <v>1416</v>
      </c>
    </row>
    <row r="3080" spans="1:5" x14ac:dyDescent="0.3">
      <c r="A3080" s="2">
        <v>10333</v>
      </c>
      <c r="B3080" s="2" t="s">
        <v>3422</v>
      </c>
      <c r="C3080" s="2" t="s">
        <v>32</v>
      </c>
      <c r="D3080" s="2">
        <v>2875522</v>
      </c>
      <c r="E3080" s="2" t="s">
        <v>1416</v>
      </c>
    </row>
    <row r="3081" spans="1:5" x14ac:dyDescent="0.3">
      <c r="A3081" s="2">
        <v>10334</v>
      </c>
      <c r="B3081" s="2" t="s">
        <v>3423</v>
      </c>
      <c r="C3081" s="2" t="s">
        <v>32</v>
      </c>
      <c r="D3081" s="2">
        <v>3509528</v>
      </c>
      <c r="E3081" s="2" t="s">
        <v>1416</v>
      </c>
    </row>
    <row r="3082" spans="1:5" x14ac:dyDescent="0.3">
      <c r="A3082" s="2">
        <v>10335</v>
      </c>
      <c r="B3082" s="2" t="s">
        <v>3424</v>
      </c>
      <c r="C3082" s="2" t="s">
        <v>32</v>
      </c>
      <c r="D3082" s="2">
        <v>10414054</v>
      </c>
      <c r="E3082" s="2" t="s">
        <v>1416</v>
      </c>
    </row>
    <row r="3083" spans="1:5" x14ac:dyDescent="0.3">
      <c r="A3083" s="2">
        <v>10336</v>
      </c>
      <c r="B3083" s="2" t="s">
        <v>3425</v>
      </c>
      <c r="C3083" s="2" t="s">
        <v>32</v>
      </c>
      <c r="D3083" s="2">
        <v>13289577</v>
      </c>
      <c r="E3083" s="2" t="s">
        <v>1416</v>
      </c>
    </row>
    <row r="3084" spans="1:5" x14ac:dyDescent="0.3">
      <c r="A3084" s="2">
        <v>10338</v>
      </c>
      <c r="B3084" s="2" t="s">
        <v>3426</v>
      </c>
      <c r="C3084" s="2" t="s">
        <v>30</v>
      </c>
      <c r="D3084" s="2">
        <v>141606</v>
      </c>
      <c r="E3084" s="2" t="s">
        <v>331</v>
      </c>
    </row>
    <row r="3085" spans="1:5" x14ac:dyDescent="0.3">
      <c r="A3085" s="2">
        <v>10339</v>
      </c>
      <c r="B3085" s="2" t="s">
        <v>3427</v>
      </c>
      <c r="C3085" s="2" t="s">
        <v>30</v>
      </c>
      <c r="D3085" s="2">
        <v>158592</v>
      </c>
      <c r="E3085" s="2" t="s">
        <v>331</v>
      </c>
    </row>
    <row r="3086" spans="1:5" x14ac:dyDescent="0.3">
      <c r="A3086" s="2">
        <v>10340</v>
      </c>
      <c r="B3086" s="2" t="s">
        <v>3428</v>
      </c>
      <c r="C3086" s="2" t="s">
        <v>30</v>
      </c>
      <c r="D3086" s="2">
        <v>132786</v>
      </c>
      <c r="E3086" s="2" t="s">
        <v>331</v>
      </c>
    </row>
    <row r="3087" spans="1:5" x14ac:dyDescent="0.3">
      <c r="A3087" s="2">
        <v>10341</v>
      </c>
      <c r="B3087" s="2" t="s">
        <v>3429</v>
      </c>
      <c r="C3087" s="2" t="s">
        <v>30</v>
      </c>
      <c r="D3087" s="2">
        <v>149772</v>
      </c>
      <c r="E3087" s="2" t="s">
        <v>331</v>
      </c>
    </row>
    <row r="3088" spans="1:5" x14ac:dyDescent="0.3">
      <c r="A3088" s="2">
        <v>10342</v>
      </c>
      <c r="B3088" s="2" t="s">
        <v>3430</v>
      </c>
      <c r="C3088" s="2" t="s">
        <v>32</v>
      </c>
      <c r="D3088" s="2">
        <v>1865070</v>
      </c>
      <c r="E3088" s="2" t="s">
        <v>331</v>
      </c>
    </row>
    <row r="3089" spans="1:5" x14ac:dyDescent="0.3">
      <c r="A3089" s="2">
        <v>10343</v>
      </c>
      <c r="B3089" s="2" t="s">
        <v>3431</v>
      </c>
      <c r="C3089" s="2" t="s">
        <v>32</v>
      </c>
      <c r="D3089" s="2">
        <v>2234383</v>
      </c>
      <c r="E3089" s="2" t="s">
        <v>331</v>
      </c>
    </row>
    <row r="3090" spans="1:5" x14ac:dyDescent="0.3">
      <c r="A3090" s="2">
        <v>10344</v>
      </c>
      <c r="B3090" s="2" t="s">
        <v>3432</v>
      </c>
      <c r="C3090" s="2" t="s">
        <v>32</v>
      </c>
      <c r="D3090" s="2">
        <v>273700</v>
      </c>
      <c r="E3090" s="2" t="s">
        <v>367</v>
      </c>
    </row>
    <row r="3091" spans="1:5" x14ac:dyDescent="0.3">
      <c r="A3091" s="2">
        <v>10345</v>
      </c>
      <c r="B3091" s="2" t="s">
        <v>3433</v>
      </c>
      <c r="C3091" s="2" t="s">
        <v>32</v>
      </c>
      <c r="D3091" s="2">
        <v>196350</v>
      </c>
      <c r="E3091" s="2" t="s">
        <v>367</v>
      </c>
    </row>
    <row r="3092" spans="1:5" x14ac:dyDescent="0.3">
      <c r="A3092" s="2">
        <v>10346</v>
      </c>
      <c r="B3092" s="2" t="s">
        <v>3434</v>
      </c>
      <c r="C3092" s="2" t="s">
        <v>32</v>
      </c>
      <c r="D3092" s="2">
        <v>856800</v>
      </c>
      <c r="E3092" s="2" t="s">
        <v>367</v>
      </c>
    </row>
    <row r="3093" spans="1:5" x14ac:dyDescent="0.3">
      <c r="A3093" s="2">
        <v>10347</v>
      </c>
      <c r="B3093" s="2" t="s">
        <v>3435</v>
      </c>
      <c r="C3093" s="2" t="s">
        <v>32</v>
      </c>
      <c r="D3093" s="2">
        <v>214200</v>
      </c>
      <c r="E3093" s="2" t="s">
        <v>367</v>
      </c>
    </row>
    <row r="3094" spans="1:5" x14ac:dyDescent="0.3">
      <c r="A3094" s="2">
        <v>10348</v>
      </c>
      <c r="B3094" s="2" t="s">
        <v>3436</v>
      </c>
      <c r="C3094" s="2" t="s">
        <v>32</v>
      </c>
      <c r="D3094" s="2">
        <v>381521</v>
      </c>
      <c r="E3094" s="2" t="s">
        <v>324</v>
      </c>
    </row>
    <row r="3095" spans="1:5" x14ac:dyDescent="0.3">
      <c r="A3095" s="2">
        <v>10349</v>
      </c>
      <c r="B3095" s="2" t="s">
        <v>3437</v>
      </c>
      <c r="C3095" s="2" t="s">
        <v>328</v>
      </c>
      <c r="D3095" s="2">
        <v>489895</v>
      </c>
      <c r="E3095" s="2" t="s">
        <v>331</v>
      </c>
    </row>
    <row r="3096" spans="1:5" x14ac:dyDescent="0.3">
      <c r="A3096" s="2">
        <v>10350</v>
      </c>
      <c r="B3096" s="2" t="s">
        <v>3438</v>
      </c>
      <c r="C3096" s="2" t="s">
        <v>30</v>
      </c>
      <c r="D3096" s="2">
        <v>180810</v>
      </c>
      <c r="E3096" s="2" t="s">
        <v>331</v>
      </c>
    </row>
    <row r="3097" spans="1:5" x14ac:dyDescent="0.3">
      <c r="A3097" s="2">
        <v>10351</v>
      </c>
      <c r="B3097" s="2" t="s">
        <v>3439</v>
      </c>
      <c r="C3097" s="2" t="s">
        <v>30</v>
      </c>
      <c r="D3097" s="2">
        <v>166226</v>
      </c>
      <c r="E3097" s="2" t="s">
        <v>331</v>
      </c>
    </row>
    <row r="3098" spans="1:5" x14ac:dyDescent="0.3">
      <c r="A3098" s="2">
        <v>10352</v>
      </c>
      <c r="B3098" s="2" t="s">
        <v>3440</v>
      </c>
      <c r="C3098" s="2" t="s">
        <v>328</v>
      </c>
      <c r="D3098" s="2">
        <v>889492</v>
      </c>
      <c r="E3098" s="2" t="s">
        <v>331</v>
      </c>
    </row>
    <row r="3099" spans="1:5" x14ac:dyDescent="0.3">
      <c r="A3099" s="2">
        <v>10353</v>
      </c>
      <c r="B3099" s="2" t="s">
        <v>3441</v>
      </c>
      <c r="C3099" s="2" t="s">
        <v>328</v>
      </c>
      <c r="D3099" s="2">
        <v>912289</v>
      </c>
      <c r="E3099" s="2" t="s">
        <v>331</v>
      </c>
    </row>
    <row r="3100" spans="1:5" x14ac:dyDescent="0.3">
      <c r="A3100" s="2">
        <v>10354</v>
      </c>
      <c r="B3100" s="2" t="s">
        <v>3442</v>
      </c>
      <c r="C3100" s="2" t="s">
        <v>328</v>
      </c>
      <c r="D3100" s="2">
        <v>996240</v>
      </c>
      <c r="E3100" s="2" t="s">
        <v>331</v>
      </c>
    </row>
    <row r="3101" spans="1:5" x14ac:dyDescent="0.3">
      <c r="A3101" s="2">
        <v>10355</v>
      </c>
      <c r="B3101" s="2" t="s">
        <v>3443</v>
      </c>
      <c r="C3101" s="2" t="s">
        <v>328</v>
      </c>
      <c r="D3101" s="2">
        <v>1223642</v>
      </c>
      <c r="E3101" s="2" t="s">
        <v>331</v>
      </c>
    </row>
    <row r="3102" spans="1:5" x14ac:dyDescent="0.3">
      <c r="A3102" s="2">
        <v>10356</v>
      </c>
      <c r="B3102" s="2" t="s">
        <v>3444</v>
      </c>
      <c r="C3102" s="2" t="s">
        <v>328</v>
      </c>
      <c r="D3102" s="2">
        <v>1286029</v>
      </c>
      <c r="E3102" s="2" t="s">
        <v>331</v>
      </c>
    </row>
    <row r="3103" spans="1:5" x14ac:dyDescent="0.3">
      <c r="A3103" s="2">
        <v>10357</v>
      </c>
      <c r="B3103" s="2" t="s">
        <v>3445</v>
      </c>
      <c r="C3103" s="2" t="s">
        <v>328</v>
      </c>
      <c r="D3103" s="2">
        <v>1396838</v>
      </c>
      <c r="E3103" s="2" t="s">
        <v>331</v>
      </c>
    </row>
    <row r="3104" spans="1:5" x14ac:dyDescent="0.3">
      <c r="A3104" s="2">
        <v>10358</v>
      </c>
      <c r="B3104" s="2" t="s">
        <v>3446</v>
      </c>
      <c r="C3104" s="2" t="s">
        <v>328</v>
      </c>
      <c r="D3104" s="2">
        <v>1642547</v>
      </c>
      <c r="E3104" s="2" t="s">
        <v>331</v>
      </c>
    </row>
    <row r="3105" spans="1:5" x14ac:dyDescent="0.3">
      <c r="A3105" s="2">
        <v>10359</v>
      </c>
      <c r="B3105" s="2" t="s">
        <v>3447</v>
      </c>
      <c r="C3105" s="2" t="s">
        <v>328</v>
      </c>
      <c r="D3105" s="2">
        <v>2006030</v>
      </c>
      <c r="E3105" s="2" t="s">
        <v>331</v>
      </c>
    </row>
    <row r="3106" spans="1:5" x14ac:dyDescent="0.3">
      <c r="A3106" s="2">
        <v>10360</v>
      </c>
      <c r="B3106" s="2" t="s">
        <v>3448</v>
      </c>
      <c r="C3106" s="2" t="s">
        <v>328</v>
      </c>
      <c r="D3106" s="2">
        <v>2176505</v>
      </c>
      <c r="E3106" s="2" t="s">
        <v>331</v>
      </c>
    </row>
    <row r="3107" spans="1:5" x14ac:dyDescent="0.3">
      <c r="A3107" s="2">
        <v>10361</v>
      </c>
      <c r="B3107" s="2" t="s">
        <v>3449</v>
      </c>
      <c r="C3107" s="2" t="s">
        <v>328</v>
      </c>
      <c r="D3107" s="2">
        <v>2298708</v>
      </c>
      <c r="E3107" s="2" t="s">
        <v>331</v>
      </c>
    </row>
    <row r="3108" spans="1:5" x14ac:dyDescent="0.3">
      <c r="A3108" s="2">
        <v>10362</v>
      </c>
      <c r="B3108" s="2" t="s">
        <v>3450</v>
      </c>
      <c r="C3108" s="2" t="s">
        <v>328</v>
      </c>
      <c r="D3108" s="2">
        <v>2411148</v>
      </c>
      <c r="E3108" s="2" t="s">
        <v>331</v>
      </c>
    </row>
    <row r="3109" spans="1:5" x14ac:dyDescent="0.3">
      <c r="A3109" s="2">
        <v>10363</v>
      </c>
      <c r="B3109" s="2" t="s">
        <v>3451</v>
      </c>
      <c r="C3109" s="2" t="s">
        <v>328</v>
      </c>
      <c r="D3109" s="2">
        <v>920046</v>
      </c>
      <c r="E3109" s="2" t="s">
        <v>331</v>
      </c>
    </row>
    <row r="3110" spans="1:5" x14ac:dyDescent="0.3">
      <c r="A3110" s="2">
        <v>10364</v>
      </c>
      <c r="B3110" s="2" t="s">
        <v>3452</v>
      </c>
      <c r="C3110" s="2" t="s">
        <v>328</v>
      </c>
      <c r="D3110" s="2">
        <v>962785</v>
      </c>
      <c r="E3110" s="2" t="s">
        <v>331</v>
      </c>
    </row>
    <row r="3111" spans="1:5" x14ac:dyDescent="0.3">
      <c r="A3111" s="2">
        <v>10365</v>
      </c>
      <c r="B3111" s="2" t="s">
        <v>3453</v>
      </c>
      <c r="C3111" s="2" t="s">
        <v>328</v>
      </c>
      <c r="D3111" s="2">
        <v>1056995</v>
      </c>
      <c r="E3111" s="2" t="s">
        <v>331</v>
      </c>
    </row>
    <row r="3112" spans="1:5" x14ac:dyDescent="0.3">
      <c r="A3112" s="2">
        <v>10366</v>
      </c>
      <c r="B3112" s="2" t="s">
        <v>3454</v>
      </c>
      <c r="C3112" s="2" t="s">
        <v>328</v>
      </c>
      <c r="D3112" s="2">
        <v>1276952</v>
      </c>
      <c r="E3112" s="2" t="s">
        <v>331</v>
      </c>
    </row>
    <row r="3113" spans="1:5" x14ac:dyDescent="0.3">
      <c r="A3113" s="2">
        <v>10367</v>
      </c>
      <c r="B3113" s="2" t="s">
        <v>3455</v>
      </c>
      <c r="C3113" s="2" t="s">
        <v>328</v>
      </c>
      <c r="D3113" s="2">
        <v>1363379</v>
      </c>
      <c r="E3113" s="2" t="s">
        <v>331</v>
      </c>
    </row>
    <row r="3114" spans="1:5" x14ac:dyDescent="0.3">
      <c r="A3114" s="2">
        <v>10368</v>
      </c>
      <c r="B3114" s="2" t="s">
        <v>3456</v>
      </c>
      <c r="C3114" s="2" t="s">
        <v>328</v>
      </c>
      <c r="D3114" s="2">
        <v>1501501</v>
      </c>
      <c r="E3114" s="2" t="s">
        <v>331</v>
      </c>
    </row>
    <row r="3115" spans="1:5" x14ac:dyDescent="0.3">
      <c r="A3115" s="2">
        <v>10369</v>
      </c>
      <c r="B3115" s="2" t="s">
        <v>3457</v>
      </c>
      <c r="C3115" s="2" t="s">
        <v>328</v>
      </c>
      <c r="D3115" s="2">
        <v>1661037</v>
      </c>
      <c r="E3115" s="2" t="s">
        <v>331</v>
      </c>
    </row>
    <row r="3116" spans="1:5" x14ac:dyDescent="0.3">
      <c r="A3116" s="2">
        <v>10370</v>
      </c>
      <c r="B3116" s="2" t="s">
        <v>3458</v>
      </c>
      <c r="C3116" s="2" t="s">
        <v>328</v>
      </c>
      <c r="D3116" s="2">
        <v>1993048</v>
      </c>
      <c r="E3116" s="2" t="s">
        <v>331</v>
      </c>
    </row>
    <row r="3117" spans="1:5" x14ac:dyDescent="0.3">
      <c r="A3117" s="2">
        <v>10371</v>
      </c>
      <c r="B3117" s="2" t="s">
        <v>3459</v>
      </c>
      <c r="C3117" s="2" t="s">
        <v>328</v>
      </c>
      <c r="D3117" s="2">
        <v>2159158</v>
      </c>
      <c r="E3117" s="2" t="s">
        <v>331</v>
      </c>
    </row>
    <row r="3118" spans="1:5" x14ac:dyDescent="0.3">
      <c r="A3118" s="2">
        <v>10372</v>
      </c>
      <c r="B3118" s="2" t="s">
        <v>3460</v>
      </c>
      <c r="C3118" s="2" t="s">
        <v>328</v>
      </c>
      <c r="D3118" s="2">
        <v>2270022</v>
      </c>
      <c r="E3118" s="2" t="s">
        <v>331</v>
      </c>
    </row>
    <row r="3119" spans="1:5" x14ac:dyDescent="0.3">
      <c r="A3119" s="2">
        <v>10373</v>
      </c>
      <c r="B3119" s="2" t="s">
        <v>3461</v>
      </c>
      <c r="C3119" s="2" t="s">
        <v>328</v>
      </c>
      <c r="D3119" s="2">
        <v>2400335</v>
      </c>
      <c r="E3119" s="2" t="s">
        <v>331</v>
      </c>
    </row>
    <row r="3120" spans="1:5" x14ac:dyDescent="0.3">
      <c r="A3120" s="2">
        <v>10374</v>
      </c>
      <c r="B3120" s="2" t="s">
        <v>3462</v>
      </c>
      <c r="C3120" s="2" t="s">
        <v>32</v>
      </c>
      <c r="D3120" s="2">
        <v>236681</v>
      </c>
      <c r="E3120" s="2" t="s">
        <v>331</v>
      </c>
    </row>
    <row r="3121" spans="1:5" x14ac:dyDescent="0.3">
      <c r="A3121" s="2">
        <v>10375</v>
      </c>
      <c r="B3121" s="2" t="s">
        <v>3463</v>
      </c>
      <c r="C3121" s="2" t="s">
        <v>32</v>
      </c>
      <c r="D3121" s="2">
        <v>533949</v>
      </c>
      <c r="E3121" s="2" t="s">
        <v>331</v>
      </c>
    </row>
    <row r="3122" spans="1:5" x14ac:dyDescent="0.3">
      <c r="A3122" s="2">
        <v>10376</v>
      </c>
      <c r="B3122" s="2" t="s">
        <v>3464</v>
      </c>
      <c r="C3122" s="2" t="s">
        <v>32</v>
      </c>
      <c r="D3122" s="2">
        <v>1156088</v>
      </c>
      <c r="E3122" s="2" t="s">
        <v>331</v>
      </c>
    </row>
    <row r="3123" spans="1:5" x14ac:dyDescent="0.3">
      <c r="A3123" s="2">
        <v>10377</v>
      </c>
      <c r="B3123" s="2" t="s">
        <v>3465</v>
      </c>
      <c r="C3123" s="2" t="s">
        <v>32</v>
      </c>
      <c r="D3123" s="2">
        <v>1630930</v>
      </c>
      <c r="E3123" s="2" t="s">
        <v>331</v>
      </c>
    </row>
    <row r="3124" spans="1:5" x14ac:dyDescent="0.3">
      <c r="A3124" s="2">
        <v>10378</v>
      </c>
      <c r="B3124" s="2" t="s">
        <v>3466</v>
      </c>
      <c r="C3124" s="2" t="s">
        <v>32</v>
      </c>
      <c r="D3124" s="2">
        <v>1892126</v>
      </c>
      <c r="E3124" s="2" t="s">
        <v>331</v>
      </c>
    </row>
    <row r="3125" spans="1:5" x14ac:dyDescent="0.3">
      <c r="A3125" s="2">
        <v>10454</v>
      </c>
      <c r="B3125" s="2" t="s">
        <v>3467</v>
      </c>
      <c r="C3125" s="2" t="s">
        <v>328</v>
      </c>
      <c r="D3125" s="2">
        <v>226766</v>
      </c>
      <c r="E3125" s="2" t="s">
        <v>331</v>
      </c>
    </row>
    <row r="3126" spans="1:5" x14ac:dyDescent="0.3">
      <c r="A3126" s="2">
        <v>10455</v>
      </c>
      <c r="B3126" s="2" t="s">
        <v>3468</v>
      </c>
      <c r="C3126" s="2" t="s">
        <v>328</v>
      </c>
      <c r="D3126" s="2">
        <v>282582</v>
      </c>
      <c r="E3126" s="2" t="s">
        <v>331</v>
      </c>
    </row>
    <row r="3127" spans="1:5" x14ac:dyDescent="0.3">
      <c r="A3127" s="2">
        <v>10456</v>
      </c>
      <c r="B3127" s="2" t="s">
        <v>3469</v>
      </c>
      <c r="C3127" s="2" t="s">
        <v>328</v>
      </c>
      <c r="D3127" s="2">
        <v>334232</v>
      </c>
      <c r="E3127" s="2" t="s">
        <v>331</v>
      </c>
    </row>
    <row r="3128" spans="1:5" x14ac:dyDescent="0.3">
      <c r="A3128" s="2">
        <v>10457</v>
      </c>
      <c r="B3128" s="2" t="s">
        <v>3470</v>
      </c>
      <c r="C3128" s="2" t="s">
        <v>328</v>
      </c>
      <c r="D3128" s="2">
        <v>361251</v>
      </c>
      <c r="E3128" s="2" t="s">
        <v>331</v>
      </c>
    </row>
    <row r="3129" spans="1:5" x14ac:dyDescent="0.3">
      <c r="A3129" s="2">
        <v>10458</v>
      </c>
      <c r="B3129" s="2" t="s">
        <v>3471</v>
      </c>
      <c r="C3129" s="2" t="s">
        <v>328</v>
      </c>
      <c r="D3129" s="2">
        <v>238037</v>
      </c>
      <c r="E3129" s="2" t="s">
        <v>331</v>
      </c>
    </row>
    <row r="3130" spans="1:5" x14ac:dyDescent="0.3">
      <c r="A3130" s="2">
        <v>10459</v>
      </c>
      <c r="B3130" s="2" t="s">
        <v>3472</v>
      </c>
      <c r="C3130" s="2" t="s">
        <v>328</v>
      </c>
      <c r="D3130" s="2">
        <v>299411</v>
      </c>
      <c r="E3130" s="2" t="s">
        <v>331</v>
      </c>
    </row>
    <row r="3131" spans="1:5" x14ac:dyDescent="0.3">
      <c r="A3131" s="2">
        <v>10460</v>
      </c>
      <c r="B3131" s="2" t="s">
        <v>3473</v>
      </c>
      <c r="C3131" s="2" t="s">
        <v>328</v>
      </c>
      <c r="D3131" s="2">
        <v>352708</v>
      </c>
      <c r="E3131" s="2" t="s">
        <v>331</v>
      </c>
    </row>
    <row r="3132" spans="1:5" x14ac:dyDescent="0.3">
      <c r="A3132" s="2">
        <v>10461</v>
      </c>
      <c r="B3132" s="2" t="s">
        <v>3474</v>
      </c>
      <c r="C3132" s="2" t="s">
        <v>328</v>
      </c>
      <c r="D3132" s="2">
        <v>380112</v>
      </c>
      <c r="E3132" s="2" t="s">
        <v>331</v>
      </c>
    </row>
    <row r="3133" spans="1:5" x14ac:dyDescent="0.3">
      <c r="A3133" s="2">
        <v>10462</v>
      </c>
      <c r="B3133" s="2" t="s">
        <v>3475</v>
      </c>
      <c r="C3133" s="2" t="s">
        <v>21</v>
      </c>
      <c r="D3133" s="2">
        <v>312602</v>
      </c>
      <c r="E3133" s="2" t="s">
        <v>331</v>
      </c>
    </row>
    <row r="3134" spans="1:5" x14ac:dyDescent="0.3">
      <c r="A3134" s="2">
        <v>10465</v>
      </c>
      <c r="B3134" s="2" t="s">
        <v>3476</v>
      </c>
      <c r="C3134" s="2" t="s">
        <v>21</v>
      </c>
      <c r="D3134" s="2">
        <v>92371</v>
      </c>
      <c r="E3134" s="2" t="s">
        <v>331</v>
      </c>
    </row>
    <row r="3135" spans="1:5" x14ac:dyDescent="0.3">
      <c r="A3135" s="2">
        <v>10484</v>
      </c>
      <c r="B3135" s="2" t="s">
        <v>3477</v>
      </c>
      <c r="C3135" s="2" t="s">
        <v>328</v>
      </c>
      <c r="D3135" s="2">
        <v>323011</v>
      </c>
      <c r="E3135" s="2" t="s">
        <v>331</v>
      </c>
    </row>
    <row r="3136" spans="1:5" x14ac:dyDescent="0.3">
      <c r="A3136" s="2">
        <v>10485</v>
      </c>
      <c r="B3136" s="2" t="s">
        <v>3478</v>
      </c>
      <c r="C3136" s="2" t="s">
        <v>328</v>
      </c>
      <c r="D3136" s="2">
        <v>417864</v>
      </c>
      <c r="E3136" s="2" t="s">
        <v>331</v>
      </c>
    </row>
    <row r="3137" spans="1:5" x14ac:dyDescent="0.3">
      <c r="A3137" s="2">
        <v>10486</v>
      </c>
      <c r="B3137" s="2" t="s">
        <v>3479</v>
      </c>
      <c r="C3137" s="2" t="s">
        <v>328</v>
      </c>
      <c r="D3137" s="2">
        <v>500976</v>
      </c>
      <c r="E3137" s="2" t="s">
        <v>331</v>
      </c>
    </row>
    <row r="3138" spans="1:5" x14ac:dyDescent="0.3">
      <c r="A3138" s="2">
        <v>10487</v>
      </c>
      <c r="B3138" s="2" t="s">
        <v>3480</v>
      </c>
      <c r="C3138" s="2" t="s">
        <v>328</v>
      </c>
      <c r="D3138" s="2">
        <v>543096</v>
      </c>
      <c r="E3138" s="2" t="s">
        <v>331</v>
      </c>
    </row>
    <row r="3139" spans="1:5" x14ac:dyDescent="0.3">
      <c r="A3139" s="2">
        <v>10488</v>
      </c>
      <c r="B3139" s="2" t="s">
        <v>3481</v>
      </c>
      <c r="C3139" s="2" t="s">
        <v>328</v>
      </c>
      <c r="D3139" s="2">
        <v>346577</v>
      </c>
      <c r="E3139" s="2" t="s">
        <v>331</v>
      </c>
    </row>
    <row r="3140" spans="1:5" x14ac:dyDescent="0.3">
      <c r="A3140" s="2">
        <v>10489</v>
      </c>
      <c r="B3140" s="2" t="s">
        <v>3482</v>
      </c>
      <c r="C3140" s="2" t="s">
        <v>328</v>
      </c>
      <c r="D3140" s="2">
        <v>451773</v>
      </c>
      <c r="E3140" s="2" t="s">
        <v>331</v>
      </c>
    </row>
    <row r="3141" spans="1:5" x14ac:dyDescent="0.3">
      <c r="A3141" s="2">
        <v>10490</v>
      </c>
      <c r="B3141" s="2" t="s">
        <v>3483</v>
      </c>
      <c r="C3141" s="2" t="s">
        <v>328</v>
      </c>
      <c r="D3141" s="2">
        <v>543999</v>
      </c>
      <c r="E3141" s="2" t="s">
        <v>331</v>
      </c>
    </row>
    <row r="3142" spans="1:5" x14ac:dyDescent="0.3">
      <c r="A3142" s="2">
        <v>10491</v>
      </c>
      <c r="B3142" s="2" t="s">
        <v>3484</v>
      </c>
      <c r="C3142" s="2" t="s">
        <v>328</v>
      </c>
      <c r="D3142" s="2">
        <v>587175</v>
      </c>
      <c r="E3142" s="2" t="s">
        <v>331</v>
      </c>
    </row>
    <row r="3143" spans="1:5" x14ac:dyDescent="0.3">
      <c r="A3143" s="2">
        <v>10492</v>
      </c>
      <c r="B3143" s="2" t="s">
        <v>3485</v>
      </c>
      <c r="C3143" s="2" t="s">
        <v>328</v>
      </c>
      <c r="D3143" s="2">
        <v>390436</v>
      </c>
      <c r="E3143" s="2" t="s">
        <v>331</v>
      </c>
    </row>
    <row r="3144" spans="1:5" x14ac:dyDescent="0.3">
      <c r="A3144" s="2">
        <v>10493</v>
      </c>
      <c r="B3144" s="2" t="s">
        <v>3486</v>
      </c>
      <c r="C3144" s="2" t="s">
        <v>328</v>
      </c>
      <c r="D3144" s="2">
        <v>507719</v>
      </c>
      <c r="E3144" s="2" t="s">
        <v>331</v>
      </c>
    </row>
    <row r="3145" spans="1:5" x14ac:dyDescent="0.3">
      <c r="A3145" s="2">
        <v>10494</v>
      </c>
      <c r="B3145" s="2" t="s">
        <v>3487</v>
      </c>
      <c r="C3145" s="2" t="s">
        <v>328</v>
      </c>
      <c r="D3145" s="2">
        <v>607909</v>
      </c>
      <c r="E3145" s="2" t="s">
        <v>331</v>
      </c>
    </row>
    <row r="3146" spans="1:5" x14ac:dyDescent="0.3">
      <c r="A3146" s="2">
        <v>10495</v>
      </c>
      <c r="B3146" s="2" t="s">
        <v>3488</v>
      </c>
      <c r="C3146" s="2" t="s">
        <v>328</v>
      </c>
      <c r="D3146" s="2">
        <v>740872</v>
      </c>
      <c r="E3146" s="2" t="s">
        <v>331</v>
      </c>
    </row>
    <row r="3147" spans="1:5" x14ac:dyDescent="0.3">
      <c r="A3147" s="2">
        <v>10496</v>
      </c>
      <c r="B3147" s="2" t="s">
        <v>3489</v>
      </c>
      <c r="C3147" s="2" t="s">
        <v>328</v>
      </c>
      <c r="D3147" s="2">
        <v>419721</v>
      </c>
      <c r="E3147" s="2" t="s">
        <v>331</v>
      </c>
    </row>
    <row r="3148" spans="1:5" x14ac:dyDescent="0.3">
      <c r="A3148" s="2">
        <v>10497</v>
      </c>
      <c r="B3148" s="2" t="s">
        <v>3490</v>
      </c>
      <c r="C3148" s="2" t="s">
        <v>328</v>
      </c>
      <c r="D3148" s="2">
        <v>549217</v>
      </c>
      <c r="E3148" s="2" t="s">
        <v>331</v>
      </c>
    </row>
    <row r="3149" spans="1:5" x14ac:dyDescent="0.3">
      <c r="A3149" s="2">
        <v>10498</v>
      </c>
      <c r="B3149" s="2" t="s">
        <v>3491</v>
      </c>
      <c r="C3149" s="2" t="s">
        <v>328</v>
      </c>
      <c r="D3149" s="2">
        <v>661969</v>
      </c>
      <c r="E3149" s="2" t="s">
        <v>331</v>
      </c>
    </row>
    <row r="3150" spans="1:5" x14ac:dyDescent="0.3">
      <c r="A3150" s="2">
        <v>10499</v>
      </c>
      <c r="B3150" s="2" t="s">
        <v>3492</v>
      </c>
      <c r="C3150" s="2" t="s">
        <v>328</v>
      </c>
      <c r="D3150" s="2">
        <v>801650</v>
      </c>
      <c r="E3150" s="2" t="s">
        <v>331</v>
      </c>
    </row>
    <row r="3151" spans="1:5" x14ac:dyDescent="0.3">
      <c r="A3151" s="2">
        <v>10500</v>
      </c>
      <c r="B3151" s="2" t="s">
        <v>3493</v>
      </c>
      <c r="C3151" s="2" t="s">
        <v>328</v>
      </c>
      <c r="D3151" s="2">
        <v>456188</v>
      </c>
      <c r="E3151" s="2" t="s">
        <v>331</v>
      </c>
    </row>
    <row r="3152" spans="1:5" x14ac:dyDescent="0.3">
      <c r="A3152" s="2">
        <v>10501</v>
      </c>
      <c r="B3152" s="2" t="s">
        <v>3494</v>
      </c>
      <c r="C3152" s="2" t="s">
        <v>328</v>
      </c>
      <c r="D3152" s="2">
        <v>610794</v>
      </c>
      <c r="E3152" s="2" t="s">
        <v>331</v>
      </c>
    </row>
    <row r="3153" spans="1:5" x14ac:dyDescent="0.3">
      <c r="A3153" s="2">
        <v>10502</v>
      </c>
      <c r="B3153" s="2" t="s">
        <v>3495</v>
      </c>
      <c r="C3153" s="2" t="s">
        <v>328</v>
      </c>
      <c r="D3153" s="2">
        <v>712333</v>
      </c>
      <c r="E3153" s="2" t="s">
        <v>331</v>
      </c>
    </row>
    <row r="3154" spans="1:5" x14ac:dyDescent="0.3">
      <c r="A3154" s="2">
        <v>10503</v>
      </c>
      <c r="B3154" s="2" t="s">
        <v>3496</v>
      </c>
      <c r="C3154" s="2" t="s">
        <v>328</v>
      </c>
      <c r="D3154" s="2">
        <v>869898</v>
      </c>
      <c r="E3154" s="2" t="s">
        <v>331</v>
      </c>
    </row>
    <row r="3155" spans="1:5" x14ac:dyDescent="0.3">
      <c r="A3155" s="2">
        <v>10504</v>
      </c>
      <c r="B3155" s="2" t="s">
        <v>3497</v>
      </c>
      <c r="C3155" s="2" t="s">
        <v>328</v>
      </c>
      <c r="D3155" s="2">
        <v>488955</v>
      </c>
      <c r="E3155" s="2" t="s">
        <v>331</v>
      </c>
    </row>
    <row r="3156" spans="1:5" x14ac:dyDescent="0.3">
      <c r="A3156" s="2">
        <v>10505</v>
      </c>
      <c r="B3156" s="2" t="s">
        <v>3498</v>
      </c>
      <c r="C3156" s="2" t="s">
        <v>328</v>
      </c>
      <c r="D3156" s="2">
        <v>648304</v>
      </c>
      <c r="E3156" s="2" t="s">
        <v>331</v>
      </c>
    </row>
    <row r="3157" spans="1:5" x14ac:dyDescent="0.3">
      <c r="A3157" s="2">
        <v>10506</v>
      </c>
      <c r="B3157" s="2" t="s">
        <v>3499</v>
      </c>
      <c r="C3157" s="2" t="s">
        <v>328</v>
      </c>
      <c r="D3157" s="2">
        <v>772170</v>
      </c>
      <c r="E3157" s="2" t="s">
        <v>331</v>
      </c>
    </row>
    <row r="3158" spans="1:5" x14ac:dyDescent="0.3">
      <c r="A3158" s="2">
        <v>10507</v>
      </c>
      <c r="B3158" s="2" t="s">
        <v>3500</v>
      </c>
      <c r="C3158" s="2" t="s">
        <v>328</v>
      </c>
      <c r="D3158" s="2">
        <v>939740</v>
      </c>
      <c r="E3158" s="2" t="s">
        <v>331</v>
      </c>
    </row>
    <row r="3159" spans="1:5" x14ac:dyDescent="0.3">
      <c r="A3159" s="2">
        <v>10508</v>
      </c>
      <c r="B3159" s="2" t="s">
        <v>3501</v>
      </c>
      <c r="C3159" s="2" t="s">
        <v>328</v>
      </c>
      <c r="D3159" s="2">
        <v>769394</v>
      </c>
      <c r="E3159" s="2" t="s">
        <v>324</v>
      </c>
    </row>
    <row r="3160" spans="1:5" x14ac:dyDescent="0.3">
      <c r="A3160" s="2">
        <v>10509</v>
      </c>
      <c r="B3160" s="2" t="s">
        <v>3502</v>
      </c>
      <c r="C3160" s="2" t="s">
        <v>328</v>
      </c>
      <c r="D3160" s="2">
        <v>772742</v>
      </c>
      <c r="E3160" s="2" t="s">
        <v>324</v>
      </c>
    </row>
    <row r="3161" spans="1:5" x14ac:dyDescent="0.3">
      <c r="A3161" s="2">
        <v>10510</v>
      </c>
      <c r="B3161" s="2" t="s">
        <v>3503</v>
      </c>
      <c r="C3161" s="2" t="s">
        <v>328</v>
      </c>
      <c r="D3161" s="2">
        <v>1086971</v>
      </c>
      <c r="E3161" s="2" t="s">
        <v>324</v>
      </c>
    </row>
    <row r="3162" spans="1:5" x14ac:dyDescent="0.3">
      <c r="A3162" s="2">
        <v>10511</v>
      </c>
      <c r="B3162" s="2" t="s">
        <v>3504</v>
      </c>
      <c r="C3162" s="2" t="s">
        <v>328</v>
      </c>
      <c r="D3162" s="2">
        <v>1490100</v>
      </c>
      <c r="E3162" s="2" t="s">
        <v>324</v>
      </c>
    </row>
    <row r="3163" spans="1:5" x14ac:dyDescent="0.3">
      <c r="A3163" s="2">
        <v>10512</v>
      </c>
      <c r="B3163" s="2" t="s">
        <v>3505</v>
      </c>
      <c r="C3163" s="2" t="s">
        <v>328</v>
      </c>
      <c r="D3163" s="2">
        <v>1893305</v>
      </c>
      <c r="E3163" s="2" t="s">
        <v>324</v>
      </c>
    </row>
    <row r="3164" spans="1:5" x14ac:dyDescent="0.3">
      <c r="A3164" s="2">
        <v>10513</v>
      </c>
      <c r="B3164" s="2" t="s">
        <v>3506</v>
      </c>
      <c r="C3164" s="2" t="s">
        <v>328</v>
      </c>
      <c r="D3164" s="2">
        <v>2696608</v>
      </c>
      <c r="E3164" s="2" t="s">
        <v>324</v>
      </c>
    </row>
    <row r="3165" spans="1:5" x14ac:dyDescent="0.3">
      <c r="A3165" s="2">
        <v>10514</v>
      </c>
      <c r="B3165" s="2" t="s">
        <v>3507</v>
      </c>
      <c r="C3165" s="2" t="s">
        <v>328</v>
      </c>
      <c r="D3165" s="2">
        <v>6490735</v>
      </c>
      <c r="E3165" s="2" t="s">
        <v>324</v>
      </c>
    </row>
    <row r="3166" spans="1:5" x14ac:dyDescent="0.3">
      <c r="A3166" s="2">
        <v>10515</v>
      </c>
      <c r="B3166" s="2" t="s">
        <v>3508</v>
      </c>
      <c r="C3166" s="2" t="s">
        <v>328</v>
      </c>
      <c r="D3166" s="2">
        <v>6603095</v>
      </c>
      <c r="E3166" s="2" t="s">
        <v>324</v>
      </c>
    </row>
    <row r="3167" spans="1:5" x14ac:dyDescent="0.3">
      <c r="A3167" s="2">
        <v>10516</v>
      </c>
      <c r="B3167" s="2" t="s">
        <v>3509</v>
      </c>
      <c r="C3167" s="2" t="s">
        <v>328</v>
      </c>
      <c r="D3167" s="2">
        <v>7767454</v>
      </c>
      <c r="E3167" s="2" t="s">
        <v>324</v>
      </c>
    </row>
    <row r="3168" spans="1:5" x14ac:dyDescent="0.3">
      <c r="A3168" s="2">
        <v>10529</v>
      </c>
      <c r="B3168" s="2" t="s">
        <v>3510</v>
      </c>
      <c r="C3168" s="2" t="s">
        <v>32</v>
      </c>
      <c r="D3168" s="2">
        <v>870452</v>
      </c>
      <c r="E3168" s="2" t="s">
        <v>331</v>
      </c>
    </row>
    <row r="3169" spans="1:5" x14ac:dyDescent="0.3">
      <c r="A3169" s="2">
        <v>10530</v>
      </c>
      <c r="B3169" s="2" t="s">
        <v>3511</v>
      </c>
      <c r="C3169" s="2" t="s">
        <v>32</v>
      </c>
      <c r="D3169" s="2">
        <v>60671</v>
      </c>
      <c r="E3169" s="2" t="s">
        <v>331</v>
      </c>
    </row>
    <row r="3170" spans="1:5" x14ac:dyDescent="0.3">
      <c r="A3170" s="2">
        <v>10531</v>
      </c>
      <c r="B3170" s="2" t="s">
        <v>3512</v>
      </c>
      <c r="C3170" s="2" t="s">
        <v>32</v>
      </c>
      <c r="D3170" s="2">
        <v>38778</v>
      </c>
      <c r="E3170" s="2" t="s">
        <v>331</v>
      </c>
    </row>
    <row r="3171" spans="1:5" x14ac:dyDescent="0.3">
      <c r="A3171" s="2">
        <v>10540</v>
      </c>
      <c r="B3171" s="2" t="s">
        <v>3513</v>
      </c>
      <c r="C3171" s="2" t="s">
        <v>32</v>
      </c>
      <c r="D3171" s="2">
        <v>83325</v>
      </c>
      <c r="E3171" s="2" t="s">
        <v>331</v>
      </c>
    </row>
    <row r="3172" spans="1:5" x14ac:dyDescent="0.3">
      <c r="A3172" s="2">
        <v>10541</v>
      </c>
      <c r="B3172" s="2" t="s">
        <v>3514</v>
      </c>
      <c r="C3172" s="2" t="s">
        <v>32</v>
      </c>
      <c r="D3172" s="2">
        <v>219916</v>
      </c>
      <c r="E3172" s="2" t="s">
        <v>331</v>
      </c>
    </row>
    <row r="3173" spans="1:5" x14ac:dyDescent="0.3">
      <c r="A3173" s="2">
        <v>10542</v>
      </c>
      <c r="B3173" s="2" t="s">
        <v>3515</v>
      </c>
      <c r="C3173" s="2" t="s">
        <v>32</v>
      </c>
      <c r="D3173" s="2">
        <v>344259</v>
      </c>
      <c r="E3173" s="2" t="s">
        <v>331</v>
      </c>
    </row>
    <row r="3174" spans="1:5" x14ac:dyDescent="0.3">
      <c r="A3174" s="2">
        <v>10543</v>
      </c>
      <c r="B3174" s="2" t="s">
        <v>3516</v>
      </c>
      <c r="C3174" s="2" t="s">
        <v>30</v>
      </c>
      <c r="D3174" s="2">
        <v>870677</v>
      </c>
      <c r="E3174" s="2" t="s">
        <v>331</v>
      </c>
    </row>
    <row r="3175" spans="1:5" x14ac:dyDescent="0.3">
      <c r="A3175" s="2">
        <v>10544</v>
      </c>
      <c r="B3175" s="2" t="s">
        <v>3517</v>
      </c>
      <c r="C3175" s="2" t="s">
        <v>328</v>
      </c>
      <c r="D3175" s="2">
        <v>190403</v>
      </c>
      <c r="E3175" s="2" t="s">
        <v>331</v>
      </c>
    </row>
    <row r="3176" spans="1:5" x14ac:dyDescent="0.3">
      <c r="A3176" s="2">
        <v>10545</v>
      </c>
      <c r="B3176" s="2" t="s">
        <v>3518</v>
      </c>
      <c r="C3176" s="2" t="s">
        <v>21</v>
      </c>
      <c r="D3176" s="2">
        <v>13281</v>
      </c>
      <c r="E3176" s="2" t="s">
        <v>331</v>
      </c>
    </row>
    <row r="3177" spans="1:5" x14ac:dyDescent="0.3">
      <c r="A3177" s="2">
        <v>10546</v>
      </c>
      <c r="B3177" s="2" t="s">
        <v>3519</v>
      </c>
      <c r="C3177" s="2" t="s">
        <v>21</v>
      </c>
      <c r="D3177" s="2">
        <v>3068</v>
      </c>
      <c r="E3177" s="2" t="s">
        <v>331</v>
      </c>
    </row>
    <row r="3178" spans="1:5" x14ac:dyDescent="0.3">
      <c r="A3178" s="2">
        <v>10547</v>
      </c>
      <c r="B3178" s="2" t="s">
        <v>3520</v>
      </c>
      <c r="C3178" s="2" t="s">
        <v>21</v>
      </c>
      <c r="D3178" s="2">
        <v>2595</v>
      </c>
      <c r="E3178" s="2" t="s">
        <v>331</v>
      </c>
    </row>
    <row r="3179" spans="1:5" x14ac:dyDescent="0.3">
      <c r="A3179" s="2">
        <v>10548</v>
      </c>
      <c r="B3179" s="2" t="s">
        <v>3521</v>
      </c>
      <c r="C3179" s="2" t="s">
        <v>328</v>
      </c>
      <c r="D3179" s="2">
        <v>1762</v>
      </c>
      <c r="E3179" s="2" t="s">
        <v>331</v>
      </c>
    </row>
    <row r="3180" spans="1:5" x14ac:dyDescent="0.3">
      <c r="A3180" s="2">
        <v>10549</v>
      </c>
      <c r="B3180" s="2" t="s">
        <v>3522</v>
      </c>
      <c r="C3180" s="2" t="s">
        <v>32</v>
      </c>
      <c r="D3180" s="2">
        <v>5555</v>
      </c>
      <c r="E3180" s="2" t="s">
        <v>331</v>
      </c>
    </row>
    <row r="3181" spans="1:5" x14ac:dyDescent="0.3">
      <c r="A3181" s="2">
        <v>10550</v>
      </c>
      <c r="B3181" s="2" t="s">
        <v>3523</v>
      </c>
      <c r="C3181" s="2" t="s">
        <v>32</v>
      </c>
      <c r="D3181" s="2">
        <v>6339</v>
      </c>
      <c r="E3181" s="2" t="s">
        <v>331</v>
      </c>
    </row>
    <row r="3182" spans="1:5" x14ac:dyDescent="0.3">
      <c r="A3182" s="2">
        <v>10551</v>
      </c>
      <c r="B3182" s="2" t="s">
        <v>3524</v>
      </c>
      <c r="C3182" s="2" t="s">
        <v>21</v>
      </c>
      <c r="D3182" s="2">
        <v>4543</v>
      </c>
      <c r="E3182" s="2" t="s">
        <v>331</v>
      </c>
    </row>
    <row r="3183" spans="1:5" x14ac:dyDescent="0.3">
      <c r="A3183" s="2">
        <v>10552</v>
      </c>
      <c r="B3183" s="2" t="s">
        <v>3525</v>
      </c>
      <c r="C3183" s="2" t="s">
        <v>21</v>
      </c>
      <c r="D3183" s="2">
        <v>8899</v>
      </c>
      <c r="E3183" s="2" t="s">
        <v>331</v>
      </c>
    </row>
    <row r="3184" spans="1:5" x14ac:dyDescent="0.3">
      <c r="A3184" s="2">
        <v>10553</v>
      </c>
      <c r="B3184" s="2" t="s">
        <v>3526</v>
      </c>
      <c r="C3184" s="2" t="s">
        <v>21</v>
      </c>
      <c r="D3184" s="2">
        <v>52297</v>
      </c>
      <c r="E3184" s="2" t="s">
        <v>331</v>
      </c>
    </row>
    <row r="3185" spans="1:5" x14ac:dyDescent="0.3">
      <c r="A3185" s="2">
        <v>10554</v>
      </c>
      <c r="B3185" s="2" t="s">
        <v>3527</v>
      </c>
      <c r="C3185" s="2" t="s">
        <v>3528</v>
      </c>
      <c r="D3185" s="2">
        <v>76736</v>
      </c>
      <c r="E3185" s="2" t="s">
        <v>331</v>
      </c>
    </row>
    <row r="3186" spans="1:5" x14ac:dyDescent="0.3">
      <c r="A3186" s="2">
        <v>10555</v>
      </c>
      <c r="B3186" s="2" t="s">
        <v>3529</v>
      </c>
      <c r="C3186" s="2" t="s">
        <v>3528</v>
      </c>
      <c r="D3186" s="2">
        <v>140712</v>
      </c>
      <c r="E3186" s="2" t="s">
        <v>331</v>
      </c>
    </row>
    <row r="3187" spans="1:5" x14ac:dyDescent="0.3">
      <c r="A3187" s="2">
        <v>10556</v>
      </c>
      <c r="B3187" s="2" t="s">
        <v>3530</v>
      </c>
      <c r="C3187" s="2" t="s">
        <v>3528</v>
      </c>
      <c r="D3187" s="2">
        <v>129721</v>
      </c>
      <c r="E3187" s="2" t="s">
        <v>331</v>
      </c>
    </row>
    <row r="3188" spans="1:5" x14ac:dyDescent="0.3">
      <c r="A3188" s="2">
        <v>10557</v>
      </c>
      <c r="B3188" s="2" t="s">
        <v>3531</v>
      </c>
      <c r="C3188" s="2" t="s">
        <v>3532</v>
      </c>
      <c r="D3188" s="2">
        <v>1299</v>
      </c>
      <c r="E3188" s="2" t="s">
        <v>331</v>
      </c>
    </row>
    <row r="3189" spans="1:5" x14ac:dyDescent="0.3">
      <c r="A3189" s="2">
        <v>10558</v>
      </c>
      <c r="B3189" s="2" t="s">
        <v>3533</v>
      </c>
      <c r="C3189" s="2" t="s">
        <v>21</v>
      </c>
      <c r="D3189" s="2">
        <v>43685</v>
      </c>
      <c r="E3189" s="2" t="s">
        <v>331</v>
      </c>
    </row>
    <row r="3190" spans="1:5" x14ac:dyDescent="0.3">
      <c r="A3190">
        <v>10559</v>
      </c>
      <c r="B3190" t="s">
        <v>3534</v>
      </c>
      <c r="C3190" t="s">
        <v>21</v>
      </c>
      <c r="D3190">
        <v>1710</v>
      </c>
      <c r="E3190" t="s">
        <v>331</v>
      </c>
    </row>
  </sheetData>
  <autoFilter ref="A1:E2794" xr:uid="{00000000-0001-0000-0000-000000000000}">
    <sortState xmlns:xlrd2="http://schemas.microsoft.com/office/spreadsheetml/2017/richdata2" ref="A2:E2794">
      <sortCondition ref="A1:A2794"/>
    </sortState>
  </autoFilter>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B549F-9131-40AF-B446-9D1884ED7CFE}">
  <dimension ref="A1:E3174"/>
  <sheetViews>
    <sheetView topLeftCell="A175" zoomScale="60" zoomScaleNormal="60" workbookViewId="0">
      <selection activeCell="B206" sqref="B206"/>
    </sheetView>
  </sheetViews>
  <sheetFormatPr baseColWidth="10" defaultColWidth="9.109375" defaultRowHeight="14.4" x14ac:dyDescent="0.3"/>
  <cols>
    <col min="2" max="2" width="187.44140625" customWidth="1"/>
    <col min="4" max="4" width="19.5546875" bestFit="1" customWidth="1"/>
    <col min="5" max="5" width="34.44140625" bestFit="1" customWidth="1"/>
  </cols>
  <sheetData>
    <row r="1" spans="1:5" x14ac:dyDescent="0.3">
      <c r="A1" s="1" t="s">
        <v>1</v>
      </c>
      <c r="B1" s="1" t="s">
        <v>319</v>
      </c>
      <c r="C1" s="1" t="s">
        <v>320</v>
      </c>
      <c r="D1" s="1" t="s">
        <v>321</v>
      </c>
      <c r="E1" s="1" t="s">
        <v>322</v>
      </c>
    </row>
    <row r="2" spans="1:5" ht="15" x14ac:dyDescent="0.3">
      <c r="A2" s="506">
        <v>322</v>
      </c>
      <c r="B2" s="507" t="s">
        <v>3535</v>
      </c>
      <c r="C2" s="506" t="s">
        <v>30</v>
      </c>
      <c r="D2" s="508">
        <v>536920</v>
      </c>
      <c r="E2" s="507" t="s">
        <v>331</v>
      </c>
    </row>
    <row r="3" spans="1:5" ht="15" x14ac:dyDescent="0.3">
      <c r="A3" s="506">
        <v>323</v>
      </c>
      <c r="B3" s="507" t="s">
        <v>3536</v>
      </c>
      <c r="C3" s="506" t="s">
        <v>30</v>
      </c>
      <c r="D3" s="508">
        <v>575187</v>
      </c>
      <c r="E3" s="507" t="s">
        <v>331</v>
      </c>
    </row>
    <row r="4" spans="1:5" ht="15" x14ac:dyDescent="0.3">
      <c r="A4" s="506">
        <v>324</v>
      </c>
      <c r="B4" s="507" t="s">
        <v>3537</v>
      </c>
      <c r="C4" s="506" t="s">
        <v>30</v>
      </c>
      <c r="D4" s="508">
        <v>573851</v>
      </c>
      <c r="E4" s="507" t="s">
        <v>331</v>
      </c>
    </row>
    <row r="5" spans="1:5" ht="15" x14ac:dyDescent="0.3">
      <c r="A5" s="506">
        <v>325</v>
      </c>
      <c r="B5" s="507" t="s">
        <v>3538</v>
      </c>
      <c r="C5" s="506" t="s">
        <v>30</v>
      </c>
      <c r="D5" s="508">
        <v>589499</v>
      </c>
      <c r="E5" s="507" t="s">
        <v>331</v>
      </c>
    </row>
    <row r="6" spans="1:5" ht="15" x14ac:dyDescent="0.3">
      <c r="A6" s="506">
        <v>326</v>
      </c>
      <c r="B6" s="507" t="s">
        <v>3539</v>
      </c>
      <c r="C6" s="506" t="s">
        <v>30</v>
      </c>
      <c r="D6" s="508">
        <v>610583</v>
      </c>
      <c r="E6" s="507" t="s">
        <v>331</v>
      </c>
    </row>
    <row r="7" spans="1:5" ht="15" x14ac:dyDescent="0.3">
      <c r="A7" s="506">
        <v>328</v>
      </c>
      <c r="B7" s="507" t="s">
        <v>3540</v>
      </c>
      <c r="C7" s="506" t="s">
        <v>30</v>
      </c>
      <c r="D7" s="508">
        <v>637049</v>
      </c>
      <c r="E7" s="507" t="s">
        <v>331</v>
      </c>
    </row>
    <row r="8" spans="1:5" ht="15" x14ac:dyDescent="0.3">
      <c r="A8" s="506">
        <v>333</v>
      </c>
      <c r="B8" s="507" t="s">
        <v>3541</v>
      </c>
      <c r="C8" s="506" t="s">
        <v>30</v>
      </c>
      <c r="D8" s="508">
        <v>586995</v>
      </c>
      <c r="E8" s="507" t="s">
        <v>331</v>
      </c>
    </row>
    <row r="9" spans="1:5" ht="15" x14ac:dyDescent="0.3">
      <c r="A9" s="506">
        <v>366</v>
      </c>
      <c r="B9" s="507" t="s">
        <v>3542</v>
      </c>
      <c r="C9" s="506" t="s">
        <v>30</v>
      </c>
      <c r="D9" s="508">
        <v>623456</v>
      </c>
      <c r="E9" s="507" t="s">
        <v>331</v>
      </c>
    </row>
    <row r="10" spans="1:5" ht="15" x14ac:dyDescent="0.3">
      <c r="A10" s="506">
        <v>1505</v>
      </c>
      <c r="B10" s="507" t="s">
        <v>3543</v>
      </c>
      <c r="C10" s="506" t="s">
        <v>979</v>
      </c>
      <c r="D10" s="508">
        <v>189970</v>
      </c>
      <c r="E10" s="507" t="s">
        <v>331</v>
      </c>
    </row>
    <row r="11" spans="1:5" ht="15" x14ac:dyDescent="0.3">
      <c r="A11" s="506">
        <v>1512</v>
      </c>
      <c r="B11" s="507" t="s">
        <v>3544</v>
      </c>
      <c r="C11" s="506" t="s">
        <v>21</v>
      </c>
      <c r="D11" s="508">
        <v>18794</v>
      </c>
      <c r="E11" s="507" t="s">
        <v>6108</v>
      </c>
    </row>
    <row r="12" spans="1:5" ht="15" x14ac:dyDescent="0.3">
      <c r="A12" s="506">
        <v>1515</v>
      </c>
      <c r="B12" s="507" t="s">
        <v>3545</v>
      </c>
      <c r="C12" s="506" t="s">
        <v>3546</v>
      </c>
      <c r="D12" s="508">
        <v>1131</v>
      </c>
      <c r="E12" s="507" t="s">
        <v>331</v>
      </c>
    </row>
    <row r="13" spans="1:5" ht="15" x14ac:dyDescent="0.3">
      <c r="A13" s="506">
        <v>1794</v>
      </c>
      <c r="B13" s="507" t="s">
        <v>3547</v>
      </c>
      <c r="C13" s="506" t="s">
        <v>670</v>
      </c>
      <c r="D13" s="508">
        <v>5501</v>
      </c>
      <c r="E13" s="507" t="s">
        <v>331</v>
      </c>
    </row>
    <row r="14" spans="1:5" ht="15" x14ac:dyDescent="0.3">
      <c r="A14" s="506">
        <v>2273</v>
      </c>
      <c r="B14" s="507" t="s">
        <v>3548</v>
      </c>
      <c r="C14" s="506" t="s">
        <v>32</v>
      </c>
      <c r="D14" s="508">
        <v>967</v>
      </c>
      <c r="E14" s="507" t="s">
        <v>331</v>
      </c>
    </row>
    <row r="15" spans="1:5" ht="15" x14ac:dyDescent="0.3">
      <c r="A15" s="506">
        <v>2307</v>
      </c>
      <c r="B15" s="507" t="s">
        <v>3549</v>
      </c>
      <c r="C15" s="506" t="s">
        <v>30</v>
      </c>
      <c r="D15" s="508">
        <v>65450</v>
      </c>
      <c r="E15" s="507" t="s">
        <v>331</v>
      </c>
    </row>
    <row r="16" spans="1:5" ht="15" x14ac:dyDescent="0.3">
      <c r="A16" s="506">
        <v>2308</v>
      </c>
      <c r="B16" s="507" t="s">
        <v>3550</v>
      </c>
      <c r="C16" s="506" t="s">
        <v>30</v>
      </c>
      <c r="D16" s="508">
        <v>130900</v>
      </c>
      <c r="E16" s="507" t="s">
        <v>331</v>
      </c>
    </row>
    <row r="17" spans="1:5" ht="15" x14ac:dyDescent="0.3">
      <c r="A17" s="506">
        <v>2551</v>
      </c>
      <c r="B17" s="507" t="s">
        <v>3551</v>
      </c>
      <c r="C17" s="506" t="s">
        <v>32</v>
      </c>
      <c r="D17" s="508">
        <v>178500</v>
      </c>
      <c r="E17" s="507" t="s">
        <v>331</v>
      </c>
    </row>
    <row r="18" spans="1:5" ht="15" x14ac:dyDescent="0.3">
      <c r="A18" s="506">
        <v>2798</v>
      </c>
      <c r="B18" s="507" t="s">
        <v>3552</v>
      </c>
      <c r="C18" s="506" t="s">
        <v>32</v>
      </c>
      <c r="D18" s="508">
        <v>700</v>
      </c>
      <c r="E18" s="507" t="s">
        <v>331</v>
      </c>
    </row>
    <row r="19" spans="1:5" ht="15" x14ac:dyDescent="0.3">
      <c r="A19" s="506">
        <v>2910</v>
      </c>
      <c r="B19" s="507" t="s">
        <v>3553</v>
      </c>
      <c r="C19" s="506" t="s">
        <v>30</v>
      </c>
      <c r="D19" s="508">
        <v>7140</v>
      </c>
      <c r="E19" s="507" t="s">
        <v>331</v>
      </c>
    </row>
    <row r="20" spans="1:5" ht="15" x14ac:dyDescent="0.3">
      <c r="A20" s="506">
        <v>3386</v>
      </c>
      <c r="B20" s="507" t="s">
        <v>3554</v>
      </c>
      <c r="C20" s="506" t="s">
        <v>3528</v>
      </c>
      <c r="D20" s="508">
        <v>12134</v>
      </c>
      <c r="E20" s="507" t="s">
        <v>331</v>
      </c>
    </row>
    <row r="21" spans="1:5" ht="15" x14ac:dyDescent="0.3">
      <c r="A21" s="506">
        <v>3995</v>
      </c>
      <c r="B21" s="507" t="s">
        <v>3555</v>
      </c>
      <c r="C21" s="506" t="s">
        <v>21</v>
      </c>
      <c r="D21" s="508">
        <v>30615</v>
      </c>
      <c r="E21" s="507" t="s">
        <v>331</v>
      </c>
    </row>
    <row r="22" spans="1:5" ht="15" x14ac:dyDescent="0.3">
      <c r="A22" s="506">
        <v>4513</v>
      </c>
      <c r="B22" s="507" t="s">
        <v>3556</v>
      </c>
      <c r="C22" s="506" t="s">
        <v>328</v>
      </c>
      <c r="D22" s="508">
        <v>16925</v>
      </c>
      <c r="E22" s="507" t="s">
        <v>331</v>
      </c>
    </row>
    <row r="23" spans="1:5" ht="15" x14ac:dyDescent="0.3">
      <c r="A23" s="506">
        <v>4514</v>
      </c>
      <c r="B23" s="507" t="s">
        <v>3557</v>
      </c>
      <c r="C23" s="506" t="s">
        <v>328</v>
      </c>
      <c r="D23" s="508">
        <v>29139</v>
      </c>
      <c r="E23" s="507" t="s">
        <v>331</v>
      </c>
    </row>
    <row r="24" spans="1:5" ht="15" x14ac:dyDescent="0.3">
      <c r="A24" s="506">
        <v>4520</v>
      </c>
      <c r="B24" s="507" t="s">
        <v>3558</v>
      </c>
      <c r="C24" s="506" t="s">
        <v>328</v>
      </c>
      <c r="D24" s="508">
        <v>24074</v>
      </c>
      <c r="E24" s="507" t="s">
        <v>331</v>
      </c>
    </row>
    <row r="25" spans="1:5" ht="15" x14ac:dyDescent="0.3">
      <c r="A25" s="506">
        <v>4521</v>
      </c>
      <c r="B25" s="507" t="s">
        <v>3559</v>
      </c>
      <c r="C25" s="506" t="s">
        <v>328</v>
      </c>
      <c r="D25" s="508">
        <v>28524</v>
      </c>
      <c r="E25" s="507" t="s">
        <v>331</v>
      </c>
    </row>
    <row r="26" spans="1:5" ht="15" x14ac:dyDescent="0.3">
      <c r="A26" s="506">
        <v>4594</v>
      </c>
      <c r="B26" s="507" t="s">
        <v>3560</v>
      </c>
      <c r="C26" s="506" t="s">
        <v>32</v>
      </c>
      <c r="D26" s="508">
        <v>88599</v>
      </c>
      <c r="E26" s="507" t="s">
        <v>331</v>
      </c>
    </row>
    <row r="27" spans="1:5" ht="15" x14ac:dyDescent="0.3">
      <c r="A27" s="506">
        <v>4596</v>
      </c>
      <c r="B27" s="507" t="s">
        <v>3561</v>
      </c>
      <c r="C27" s="506" t="s">
        <v>32</v>
      </c>
      <c r="D27" s="508">
        <v>176735</v>
      </c>
      <c r="E27" s="507" t="s">
        <v>331</v>
      </c>
    </row>
    <row r="28" spans="1:5" ht="15" x14ac:dyDescent="0.3">
      <c r="A28" s="506">
        <v>4598</v>
      </c>
      <c r="B28" s="507" t="s">
        <v>3562</v>
      </c>
      <c r="C28" s="506" t="s">
        <v>32</v>
      </c>
      <c r="D28" s="508">
        <v>1323832</v>
      </c>
      <c r="E28" s="507" t="s">
        <v>331</v>
      </c>
    </row>
    <row r="29" spans="1:5" ht="15" x14ac:dyDescent="0.3">
      <c r="A29" s="506">
        <v>4600</v>
      </c>
      <c r="B29" s="507" t="s">
        <v>3563</v>
      </c>
      <c r="C29" s="506" t="s">
        <v>32</v>
      </c>
      <c r="D29" s="508">
        <v>3907698</v>
      </c>
      <c r="E29" s="507" t="s">
        <v>331</v>
      </c>
    </row>
    <row r="30" spans="1:5" ht="15" x14ac:dyDescent="0.3">
      <c r="A30" s="506">
        <v>4608</v>
      </c>
      <c r="B30" s="507" t="s">
        <v>3564</v>
      </c>
      <c r="C30" s="506" t="s">
        <v>32</v>
      </c>
      <c r="D30" s="508">
        <v>42792</v>
      </c>
      <c r="E30" s="507" t="s">
        <v>331</v>
      </c>
    </row>
    <row r="31" spans="1:5" ht="15" x14ac:dyDescent="0.3">
      <c r="A31" s="506">
        <v>4609</v>
      </c>
      <c r="B31" s="507" t="s">
        <v>3565</v>
      </c>
      <c r="C31" s="506" t="s">
        <v>32</v>
      </c>
      <c r="D31" s="508">
        <v>70485</v>
      </c>
      <c r="E31" s="507" t="s">
        <v>331</v>
      </c>
    </row>
    <row r="32" spans="1:5" ht="15" x14ac:dyDescent="0.3">
      <c r="A32" s="506">
        <v>4610</v>
      </c>
      <c r="B32" s="507" t="s">
        <v>3566</v>
      </c>
      <c r="C32" s="506" t="s">
        <v>32</v>
      </c>
      <c r="D32" s="508">
        <v>102656</v>
      </c>
      <c r="E32" s="507" t="s">
        <v>331</v>
      </c>
    </row>
    <row r="33" spans="1:5" ht="15" x14ac:dyDescent="0.3">
      <c r="A33" s="506">
        <v>4611</v>
      </c>
      <c r="B33" s="507" t="s">
        <v>3567</v>
      </c>
      <c r="C33" s="506" t="s">
        <v>32</v>
      </c>
      <c r="D33" s="508">
        <v>239697</v>
      </c>
      <c r="E33" s="507" t="s">
        <v>331</v>
      </c>
    </row>
    <row r="34" spans="1:5" ht="15" x14ac:dyDescent="0.3">
      <c r="A34" s="506">
        <v>4612</v>
      </c>
      <c r="B34" s="507" t="s">
        <v>3568</v>
      </c>
      <c r="C34" s="506" t="s">
        <v>32</v>
      </c>
      <c r="D34" s="508">
        <v>440388</v>
      </c>
      <c r="E34" s="507" t="s">
        <v>331</v>
      </c>
    </row>
    <row r="35" spans="1:5" ht="15" x14ac:dyDescent="0.3">
      <c r="A35" s="506">
        <v>4613</v>
      </c>
      <c r="B35" s="507" t="s">
        <v>3569</v>
      </c>
      <c r="C35" s="506" t="s">
        <v>32</v>
      </c>
      <c r="D35" s="508">
        <v>786838</v>
      </c>
      <c r="E35" s="507" t="s">
        <v>331</v>
      </c>
    </row>
    <row r="36" spans="1:5" ht="15" x14ac:dyDescent="0.3">
      <c r="A36" s="506">
        <v>4614</v>
      </c>
      <c r="B36" s="507" t="s">
        <v>3570</v>
      </c>
      <c r="C36" s="506" t="s">
        <v>32</v>
      </c>
      <c r="D36" s="508">
        <v>1219423</v>
      </c>
      <c r="E36" s="507" t="s">
        <v>331</v>
      </c>
    </row>
    <row r="37" spans="1:5" ht="15" x14ac:dyDescent="0.3">
      <c r="A37" s="506">
        <v>4675</v>
      </c>
      <c r="B37" s="507" t="s">
        <v>3571</v>
      </c>
      <c r="C37" s="506" t="s">
        <v>32</v>
      </c>
      <c r="D37" s="508">
        <v>32500</v>
      </c>
      <c r="E37" s="507" t="s">
        <v>331</v>
      </c>
    </row>
    <row r="38" spans="1:5" ht="15" x14ac:dyDescent="0.3">
      <c r="A38" s="506">
        <v>4694</v>
      </c>
      <c r="B38" s="507" t="s">
        <v>3572</v>
      </c>
      <c r="C38" s="506" t="s">
        <v>328</v>
      </c>
      <c r="D38" s="508">
        <v>40737</v>
      </c>
      <c r="E38" s="507" t="s">
        <v>6108</v>
      </c>
    </row>
    <row r="39" spans="1:5" ht="15" x14ac:dyDescent="0.3">
      <c r="A39" s="506">
        <v>4697</v>
      </c>
      <c r="B39" s="507" t="s">
        <v>3573</v>
      </c>
      <c r="C39" s="506" t="s">
        <v>328</v>
      </c>
      <c r="D39" s="508">
        <v>43372</v>
      </c>
      <c r="E39" s="507" t="s">
        <v>6108</v>
      </c>
    </row>
    <row r="40" spans="1:5" ht="15" x14ac:dyDescent="0.3">
      <c r="A40" s="506">
        <v>5038</v>
      </c>
      <c r="B40" s="507" t="s">
        <v>3574</v>
      </c>
      <c r="C40" s="506" t="s">
        <v>670</v>
      </c>
      <c r="D40" s="508">
        <v>4657</v>
      </c>
      <c r="E40" s="507" t="s">
        <v>331</v>
      </c>
    </row>
    <row r="41" spans="1:5" ht="15" x14ac:dyDescent="0.3">
      <c r="A41" s="506">
        <v>5041</v>
      </c>
      <c r="B41" s="507" t="s">
        <v>3575</v>
      </c>
      <c r="C41" s="506" t="s">
        <v>670</v>
      </c>
      <c r="D41" s="508">
        <v>4665</v>
      </c>
      <c r="E41" s="507" t="s">
        <v>331</v>
      </c>
    </row>
    <row r="42" spans="1:5" ht="15" x14ac:dyDescent="0.3">
      <c r="A42" s="506">
        <v>5042</v>
      </c>
      <c r="B42" s="507" t="s">
        <v>3576</v>
      </c>
      <c r="C42" s="506" t="s">
        <v>670</v>
      </c>
      <c r="D42" s="508">
        <v>4665</v>
      </c>
      <c r="E42" s="507" t="s">
        <v>331</v>
      </c>
    </row>
    <row r="43" spans="1:5" ht="15" x14ac:dyDescent="0.3">
      <c r="A43" s="506">
        <v>5056</v>
      </c>
      <c r="B43" s="507" t="s">
        <v>3577</v>
      </c>
      <c r="C43" s="506" t="s">
        <v>30</v>
      </c>
      <c r="D43" s="508">
        <v>612389</v>
      </c>
      <c r="E43" s="507" t="s">
        <v>331</v>
      </c>
    </row>
    <row r="44" spans="1:5" ht="15" x14ac:dyDescent="0.3">
      <c r="A44" s="506">
        <v>5115</v>
      </c>
      <c r="B44" s="507" t="s">
        <v>3578</v>
      </c>
      <c r="C44" s="506" t="s">
        <v>3579</v>
      </c>
      <c r="D44" s="508">
        <v>10481</v>
      </c>
      <c r="E44" s="507" t="s">
        <v>331</v>
      </c>
    </row>
    <row r="45" spans="1:5" ht="15" x14ac:dyDescent="0.3">
      <c r="A45" s="506">
        <v>5481</v>
      </c>
      <c r="B45" s="507" t="s">
        <v>3580</v>
      </c>
      <c r="C45" s="506" t="s">
        <v>32</v>
      </c>
      <c r="D45" s="508">
        <v>9500</v>
      </c>
      <c r="E45" s="507" t="s">
        <v>331</v>
      </c>
    </row>
    <row r="46" spans="1:5" ht="15" x14ac:dyDescent="0.3">
      <c r="A46" s="506">
        <v>5661</v>
      </c>
      <c r="B46" s="507" t="s">
        <v>3581</v>
      </c>
      <c r="C46" s="506" t="s">
        <v>3582</v>
      </c>
      <c r="D46" s="508">
        <v>61982</v>
      </c>
      <c r="E46" s="507" t="s">
        <v>6108</v>
      </c>
    </row>
    <row r="47" spans="1:5" ht="15" x14ac:dyDescent="0.3">
      <c r="A47" s="506">
        <v>5890</v>
      </c>
      <c r="B47" s="507" t="s">
        <v>3583</v>
      </c>
      <c r="C47" s="506" t="s">
        <v>979</v>
      </c>
      <c r="D47" s="508">
        <v>88387</v>
      </c>
      <c r="E47" s="507" t="s">
        <v>331</v>
      </c>
    </row>
    <row r="48" spans="1:5" ht="15" x14ac:dyDescent="0.3">
      <c r="A48" s="506">
        <v>5915</v>
      </c>
      <c r="B48" s="507" t="s">
        <v>3584</v>
      </c>
      <c r="C48" s="506" t="s">
        <v>30</v>
      </c>
      <c r="D48" s="508">
        <v>95081</v>
      </c>
      <c r="E48" s="507" t="s">
        <v>331</v>
      </c>
    </row>
    <row r="49" spans="1:5" ht="15" x14ac:dyDescent="0.3">
      <c r="A49" s="506">
        <v>6013</v>
      </c>
      <c r="B49" s="507" t="s">
        <v>3585</v>
      </c>
      <c r="C49" s="506" t="s">
        <v>979</v>
      </c>
      <c r="D49" s="508">
        <v>302067</v>
      </c>
      <c r="E49" s="507" t="s">
        <v>331</v>
      </c>
    </row>
    <row r="50" spans="1:5" ht="15" x14ac:dyDescent="0.3">
      <c r="A50" s="506">
        <v>6026</v>
      </c>
      <c r="B50" s="507" t="s">
        <v>3586</v>
      </c>
      <c r="C50" s="506" t="s">
        <v>979</v>
      </c>
      <c r="D50" s="508">
        <v>164951</v>
      </c>
      <c r="E50" s="507" t="s">
        <v>331</v>
      </c>
    </row>
    <row r="51" spans="1:5" ht="15" x14ac:dyDescent="0.3">
      <c r="A51" s="506">
        <v>6062</v>
      </c>
      <c r="B51" s="507" t="s">
        <v>3587</v>
      </c>
      <c r="C51" s="506" t="s">
        <v>979</v>
      </c>
      <c r="D51" s="508">
        <v>194119</v>
      </c>
      <c r="E51" s="507" t="s">
        <v>331</v>
      </c>
    </row>
    <row r="52" spans="1:5" ht="15" x14ac:dyDescent="0.3">
      <c r="A52" s="506">
        <v>6072</v>
      </c>
      <c r="B52" s="507" t="s">
        <v>3588</v>
      </c>
      <c r="C52" s="506" t="s">
        <v>30</v>
      </c>
      <c r="D52" s="508">
        <v>702338</v>
      </c>
      <c r="E52" s="507" t="s">
        <v>331</v>
      </c>
    </row>
    <row r="53" spans="1:5" ht="15" x14ac:dyDescent="0.3">
      <c r="A53" s="506">
        <v>6073</v>
      </c>
      <c r="B53" s="507" t="s">
        <v>3589</v>
      </c>
      <c r="C53" s="506" t="s">
        <v>30</v>
      </c>
      <c r="D53" s="508">
        <v>716425</v>
      </c>
      <c r="E53" s="507" t="s">
        <v>331</v>
      </c>
    </row>
    <row r="54" spans="1:5" ht="15" x14ac:dyDescent="0.3">
      <c r="A54" s="506">
        <v>6087</v>
      </c>
      <c r="B54" s="507" t="s">
        <v>3590</v>
      </c>
      <c r="C54" s="506" t="s">
        <v>692</v>
      </c>
      <c r="D54" s="508">
        <v>97414</v>
      </c>
      <c r="E54" s="507" t="s">
        <v>6109</v>
      </c>
    </row>
    <row r="55" spans="1:5" ht="15" x14ac:dyDescent="0.3">
      <c r="A55" s="506">
        <v>6088</v>
      </c>
      <c r="B55" s="507" t="s">
        <v>3591</v>
      </c>
      <c r="C55" s="506" t="s">
        <v>692</v>
      </c>
      <c r="D55" s="508">
        <v>121212</v>
      </c>
      <c r="E55" s="507" t="s">
        <v>6109</v>
      </c>
    </row>
    <row r="56" spans="1:5" ht="15" x14ac:dyDescent="0.3">
      <c r="A56" s="506">
        <v>6092</v>
      </c>
      <c r="B56" s="507" t="s">
        <v>3592</v>
      </c>
      <c r="C56" s="506" t="s">
        <v>3593</v>
      </c>
      <c r="D56" s="508">
        <v>2000</v>
      </c>
      <c r="E56" s="507" t="s">
        <v>3594</v>
      </c>
    </row>
    <row r="57" spans="1:5" ht="15" x14ac:dyDescent="0.3">
      <c r="A57" s="506">
        <v>6098</v>
      </c>
      <c r="B57" s="507" t="s">
        <v>3595</v>
      </c>
      <c r="C57" s="506" t="s">
        <v>3596</v>
      </c>
      <c r="D57" s="508">
        <v>25</v>
      </c>
      <c r="E57" s="507" t="s">
        <v>331</v>
      </c>
    </row>
    <row r="58" spans="1:5" ht="15" x14ac:dyDescent="0.3">
      <c r="A58" s="506">
        <v>6107</v>
      </c>
      <c r="B58" s="507" t="s">
        <v>3597</v>
      </c>
      <c r="C58" s="506" t="s">
        <v>30</v>
      </c>
      <c r="D58" s="508">
        <v>838593</v>
      </c>
      <c r="E58" s="507" t="s">
        <v>331</v>
      </c>
    </row>
    <row r="59" spans="1:5" ht="15" x14ac:dyDescent="0.3">
      <c r="A59" s="506">
        <v>6109</v>
      </c>
      <c r="B59" s="507" t="s">
        <v>3598</v>
      </c>
      <c r="C59" s="506" t="s">
        <v>32</v>
      </c>
      <c r="D59" s="508">
        <v>48991</v>
      </c>
      <c r="E59" s="507" t="s">
        <v>331</v>
      </c>
    </row>
    <row r="60" spans="1:5" ht="15" x14ac:dyDescent="0.3">
      <c r="A60" s="506">
        <v>6115</v>
      </c>
      <c r="B60" s="507" t="s">
        <v>3599</v>
      </c>
      <c r="C60" s="506" t="s">
        <v>21</v>
      </c>
      <c r="D60" s="508">
        <v>95223</v>
      </c>
      <c r="E60" s="507" t="s">
        <v>331</v>
      </c>
    </row>
    <row r="61" spans="1:5" ht="15" x14ac:dyDescent="0.3">
      <c r="A61" s="506">
        <v>6116</v>
      </c>
      <c r="B61" s="507" t="s">
        <v>3600</v>
      </c>
      <c r="C61" s="506" t="s">
        <v>32</v>
      </c>
      <c r="D61" s="508">
        <v>40004</v>
      </c>
      <c r="E61" s="507" t="s">
        <v>331</v>
      </c>
    </row>
    <row r="62" spans="1:5" ht="15" x14ac:dyDescent="0.3">
      <c r="A62" s="506">
        <v>6117</v>
      </c>
      <c r="B62" s="507" t="s">
        <v>3601</v>
      </c>
      <c r="C62" s="506" t="s">
        <v>32</v>
      </c>
      <c r="D62" s="508">
        <v>81601</v>
      </c>
      <c r="E62" s="507" t="s">
        <v>331</v>
      </c>
    </row>
    <row r="63" spans="1:5" ht="15" x14ac:dyDescent="0.3">
      <c r="A63" s="506">
        <v>6118</v>
      </c>
      <c r="B63" s="507" t="s">
        <v>3602</v>
      </c>
      <c r="C63" s="506" t="s">
        <v>32</v>
      </c>
      <c r="D63" s="508">
        <v>42280</v>
      </c>
      <c r="E63" s="507" t="s">
        <v>331</v>
      </c>
    </row>
    <row r="64" spans="1:5" ht="15" x14ac:dyDescent="0.3">
      <c r="A64" s="506">
        <v>6122</v>
      </c>
      <c r="B64" s="507" t="s">
        <v>3603</v>
      </c>
      <c r="C64" s="506" t="s">
        <v>32</v>
      </c>
      <c r="D64" s="508">
        <v>380800</v>
      </c>
      <c r="E64" s="507" t="s">
        <v>331</v>
      </c>
    </row>
    <row r="65" spans="1:5" ht="15" x14ac:dyDescent="0.3">
      <c r="A65" s="506">
        <v>6126</v>
      </c>
      <c r="B65" s="507" t="s">
        <v>3604</v>
      </c>
      <c r="C65" s="506" t="s">
        <v>328</v>
      </c>
      <c r="D65" s="508">
        <v>27659</v>
      </c>
      <c r="E65" s="507" t="s">
        <v>331</v>
      </c>
    </row>
    <row r="66" spans="1:5" ht="15" x14ac:dyDescent="0.3">
      <c r="A66" s="506">
        <v>6127</v>
      </c>
      <c r="B66" s="507" t="s">
        <v>3605</v>
      </c>
      <c r="C66" s="506" t="s">
        <v>328</v>
      </c>
      <c r="D66" s="508">
        <v>52567</v>
      </c>
      <c r="E66" s="507" t="s">
        <v>331</v>
      </c>
    </row>
    <row r="67" spans="1:5" ht="15" x14ac:dyDescent="0.3">
      <c r="A67" s="506">
        <v>6128</v>
      </c>
      <c r="B67" s="507" t="s">
        <v>3606</v>
      </c>
      <c r="C67" s="506" t="s">
        <v>328</v>
      </c>
      <c r="D67" s="508">
        <v>75144</v>
      </c>
      <c r="E67" s="507" t="s">
        <v>331</v>
      </c>
    </row>
    <row r="68" spans="1:5" ht="15" x14ac:dyDescent="0.3">
      <c r="A68" s="506">
        <v>6129</v>
      </c>
      <c r="B68" s="507" t="s">
        <v>3607</v>
      </c>
      <c r="C68" s="506" t="s">
        <v>328</v>
      </c>
      <c r="D68" s="508">
        <v>109752</v>
      </c>
      <c r="E68" s="507" t="s">
        <v>331</v>
      </c>
    </row>
    <row r="69" spans="1:5" ht="15" x14ac:dyDescent="0.3">
      <c r="A69" s="506">
        <v>6130</v>
      </c>
      <c r="B69" s="507" t="s">
        <v>3608</v>
      </c>
      <c r="C69" s="506" t="s">
        <v>328</v>
      </c>
      <c r="D69" s="508">
        <v>157926</v>
      </c>
      <c r="E69" s="507" t="s">
        <v>331</v>
      </c>
    </row>
    <row r="70" spans="1:5" ht="15" x14ac:dyDescent="0.3">
      <c r="A70" s="506">
        <v>6131</v>
      </c>
      <c r="B70" s="507" t="s">
        <v>3609</v>
      </c>
      <c r="C70" s="506" t="s">
        <v>328</v>
      </c>
      <c r="D70" s="508">
        <v>289477</v>
      </c>
      <c r="E70" s="507" t="s">
        <v>331</v>
      </c>
    </row>
    <row r="71" spans="1:5" ht="15" x14ac:dyDescent="0.3">
      <c r="A71" s="506">
        <v>6132</v>
      </c>
      <c r="B71" s="507" t="s">
        <v>3610</v>
      </c>
      <c r="C71" s="506" t="s">
        <v>328</v>
      </c>
      <c r="D71" s="508">
        <v>397651</v>
      </c>
      <c r="E71" s="507" t="s">
        <v>331</v>
      </c>
    </row>
    <row r="72" spans="1:5" ht="15" x14ac:dyDescent="0.3">
      <c r="A72" s="506">
        <v>6133</v>
      </c>
      <c r="B72" s="507" t="s">
        <v>3611</v>
      </c>
      <c r="C72" s="506" t="s">
        <v>328</v>
      </c>
      <c r="D72" s="508">
        <v>487403</v>
      </c>
      <c r="E72" s="507" t="s">
        <v>331</v>
      </c>
    </row>
    <row r="73" spans="1:5" ht="15" x14ac:dyDescent="0.3">
      <c r="A73" s="506">
        <v>6140</v>
      </c>
      <c r="B73" s="507" t="s">
        <v>3612</v>
      </c>
      <c r="C73" s="506" t="s">
        <v>979</v>
      </c>
      <c r="D73" s="508">
        <v>70709</v>
      </c>
      <c r="E73" s="507" t="s">
        <v>6108</v>
      </c>
    </row>
    <row r="74" spans="1:5" ht="15" x14ac:dyDescent="0.3">
      <c r="A74" s="506">
        <v>6143</v>
      </c>
      <c r="B74" s="507" t="s">
        <v>3613</v>
      </c>
      <c r="C74" s="506" t="s">
        <v>670</v>
      </c>
      <c r="D74" s="508">
        <v>15545</v>
      </c>
      <c r="E74" s="507" t="s">
        <v>6108</v>
      </c>
    </row>
    <row r="75" spans="1:5" ht="15" x14ac:dyDescent="0.3">
      <c r="A75" s="506">
        <v>6147</v>
      </c>
      <c r="B75" s="507" t="s">
        <v>3614</v>
      </c>
      <c r="C75" s="506" t="s">
        <v>328</v>
      </c>
      <c r="D75" s="508">
        <v>47841</v>
      </c>
      <c r="E75" s="507" t="s">
        <v>331</v>
      </c>
    </row>
    <row r="76" spans="1:5" ht="15" x14ac:dyDescent="0.3">
      <c r="A76" s="506">
        <v>6148</v>
      </c>
      <c r="B76" s="507" t="s">
        <v>3615</v>
      </c>
      <c r="C76" s="506" t="s">
        <v>328</v>
      </c>
      <c r="D76" s="508">
        <v>80018</v>
      </c>
      <c r="E76" s="507" t="s">
        <v>331</v>
      </c>
    </row>
    <row r="77" spans="1:5" ht="15" x14ac:dyDescent="0.3">
      <c r="A77" s="506">
        <v>6149</v>
      </c>
      <c r="B77" s="507" t="s">
        <v>3616</v>
      </c>
      <c r="C77" s="506" t="s">
        <v>328</v>
      </c>
      <c r="D77" s="508">
        <v>98207</v>
      </c>
      <c r="E77" s="507" t="s">
        <v>331</v>
      </c>
    </row>
    <row r="78" spans="1:5" ht="15" x14ac:dyDescent="0.3">
      <c r="A78" s="506">
        <v>6150</v>
      </c>
      <c r="B78" s="507" t="s">
        <v>3617</v>
      </c>
      <c r="C78" s="506" t="s">
        <v>328</v>
      </c>
      <c r="D78" s="508">
        <v>116626</v>
      </c>
      <c r="E78" s="507" t="s">
        <v>331</v>
      </c>
    </row>
    <row r="79" spans="1:5" ht="15" x14ac:dyDescent="0.3">
      <c r="A79" s="506">
        <v>6151</v>
      </c>
      <c r="B79" s="507" t="s">
        <v>3618</v>
      </c>
      <c r="C79" s="506" t="s">
        <v>328</v>
      </c>
      <c r="D79" s="508">
        <v>146782</v>
      </c>
      <c r="E79" s="507" t="s">
        <v>331</v>
      </c>
    </row>
    <row r="80" spans="1:5" ht="15" x14ac:dyDescent="0.3">
      <c r="A80" s="506">
        <v>6152</v>
      </c>
      <c r="B80" s="507" t="s">
        <v>3619</v>
      </c>
      <c r="C80" s="506" t="s">
        <v>328</v>
      </c>
      <c r="D80" s="508">
        <v>193351</v>
      </c>
      <c r="E80" s="507" t="s">
        <v>331</v>
      </c>
    </row>
    <row r="81" spans="1:5" ht="15" x14ac:dyDescent="0.3">
      <c r="A81" s="506">
        <v>6153</v>
      </c>
      <c r="B81" s="507" t="s">
        <v>3620</v>
      </c>
      <c r="C81" s="506" t="s">
        <v>328</v>
      </c>
      <c r="D81" s="508">
        <v>251003</v>
      </c>
      <c r="E81" s="507" t="s">
        <v>331</v>
      </c>
    </row>
    <row r="82" spans="1:5" ht="15" x14ac:dyDescent="0.3">
      <c r="A82" s="506">
        <v>6154</v>
      </c>
      <c r="B82" s="507" t="s">
        <v>3621</v>
      </c>
      <c r="C82" s="506" t="s">
        <v>328</v>
      </c>
      <c r="D82" s="508">
        <v>324890</v>
      </c>
      <c r="E82" s="507" t="s">
        <v>331</v>
      </c>
    </row>
    <row r="83" spans="1:5" ht="15" x14ac:dyDescent="0.3">
      <c r="A83" s="506">
        <v>6155</v>
      </c>
      <c r="B83" s="507" t="s">
        <v>3622</v>
      </c>
      <c r="C83" s="506" t="s">
        <v>328</v>
      </c>
      <c r="D83" s="508">
        <v>478755</v>
      </c>
      <c r="E83" s="507" t="s">
        <v>331</v>
      </c>
    </row>
    <row r="84" spans="1:5" ht="15" x14ac:dyDescent="0.3">
      <c r="A84" s="506">
        <v>6156</v>
      </c>
      <c r="B84" s="507" t="s">
        <v>3623</v>
      </c>
      <c r="C84" s="506" t="s">
        <v>328</v>
      </c>
      <c r="D84" s="508">
        <v>58027</v>
      </c>
      <c r="E84" s="507" t="s">
        <v>331</v>
      </c>
    </row>
    <row r="85" spans="1:5" ht="15" x14ac:dyDescent="0.3">
      <c r="A85" s="506">
        <v>6157</v>
      </c>
      <c r="B85" s="507" t="s">
        <v>3624</v>
      </c>
      <c r="C85" s="506" t="s">
        <v>328</v>
      </c>
      <c r="D85" s="508">
        <v>98392</v>
      </c>
      <c r="E85" s="507" t="s">
        <v>331</v>
      </c>
    </row>
    <row r="86" spans="1:5" ht="15" x14ac:dyDescent="0.3">
      <c r="A86" s="506">
        <v>6158</v>
      </c>
      <c r="B86" s="507" t="s">
        <v>3625</v>
      </c>
      <c r="C86" s="506" t="s">
        <v>328</v>
      </c>
      <c r="D86" s="508">
        <v>126006</v>
      </c>
      <c r="E86" s="507" t="s">
        <v>331</v>
      </c>
    </row>
    <row r="87" spans="1:5" ht="15" x14ac:dyDescent="0.3">
      <c r="A87" s="506">
        <v>6159</v>
      </c>
      <c r="B87" s="507" t="s">
        <v>3626</v>
      </c>
      <c r="C87" s="506" t="s">
        <v>328</v>
      </c>
      <c r="D87" s="508">
        <v>160742</v>
      </c>
      <c r="E87" s="507" t="s">
        <v>331</v>
      </c>
    </row>
    <row r="88" spans="1:5" ht="15" x14ac:dyDescent="0.3">
      <c r="A88" s="506">
        <v>6160</v>
      </c>
      <c r="B88" s="507" t="s">
        <v>3627</v>
      </c>
      <c r="C88" s="506" t="s">
        <v>328</v>
      </c>
      <c r="D88" s="508">
        <v>213366</v>
      </c>
      <c r="E88" s="507" t="s">
        <v>331</v>
      </c>
    </row>
    <row r="89" spans="1:5" ht="15" x14ac:dyDescent="0.3">
      <c r="A89" s="506">
        <v>6161</v>
      </c>
      <c r="B89" s="507" t="s">
        <v>3628</v>
      </c>
      <c r="C89" s="506" t="s">
        <v>328</v>
      </c>
      <c r="D89" s="508">
        <v>277502</v>
      </c>
      <c r="E89" s="507" t="s">
        <v>331</v>
      </c>
    </row>
    <row r="90" spans="1:5" ht="15" x14ac:dyDescent="0.3">
      <c r="A90" s="506">
        <v>6162</v>
      </c>
      <c r="B90" s="507" t="s">
        <v>3629</v>
      </c>
      <c r="C90" s="506" t="s">
        <v>328</v>
      </c>
      <c r="D90" s="508">
        <v>373794</v>
      </c>
      <c r="E90" s="507" t="s">
        <v>331</v>
      </c>
    </row>
    <row r="91" spans="1:5" ht="15" x14ac:dyDescent="0.3">
      <c r="A91" s="506">
        <v>6163</v>
      </c>
      <c r="B91" s="507" t="s">
        <v>3630</v>
      </c>
      <c r="C91" s="506" t="s">
        <v>328</v>
      </c>
      <c r="D91" s="508">
        <v>447630</v>
      </c>
      <c r="E91" s="507" t="s">
        <v>331</v>
      </c>
    </row>
    <row r="92" spans="1:5" ht="15" x14ac:dyDescent="0.3">
      <c r="A92" s="506">
        <v>6164</v>
      </c>
      <c r="B92" s="507" t="s">
        <v>3631</v>
      </c>
      <c r="C92" s="506" t="s">
        <v>328</v>
      </c>
      <c r="D92" s="508">
        <v>643742</v>
      </c>
      <c r="E92" s="507" t="s">
        <v>331</v>
      </c>
    </row>
    <row r="93" spans="1:5" ht="15" x14ac:dyDescent="0.3">
      <c r="A93" s="506">
        <v>6165</v>
      </c>
      <c r="B93" s="507" t="s">
        <v>3632</v>
      </c>
      <c r="C93" s="506" t="s">
        <v>328</v>
      </c>
      <c r="D93" s="508">
        <v>701999</v>
      </c>
      <c r="E93" s="507" t="s">
        <v>331</v>
      </c>
    </row>
    <row r="94" spans="1:5" ht="15" x14ac:dyDescent="0.3">
      <c r="A94" s="506">
        <v>6166</v>
      </c>
      <c r="B94" s="507" t="s">
        <v>3633</v>
      </c>
      <c r="C94" s="506" t="s">
        <v>328</v>
      </c>
      <c r="D94" s="508">
        <v>856954</v>
      </c>
      <c r="E94" s="507" t="s">
        <v>331</v>
      </c>
    </row>
    <row r="95" spans="1:5" ht="15" x14ac:dyDescent="0.3">
      <c r="A95" s="506">
        <v>6167</v>
      </c>
      <c r="B95" s="507" t="s">
        <v>3634</v>
      </c>
      <c r="C95" s="506" t="s">
        <v>328</v>
      </c>
      <c r="D95" s="508">
        <v>1070247</v>
      </c>
      <c r="E95" s="507" t="s">
        <v>331</v>
      </c>
    </row>
    <row r="96" spans="1:5" ht="15" x14ac:dyDescent="0.3">
      <c r="A96" s="506">
        <v>6168</v>
      </c>
      <c r="B96" s="507" t="s">
        <v>3635</v>
      </c>
      <c r="C96" s="506" t="s">
        <v>328</v>
      </c>
      <c r="D96" s="508">
        <v>1346405</v>
      </c>
      <c r="E96" s="507" t="s">
        <v>331</v>
      </c>
    </row>
    <row r="97" spans="1:5" ht="15" x14ac:dyDescent="0.3">
      <c r="A97" s="506">
        <v>6169</v>
      </c>
      <c r="B97" s="507" t="s">
        <v>3636</v>
      </c>
      <c r="C97" s="506" t="s">
        <v>328</v>
      </c>
      <c r="D97" s="508">
        <v>1684080</v>
      </c>
      <c r="E97" s="507" t="s">
        <v>331</v>
      </c>
    </row>
    <row r="98" spans="1:5" ht="15" x14ac:dyDescent="0.3">
      <c r="A98" s="506">
        <v>6170</v>
      </c>
      <c r="B98" s="507" t="s">
        <v>3637</v>
      </c>
      <c r="C98" s="506" t="s">
        <v>328</v>
      </c>
      <c r="D98" s="508">
        <v>1895037</v>
      </c>
      <c r="E98" s="507" t="s">
        <v>331</v>
      </c>
    </row>
    <row r="99" spans="1:5" ht="15" x14ac:dyDescent="0.3">
      <c r="A99" s="506">
        <v>6171</v>
      </c>
      <c r="B99" s="507" t="s">
        <v>3638</v>
      </c>
      <c r="C99" s="506" t="s">
        <v>328</v>
      </c>
      <c r="D99" s="508">
        <v>2211051</v>
      </c>
      <c r="E99" s="507" t="s">
        <v>331</v>
      </c>
    </row>
    <row r="100" spans="1:5" ht="15" x14ac:dyDescent="0.3">
      <c r="A100" s="506">
        <v>6172</v>
      </c>
      <c r="B100" s="507" t="s">
        <v>3639</v>
      </c>
      <c r="C100" s="506" t="s">
        <v>328</v>
      </c>
      <c r="D100" s="508">
        <v>2448244</v>
      </c>
      <c r="E100" s="507" t="s">
        <v>331</v>
      </c>
    </row>
    <row r="101" spans="1:5" ht="15" x14ac:dyDescent="0.3">
      <c r="A101" s="506">
        <v>6173</v>
      </c>
      <c r="B101" s="507" t="s">
        <v>3640</v>
      </c>
      <c r="C101" s="506" t="s">
        <v>328</v>
      </c>
      <c r="D101" s="508">
        <v>2748707</v>
      </c>
      <c r="E101" s="507" t="s">
        <v>331</v>
      </c>
    </row>
    <row r="102" spans="1:5" ht="15" x14ac:dyDescent="0.3">
      <c r="A102" s="506">
        <v>6174</v>
      </c>
      <c r="B102" s="507" t="s">
        <v>3641</v>
      </c>
      <c r="C102" s="506" t="s">
        <v>328</v>
      </c>
      <c r="D102" s="508">
        <v>3052879</v>
      </c>
      <c r="E102" s="507" t="s">
        <v>331</v>
      </c>
    </row>
    <row r="103" spans="1:5" ht="15" x14ac:dyDescent="0.3">
      <c r="A103" s="506">
        <v>6175</v>
      </c>
      <c r="B103" s="507" t="s">
        <v>3642</v>
      </c>
      <c r="C103" s="506" t="s">
        <v>328</v>
      </c>
      <c r="D103" s="508">
        <v>3454091</v>
      </c>
      <c r="E103" s="507" t="s">
        <v>331</v>
      </c>
    </row>
    <row r="104" spans="1:5" ht="15" x14ac:dyDescent="0.3">
      <c r="A104" s="506">
        <v>6176</v>
      </c>
      <c r="B104" s="507" t="s">
        <v>3643</v>
      </c>
      <c r="C104" s="506" t="s">
        <v>328</v>
      </c>
      <c r="D104" s="508">
        <v>3904172</v>
      </c>
      <c r="E104" s="507" t="s">
        <v>331</v>
      </c>
    </row>
    <row r="105" spans="1:5" ht="15" x14ac:dyDescent="0.3">
      <c r="A105" s="506">
        <v>6177</v>
      </c>
      <c r="B105" s="507" t="s">
        <v>3644</v>
      </c>
      <c r="C105" s="506" t="s">
        <v>328</v>
      </c>
      <c r="D105" s="508">
        <v>4404663</v>
      </c>
      <c r="E105" s="507" t="s">
        <v>331</v>
      </c>
    </row>
    <row r="106" spans="1:5" ht="15" x14ac:dyDescent="0.3">
      <c r="A106" s="506">
        <v>6178</v>
      </c>
      <c r="B106" s="507" t="s">
        <v>3645</v>
      </c>
      <c r="C106" s="506" t="s">
        <v>328</v>
      </c>
      <c r="D106" s="508">
        <v>5536994</v>
      </c>
      <c r="E106" s="507" t="s">
        <v>331</v>
      </c>
    </row>
    <row r="107" spans="1:5" ht="15" x14ac:dyDescent="0.3">
      <c r="A107" s="506">
        <v>6179</v>
      </c>
      <c r="B107" s="507" t="s">
        <v>3646</v>
      </c>
      <c r="C107" s="506" t="s">
        <v>328</v>
      </c>
      <c r="D107" s="508">
        <v>6248396</v>
      </c>
      <c r="E107" s="507" t="s">
        <v>331</v>
      </c>
    </row>
    <row r="108" spans="1:5" ht="15" x14ac:dyDescent="0.3">
      <c r="A108" s="506">
        <v>6180</v>
      </c>
      <c r="B108" s="507" t="s">
        <v>3647</v>
      </c>
      <c r="C108" s="506" t="s">
        <v>328</v>
      </c>
      <c r="D108" s="508">
        <v>7032110</v>
      </c>
      <c r="E108" s="507" t="s">
        <v>331</v>
      </c>
    </row>
    <row r="109" spans="1:5" ht="15" x14ac:dyDescent="0.3">
      <c r="A109" s="506">
        <v>6181</v>
      </c>
      <c r="B109" s="507" t="s">
        <v>3648</v>
      </c>
      <c r="C109" s="506" t="s">
        <v>328</v>
      </c>
      <c r="D109" s="508">
        <v>701999</v>
      </c>
      <c r="E109" s="507" t="s">
        <v>331</v>
      </c>
    </row>
    <row r="110" spans="1:5" ht="15" x14ac:dyDescent="0.3">
      <c r="A110" s="506">
        <v>6182</v>
      </c>
      <c r="B110" s="507" t="s">
        <v>3649</v>
      </c>
      <c r="C110" s="506" t="s">
        <v>328</v>
      </c>
      <c r="D110" s="508">
        <v>881896</v>
      </c>
      <c r="E110" s="507" t="s">
        <v>331</v>
      </c>
    </row>
    <row r="111" spans="1:5" ht="15" x14ac:dyDescent="0.3">
      <c r="A111" s="506">
        <v>6183</v>
      </c>
      <c r="B111" s="507" t="s">
        <v>3650</v>
      </c>
      <c r="C111" s="506" t="s">
        <v>328</v>
      </c>
      <c r="D111" s="508">
        <v>1101139</v>
      </c>
      <c r="E111" s="507" t="s">
        <v>331</v>
      </c>
    </row>
    <row r="112" spans="1:5" ht="15" x14ac:dyDescent="0.3">
      <c r="A112" s="506">
        <v>6184</v>
      </c>
      <c r="B112" s="507" t="s">
        <v>3651</v>
      </c>
      <c r="C112" s="506" t="s">
        <v>328</v>
      </c>
      <c r="D112" s="508">
        <v>1381058</v>
      </c>
      <c r="E112" s="507" t="s">
        <v>331</v>
      </c>
    </row>
    <row r="113" spans="1:5" ht="15" x14ac:dyDescent="0.3">
      <c r="A113" s="506">
        <v>6185</v>
      </c>
      <c r="B113" s="507" t="s">
        <v>3652</v>
      </c>
      <c r="C113" s="506" t="s">
        <v>328</v>
      </c>
      <c r="D113" s="508">
        <v>1728300</v>
      </c>
      <c r="E113" s="507" t="s">
        <v>331</v>
      </c>
    </row>
    <row r="114" spans="1:5" ht="15" x14ac:dyDescent="0.3">
      <c r="A114" s="506">
        <v>6188</v>
      </c>
      <c r="B114" s="507" t="s">
        <v>3653</v>
      </c>
      <c r="C114" s="506" t="s">
        <v>328</v>
      </c>
      <c r="D114" s="508">
        <v>1935545</v>
      </c>
      <c r="E114" s="507" t="s">
        <v>331</v>
      </c>
    </row>
    <row r="115" spans="1:5" ht="15" x14ac:dyDescent="0.3">
      <c r="A115" s="506">
        <v>6189</v>
      </c>
      <c r="B115" s="507" t="s">
        <v>3654</v>
      </c>
      <c r="C115" s="506" t="s">
        <v>328</v>
      </c>
      <c r="D115" s="508">
        <v>2268790</v>
      </c>
      <c r="E115" s="507" t="s">
        <v>331</v>
      </c>
    </row>
    <row r="116" spans="1:5" ht="15" x14ac:dyDescent="0.3">
      <c r="A116" s="506">
        <v>6190</v>
      </c>
      <c r="B116" s="507" t="s">
        <v>3655</v>
      </c>
      <c r="C116" s="506" t="s">
        <v>328</v>
      </c>
      <c r="D116" s="508">
        <v>2517502</v>
      </c>
      <c r="E116" s="507" t="s">
        <v>331</v>
      </c>
    </row>
    <row r="117" spans="1:5" ht="15" x14ac:dyDescent="0.3">
      <c r="A117" s="506">
        <v>6191</v>
      </c>
      <c r="B117" s="507" t="s">
        <v>3656</v>
      </c>
      <c r="C117" s="506" t="s">
        <v>328</v>
      </c>
      <c r="D117" s="508">
        <v>2789262</v>
      </c>
      <c r="E117" s="507" t="s">
        <v>331</v>
      </c>
    </row>
    <row r="118" spans="1:5" ht="15" x14ac:dyDescent="0.3">
      <c r="A118" s="506">
        <v>6192</v>
      </c>
      <c r="B118" s="507" t="s">
        <v>3657</v>
      </c>
      <c r="C118" s="506" t="s">
        <v>328</v>
      </c>
      <c r="D118" s="508">
        <v>3116473</v>
      </c>
      <c r="E118" s="507" t="s">
        <v>331</v>
      </c>
    </row>
    <row r="119" spans="1:5" ht="15" x14ac:dyDescent="0.3">
      <c r="A119" s="506">
        <v>6193</v>
      </c>
      <c r="B119" s="507" t="s">
        <v>3658</v>
      </c>
      <c r="C119" s="506" t="s">
        <v>328</v>
      </c>
      <c r="D119" s="508">
        <v>3542532</v>
      </c>
      <c r="E119" s="507" t="s">
        <v>331</v>
      </c>
    </row>
    <row r="120" spans="1:5" ht="15" x14ac:dyDescent="0.3">
      <c r="A120" s="506">
        <v>6194</v>
      </c>
      <c r="B120" s="507" t="s">
        <v>3659</v>
      </c>
      <c r="C120" s="506" t="s">
        <v>328</v>
      </c>
      <c r="D120" s="508">
        <v>4004179</v>
      </c>
      <c r="E120" s="507" t="s">
        <v>331</v>
      </c>
    </row>
    <row r="121" spans="1:5" ht="15" x14ac:dyDescent="0.3">
      <c r="A121" s="506">
        <v>6195</v>
      </c>
      <c r="B121" s="507" t="s">
        <v>3660</v>
      </c>
      <c r="C121" s="506" t="s">
        <v>328</v>
      </c>
      <c r="D121" s="508">
        <v>4425750</v>
      </c>
      <c r="E121" s="507" t="s">
        <v>331</v>
      </c>
    </row>
    <row r="122" spans="1:5" ht="15" x14ac:dyDescent="0.3">
      <c r="A122" s="506">
        <v>6196</v>
      </c>
      <c r="B122" s="507" t="s">
        <v>3661</v>
      </c>
      <c r="C122" s="506" t="s">
        <v>328</v>
      </c>
      <c r="D122" s="508">
        <v>5563888</v>
      </c>
      <c r="E122" s="507" t="s">
        <v>331</v>
      </c>
    </row>
    <row r="123" spans="1:5" ht="15" x14ac:dyDescent="0.3">
      <c r="A123" s="506">
        <v>6197</v>
      </c>
      <c r="B123" s="507" t="s">
        <v>3662</v>
      </c>
      <c r="C123" s="506" t="s">
        <v>328</v>
      </c>
      <c r="D123" s="508">
        <v>6352354</v>
      </c>
      <c r="E123" s="507" t="s">
        <v>331</v>
      </c>
    </row>
    <row r="124" spans="1:5" ht="15" x14ac:dyDescent="0.3">
      <c r="A124" s="506">
        <v>6198</v>
      </c>
      <c r="B124" s="507" t="s">
        <v>3663</v>
      </c>
      <c r="C124" s="506" t="s">
        <v>328</v>
      </c>
      <c r="D124" s="508">
        <v>7147683</v>
      </c>
      <c r="E124" s="507" t="s">
        <v>331</v>
      </c>
    </row>
    <row r="125" spans="1:5" ht="15" x14ac:dyDescent="0.3">
      <c r="A125" s="506">
        <v>6199</v>
      </c>
      <c r="B125" s="507" t="s">
        <v>3664</v>
      </c>
      <c r="C125" s="506" t="s">
        <v>328</v>
      </c>
      <c r="D125" s="508">
        <v>701999</v>
      </c>
      <c r="E125" s="507" t="s">
        <v>331</v>
      </c>
    </row>
    <row r="126" spans="1:5" ht="15" x14ac:dyDescent="0.3">
      <c r="A126" s="506">
        <v>6200</v>
      </c>
      <c r="B126" s="507" t="s">
        <v>3665</v>
      </c>
      <c r="C126" s="506" t="s">
        <v>328</v>
      </c>
      <c r="D126" s="508">
        <v>934114</v>
      </c>
      <c r="E126" s="507" t="s">
        <v>331</v>
      </c>
    </row>
    <row r="127" spans="1:5" ht="15" x14ac:dyDescent="0.3">
      <c r="A127" s="506">
        <v>6201</v>
      </c>
      <c r="B127" s="507" t="s">
        <v>3666</v>
      </c>
      <c r="C127" s="506" t="s">
        <v>328</v>
      </c>
      <c r="D127" s="508">
        <v>1164638</v>
      </c>
      <c r="E127" s="507" t="s">
        <v>331</v>
      </c>
    </row>
    <row r="128" spans="1:5" ht="15" x14ac:dyDescent="0.3">
      <c r="A128" s="506">
        <v>6202</v>
      </c>
      <c r="B128" s="507" t="s">
        <v>3667</v>
      </c>
      <c r="C128" s="506" t="s">
        <v>328</v>
      </c>
      <c r="D128" s="508">
        <v>1460026</v>
      </c>
      <c r="E128" s="507" t="s">
        <v>331</v>
      </c>
    </row>
    <row r="129" spans="1:5" ht="15" x14ac:dyDescent="0.3">
      <c r="A129" s="506">
        <v>6203</v>
      </c>
      <c r="B129" s="507" t="s">
        <v>3668</v>
      </c>
      <c r="C129" s="506" t="s">
        <v>328</v>
      </c>
      <c r="D129" s="508">
        <v>1830212</v>
      </c>
      <c r="E129" s="507" t="s">
        <v>331</v>
      </c>
    </row>
    <row r="130" spans="1:5" ht="15" x14ac:dyDescent="0.3">
      <c r="A130" s="506">
        <v>6204</v>
      </c>
      <c r="B130" s="507" t="s">
        <v>3669</v>
      </c>
      <c r="C130" s="506" t="s">
        <v>328</v>
      </c>
      <c r="D130" s="508">
        <v>2046929</v>
      </c>
      <c r="E130" s="507" t="s">
        <v>331</v>
      </c>
    </row>
    <row r="131" spans="1:5" ht="15" x14ac:dyDescent="0.3">
      <c r="A131" s="506">
        <v>6205</v>
      </c>
      <c r="B131" s="507" t="s">
        <v>3670</v>
      </c>
      <c r="C131" s="506" t="s">
        <v>328</v>
      </c>
      <c r="D131" s="508">
        <v>2401689</v>
      </c>
      <c r="E131" s="507" t="s">
        <v>331</v>
      </c>
    </row>
    <row r="132" spans="1:5" ht="15" x14ac:dyDescent="0.3">
      <c r="A132" s="506">
        <v>6206</v>
      </c>
      <c r="B132" s="507" t="s">
        <v>3671</v>
      </c>
      <c r="C132" s="506" t="s">
        <v>328</v>
      </c>
      <c r="D132" s="508">
        <v>2663872</v>
      </c>
      <c r="E132" s="507" t="s">
        <v>331</v>
      </c>
    </row>
    <row r="133" spans="1:5" ht="15" x14ac:dyDescent="0.3">
      <c r="A133" s="506">
        <v>6207</v>
      </c>
      <c r="B133" s="507" t="s">
        <v>3672</v>
      </c>
      <c r="C133" s="506" t="s">
        <v>328</v>
      </c>
      <c r="D133" s="508">
        <v>2947104</v>
      </c>
      <c r="E133" s="507" t="s">
        <v>331</v>
      </c>
    </row>
    <row r="134" spans="1:5" ht="15" x14ac:dyDescent="0.3">
      <c r="A134" s="506">
        <v>6208</v>
      </c>
      <c r="B134" s="507" t="s">
        <v>3673</v>
      </c>
      <c r="C134" s="506" t="s">
        <v>328</v>
      </c>
      <c r="D134" s="508">
        <v>3514885</v>
      </c>
      <c r="E134" s="507" t="s">
        <v>331</v>
      </c>
    </row>
    <row r="135" spans="1:5" ht="15" x14ac:dyDescent="0.3">
      <c r="A135" s="506">
        <v>6209</v>
      </c>
      <c r="B135" s="507" t="s">
        <v>3674</v>
      </c>
      <c r="C135" s="506" t="s">
        <v>328</v>
      </c>
      <c r="D135" s="508">
        <v>3702278</v>
      </c>
      <c r="E135" s="507" t="s">
        <v>331</v>
      </c>
    </row>
    <row r="136" spans="1:5" ht="15" x14ac:dyDescent="0.3">
      <c r="A136" s="506">
        <v>6210</v>
      </c>
      <c r="B136" s="507" t="s">
        <v>3675</v>
      </c>
      <c r="C136" s="506" t="s">
        <v>328</v>
      </c>
      <c r="D136" s="508">
        <v>4187058</v>
      </c>
      <c r="E136" s="507" t="s">
        <v>331</v>
      </c>
    </row>
    <row r="137" spans="1:5" ht="15" x14ac:dyDescent="0.3">
      <c r="A137" s="506">
        <v>6211</v>
      </c>
      <c r="B137" s="507" t="s">
        <v>3676</v>
      </c>
      <c r="C137" s="506" t="s">
        <v>328</v>
      </c>
      <c r="D137" s="508">
        <v>4889660</v>
      </c>
      <c r="E137" s="507" t="s">
        <v>331</v>
      </c>
    </row>
    <row r="138" spans="1:5" ht="15" x14ac:dyDescent="0.3">
      <c r="A138" s="506">
        <v>6212</v>
      </c>
      <c r="B138" s="507" t="s">
        <v>3677</v>
      </c>
      <c r="C138" s="506" t="s">
        <v>328</v>
      </c>
      <c r="D138" s="508">
        <v>5808362</v>
      </c>
      <c r="E138" s="507" t="s">
        <v>331</v>
      </c>
    </row>
    <row r="139" spans="1:5" ht="15" x14ac:dyDescent="0.3">
      <c r="A139" s="506">
        <v>6213</v>
      </c>
      <c r="B139" s="507" t="s">
        <v>3678</v>
      </c>
      <c r="C139" s="506" t="s">
        <v>328</v>
      </c>
      <c r="D139" s="508">
        <v>6519764</v>
      </c>
      <c r="E139" s="507" t="s">
        <v>331</v>
      </c>
    </row>
    <row r="140" spans="1:5" ht="15" x14ac:dyDescent="0.3">
      <c r="A140" s="506">
        <v>6214</v>
      </c>
      <c r="B140" s="507" t="s">
        <v>3679</v>
      </c>
      <c r="C140" s="506" t="s">
        <v>328</v>
      </c>
      <c r="D140" s="508">
        <v>7272728</v>
      </c>
      <c r="E140" s="507" t="s">
        <v>331</v>
      </c>
    </row>
    <row r="141" spans="1:5" ht="15" x14ac:dyDescent="0.3">
      <c r="A141" s="506">
        <v>6215</v>
      </c>
      <c r="B141" s="507" t="s">
        <v>3680</v>
      </c>
      <c r="C141" s="506" t="s">
        <v>328</v>
      </c>
      <c r="D141" s="508">
        <v>796295</v>
      </c>
      <c r="E141" s="507" t="s">
        <v>331</v>
      </c>
    </row>
    <row r="142" spans="1:5" ht="15" x14ac:dyDescent="0.3">
      <c r="A142" s="506">
        <v>6216</v>
      </c>
      <c r="B142" s="507" t="s">
        <v>3681</v>
      </c>
      <c r="C142" s="506" t="s">
        <v>328</v>
      </c>
      <c r="D142" s="508">
        <v>1062872</v>
      </c>
      <c r="E142" s="507" t="s">
        <v>331</v>
      </c>
    </row>
    <row r="143" spans="1:5" ht="15" x14ac:dyDescent="0.3">
      <c r="A143" s="506">
        <v>6217</v>
      </c>
      <c r="B143" s="507" t="s">
        <v>3682</v>
      </c>
      <c r="C143" s="506" t="s">
        <v>328</v>
      </c>
      <c r="D143" s="508">
        <v>1331952</v>
      </c>
      <c r="E143" s="507" t="s">
        <v>331</v>
      </c>
    </row>
    <row r="144" spans="1:5" ht="15" x14ac:dyDescent="0.3">
      <c r="A144" s="506">
        <v>6218</v>
      </c>
      <c r="B144" s="507" t="s">
        <v>3683</v>
      </c>
      <c r="C144" s="506" t="s">
        <v>328</v>
      </c>
      <c r="D144" s="508">
        <v>1669562</v>
      </c>
      <c r="E144" s="507" t="s">
        <v>331</v>
      </c>
    </row>
    <row r="145" spans="1:5" ht="15" x14ac:dyDescent="0.3">
      <c r="A145" s="506">
        <v>6219</v>
      </c>
      <c r="B145" s="507" t="s">
        <v>3684</v>
      </c>
      <c r="C145" s="506" t="s">
        <v>328</v>
      </c>
      <c r="D145" s="508">
        <v>2090155</v>
      </c>
      <c r="E145" s="507" t="s">
        <v>331</v>
      </c>
    </row>
    <row r="146" spans="1:5" ht="15" x14ac:dyDescent="0.3">
      <c r="A146" s="506">
        <v>6220</v>
      </c>
      <c r="B146" s="507" t="s">
        <v>3685</v>
      </c>
      <c r="C146" s="506" t="s">
        <v>328</v>
      </c>
      <c r="D146" s="508">
        <v>2339574</v>
      </c>
      <c r="E146" s="507" t="s">
        <v>331</v>
      </c>
    </row>
    <row r="147" spans="1:5" ht="15" x14ac:dyDescent="0.3">
      <c r="A147" s="506">
        <v>6221</v>
      </c>
      <c r="B147" s="507" t="s">
        <v>3686</v>
      </c>
      <c r="C147" s="506" t="s">
        <v>328</v>
      </c>
      <c r="D147" s="508">
        <v>2744504</v>
      </c>
      <c r="E147" s="507" t="s">
        <v>331</v>
      </c>
    </row>
    <row r="148" spans="1:5" ht="15" x14ac:dyDescent="0.3">
      <c r="A148" s="506">
        <v>6222</v>
      </c>
      <c r="B148" s="507" t="s">
        <v>3687</v>
      </c>
      <c r="C148" s="506" t="s">
        <v>328</v>
      </c>
      <c r="D148" s="508">
        <v>3067996</v>
      </c>
      <c r="E148" s="507" t="s">
        <v>331</v>
      </c>
    </row>
    <row r="149" spans="1:5" ht="15" x14ac:dyDescent="0.3">
      <c r="A149" s="506">
        <v>6223</v>
      </c>
      <c r="B149" s="507" t="s">
        <v>3688</v>
      </c>
      <c r="C149" s="506" t="s">
        <v>328</v>
      </c>
      <c r="D149" s="508">
        <v>3251125</v>
      </c>
      <c r="E149" s="507" t="s">
        <v>331</v>
      </c>
    </row>
    <row r="150" spans="1:5" ht="15" x14ac:dyDescent="0.3">
      <c r="A150" s="506">
        <v>6224</v>
      </c>
      <c r="B150" s="507" t="s">
        <v>3689</v>
      </c>
      <c r="C150" s="506" t="s">
        <v>328</v>
      </c>
      <c r="D150" s="508">
        <v>3724563</v>
      </c>
      <c r="E150" s="507" t="s">
        <v>331</v>
      </c>
    </row>
    <row r="151" spans="1:5" ht="15" x14ac:dyDescent="0.3">
      <c r="A151" s="506">
        <v>6225</v>
      </c>
      <c r="B151" s="507" t="s">
        <v>3690</v>
      </c>
      <c r="C151" s="506" t="s">
        <v>328</v>
      </c>
      <c r="D151" s="508">
        <v>4235445</v>
      </c>
      <c r="E151" s="507" t="s">
        <v>331</v>
      </c>
    </row>
    <row r="152" spans="1:5" ht="15" x14ac:dyDescent="0.3">
      <c r="A152" s="506">
        <v>6226</v>
      </c>
      <c r="B152" s="507" t="s">
        <v>3691</v>
      </c>
      <c r="C152" s="506" t="s">
        <v>328</v>
      </c>
      <c r="D152" s="508">
        <v>4793340</v>
      </c>
      <c r="E152" s="507" t="s">
        <v>331</v>
      </c>
    </row>
    <row r="153" spans="1:5" ht="15" x14ac:dyDescent="0.3">
      <c r="A153" s="506">
        <v>6227</v>
      </c>
      <c r="B153" s="507" t="s">
        <v>3692</v>
      </c>
      <c r="C153" s="506" t="s">
        <v>328</v>
      </c>
      <c r="D153" s="508">
        <v>5359472</v>
      </c>
      <c r="E153" s="507" t="s">
        <v>331</v>
      </c>
    </row>
    <row r="154" spans="1:5" ht="15" x14ac:dyDescent="0.3">
      <c r="A154" s="506">
        <v>6228</v>
      </c>
      <c r="B154" s="507" t="s">
        <v>3693</v>
      </c>
      <c r="C154" s="506" t="s">
        <v>328</v>
      </c>
      <c r="D154" s="508">
        <v>6643790</v>
      </c>
      <c r="E154" s="507" t="s">
        <v>331</v>
      </c>
    </row>
    <row r="155" spans="1:5" ht="15" x14ac:dyDescent="0.3">
      <c r="A155" s="506">
        <v>6229</v>
      </c>
      <c r="B155" s="507" t="s">
        <v>3694</v>
      </c>
      <c r="C155" s="506" t="s">
        <v>328</v>
      </c>
      <c r="D155" s="508">
        <v>7967089</v>
      </c>
      <c r="E155" s="507" t="s">
        <v>331</v>
      </c>
    </row>
    <row r="156" spans="1:5" ht="15" x14ac:dyDescent="0.3">
      <c r="A156" s="506">
        <v>6230</v>
      </c>
      <c r="B156" s="507" t="s">
        <v>3695</v>
      </c>
      <c r="C156" s="506" t="s">
        <v>328</v>
      </c>
      <c r="D156" s="508">
        <v>8704679</v>
      </c>
      <c r="E156" s="507" t="s">
        <v>331</v>
      </c>
    </row>
    <row r="157" spans="1:5" ht="15" x14ac:dyDescent="0.3">
      <c r="A157" s="506">
        <v>6236</v>
      </c>
      <c r="B157" s="507" t="s">
        <v>3696</v>
      </c>
      <c r="C157" s="506" t="s">
        <v>32</v>
      </c>
      <c r="D157" s="508">
        <v>134085</v>
      </c>
      <c r="E157" s="507" t="s">
        <v>331</v>
      </c>
    </row>
    <row r="158" spans="1:5" ht="15" x14ac:dyDescent="0.3">
      <c r="A158" s="506">
        <v>6237</v>
      </c>
      <c r="B158" s="507" t="s">
        <v>3697</v>
      </c>
      <c r="C158" s="506" t="s">
        <v>32</v>
      </c>
      <c r="D158" s="508">
        <v>236138</v>
      </c>
      <c r="E158" s="507" t="s">
        <v>331</v>
      </c>
    </row>
    <row r="159" spans="1:5" ht="15" x14ac:dyDescent="0.3">
      <c r="A159" s="506">
        <v>6238</v>
      </c>
      <c r="B159" s="507" t="s">
        <v>3698</v>
      </c>
      <c r="C159" s="506" t="s">
        <v>32</v>
      </c>
      <c r="D159" s="508">
        <v>303093</v>
      </c>
      <c r="E159" s="507" t="s">
        <v>331</v>
      </c>
    </row>
    <row r="160" spans="1:5" ht="15" x14ac:dyDescent="0.3">
      <c r="A160" s="506">
        <v>6239</v>
      </c>
      <c r="B160" s="507" t="s">
        <v>3699</v>
      </c>
      <c r="C160" s="506" t="s">
        <v>32</v>
      </c>
      <c r="D160" s="508">
        <v>361501</v>
      </c>
      <c r="E160" s="507" t="s">
        <v>331</v>
      </c>
    </row>
    <row r="161" spans="1:5" ht="15" x14ac:dyDescent="0.3">
      <c r="A161" s="506">
        <v>6240</v>
      </c>
      <c r="B161" s="507" t="s">
        <v>3700</v>
      </c>
      <c r="C161" s="506" t="s">
        <v>32</v>
      </c>
      <c r="D161" s="508">
        <v>461867</v>
      </c>
      <c r="E161" s="507" t="s">
        <v>331</v>
      </c>
    </row>
    <row r="162" spans="1:5" ht="15" x14ac:dyDescent="0.3">
      <c r="A162" s="506">
        <v>6241</v>
      </c>
      <c r="B162" s="507" t="s">
        <v>3701</v>
      </c>
      <c r="C162" s="506" t="s">
        <v>32</v>
      </c>
      <c r="D162" s="508">
        <v>543816</v>
      </c>
      <c r="E162" s="507" t="s">
        <v>331</v>
      </c>
    </row>
    <row r="163" spans="1:5" ht="15" x14ac:dyDescent="0.3">
      <c r="A163" s="506">
        <v>6242</v>
      </c>
      <c r="B163" s="507" t="s">
        <v>3702</v>
      </c>
      <c r="C163" s="506" t="s">
        <v>32</v>
      </c>
      <c r="D163" s="508">
        <v>655823</v>
      </c>
      <c r="E163" s="507" t="s">
        <v>331</v>
      </c>
    </row>
    <row r="164" spans="1:5" ht="15" x14ac:dyDescent="0.3">
      <c r="A164" s="506">
        <v>6243</v>
      </c>
      <c r="B164" s="507" t="s">
        <v>3703</v>
      </c>
      <c r="C164" s="506" t="s">
        <v>32</v>
      </c>
      <c r="D164" s="508">
        <v>974974</v>
      </c>
      <c r="E164" s="507" t="s">
        <v>331</v>
      </c>
    </row>
    <row r="165" spans="1:5" ht="15" x14ac:dyDescent="0.3">
      <c r="A165" s="506">
        <v>6257</v>
      </c>
      <c r="B165" s="507" t="s">
        <v>3704</v>
      </c>
      <c r="C165" s="506" t="s">
        <v>328</v>
      </c>
      <c r="D165" s="508">
        <v>19650</v>
      </c>
      <c r="E165" s="507" t="s">
        <v>331</v>
      </c>
    </row>
    <row r="166" spans="1:5" ht="15" x14ac:dyDescent="0.3">
      <c r="A166" s="506">
        <v>6258</v>
      </c>
      <c r="B166" s="507" t="s">
        <v>3705</v>
      </c>
      <c r="C166" s="506" t="s">
        <v>328</v>
      </c>
      <c r="D166" s="508">
        <v>29250</v>
      </c>
      <c r="E166" s="507" t="s">
        <v>331</v>
      </c>
    </row>
    <row r="167" spans="1:5" ht="15" x14ac:dyDescent="0.3">
      <c r="A167" s="506">
        <v>6259</v>
      </c>
      <c r="B167" s="507" t="s">
        <v>3706</v>
      </c>
      <c r="C167" s="506" t="s">
        <v>328</v>
      </c>
      <c r="D167" s="508">
        <v>51431</v>
      </c>
      <c r="E167" s="507" t="s">
        <v>331</v>
      </c>
    </row>
    <row r="168" spans="1:5" ht="15" x14ac:dyDescent="0.3">
      <c r="A168" s="506">
        <v>6260</v>
      </c>
      <c r="B168" s="507" t="s">
        <v>3707</v>
      </c>
      <c r="C168" s="506" t="s">
        <v>328</v>
      </c>
      <c r="D168" s="508">
        <v>64984</v>
      </c>
      <c r="E168" s="507" t="s">
        <v>331</v>
      </c>
    </row>
    <row r="169" spans="1:5" ht="15" x14ac:dyDescent="0.3">
      <c r="A169" s="506">
        <v>6261</v>
      </c>
      <c r="B169" s="507" t="s">
        <v>3708</v>
      </c>
      <c r="C169" s="506" t="s">
        <v>328</v>
      </c>
      <c r="D169" s="508">
        <v>133504</v>
      </c>
      <c r="E169" s="507" t="s">
        <v>331</v>
      </c>
    </row>
    <row r="170" spans="1:5" ht="15" x14ac:dyDescent="0.3">
      <c r="A170" s="506">
        <v>6262</v>
      </c>
      <c r="B170" s="507" t="s">
        <v>3709</v>
      </c>
      <c r="C170" s="506" t="s">
        <v>328</v>
      </c>
      <c r="D170" s="508">
        <v>226138</v>
      </c>
      <c r="E170" s="507" t="s">
        <v>331</v>
      </c>
    </row>
    <row r="171" spans="1:5" ht="15" x14ac:dyDescent="0.3">
      <c r="A171" s="506">
        <v>6263</v>
      </c>
      <c r="B171" s="507" t="s">
        <v>3710</v>
      </c>
      <c r="C171" s="506" t="s">
        <v>328</v>
      </c>
      <c r="D171" s="508">
        <v>355986</v>
      </c>
      <c r="E171" s="507" t="s">
        <v>331</v>
      </c>
    </row>
    <row r="172" spans="1:5" ht="15" x14ac:dyDescent="0.3">
      <c r="A172" s="506">
        <v>6264</v>
      </c>
      <c r="B172" s="507" t="s">
        <v>3711</v>
      </c>
      <c r="C172" s="506" t="s">
        <v>328</v>
      </c>
      <c r="D172" s="508">
        <v>498094</v>
      </c>
      <c r="E172" s="507" t="s">
        <v>331</v>
      </c>
    </row>
    <row r="173" spans="1:5" ht="15" x14ac:dyDescent="0.3">
      <c r="A173" s="506">
        <v>6265</v>
      </c>
      <c r="B173" s="507" t="s">
        <v>3712</v>
      </c>
      <c r="C173" s="506" t="s">
        <v>328</v>
      </c>
      <c r="D173" s="508">
        <v>16305</v>
      </c>
      <c r="E173" s="507" t="s">
        <v>331</v>
      </c>
    </row>
    <row r="174" spans="1:5" ht="15" x14ac:dyDescent="0.3">
      <c r="A174" s="506">
        <v>6266</v>
      </c>
      <c r="B174" s="507" t="s">
        <v>3713</v>
      </c>
      <c r="C174" s="506" t="s">
        <v>328</v>
      </c>
      <c r="D174" s="508">
        <v>42650</v>
      </c>
      <c r="E174" s="507" t="s">
        <v>331</v>
      </c>
    </row>
    <row r="175" spans="1:5" ht="15" x14ac:dyDescent="0.3">
      <c r="A175" s="506">
        <v>6267</v>
      </c>
      <c r="B175" s="507" t="s">
        <v>3714</v>
      </c>
      <c r="C175" s="506" t="s">
        <v>328</v>
      </c>
      <c r="D175" s="508">
        <v>24300</v>
      </c>
      <c r="E175" s="507" t="s">
        <v>331</v>
      </c>
    </row>
    <row r="176" spans="1:5" ht="15" x14ac:dyDescent="0.3">
      <c r="A176" s="506">
        <v>6268</v>
      </c>
      <c r="B176" s="507" t="s">
        <v>3715</v>
      </c>
      <c r="C176" s="506" t="s">
        <v>328</v>
      </c>
      <c r="D176" s="508">
        <v>54714</v>
      </c>
      <c r="E176" s="507" t="s">
        <v>331</v>
      </c>
    </row>
    <row r="177" spans="1:5" ht="15" x14ac:dyDescent="0.3">
      <c r="A177" s="506">
        <v>6269</v>
      </c>
      <c r="B177" s="507" t="s">
        <v>3716</v>
      </c>
      <c r="C177" s="506" t="s">
        <v>328</v>
      </c>
      <c r="D177" s="508">
        <v>109342</v>
      </c>
      <c r="E177" s="507" t="s">
        <v>331</v>
      </c>
    </row>
    <row r="178" spans="1:5" ht="15" x14ac:dyDescent="0.3">
      <c r="A178" s="506">
        <v>6270</v>
      </c>
      <c r="B178" s="507" t="s">
        <v>3717</v>
      </c>
      <c r="C178" s="506" t="s">
        <v>328</v>
      </c>
      <c r="D178" s="508">
        <v>186019</v>
      </c>
      <c r="E178" s="507" t="s">
        <v>331</v>
      </c>
    </row>
    <row r="179" spans="1:5" ht="15" x14ac:dyDescent="0.3">
      <c r="A179" s="506">
        <v>6271</v>
      </c>
      <c r="B179" s="507" t="s">
        <v>3718</v>
      </c>
      <c r="C179" s="506" t="s">
        <v>328</v>
      </c>
      <c r="D179" s="508">
        <v>289540</v>
      </c>
      <c r="E179" s="507" t="s">
        <v>331</v>
      </c>
    </row>
    <row r="180" spans="1:5" ht="15" x14ac:dyDescent="0.3">
      <c r="A180" s="506">
        <v>6272</v>
      </c>
      <c r="B180" s="507" t="s">
        <v>3719</v>
      </c>
      <c r="C180" s="506" t="s">
        <v>328</v>
      </c>
      <c r="D180" s="508">
        <v>426706</v>
      </c>
      <c r="E180" s="507" t="s">
        <v>331</v>
      </c>
    </row>
    <row r="181" spans="1:5" ht="15" x14ac:dyDescent="0.3">
      <c r="A181" s="506">
        <v>6273</v>
      </c>
      <c r="B181" s="507" t="s">
        <v>3720</v>
      </c>
      <c r="C181" s="506" t="s">
        <v>328</v>
      </c>
      <c r="D181" s="508">
        <v>34368</v>
      </c>
      <c r="E181" s="507" t="s">
        <v>331</v>
      </c>
    </row>
    <row r="182" spans="1:5" ht="15" x14ac:dyDescent="0.3">
      <c r="A182" s="506">
        <v>6274</v>
      </c>
      <c r="B182" s="507" t="s">
        <v>3721</v>
      </c>
      <c r="C182" s="506" t="s">
        <v>328</v>
      </c>
      <c r="D182" s="508">
        <v>43680</v>
      </c>
      <c r="E182" s="507" t="s">
        <v>331</v>
      </c>
    </row>
    <row r="183" spans="1:5" ht="15" x14ac:dyDescent="0.3">
      <c r="A183" s="506">
        <v>6275</v>
      </c>
      <c r="B183" s="507" t="s">
        <v>3722</v>
      </c>
      <c r="C183" s="506" t="s">
        <v>328</v>
      </c>
      <c r="D183" s="508">
        <v>89215</v>
      </c>
      <c r="E183" s="507" t="s">
        <v>331</v>
      </c>
    </row>
    <row r="184" spans="1:5" ht="15" x14ac:dyDescent="0.3">
      <c r="A184" s="506">
        <v>6276</v>
      </c>
      <c r="B184" s="507" t="s">
        <v>3723</v>
      </c>
      <c r="C184" s="506" t="s">
        <v>328</v>
      </c>
      <c r="D184" s="508">
        <v>151802</v>
      </c>
      <c r="E184" s="507" t="s">
        <v>331</v>
      </c>
    </row>
    <row r="185" spans="1:5" ht="15" x14ac:dyDescent="0.3">
      <c r="A185" s="506">
        <v>6277</v>
      </c>
      <c r="B185" s="507" t="s">
        <v>3724</v>
      </c>
      <c r="C185" s="506" t="s">
        <v>328</v>
      </c>
      <c r="D185" s="508">
        <v>237290</v>
      </c>
      <c r="E185" s="507" t="s">
        <v>331</v>
      </c>
    </row>
    <row r="186" spans="1:5" ht="15" x14ac:dyDescent="0.3">
      <c r="A186" s="506">
        <v>6278</v>
      </c>
      <c r="B186" s="507" t="s">
        <v>3725</v>
      </c>
      <c r="C186" s="506" t="s">
        <v>328</v>
      </c>
      <c r="D186" s="508">
        <v>349472</v>
      </c>
      <c r="E186" s="507" t="s">
        <v>331</v>
      </c>
    </row>
    <row r="187" spans="1:5" ht="15" x14ac:dyDescent="0.3">
      <c r="A187" s="506">
        <v>6279</v>
      </c>
      <c r="B187" s="507" t="s">
        <v>3726</v>
      </c>
      <c r="C187" s="506" t="s">
        <v>328</v>
      </c>
      <c r="D187" s="508">
        <v>33921</v>
      </c>
      <c r="E187" s="507" t="s">
        <v>331</v>
      </c>
    </row>
    <row r="188" spans="1:5" ht="15" x14ac:dyDescent="0.3">
      <c r="A188" s="506">
        <v>6280</v>
      </c>
      <c r="B188" s="507" t="s">
        <v>3727</v>
      </c>
      <c r="C188" s="506" t="s">
        <v>328</v>
      </c>
      <c r="D188" s="508">
        <v>71911</v>
      </c>
      <c r="E188" s="507" t="s">
        <v>331</v>
      </c>
    </row>
    <row r="189" spans="1:5" ht="15" x14ac:dyDescent="0.3">
      <c r="A189" s="506">
        <v>6281</v>
      </c>
      <c r="B189" s="507" t="s">
        <v>3728</v>
      </c>
      <c r="C189" s="506" t="s">
        <v>328</v>
      </c>
      <c r="D189" s="508">
        <v>121461</v>
      </c>
      <c r="E189" s="507" t="s">
        <v>331</v>
      </c>
    </row>
    <row r="190" spans="1:5" ht="15" x14ac:dyDescent="0.3">
      <c r="A190" s="506">
        <v>6282</v>
      </c>
      <c r="B190" s="507" t="s">
        <v>3729</v>
      </c>
      <c r="C190" s="506" t="s">
        <v>328</v>
      </c>
      <c r="D190" s="508">
        <v>189934</v>
      </c>
      <c r="E190" s="507" t="s">
        <v>331</v>
      </c>
    </row>
    <row r="191" spans="1:5" ht="15" x14ac:dyDescent="0.3">
      <c r="A191" s="506">
        <v>6283</v>
      </c>
      <c r="B191" s="507" t="s">
        <v>3730</v>
      </c>
      <c r="C191" s="506" t="s">
        <v>328</v>
      </c>
      <c r="D191" s="508">
        <v>264191</v>
      </c>
      <c r="E191" s="507" t="s">
        <v>331</v>
      </c>
    </row>
    <row r="192" spans="1:5" ht="15" x14ac:dyDescent="0.3">
      <c r="A192" s="506">
        <v>6285</v>
      </c>
      <c r="B192" s="507" t="s">
        <v>3731</v>
      </c>
      <c r="C192" s="506" t="s">
        <v>30</v>
      </c>
      <c r="D192" s="508">
        <v>520646</v>
      </c>
      <c r="E192" s="507" t="s">
        <v>331</v>
      </c>
    </row>
    <row r="193" spans="1:5" ht="15" x14ac:dyDescent="0.3">
      <c r="A193" s="506">
        <v>6295</v>
      </c>
      <c r="B193" s="507" t="s">
        <v>3732</v>
      </c>
      <c r="C193" s="506" t="s">
        <v>32</v>
      </c>
      <c r="D193" s="508">
        <v>567630</v>
      </c>
      <c r="E193" s="507" t="s">
        <v>6108</v>
      </c>
    </row>
    <row r="194" spans="1:5" ht="15" x14ac:dyDescent="0.3">
      <c r="A194" s="506">
        <v>6296</v>
      </c>
      <c r="B194" s="507" t="s">
        <v>3733</v>
      </c>
      <c r="C194" s="506" t="s">
        <v>32</v>
      </c>
      <c r="D194" s="508">
        <v>729470</v>
      </c>
      <c r="E194" s="507" t="s">
        <v>6108</v>
      </c>
    </row>
    <row r="195" spans="1:5" ht="15" x14ac:dyDescent="0.3">
      <c r="A195" s="506">
        <v>6297</v>
      </c>
      <c r="B195" s="507" t="s">
        <v>3734</v>
      </c>
      <c r="C195" s="506" t="s">
        <v>32</v>
      </c>
      <c r="D195" s="508">
        <v>980560</v>
      </c>
      <c r="E195" s="507" t="s">
        <v>6108</v>
      </c>
    </row>
    <row r="196" spans="1:5" ht="15" x14ac:dyDescent="0.3">
      <c r="A196" s="506">
        <v>6298</v>
      </c>
      <c r="B196" s="507" t="s">
        <v>3735</v>
      </c>
      <c r="C196" s="506" t="s">
        <v>32</v>
      </c>
      <c r="D196" s="508">
        <v>755698</v>
      </c>
      <c r="E196" s="507" t="s">
        <v>6108</v>
      </c>
    </row>
    <row r="197" spans="1:5" ht="15" x14ac:dyDescent="0.3">
      <c r="A197" s="506">
        <v>6303</v>
      </c>
      <c r="B197" s="507" t="s">
        <v>3736</v>
      </c>
      <c r="C197" s="506" t="s">
        <v>32</v>
      </c>
      <c r="D197" s="508">
        <v>742560</v>
      </c>
      <c r="E197" s="507" t="s">
        <v>6108</v>
      </c>
    </row>
    <row r="198" spans="1:5" ht="15" x14ac:dyDescent="0.3">
      <c r="A198" s="506">
        <v>6304</v>
      </c>
      <c r="B198" s="507" t="s">
        <v>3737</v>
      </c>
      <c r="C198" s="506" t="s">
        <v>32</v>
      </c>
      <c r="D198" s="508">
        <v>903210</v>
      </c>
      <c r="E198" s="507" t="s">
        <v>6108</v>
      </c>
    </row>
    <row r="199" spans="1:5" ht="15" x14ac:dyDescent="0.3">
      <c r="A199" s="506">
        <v>6305</v>
      </c>
      <c r="B199" s="507" t="s">
        <v>3738</v>
      </c>
      <c r="C199" s="506" t="s">
        <v>32</v>
      </c>
      <c r="D199" s="508">
        <v>1276823</v>
      </c>
      <c r="E199" s="507" t="s">
        <v>6108</v>
      </c>
    </row>
    <row r="200" spans="1:5" ht="15" x14ac:dyDescent="0.3">
      <c r="A200" s="506">
        <v>6306</v>
      </c>
      <c r="B200" s="507" t="s">
        <v>3739</v>
      </c>
      <c r="C200" s="506" t="s">
        <v>32</v>
      </c>
      <c r="D200" s="508">
        <v>762790</v>
      </c>
      <c r="E200" s="507" t="s">
        <v>6108</v>
      </c>
    </row>
    <row r="201" spans="1:5" ht="15" x14ac:dyDescent="0.3">
      <c r="A201" s="506">
        <v>6307</v>
      </c>
      <c r="B201" s="507" t="s">
        <v>3740</v>
      </c>
      <c r="C201" s="506" t="s">
        <v>32</v>
      </c>
      <c r="D201" s="508">
        <v>985320</v>
      </c>
      <c r="E201" s="507" t="s">
        <v>6108</v>
      </c>
    </row>
    <row r="202" spans="1:5" ht="15" x14ac:dyDescent="0.3">
      <c r="A202" s="506">
        <v>6308</v>
      </c>
      <c r="B202" s="507" t="s">
        <v>3741</v>
      </c>
      <c r="C202" s="506" t="s">
        <v>32</v>
      </c>
      <c r="D202" s="508">
        <v>1122200</v>
      </c>
      <c r="E202" s="507" t="s">
        <v>6108</v>
      </c>
    </row>
    <row r="203" spans="1:5" ht="15" x14ac:dyDescent="0.3">
      <c r="A203" s="506">
        <v>6309</v>
      </c>
      <c r="B203" s="507" t="s">
        <v>3742</v>
      </c>
      <c r="C203" s="506" t="s">
        <v>32</v>
      </c>
      <c r="D203" s="508">
        <v>937720</v>
      </c>
      <c r="E203" s="507" t="s">
        <v>6108</v>
      </c>
    </row>
    <row r="204" spans="1:5" ht="15" x14ac:dyDescent="0.3">
      <c r="A204" s="506">
        <v>6310</v>
      </c>
      <c r="B204" s="507" t="s">
        <v>3743</v>
      </c>
      <c r="C204" s="506" t="s">
        <v>32</v>
      </c>
      <c r="D204" s="508">
        <v>1296000</v>
      </c>
      <c r="E204" s="507" t="s">
        <v>6108</v>
      </c>
    </row>
    <row r="205" spans="1:5" ht="15" x14ac:dyDescent="0.3">
      <c r="A205" s="506">
        <v>6311</v>
      </c>
      <c r="B205" s="507" t="s">
        <v>3744</v>
      </c>
      <c r="C205" s="506" t="s">
        <v>32</v>
      </c>
      <c r="D205" s="508">
        <v>2000000</v>
      </c>
      <c r="E205" s="507" t="s">
        <v>6108</v>
      </c>
    </row>
    <row r="206" spans="1:5" ht="15" x14ac:dyDescent="0.3">
      <c r="A206" s="506">
        <v>6312</v>
      </c>
      <c r="B206" s="507" t="s">
        <v>3745</v>
      </c>
      <c r="C206" s="506" t="s">
        <v>32</v>
      </c>
      <c r="D206" s="508">
        <v>1055292</v>
      </c>
      <c r="E206" s="507" t="s">
        <v>6108</v>
      </c>
    </row>
    <row r="207" spans="1:5" ht="15" x14ac:dyDescent="0.3">
      <c r="A207" s="506">
        <v>6314</v>
      </c>
      <c r="B207" s="507" t="s">
        <v>3746</v>
      </c>
      <c r="C207" s="506" t="s">
        <v>32</v>
      </c>
      <c r="D207" s="508">
        <v>1679150</v>
      </c>
      <c r="E207" s="507" t="s">
        <v>6108</v>
      </c>
    </row>
    <row r="208" spans="1:5" ht="15" x14ac:dyDescent="0.3">
      <c r="A208" s="506">
        <v>6315</v>
      </c>
      <c r="B208" s="507" t="s">
        <v>3747</v>
      </c>
      <c r="C208" s="506" t="s">
        <v>32</v>
      </c>
      <c r="D208" s="508">
        <v>1770720</v>
      </c>
      <c r="E208" s="507" t="s">
        <v>6108</v>
      </c>
    </row>
    <row r="209" spans="1:5" ht="15" x14ac:dyDescent="0.3">
      <c r="A209" s="506">
        <v>6316</v>
      </c>
      <c r="B209" s="507" t="s">
        <v>3748</v>
      </c>
      <c r="C209" s="506" t="s">
        <v>32</v>
      </c>
      <c r="D209" s="508">
        <v>2070600</v>
      </c>
      <c r="E209" s="507" t="s">
        <v>6108</v>
      </c>
    </row>
    <row r="210" spans="1:5" ht="15" x14ac:dyDescent="0.3">
      <c r="A210" s="506">
        <v>6317</v>
      </c>
      <c r="B210" s="507" t="s">
        <v>3749</v>
      </c>
      <c r="C210" s="506" t="s">
        <v>32</v>
      </c>
      <c r="D210" s="508">
        <v>2476390</v>
      </c>
      <c r="E210" s="507" t="s">
        <v>6108</v>
      </c>
    </row>
    <row r="211" spans="1:5" ht="15" x14ac:dyDescent="0.3">
      <c r="A211" s="506">
        <v>6318</v>
      </c>
      <c r="B211" s="507" t="s">
        <v>3750</v>
      </c>
      <c r="C211" s="506" t="s">
        <v>32</v>
      </c>
      <c r="D211" s="508">
        <v>1939224</v>
      </c>
      <c r="E211" s="507" t="s">
        <v>6108</v>
      </c>
    </row>
    <row r="212" spans="1:5" ht="15" x14ac:dyDescent="0.3">
      <c r="A212" s="506">
        <v>6319</v>
      </c>
      <c r="B212" s="507" t="s">
        <v>3751</v>
      </c>
      <c r="C212" s="506" t="s">
        <v>32</v>
      </c>
      <c r="D212" s="508">
        <v>2573637</v>
      </c>
      <c r="E212" s="507" t="s">
        <v>6108</v>
      </c>
    </row>
    <row r="213" spans="1:5" ht="15" x14ac:dyDescent="0.3">
      <c r="A213" s="506">
        <v>6320</v>
      </c>
      <c r="B213" s="507" t="s">
        <v>3752</v>
      </c>
      <c r="C213" s="506" t="s">
        <v>32</v>
      </c>
      <c r="D213" s="508">
        <v>3224044</v>
      </c>
      <c r="E213" s="507" t="s">
        <v>6108</v>
      </c>
    </row>
    <row r="214" spans="1:5" ht="15" x14ac:dyDescent="0.3">
      <c r="A214" s="506">
        <v>6324</v>
      </c>
      <c r="B214" s="507" t="s">
        <v>3753</v>
      </c>
      <c r="C214" s="506" t="s">
        <v>32</v>
      </c>
      <c r="D214" s="508">
        <v>4058495</v>
      </c>
      <c r="E214" s="507" t="s">
        <v>6108</v>
      </c>
    </row>
    <row r="215" spans="1:5" ht="15" x14ac:dyDescent="0.3">
      <c r="A215" s="506">
        <v>6326</v>
      </c>
      <c r="B215" s="507" t="s">
        <v>3754</v>
      </c>
      <c r="C215" s="506" t="s">
        <v>32</v>
      </c>
      <c r="D215" s="508">
        <v>3433864</v>
      </c>
      <c r="E215" s="507" t="s">
        <v>6108</v>
      </c>
    </row>
    <row r="216" spans="1:5" ht="15" x14ac:dyDescent="0.3">
      <c r="A216" s="506">
        <v>6327</v>
      </c>
      <c r="B216" s="507" t="s">
        <v>3755</v>
      </c>
      <c r="C216" s="506" t="s">
        <v>32</v>
      </c>
      <c r="D216" s="508">
        <v>1242539</v>
      </c>
      <c r="E216" s="507" t="s">
        <v>6108</v>
      </c>
    </row>
    <row r="217" spans="1:5" ht="15" x14ac:dyDescent="0.3">
      <c r="A217" s="506">
        <v>6328</v>
      </c>
      <c r="B217" s="507" t="s">
        <v>3756</v>
      </c>
      <c r="C217" s="506" t="s">
        <v>32</v>
      </c>
      <c r="D217" s="508">
        <v>1346069</v>
      </c>
      <c r="E217" s="507" t="s">
        <v>6108</v>
      </c>
    </row>
    <row r="218" spans="1:5" ht="15" x14ac:dyDescent="0.3">
      <c r="A218" s="506">
        <v>6329</v>
      </c>
      <c r="B218" s="507" t="s">
        <v>3757</v>
      </c>
      <c r="C218" s="506" t="s">
        <v>32</v>
      </c>
      <c r="D218" s="508">
        <v>214200</v>
      </c>
      <c r="E218" s="507" t="s">
        <v>6108</v>
      </c>
    </row>
    <row r="219" spans="1:5" ht="15" x14ac:dyDescent="0.3">
      <c r="A219" s="506">
        <v>6332</v>
      </c>
      <c r="B219" s="507" t="s">
        <v>3758</v>
      </c>
      <c r="C219" s="506" t="s">
        <v>32</v>
      </c>
      <c r="D219" s="508">
        <v>428400</v>
      </c>
      <c r="E219" s="507" t="s">
        <v>6108</v>
      </c>
    </row>
    <row r="220" spans="1:5" ht="15" x14ac:dyDescent="0.3">
      <c r="A220" s="506">
        <v>6333</v>
      </c>
      <c r="B220" s="507" t="s">
        <v>3759</v>
      </c>
      <c r="C220" s="506" t="s">
        <v>32</v>
      </c>
      <c r="D220" s="508">
        <v>666400</v>
      </c>
      <c r="E220" s="507" t="s">
        <v>6108</v>
      </c>
    </row>
    <row r="221" spans="1:5" ht="15" x14ac:dyDescent="0.3">
      <c r="A221" s="506">
        <v>6334</v>
      </c>
      <c r="B221" s="507" t="s">
        <v>3760</v>
      </c>
      <c r="C221" s="506" t="s">
        <v>32</v>
      </c>
      <c r="D221" s="508">
        <v>151033</v>
      </c>
      <c r="E221" s="507" t="s">
        <v>6108</v>
      </c>
    </row>
    <row r="222" spans="1:5" ht="15" x14ac:dyDescent="0.3">
      <c r="A222" s="506">
        <v>6335</v>
      </c>
      <c r="B222" s="507" t="s">
        <v>3761</v>
      </c>
      <c r="C222" s="506" t="s">
        <v>32</v>
      </c>
      <c r="D222" s="508">
        <v>226100</v>
      </c>
      <c r="E222" s="507" t="s">
        <v>6108</v>
      </c>
    </row>
    <row r="223" spans="1:5" ht="15" x14ac:dyDescent="0.3">
      <c r="A223" s="506">
        <v>6337</v>
      </c>
      <c r="B223" s="507" t="s">
        <v>3762</v>
      </c>
      <c r="C223" s="506" t="s">
        <v>32</v>
      </c>
      <c r="D223" s="508">
        <v>714000</v>
      </c>
      <c r="E223" s="507" t="s">
        <v>6108</v>
      </c>
    </row>
    <row r="224" spans="1:5" ht="15" x14ac:dyDescent="0.3">
      <c r="A224" s="506">
        <v>6356</v>
      </c>
      <c r="B224" s="507" t="s">
        <v>3763</v>
      </c>
      <c r="C224" s="506" t="s">
        <v>3582</v>
      </c>
      <c r="D224" s="508">
        <v>60609</v>
      </c>
      <c r="E224" s="507" t="s">
        <v>6108</v>
      </c>
    </row>
    <row r="225" spans="1:5" ht="15" x14ac:dyDescent="0.3">
      <c r="A225" s="506">
        <v>6370</v>
      </c>
      <c r="B225" s="507" t="s">
        <v>6110</v>
      </c>
      <c r="C225" s="506" t="s">
        <v>32</v>
      </c>
      <c r="D225" s="508">
        <v>499800</v>
      </c>
      <c r="E225" s="507" t="s">
        <v>6108</v>
      </c>
    </row>
    <row r="226" spans="1:5" ht="15" x14ac:dyDescent="0.3">
      <c r="A226" s="506">
        <v>6371</v>
      </c>
      <c r="B226" s="507" t="s">
        <v>6111</v>
      </c>
      <c r="C226" s="506" t="s">
        <v>32</v>
      </c>
      <c r="D226" s="508">
        <v>499800</v>
      </c>
      <c r="E226" s="507" t="s">
        <v>6108</v>
      </c>
    </row>
    <row r="227" spans="1:5" ht="15" x14ac:dyDescent="0.3">
      <c r="A227" s="506">
        <v>6372</v>
      </c>
      <c r="B227" s="507" t="s">
        <v>6112</v>
      </c>
      <c r="C227" s="506" t="s">
        <v>32</v>
      </c>
      <c r="D227" s="508">
        <v>553248</v>
      </c>
      <c r="E227" s="507" t="s">
        <v>6108</v>
      </c>
    </row>
    <row r="228" spans="1:5" ht="15" x14ac:dyDescent="0.3">
      <c r="A228" s="506">
        <v>6373</v>
      </c>
      <c r="B228" s="507" t="s">
        <v>6113</v>
      </c>
      <c r="C228" s="506" t="s">
        <v>32</v>
      </c>
      <c r="D228" s="508">
        <v>692295</v>
      </c>
      <c r="E228" s="507" t="s">
        <v>6108</v>
      </c>
    </row>
    <row r="229" spans="1:5" ht="15" x14ac:dyDescent="0.3">
      <c r="A229" s="506">
        <v>6375</v>
      </c>
      <c r="B229" s="507" t="s">
        <v>6114</v>
      </c>
      <c r="C229" s="506" t="s">
        <v>32</v>
      </c>
      <c r="D229" s="508">
        <v>743750</v>
      </c>
      <c r="E229" s="507" t="s">
        <v>6108</v>
      </c>
    </row>
    <row r="230" spans="1:5" ht="15" x14ac:dyDescent="0.3">
      <c r="A230" s="506">
        <v>6376</v>
      </c>
      <c r="B230" s="507" t="s">
        <v>6115</v>
      </c>
      <c r="C230" s="506" t="s">
        <v>32</v>
      </c>
      <c r="D230" s="508">
        <v>827050</v>
      </c>
      <c r="E230" s="507" t="s">
        <v>6108</v>
      </c>
    </row>
    <row r="231" spans="1:5" ht="15" x14ac:dyDescent="0.3">
      <c r="A231" s="506">
        <v>6377</v>
      </c>
      <c r="B231" s="507" t="s">
        <v>6116</v>
      </c>
      <c r="C231" s="506" t="s">
        <v>32</v>
      </c>
      <c r="D231" s="508">
        <v>1154641</v>
      </c>
      <c r="E231" s="507" t="s">
        <v>6108</v>
      </c>
    </row>
    <row r="232" spans="1:5" ht="15" x14ac:dyDescent="0.3">
      <c r="A232" s="506">
        <v>6378</v>
      </c>
      <c r="B232" s="507" t="s">
        <v>6117</v>
      </c>
      <c r="C232" s="506" t="s">
        <v>32</v>
      </c>
      <c r="D232" s="508">
        <v>1207680</v>
      </c>
      <c r="E232" s="507" t="s">
        <v>6108</v>
      </c>
    </row>
    <row r="233" spans="1:5" ht="15" x14ac:dyDescent="0.3">
      <c r="A233" s="506">
        <v>6379</v>
      </c>
      <c r="B233" s="507" t="s">
        <v>6118</v>
      </c>
      <c r="C233" s="506" t="s">
        <v>32</v>
      </c>
      <c r="D233" s="508">
        <v>1209312</v>
      </c>
      <c r="E233" s="507" t="s">
        <v>6108</v>
      </c>
    </row>
    <row r="234" spans="1:5" ht="15" x14ac:dyDescent="0.3">
      <c r="A234" s="506">
        <v>6380</v>
      </c>
      <c r="B234" s="507" t="s">
        <v>6119</v>
      </c>
      <c r="C234" s="506" t="s">
        <v>32</v>
      </c>
      <c r="D234" s="508">
        <v>1374450</v>
      </c>
      <c r="E234" s="507" t="s">
        <v>6108</v>
      </c>
    </row>
    <row r="235" spans="1:5" ht="15" x14ac:dyDescent="0.3">
      <c r="A235" s="506">
        <v>6381</v>
      </c>
      <c r="B235" s="507" t="s">
        <v>6120</v>
      </c>
      <c r="C235" s="506" t="s">
        <v>32</v>
      </c>
      <c r="D235" s="508">
        <v>1677900</v>
      </c>
      <c r="E235" s="507" t="s">
        <v>6108</v>
      </c>
    </row>
    <row r="236" spans="1:5" ht="15" x14ac:dyDescent="0.3">
      <c r="A236" s="506">
        <v>6382</v>
      </c>
      <c r="B236" s="507" t="s">
        <v>6121</v>
      </c>
      <c r="C236" s="506" t="s">
        <v>32</v>
      </c>
      <c r="D236" s="508">
        <v>1731450</v>
      </c>
      <c r="E236" s="507" t="s">
        <v>6108</v>
      </c>
    </row>
    <row r="237" spans="1:5" ht="15" x14ac:dyDescent="0.3">
      <c r="A237" s="506">
        <v>6383</v>
      </c>
      <c r="B237" s="507" t="s">
        <v>6122</v>
      </c>
      <c r="C237" s="506" t="s">
        <v>32</v>
      </c>
      <c r="D237" s="508">
        <v>1981350</v>
      </c>
      <c r="E237" s="507" t="s">
        <v>6108</v>
      </c>
    </row>
    <row r="238" spans="1:5" ht="15" x14ac:dyDescent="0.3">
      <c r="A238" s="506">
        <v>6384</v>
      </c>
      <c r="B238" s="507" t="s">
        <v>6123</v>
      </c>
      <c r="C238" s="506" t="s">
        <v>32</v>
      </c>
      <c r="D238" s="508">
        <v>2255050</v>
      </c>
      <c r="E238" s="507" t="s">
        <v>6108</v>
      </c>
    </row>
    <row r="239" spans="1:5" ht="15" x14ac:dyDescent="0.3">
      <c r="A239" s="506">
        <v>6385</v>
      </c>
      <c r="B239" s="507" t="s">
        <v>6124</v>
      </c>
      <c r="C239" s="506" t="s">
        <v>32</v>
      </c>
      <c r="D239" s="508">
        <v>2802450</v>
      </c>
      <c r="E239" s="507" t="s">
        <v>6108</v>
      </c>
    </row>
    <row r="240" spans="1:5" ht="15" x14ac:dyDescent="0.3">
      <c r="A240" s="506">
        <v>6387</v>
      </c>
      <c r="B240" s="507" t="s">
        <v>6125</v>
      </c>
      <c r="C240" s="506" t="s">
        <v>32</v>
      </c>
      <c r="D240" s="508">
        <v>1810509</v>
      </c>
      <c r="E240" s="507" t="s">
        <v>6108</v>
      </c>
    </row>
    <row r="241" spans="1:5" ht="15" x14ac:dyDescent="0.3">
      <c r="A241" s="506">
        <v>6388</v>
      </c>
      <c r="B241" s="507" t="s">
        <v>6126</v>
      </c>
      <c r="C241" s="506" t="s">
        <v>32</v>
      </c>
      <c r="D241" s="508">
        <v>2142000</v>
      </c>
      <c r="E241" s="507" t="s">
        <v>6108</v>
      </c>
    </row>
    <row r="242" spans="1:5" ht="15" x14ac:dyDescent="0.3">
      <c r="A242" s="506">
        <v>6389</v>
      </c>
      <c r="B242" s="507" t="s">
        <v>6127</v>
      </c>
      <c r="C242" s="506" t="s">
        <v>32</v>
      </c>
      <c r="D242" s="508">
        <v>2171750</v>
      </c>
      <c r="E242" s="507" t="s">
        <v>6108</v>
      </c>
    </row>
    <row r="243" spans="1:5" ht="15" x14ac:dyDescent="0.3">
      <c r="A243" s="506">
        <v>6390</v>
      </c>
      <c r="B243" s="507" t="s">
        <v>6128</v>
      </c>
      <c r="C243" s="506" t="s">
        <v>32</v>
      </c>
      <c r="D243" s="508">
        <v>2308600</v>
      </c>
      <c r="E243" s="507" t="s">
        <v>6108</v>
      </c>
    </row>
    <row r="244" spans="1:5" ht="15" x14ac:dyDescent="0.3">
      <c r="A244" s="506">
        <v>6391</v>
      </c>
      <c r="B244" s="507" t="s">
        <v>6129</v>
      </c>
      <c r="C244" s="506" t="s">
        <v>32</v>
      </c>
      <c r="D244" s="508">
        <v>2778650</v>
      </c>
      <c r="E244" s="507" t="s">
        <v>6108</v>
      </c>
    </row>
    <row r="245" spans="1:5" ht="15" x14ac:dyDescent="0.3">
      <c r="A245" s="506">
        <v>6392</v>
      </c>
      <c r="B245" s="507" t="s">
        <v>6130</v>
      </c>
      <c r="C245" s="506" t="s">
        <v>32</v>
      </c>
      <c r="D245" s="508">
        <v>3296300</v>
      </c>
      <c r="E245" s="507" t="s">
        <v>6108</v>
      </c>
    </row>
    <row r="246" spans="1:5" ht="15" x14ac:dyDescent="0.3">
      <c r="A246" s="506">
        <v>6393</v>
      </c>
      <c r="B246" s="507" t="s">
        <v>6131</v>
      </c>
      <c r="C246" s="506" t="s">
        <v>32</v>
      </c>
      <c r="D246" s="508">
        <v>7369906</v>
      </c>
      <c r="E246" s="507" t="s">
        <v>6108</v>
      </c>
    </row>
    <row r="247" spans="1:5" ht="15" x14ac:dyDescent="0.3">
      <c r="A247" s="506">
        <v>6394</v>
      </c>
      <c r="B247" s="507" t="s">
        <v>6132</v>
      </c>
      <c r="C247" s="506" t="s">
        <v>32</v>
      </c>
      <c r="D247" s="508">
        <v>8394598</v>
      </c>
      <c r="E247" s="507" t="s">
        <v>6108</v>
      </c>
    </row>
    <row r="248" spans="1:5" ht="15" x14ac:dyDescent="0.3">
      <c r="A248" s="506">
        <v>6395</v>
      </c>
      <c r="B248" s="507" t="s">
        <v>6133</v>
      </c>
      <c r="C248" s="506" t="s">
        <v>32</v>
      </c>
      <c r="D248" s="508">
        <v>9182824</v>
      </c>
      <c r="E248" s="507" t="s">
        <v>6108</v>
      </c>
    </row>
    <row r="249" spans="1:5" ht="15" x14ac:dyDescent="0.3">
      <c r="A249" s="506">
        <v>6396</v>
      </c>
      <c r="B249" s="507" t="s">
        <v>6134</v>
      </c>
      <c r="C249" s="506" t="s">
        <v>32</v>
      </c>
      <c r="D249" s="508">
        <v>9773993</v>
      </c>
      <c r="E249" s="507" t="s">
        <v>6108</v>
      </c>
    </row>
    <row r="250" spans="1:5" ht="15" x14ac:dyDescent="0.3">
      <c r="A250" s="506">
        <v>6397</v>
      </c>
      <c r="B250" s="507" t="s">
        <v>6135</v>
      </c>
      <c r="C250" s="506" t="s">
        <v>32</v>
      </c>
      <c r="D250" s="508">
        <v>10246928</v>
      </c>
      <c r="E250" s="507" t="s">
        <v>6108</v>
      </c>
    </row>
    <row r="251" spans="1:5" ht="15" x14ac:dyDescent="0.3">
      <c r="A251" s="506">
        <v>6398</v>
      </c>
      <c r="B251" s="507" t="s">
        <v>6136</v>
      </c>
      <c r="C251" s="506" t="s">
        <v>32</v>
      </c>
      <c r="D251" s="508">
        <v>11074564</v>
      </c>
      <c r="E251" s="507" t="s">
        <v>6108</v>
      </c>
    </row>
    <row r="252" spans="1:5" ht="15" x14ac:dyDescent="0.3">
      <c r="A252" s="506">
        <v>6399</v>
      </c>
      <c r="B252" s="507" t="s">
        <v>6137</v>
      </c>
      <c r="C252" s="506" t="s">
        <v>32</v>
      </c>
      <c r="D252" s="508">
        <v>11665734</v>
      </c>
      <c r="E252" s="507" t="s">
        <v>6108</v>
      </c>
    </row>
    <row r="253" spans="1:5" ht="15" x14ac:dyDescent="0.3">
      <c r="A253" s="506">
        <v>6400</v>
      </c>
      <c r="B253" s="507" t="s">
        <v>6138</v>
      </c>
      <c r="C253" s="506" t="s">
        <v>32</v>
      </c>
      <c r="D253" s="508">
        <v>13321007</v>
      </c>
      <c r="E253" s="507" t="s">
        <v>6108</v>
      </c>
    </row>
    <row r="254" spans="1:5" ht="15" x14ac:dyDescent="0.3">
      <c r="A254" s="506">
        <v>6401</v>
      </c>
      <c r="B254" s="507" t="s">
        <v>6139</v>
      </c>
      <c r="C254" s="506" t="s">
        <v>32</v>
      </c>
      <c r="D254" s="508">
        <v>279650</v>
      </c>
      <c r="E254" s="507" t="s">
        <v>6108</v>
      </c>
    </row>
    <row r="255" spans="1:5" ht="15" x14ac:dyDescent="0.3">
      <c r="A255" s="506">
        <v>6402</v>
      </c>
      <c r="B255" s="507" t="s">
        <v>6140</v>
      </c>
      <c r="C255" s="506" t="s">
        <v>32</v>
      </c>
      <c r="D255" s="508">
        <v>398861</v>
      </c>
      <c r="E255" s="507" t="s">
        <v>6108</v>
      </c>
    </row>
    <row r="256" spans="1:5" ht="15" x14ac:dyDescent="0.3">
      <c r="A256" s="506">
        <v>6404</v>
      </c>
      <c r="B256" s="507" t="s">
        <v>6141</v>
      </c>
      <c r="C256" s="506" t="s">
        <v>32</v>
      </c>
      <c r="D256" s="508">
        <v>127330</v>
      </c>
      <c r="E256" s="507" t="s">
        <v>6108</v>
      </c>
    </row>
    <row r="257" spans="1:5" ht="15" x14ac:dyDescent="0.3">
      <c r="A257" s="506">
        <v>6405</v>
      </c>
      <c r="B257" s="507" t="s">
        <v>6142</v>
      </c>
      <c r="C257" s="506" t="s">
        <v>32</v>
      </c>
      <c r="D257" s="508">
        <v>198057</v>
      </c>
      <c r="E257" s="507" t="s">
        <v>6108</v>
      </c>
    </row>
    <row r="258" spans="1:5" ht="15" x14ac:dyDescent="0.3">
      <c r="A258" s="506">
        <v>6406</v>
      </c>
      <c r="B258" s="507" t="s">
        <v>6143</v>
      </c>
      <c r="C258" s="506" t="s">
        <v>32</v>
      </c>
      <c r="D258" s="508">
        <v>262523</v>
      </c>
      <c r="E258" s="507" t="s">
        <v>6108</v>
      </c>
    </row>
    <row r="259" spans="1:5" ht="15" x14ac:dyDescent="0.3">
      <c r="A259" s="506">
        <v>6407</v>
      </c>
      <c r="B259" s="507" t="s">
        <v>6144</v>
      </c>
      <c r="C259" s="506" t="s">
        <v>32</v>
      </c>
      <c r="D259" s="508">
        <v>529550</v>
      </c>
      <c r="E259" s="507" t="s">
        <v>6108</v>
      </c>
    </row>
    <row r="260" spans="1:5" ht="15" x14ac:dyDescent="0.3">
      <c r="A260" s="506">
        <v>6408</v>
      </c>
      <c r="B260" s="507" t="s">
        <v>6145</v>
      </c>
      <c r="C260" s="506" t="s">
        <v>32</v>
      </c>
      <c r="D260" s="508">
        <v>981750</v>
      </c>
      <c r="E260" s="507" t="s">
        <v>6108</v>
      </c>
    </row>
    <row r="261" spans="1:5" ht="15" x14ac:dyDescent="0.3">
      <c r="A261" s="506">
        <v>6409</v>
      </c>
      <c r="B261" s="507" t="s">
        <v>6146</v>
      </c>
      <c r="C261" s="506" t="s">
        <v>32</v>
      </c>
      <c r="D261" s="508">
        <v>1796900</v>
      </c>
      <c r="E261" s="507" t="s">
        <v>6108</v>
      </c>
    </row>
    <row r="262" spans="1:5" ht="15" x14ac:dyDescent="0.3">
      <c r="A262" s="506">
        <v>6410</v>
      </c>
      <c r="B262" s="507" t="s">
        <v>6147</v>
      </c>
      <c r="C262" s="506" t="s">
        <v>32</v>
      </c>
      <c r="D262" s="508">
        <v>2177700</v>
      </c>
      <c r="E262" s="507" t="s">
        <v>6108</v>
      </c>
    </row>
    <row r="263" spans="1:5" ht="15" x14ac:dyDescent="0.3">
      <c r="A263" s="506">
        <v>6411</v>
      </c>
      <c r="B263" s="507" t="s">
        <v>6148</v>
      </c>
      <c r="C263" s="506" t="s">
        <v>32</v>
      </c>
      <c r="D263" s="508">
        <v>2904563</v>
      </c>
      <c r="E263" s="507" t="s">
        <v>6108</v>
      </c>
    </row>
    <row r="264" spans="1:5" ht="15" x14ac:dyDescent="0.3">
      <c r="A264" s="506">
        <v>6412</v>
      </c>
      <c r="B264" s="507" t="s">
        <v>6149</v>
      </c>
      <c r="C264" s="506" t="s">
        <v>32</v>
      </c>
      <c r="D264" s="508">
        <v>3807860</v>
      </c>
      <c r="E264" s="507" t="s">
        <v>6108</v>
      </c>
    </row>
    <row r="265" spans="1:5" ht="15" x14ac:dyDescent="0.3">
      <c r="A265" s="506">
        <v>6413</v>
      </c>
      <c r="B265" s="507" t="s">
        <v>6150</v>
      </c>
      <c r="C265" s="506" t="s">
        <v>32</v>
      </c>
      <c r="D265" s="508">
        <v>4811432</v>
      </c>
      <c r="E265" s="507" t="s">
        <v>6108</v>
      </c>
    </row>
    <row r="266" spans="1:5" ht="15" x14ac:dyDescent="0.3">
      <c r="A266" s="506">
        <v>6414</v>
      </c>
      <c r="B266" s="507" t="s">
        <v>6151</v>
      </c>
      <c r="C266" s="506" t="s">
        <v>32</v>
      </c>
      <c r="D266" s="508">
        <v>6021709</v>
      </c>
      <c r="E266" s="507" t="s">
        <v>6108</v>
      </c>
    </row>
    <row r="267" spans="1:5" ht="15" x14ac:dyDescent="0.3">
      <c r="A267" s="506">
        <v>6416</v>
      </c>
      <c r="B267" s="507" t="s">
        <v>6152</v>
      </c>
      <c r="C267" s="506" t="s">
        <v>32</v>
      </c>
      <c r="D267" s="508">
        <v>147560</v>
      </c>
      <c r="E267" s="507" t="s">
        <v>6108</v>
      </c>
    </row>
    <row r="268" spans="1:5" ht="15" x14ac:dyDescent="0.3">
      <c r="A268" s="506">
        <v>6417</v>
      </c>
      <c r="B268" s="507" t="s">
        <v>6153</v>
      </c>
      <c r="C268" s="506" t="s">
        <v>32</v>
      </c>
      <c r="D268" s="508">
        <v>180880</v>
      </c>
      <c r="E268" s="507" t="s">
        <v>6108</v>
      </c>
    </row>
    <row r="269" spans="1:5" ht="15" x14ac:dyDescent="0.3">
      <c r="A269" s="506">
        <v>6418</v>
      </c>
      <c r="B269" s="507" t="s">
        <v>6154</v>
      </c>
      <c r="C269" s="506" t="s">
        <v>32</v>
      </c>
      <c r="D269" s="508">
        <v>232596</v>
      </c>
      <c r="E269" s="507" t="s">
        <v>6108</v>
      </c>
    </row>
    <row r="270" spans="1:5" ht="15" x14ac:dyDescent="0.3">
      <c r="A270" s="506">
        <v>6419</v>
      </c>
      <c r="B270" s="507" t="s">
        <v>6155</v>
      </c>
      <c r="C270" s="506" t="s">
        <v>32</v>
      </c>
      <c r="D270" s="508">
        <v>446250</v>
      </c>
      <c r="E270" s="507" t="s">
        <v>6108</v>
      </c>
    </row>
    <row r="271" spans="1:5" ht="15" x14ac:dyDescent="0.3">
      <c r="A271" s="506">
        <v>6420</v>
      </c>
      <c r="B271" s="507" t="s">
        <v>6156</v>
      </c>
      <c r="C271" s="506" t="s">
        <v>32</v>
      </c>
      <c r="D271" s="508">
        <v>928200</v>
      </c>
      <c r="E271" s="507" t="s">
        <v>6108</v>
      </c>
    </row>
    <row r="272" spans="1:5" ht="15" x14ac:dyDescent="0.3">
      <c r="A272" s="506">
        <v>6421</v>
      </c>
      <c r="B272" s="507" t="s">
        <v>6157</v>
      </c>
      <c r="C272" s="506" t="s">
        <v>32</v>
      </c>
      <c r="D272" s="508">
        <v>1529150</v>
      </c>
      <c r="E272" s="507" t="s">
        <v>6108</v>
      </c>
    </row>
    <row r="273" spans="1:5" ht="15" x14ac:dyDescent="0.3">
      <c r="A273" s="506">
        <v>6422</v>
      </c>
      <c r="B273" s="507" t="s">
        <v>6158</v>
      </c>
      <c r="C273" s="506" t="s">
        <v>32</v>
      </c>
      <c r="D273" s="508">
        <v>2088450</v>
      </c>
      <c r="E273" s="507" t="s">
        <v>6108</v>
      </c>
    </row>
    <row r="274" spans="1:5" ht="15" x14ac:dyDescent="0.3">
      <c r="A274" s="506">
        <v>6423</v>
      </c>
      <c r="B274" s="507" t="s">
        <v>6159</v>
      </c>
      <c r="C274" s="506" t="s">
        <v>32</v>
      </c>
      <c r="D274" s="508">
        <v>2066265</v>
      </c>
      <c r="E274" s="507" t="s">
        <v>6108</v>
      </c>
    </row>
    <row r="275" spans="1:5" ht="15" x14ac:dyDescent="0.3">
      <c r="A275" s="506">
        <v>6424</v>
      </c>
      <c r="B275" s="507" t="s">
        <v>6160</v>
      </c>
      <c r="C275" s="506" t="s">
        <v>32</v>
      </c>
      <c r="D275" s="508">
        <v>2672581</v>
      </c>
      <c r="E275" s="507" t="s">
        <v>6108</v>
      </c>
    </row>
    <row r="276" spans="1:5" ht="15" x14ac:dyDescent="0.3">
      <c r="A276" s="506">
        <v>6425</v>
      </c>
      <c r="B276" s="507" t="s">
        <v>6161</v>
      </c>
      <c r="C276" s="506" t="s">
        <v>32</v>
      </c>
      <c r="D276" s="508">
        <v>3630717</v>
      </c>
      <c r="E276" s="507" t="s">
        <v>6108</v>
      </c>
    </row>
    <row r="277" spans="1:5" ht="15" x14ac:dyDescent="0.3">
      <c r="A277" s="506">
        <v>6426</v>
      </c>
      <c r="B277" s="507" t="s">
        <v>6162</v>
      </c>
      <c r="C277" s="506" t="s">
        <v>32</v>
      </c>
      <c r="D277" s="508">
        <v>5228607</v>
      </c>
      <c r="E277" s="507" t="s">
        <v>6108</v>
      </c>
    </row>
    <row r="278" spans="1:5" ht="15" x14ac:dyDescent="0.3">
      <c r="A278" s="506">
        <v>6430</v>
      </c>
      <c r="B278" s="507" t="s">
        <v>6163</v>
      </c>
      <c r="C278" s="506" t="s">
        <v>32</v>
      </c>
      <c r="D278" s="508">
        <v>214149</v>
      </c>
      <c r="E278" s="507" t="s">
        <v>6108</v>
      </c>
    </row>
    <row r="279" spans="1:5" ht="15" x14ac:dyDescent="0.3">
      <c r="A279" s="506">
        <v>6431</v>
      </c>
      <c r="B279" s="507" t="s">
        <v>6164</v>
      </c>
      <c r="C279" s="506" t="s">
        <v>32</v>
      </c>
      <c r="D279" s="508">
        <v>368900</v>
      </c>
      <c r="E279" s="507" t="s">
        <v>6108</v>
      </c>
    </row>
    <row r="280" spans="1:5" ht="15" x14ac:dyDescent="0.3">
      <c r="A280" s="506">
        <v>6434</v>
      </c>
      <c r="B280" s="507" t="s">
        <v>6165</v>
      </c>
      <c r="C280" s="506" t="s">
        <v>32</v>
      </c>
      <c r="D280" s="508">
        <v>1814750</v>
      </c>
      <c r="E280" s="507" t="s">
        <v>6108</v>
      </c>
    </row>
    <row r="281" spans="1:5" ht="15" x14ac:dyDescent="0.3">
      <c r="A281" s="506">
        <v>6440</v>
      </c>
      <c r="B281" s="507" t="s">
        <v>6166</v>
      </c>
      <c r="C281" s="506" t="s">
        <v>32</v>
      </c>
      <c r="D281" s="508">
        <v>114240</v>
      </c>
      <c r="E281" s="507" t="s">
        <v>6108</v>
      </c>
    </row>
    <row r="282" spans="1:5" ht="15" x14ac:dyDescent="0.3">
      <c r="A282" s="506">
        <v>6441</v>
      </c>
      <c r="B282" s="507" t="s">
        <v>6167</v>
      </c>
      <c r="C282" s="506" t="s">
        <v>32</v>
      </c>
      <c r="D282" s="508">
        <v>170170</v>
      </c>
      <c r="E282" s="507" t="s">
        <v>6108</v>
      </c>
    </row>
    <row r="283" spans="1:5" ht="15" x14ac:dyDescent="0.3">
      <c r="A283" s="506">
        <v>6442</v>
      </c>
      <c r="B283" s="507" t="s">
        <v>6168</v>
      </c>
      <c r="C283" s="506" t="s">
        <v>32</v>
      </c>
      <c r="D283" s="508">
        <v>204926</v>
      </c>
      <c r="E283" s="507" t="s">
        <v>6108</v>
      </c>
    </row>
    <row r="284" spans="1:5" ht="15" x14ac:dyDescent="0.3">
      <c r="A284" s="506">
        <v>6443</v>
      </c>
      <c r="B284" s="507" t="s">
        <v>6169</v>
      </c>
      <c r="C284" s="506" t="s">
        <v>32</v>
      </c>
      <c r="D284" s="508">
        <v>357000</v>
      </c>
      <c r="E284" s="507" t="s">
        <v>6108</v>
      </c>
    </row>
    <row r="285" spans="1:5" ht="15" x14ac:dyDescent="0.3">
      <c r="A285" s="506">
        <v>6446</v>
      </c>
      <c r="B285" s="507" t="s">
        <v>6170</v>
      </c>
      <c r="C285" s="506" t="s">
        <v>32</v>
      </c>
      <c r="D285" s="508">
        <v>1564850</v>
      </c>
      <c r="E285" s="507" t="s">
        <v>6108</v>
      </c>
    </row>
    <row r="286" spans="1:5" ht="15" x14ac:dyDescent="0.3">
      <c r="A286" s="506">
        <v>6454</v>
      </c>
      <c r="B286" s="507" t="s">
        <v>6171</v>
      </c>
      <c r="C286" s="506" t="s">
        <v>32</v>
      </c>
      <c r="D286" s="508">
        <v>263915</v>
      </c>
      <c r="E286" s="507" t="s">
        <v>6108</v>
      </c>
    </row>
    <row r="287" spans="1:5" ht="15" x14ac:dyDescent="0.3">
      <c r="A287" s="506">
        <v>6455</v>
      </c>
      <c r="B287" s="507" t="s">
        <v>6172</v>
      </c>
      <c r="C287" s="506" t="s">
        <v>32</v>
      </c>
      <c r="D287" s="508">
        <v>420951</v>
      </c>
      <c r="E287" s="507" t="s">
        <v>6108</v>
      </c>
    </row>
    <row r="288" spans="1:5" ht="15" x14ac:dyDescent="0.3">
      <c r="A288" s="506">
        <v>6456</v>
      </c>
      <c r="B288" s="507" t="s">
        <v>6173</v>
      </c>
      <c r="C288" s="506" t="s">
        <v>32</v>
      </c>
      <c r="D288" s="508">
        <v>931151</v>
      </c>
      <c r="E288" s="507" t="s">
        <v>6108</v>
      </c>
    </row>
    <row r="289" spans="1:5" ht="15" x14ac:dyDescent="0.3">
      <c r="A289" s="506">
        <v>6457</v>
      </c>
      <c r="B289" s="507" t="s">
        <v>6174</v>
      </c>
      <c r="C289" s="506" t="s">
        <v>32</v>
      </c>
      <c r="D289" s="508">
        <v>1120879</v>
      </c>
      <c r="E289" s="507" t="s">
        <v>6108</v>
      </c>
    </row>
    <row r="290" spans="1:5" ht="15" x14ac:dyDescent="0.3">
      <c r="A290" s="506">
        <v>6458</v>
      </c>
      <c r="B290" s="507" t="s">
        <v>6175</v>
      </c>
      <c r="C290" s="506" t="s">
        <v>32</v>
      </c>
      <c r="D290" s="508">
        <v>1351869</v>
      </c>
      <c r="E290" s="507" t="s">
        <v>6108</v>
      </c>
    </row>
    <row r="291" spans="1:5" ht="15" x14ac:dyDescent="0.3">
      <c r="A291" s="506">
        <v>6459</v>
      </c>
      <c r="B291" s="507" t="s">
        <v>6176</v>
      </c>
      <c r="C291" s="506" t="s">
        <v>32</v>
      </c>
      <c r="D291" s="508">
        <v>1455859</v>
      </c>
      <c r="E291" s="507" t="s">
        <v>6108</v>
      </c>
    </row>
    <row r="292" spans="1:5" ht="15" x14ac:dyDescent="0.3">
      <c r="A292" s="506">
        <v>6462</v>
      </c>
      <c r="B292" s="507" t="s">
        <v>6177</v>
      </c>
      <c r="C292" s="506" t="s">
        <v>32</v>
      </c>
      <c r="D292" s="508">
        <v>155890</v>
      </c>
      <c r="E292" s="507" t="s">
        <v>6108</v>
      </c>
    </row>
    <row r="293" spans="1:5" ht="15" x14ac:dyDescent="0.3">
      <c r="A293" s="506">
        <v>6463</v>
      </c>
      <c r="B293" s="507" t="s">
        <v>6178</v>
      </c>
      <c r="C293" s="506" t="s">
        <v>32</v>
      </c>
      <c r="D293" s="508">
        <v>358190</v>
      </c>
      <c r="E293" s="507" t="s">
        <v>6108</v>
      </c>
    </row>
    <row r="294" spans="1:5" ht="15" x14ac:dyDescent="0.3">
      <c r="A294" s="506">
        <v>6464</v>
      </c>
      <c r="B294" s="507" t="s">
        <v>6179</v>
      </c>
      <c r="C294" s="506" t="s">
        <v>32</v>
      </c>
      <c r="D294" s="508">
        <v>719950</v>
      </c>
      <c r="E294" s="507" t="s">
        <v>6108</v>
      </c>
    </row>
    <row r="295" spans="1:5" ht="15" x14ac:dyDescent="0.3">
      <c r="A295" s="506">
        <v>6472</v>
      </c>
      <c r="B295" s="507" t="s">
        <v>3764</v>
      </c>
      <c r="C295" s="506" t="s">
        <v>328</v>
      </c>
      <c r="D295" s="508">
        <v>5567</v>
      </c>
      <c r="E295" s="507" t="s">
        <v>331</v>
      </c>
    </row>
    <row r="296" spans="1:5" ht="15" x14ac:dyDescent="0.3">
      <c r="A296" s="506">
        <v>6473</v>
      </c>
      <c r="B296" s="507" t="s">
        <v>3765</v>
      </c>
      <c r="C296" s="506" t="s">
        <v>328</v>
      </c>
      <c r="D296" s="508">
        <v>8609</v>
      </c>
      <c r="E296" s="507" t="s">
        <v>331</v>
      </c>
    </row>
    <row r="297" spans="1:5" ht="15" x14ac:dyDescent="0.3">
      <c r="A297" s="506">
        <v>6474</v>
      </c>
      <c r="B297" s="507" t="s">
        <v>3766</v>
      </c>
      <c r="C297" s="506" t="s">
        <v>328</v>
      </c>
      <c r="D297" s="508">
        <v>10973</v>
      </c>
      <c r="E297" s="507" t="s">
        <v>331</v>
      </c>
    </row>
    <row r="298" spans="1:5" ht="15" x14ac:dyDescent="0.3">
      <c r="A298" s="506">
        <v>6475</v>
      </c>
      <c r="B298" s="507" t="s">
        <v>3767</v>
      </c>
      <c r="C298" s="506" t="s">
        <v>328</v>
      </c>
      <c r="D298" s="508">
        <v>16880</v>
      </c>
      <c r="E298" s="507" t="s">
        <v>331</v>
      </c>
    </row>
    <row r="299" spans="1:5" ht="15" x14ac:dyDescent="0.3">
      <c r="A299" s="506">
        <v>6476</v>
      </c>
      <c r="B299" s="507" t="s">
        <v>6180</v>
      </c>
      <c r="C299" s="506" t="s">
        <v>32</v>
      </c>
      <c r="D299" s="508">
        <v>602140</v>
      </c>
      <c r="E299" s="507" t="s">
        <v>6108</v>
      </c>
    </row>
    <row r="300" spans="1:5" ht="15" x14ac:dyDescent="0.3">
      <c r="A300" s="506">
        <v>6477</v>
      </c>
      <c r="B300" s="507" t="s">
        <v>6181</v>
      </c>
      <c r="C300" s="506" t="s">
        <v>32</v>
      </c>
      <c r="D300" s="508">
        <v>857990</v>
      </c>
      <c r="E300" s="507" t="s">
        <v>6108</v>
      </c>
    </row>
    <row r="301" spans="1:5" ht="15" x14ac:dyDescent="0.3">
      <c r="A301" s="506">
        <v>6479</v>
      </c>
      <c r="B301" s="507" t="s">
        <v>6182</v>
      </c>
      <c r="C301" s="506" t="s">
        <v>32</v>
      </c>
      <c r="D301" s="508">
        <v>2193170</v>
      </c>
      <c r="E301" s="507" t="s">
        <v>6108</v>
      </c>
    </row>
    <row r="302" spans="1:5" ht="15" x14ac:dyDescent="0.3">
      <c r="A302" s="506">
        <v>6480</v>
      </c>
      <c r="B302" s="507" t="s">
        <v>6183</v>
      </c>
      <c r="C302" s="506" t="s">
        <v>32</v>
      </c>
      <c r="D302" s="508">
        <v>3712800</v>
      </c>
      <c r="E302" s="507" t="s">
        <v>6108</v>
      </c>
    </row>
    <row r="303" spans="1:5" ht="15" x14ac:dyDescent="0.3">
      <c r="A303" s="506">
        <v>6481</v>
      </c>
      <c r="B303" s="507" t="s">
        <v>6184</v>
      </c>
      <c r="C303" s="506" t="s">
        <v>32</v>
      </c>
      <c r="D303" s="508">
        <v>4358970</v>
      </c>
      <c r="E303" s="507" t="s">
        <v>6108</v>
      </c>
    </row>
    <row r="304" spans="1:5" ht="15" x14ac:dyDescent="0.3">
      <c r="A304" s="506">
        <v>6482</v>
      </c>
      <c r="B304" s="507" t="s">
        <v>6185</v>
      </c>
      <c r="C304" s="506" t="s">
        <v>32</v>
      </c>
      <c r="D304" s="508">
        <v>5827430</v>
      </c>
      <c r="E304" s="507" t="s">
        <v>6108</v>
      </c>
    </row>
    <row r="305" spans="1:5" ht="15" x14ac:dyDescent="0.3">
      <c r="A305" s="506">
        <v>6483</v>
      </c>
      <c r="B305" s="507" t="s">
        <v>6186</v>
      </c>
      <c r="C305" s="506" t="s">
        <v>32</v>
      </c>
      <c r="D305" s="508">
        <v>7945630</v>
      </c>
      <c r="E305" s="507" t="s">
        <v>6108</v>
      </c>
    </row>
    <row r="306" spans="1:5" ht="15" x14ac:dyDescent="0.3">
      <c r="A306" s="506">
        <v>6484</v>
      </c>
      <c r="B306" s="507" t="s">
        <v>6187</v>
      </c>
      <c r="C306" s="506" t="s">
        <v>32</v>
      </c>
      <c r="D306" s="508">
        <v>3102330</v>
      </c>
      <c r="E306" s="507" t="s">
        <v>6108</v>
      </c>
    </row>
    <row r="307" spans="1:5" ht="15" x14ac:dyDescent="0.3">
      <c r="A307" s="506">
        <v>6485</v>
      </c>
      <c r="B307" s="507" t="s">
        <v>6188</v>
      </c>
      <c r="C307" s="506" t="s">
        <v>32</v>
      </c>
      <c r="D307" s="508">
        <v>3316530</v>
      </c>
      <c r="E307" s="507" t="s">
        <v>6108</v>
      </c>
    </row>
    <row r="308" spans="1:5" ht="15" x14ac:dyDescent="0.3">
      <c r="A308" s="506">
        <v>6507</v>
      </c>
      <c r="B308" s="507" t="s">
        <v>3768</v>
      </c>
      <c r="C308" s="506" t="s">
        <v>979</v>
      </c>
      <c r="D308" s="508">
        <v>287704</v>
      </c>
      <c r="E308" s="507" t="s">
        <v>331</v>
      </c>
    </row>
    <row r="309" spans="1:5" ht="15" x14ac:dyDescent="0.3">
      <c r="A309" s="506">
        <v>6527</v>
      </c>
      <c r="B309" s="507" t="s">
        <v>3769</v>
      </c>
      <c r="C309" s="506" t="s">
        <v>32</v>
      </c>
      <c r="D309" s="508">
        <v>267400</v>
      </c>
      <c r="E309" s="507" t="s">
        <v>331</v>
      </c>
    </row>
    <row r="310" spans="1:5" ht="15" x14ac:dyDescent="0.3">
      <c r="A310" s="506">
        <v>6528</v>
      </c>
      <c r="B310" s="507" t="s">
        <v>3770</v>
      </c>
      <c r="C310" s="506" t="s">
        <v>32</v>
      </c>
      <c r="D310" s="508">
        <v>491665</v>
      </c>
      <c r="E310" s="507" t="s">
        <v>331</v>
      </c>
    </row>
    <row r="311" spans="1:5" ht="15" x14ac:dyDescent="0.3">
      <c r="A311" s="506">
        <v>6530</v>
      </c>
      <c r="B311" s="507" t="s">
        <v>3771</v>
      </c>
      <c r="C311" s="506" t="s">
        <v>32</v>
      </c>
      <c r="D311" s="508">
        <v>1537259</v>
      </c>
      <c r="E311" s="507" t="s">
        <v>331</v>
      </c>
    </row>
    <row r="312" spans="1:5" ht="15" x14ac:dyDescent="0.3">
      <c r="A312" s="506">
        <v>6534</v>
      </c>
      <c r="B312" s="507" t="s">
        <v>3772</v>
      </c>
      <c r="C312" s="506" t="s">
        <v>32</v>
      </c>
      <c r="D312" s="508">
        <v>452200</v>
      </c>
      <c r="E312" s="507" t="s">
        <v>6108</v>
      </c>
    </row>
    <row r="313" spans="1:5" ht="15" x14ac:dyDescent="0.3">
      <c r="A313" s="506">
        <v>6535</v>
      </c>
      <c r="B313" s="507" t="s">
        <v>3773</v>
      </c>
      <c r="C313" s="506" t="s">
        <v>32</v>
      </c>
      <c r="D313" s="508">
        <v>214200</v>
      </c>
      <c r="E313" s="507" t="s">
        <v>6108</v>
      </c>
    </row>
    <row r="314" spans="1:5" ht="15" x14ac:dyDescent="0.3">
      <c r="A314" s="506">
        <v>6539</v>
      </c>
      <c r="B314" s="507" t="s">
        <v>3774</v>
      </c>
      <c r="C314" s="506" t="s">
        <v>32</v>
      </c>
      <c r="D314" s="508">
        <v>9100</v>
      </c>
      <c r="E314" s="507" t="s">
        <v>331</v>
      </c>
    </row>
    <row r="315" spans="1:5" ht="15" x14ac:dyDescent="0.3">
      <c r="A315" s="506">
        <v>6540</v>
      </c>
      <c r="B315" s="507" t="s">
        <v>3775</v>
      </c>
      <c r="C315" s="506" t="s">
        <v>32</v>
      </c>
      <c r="D315" s="508">
        <v>17600</v>
      </c>
      <c r="E315" s="507" t="s">
        <v>331</v>
      </c>
    </row>
    <row r="316" spans="1:5" ht="15" x14ac:dyDescent="0.3">
      <c r="A316" s="506">
        <v>6543</v>
      </c>
      <c r="B316" s="507" t="s">
        <v>3776</v>
      </c>
      <c r="C316" s="506" t="s">
        <v>32</v>
      </c>
      <c r="D316" s="508">
        <v>394464</v>
      </c>
      <c r="E316" s="507" t="s">
        <v>331</v>
      </c>
    </row>
    <row r="317" spans="1:5" ht="15" x14ac:dyDescent="0.3">
      <c r="A317" s="506">
        <v>6545</v>
      </c>
      <c r="B317" s="507" t="s">
        <v>3777</v>
      </c>
      <c r="C317" s="506" t="s">
        <v>32</v>
      </c>
      <c r="D317" s="508">
        <v>681540</v>
      </c>
      <c r="E317" s="507" t="s">
        <v>331</v>
      </c>
    </row>
    <row r="318" spans="1:5" ht="15" x14ac:dyDescent="0.3">
      <c r="A318" s="506">
        <v>6551</v>
      </c>
      <c r="B318" s="507" t="s">
        <v>3778</v>
      </c>
      <c r="C318" s="506" t="s">
        <v>32</v>
      </c>
      <c r="D318" s="508">
        <v>575069</v>
      </c>
      <c r="E318" s="507" t="s">
        <v>6108</v>
      </c>
    </row>
    <row r="319" spans="1:5" ht="15" x14ac:dyDescent="0.3">
      <c r="A319" s="506">
        <v>6552</v>
      </c>
      <c r="B319" s="507" t="s">
        <v>3779</v>
      </c>
      <c r="C319" s="506" t="s">
        <v>32</v>
      </c>
      <c r="D319" s="508">
        <v>400124</v>
      </c>
      <c r="E319" s="507" t="s">
        <v>6108</v>
      </c>
    </row>
    <row r="320" spans="1:5" ht="15" x14ac:dyDescent="0.3">
      <c r="A320" s="506">
        <v>6553</v>
      </c>
      <c r="B320" s="507" t="s">
        <v>3780</v>
      </c>
      <c r="C320" s="506" t="s">
        <v>32</v>
      </c>
      <c r="D320" s="508">
        <v>520664</v>
      </c>
      <c r="E320" s="507" t="s">
        <v>6108</v>
      </c>
    </row>
    <row r="321" spans="1:5" ht="15" x14ac:dyDescent="0.3">
      <c r="A321" s="506">
        <v>6554</v>
      </c>
      <c r="B321" s="507" t="s">
        <v>3781</v>
      </c>
      <c r="C321" s="506" t="s">
        <v>32</v>
      </c>
      <c r="D321" s="508">
        <v>701498</v>
      </c>
      <c r="E321" s="507" t="s">
        <v>6108</v>
      </c>
    </row>
    <row r="322" spans="1:5" ht="15" x14ac:dyDescent="0.3">
      <c r="A322" s="506">
        <v>6555</v>
      </c>
      <c r="B322" s="507" t="s">
        <v>3782</v>
      </c>
      <c r="C322" s="506" t="s">
        <v>32</v>
      </c>
      <c r="D322" s="508">
        <v>58505</v>
      </c>
      <c r="E322" s="507" t="s">
        <v>6108</v>
      </c>
    </row>
    <row r="323" spans="1:5" ht="15" x14ac:dyDescent="0.3">
      <c r="A323" s="506">
        <v>6556</v>
      </c>
      <c r="B323" s="507" t="s">
        <v>3783</v>
      </c>
      <c r="C323" s="506" t="s">
        <v>32</v>
      </c>
      <c r="D323" s="508">
        <v>8923</v>
      </c>
      <c r="E323" s="507" t="s">
        <v>6108</v>
      </c>
    </row>
    <row r="324" spans="1:5" ht="15" x14ac:dyDescent="0.3">
      <c r="A324" s="506">
        <v>6559</v>
      </c>
      <c r="B324" s="507" t="s">
        <v>3784</v>
      </c>
      <c r="C324" s="506" t="s">
        <v>32</v>
      </c>
      <c r="D324" s="508">
        <v>8716</v>
      </c>
      <c r="E324" s="507" t="s">
        <v>331</v>
      </c>
    </row>
    <row r="325" spans="1:5" ht="15" x14ac:dyDescent="0.3">
      <c r="A325" s="506">
        <v>6560</v>
      </c>
      <c r="B325" s="507" t="s">
        <v>3785</v>
      </c>
      <c r="C325" s="506" t="s">
        <v>32</v>
      </c>
      <c r="D325" s="508">
        <v>34260</v>
      </c>
      <c r="E325" s="507" t="s">
        <v>331</v>
      </c>
    </row>
    <row r="326" spans="1:5" ht="15" x14ac:dyDescent="0.3">
      <c r="A326" s="506">
        <v>6561</v>
      </c>
      <c r="B326" s="507" t="s">
        <v>3786</v>
      </c>
      <c r="C326" s="506" t="s">
        <v>32</v>
      </c>
      <c r="D326" s="508">
        <v>63022</v>
      </c>
      <c r="E326" s="507" t="s">
        <v>331</v>
      </c>
    </row>
    <row r="327" spans="1:5" ht="15" x14ac:dyDescent="0.3">
      <c r="A327" s="506">
        <v>6567</v>
      </c>
      <c r="B327" s="507" t="s">
        <v>3787</v>
      </c>
      <c r="C327" s="506" t="s">
        <v>979</v>
      </c>
      <c r="D327" s="508">
        <v>107100</v>
      </c>
      <c r="E327" s="507" t="s">
        <v>331</v>
      </c>
    </row>
    <row r="328" spans="1:5" ht="15" x14ac:dyDescent="0.3">
      <c r="A328" s="506">
        <v>6578</v>
      </c>
      <c r="B328" s="507" t="s">
        <v>3788</v>
      </c>
      <c r="C328" s="506" t="s">
        <v>30</v>
      </c>
      <c r="D328" s="508">
        <v>91630</v>
      </c>
      <c r="E328" s="507" t="s">
        <v>331</v>
      </c>
    </row>
    <row r="329" spans="1:5" ht="15" x14ac:dyDescent="0.3">
      <c r="A329" s="506">
        <v>6624</v>
      </c>
      <c r="B329" s="507" t="s">
        <v>3789</v>
      </c>
      <c r="C329" s="506" t="s">
        <v>30</v>
      </c>
      <c r="D329" s="508">
        <v>60571</v>
      </c>
      <c r="E329" s="507" t="s">
        <v>331</v>
      </c>
    </row>
    <row r="330" spans="1:5" ht="15" x14ac:dyDescent="0.3">
      <c r="A330" s="506">
        <v>6625</v>
      </c>
      <c r="B330" s="507" t="s">
        <v>3790</v>
      </c>
      <c r="C330" s="506" t="s">
        <v>3582</v>
      </c>
      <c r="D330" s="508">
        <v>71445</v>
      </c>
      <c r="E330" s="507" t="s">
        <v>6108</v>
      </c>
    </row>
    <row r="331" spans="1:5" ht="15" x14ac:dyDescent="0.3">
      <c r="A331" s="506">
        <v>6629</v>
      </c>
      <c r="B331" s="507" t="s">
        <v>3791</v>
      </c>
      <c r="C331" s="506" t="s">
        <v>32</v>
      </c>
      <c r="D331" s="508">
        <v>51170</v>
      </c>
      <c r="E331" s="507" t="s">
        <v>6108</v>
      </c>
    </row>
    <row r="332" spans="1:5" ht="15" x14ac:dyDescent="0.3">
      <c r="A332" s="506">
        <v>6636</v>
      </c>
      <c r="B332" s="507" t="s">
        <v>3792</v>
      </c>
      <c r="C332" s="506" t="s">
        <v>32</v>
      </c>
      <c r="D332" s="508">
        <v>3304273</v>
      </c>
      <c r="E332" s="507" t="s">
        <v>6108</v>
      </c>
    </row>
    <row r="333" spans="1:5" ht="15" x14ac:dyDescent="0.3">
      <c r="A333" s="506">
        <v>6645</v>
      </c>
      <c r="B333" s="507" t="s">
        <v>3793</v>
      </c>
      <c r="C333" s="506" t="s">
        <v>32</v>
      </c>
      <c r="D333" s="508">
        <v>95971</v>
      </c>
      <c r="E333" s="507" t="s">
        <v>331</v>
      </c>
    </row>
    <row r="334" spans="1:5" ht="15" x14ac:dyDescent="0.3">
      <c r="A334" s="506">
        <v>6646</v>
      </c>
      <c r="B334" s="507" t="s">
        <v>3794</v>
      </c>
      <c r="C334" s="506" t="s">
        <v>32</v>
      </c>
      <c r="D334" s="508">
        <v>133412</v>
      </c>
      <c r="E334" s="507" t="s">
        <v>331</v>
      </c>
    </row>
    <row r="335" spans="1:5" ht="15" x14ac:dyDescent="0.3">
      <c r="A335" s="506">
        <v>6647</v>
      </c>
      <c r="B335" s="507" t="s">
        <v>3795</v>
      </c>
      <c r="C335" s="506" t="s">
        <v>32</v>
      </c>
      <c r="D335" s="508">
        <v>361384</v>
      </c>
      <c r="E335" s="507" t="s">
        <v>331</v>
      </c>
    </row>
    <row r="336" spans="1:5" ht="15" x14ac:dyDescent="0.3">
      <c r="A336" s="506">
        <v>6648</v>
      </c>
      <c r="B336" s="507" t="s">
        <v>3796</v>
      </c>
      <c r="C336" s="506" t="s">
        <v>32</v>
      </c>
      <c r="D336" s="508">
        <v>2879273</v>
      </c>
      <c r="E336" s="507" t="s">
        <v>331</v>
      </c>
    </row>
    <row r="337" spans="1:5" ht="15" x14ac:dyDescent="0.3">
      <c r="A337" s="506">
        <v>6649</v>
      </c>
      <c r="B337" s="507" t="s">
        <v>3797</v>
      </c>
      <c r="C337" s="506" t="s">
        <v>32</v>
      </c>
      <c r="D337" s="508">
        <v>110061</v>
      </c>
      <c r="E337" s="507" t="s">
        <v>331</v>
      </c>
    </row>
    <row r="338" spans="1:5" ht="15" x14ac:dyDescent="0.3">
      <c r="A338" s="506">
        <v>6650</v>
      </c>
      <c r="B338" s="507" t="s">
        <v>3798</v>
      </c>
      <c r="C338" s="506" t="s">
        <v>32</v>
      </c>
      <c r="D338" s="508">
        <v>85021</v>
      </c>
      <c r="E338" s="507" t="s">
        <v>331</v>
      </c>
    </row>
    <row r="339" spans="1:5" ht="15" x14ac:dyDescent="0.3">
      <c r="A339" s="506">
        <v>6651</v>
      </c>
      <c r="B339" s="507" t="s">
        <v>3799</v>
      </c>
      <c r="C339" s="506" t="s">
        <v>32</v>
      </c>
      <c r="D339" s="508">
        <v>126615</v>
      </c>
      <c r="E339" s="507" t="s">
        <v>331</v>
      </c>
    </row>
    <row r="340" spans="1:5" ht="15" x14ac:dyDescent="0.3">
      <c r="A340" s="506">
        <v>6652</v>
      </c>
      <c r="B340" s="507" t="s">
        <v>3800</v>
      </c>
      <c r="C340" s="506" t="s">
        <v>32</v>
      </c>
      <c r="D340" s="508">
        <v>167099</v>
      </c>
      <c r="E340" s="507" t="s">
        <v>331</v>
      </c>
    </row>
    <row r="341" spans="1:5" ht="15" x14ac:dyDescent="0.3">
      <c r="A341" s="506">
        <v>6653</v>
      </c>
      <c r="B341" s="507" t="s">
        <v>3801</v>
      </c>
      <c r="C341" s="506" t="s">
        <v>32</v>
      </c>
      <c r="D341" s="508">
        <v>313678</v>
      </c>
      <c r="E341" s="507" t="s">
        <v>331</v>
      </c>
    </row>
    <row r="342" spans="1:5" ht="15" x14ac:dyDescent="0.3">
      <c r="A342" s="506">
        <v>6654</v>
      </c>
      <c r="B342" s="507" t="s">
        <v>3802</v>
      </c>
      <c r="C342" s="506" t="s">
        <v>32</v>
      </c>
      <c r="D342" s="508">
        <v>879529</v>
      </c>
      <c r="E342" s="507" t="s">
        <v>331</v>
      </c>
    </row>
    <row r="343" spans="1:5" ht="15" x14ac:dyDescent="0.3">
      <c r="A343" s="506">
        <v>6655</v>
      </c>
      <c r="B343" s="507" t="s">
        <v>3803</v>
      </c>
      <c r="C343" s="506" t="s">
        <v>32</v>
      </c>
      <c r="D343" s="508">
        <v>1883600</v>
      </c>
      <c r="E343" s="507" t="s">
        <v>331</v>
      </c>
    </row>
    <row r="344" spans="1:5" ht="15" x14ac:dyDescent="0.3">
      <c r="A344" s="506">
        <v>6656</v>
      </c>
      <c r="B344" s="507" t="s">
        <v>3804</v>
      </c>
      <c r="C344" s="506" t="s">
        <v>32</v>
      </c>
      <c r="D344" s="508">
        <v>2644021</v>
      </c>
      <c r="E344" s="507" t="s">
        <v>331</v>
      </c>
    </row>
    <row r="345" spans="1:5" ht="15" x14ac:dyDescent="0.3">
      <c r="A345" s="506">
        <v>6657</v>
      </c>
      <c r="B345" s="507" t="s">
        <v>3805</v>
      </c>
      <c r="C345" s="506" t="s">
        <v>32</v>
      </c>
      <c r="D345" s="508">
        <v>41166</v>
      </c>
      <c r="E345" s="507" t="s">
        <v>331</v>
      </c>
    </row>
    <row r="346" spans="1:5" ht="15" x14ac:dyDescent="0.3">
      <c r="A346" s="506">
        <v>6658</v>
      </c>
      <c r="B346" s="507" t="s">
        <v>3806</v>
      </c>
      <c r="C346" s="506" t="s">
        <v>32</v>
      </c>
      <c r="D346" s="508">
        <v>58167</v>
      </c>
      <c r="E346" s="507" t="s">
        <v>331</v>
      </c>
    </row>
    <row r="347" spans="1:5" ht="15" x14ac:dyDescent="0.3">
      <c r="A347" s="506">
        <v>6659</v>
      </c>
      <c r="B347" s="507" t="s">
        <v>3807</v>
      </c>
      <c r="C347" s="506" t="s">
        <v>32</v>
      </c>
      <c r="D347" s="508">
        <v>80149</v>
      </c>
      <c r="E347" s="507" t="s">
        <v>331</v>
      </c>
    </row>
    <row r="348" spans="1:5" ht="15" x14ac:dyDescent="0.3">
      <c r="A348" s="506">
        <v>6660</v>
      </c>
      <c r="B348" s="507" t="s">
        <v>3808</v>
      </c>
      <c r="C348" s="506" t="s">
        <v>32</v>
      </c>
      <c r="D348" s="508">
        <v>131656</v>
      </c>
      <c r="E348" s="507" t="s">
        <v>331</v>
      </c>
    </row>
    <row r="349" spans="1:5" ht="15" x14ac:dyDescent="0.3">
      <c r="A349" s="506">
        <v>6661</v>
      </c>
      <c r="B349" s="507" t="s">
        <v>3809</v>
      </c>
      <c r="C349" s="506" t="s">
        <v>32</v>
      </c>
      <c r="D349" s="508">
        <v>323491</v>
      </c>
      <c r="E349" s="507" t="s">
        <v>331</v>
      </c>
    </row>
    <row r="350" spans="1:5" ht="15" x14ac:dyDescent="0.3">
      <c r="A350" s="506">
        <v>6662</v>
      </c>
      <c r="B350" s="507" t="s">
        <v>3810</v>
      </c>
      <c r="C350" s="506" t="s">
        <v>32</v>
      </c>
      <c r="D350" s="508">
        <v>684455</v>
      </c>
      <c r="E350" s="507" t="s">
        <v>331</v>
      </c>
    </row>
    <row r="351" spans="1:5" ht="15" x14ac:dyDescent="0.3">
      <c r="A351" s="506">
        <v>6663</v>
      </c>
      <c r="B351" s="507" t="s">
        <v>3811</v>
      </c>
      <c r="C351" s="506" t="s">
        <v>32</v>
      </c>
      <c r="D351" s="508">
        <v>1533707</v>
      </c>
      <c r="E351" s="507" t="s">
        <v>331</v>
      </c>
    </row>
    <row r="352" spans="1:5" ht="15" x14ac:dyDescent="0.3">
      <c r="A352" s="506">
        <v>6664</v>
      </c>
      <c r="B352" s="507" t="s">
        <v>3812</v>
      </c>
      <c r="C352" s="506" t="s">
        <v>32</v>
      </c>
      <c r="D352" s="508">
        <v>2065344</v>
      </c>
      <c r="E352" s="507" t="s">
        <v>331</v>
      </c>
    </row>
    <row r="353" spans="1:5" ht="15" x14ac:dyDescent="0.3">
      <c r="A353" s="506">
        <v>6665</v>
      </c>
      <c r="B353" s="507" t="s">
        <v>3813</v>
      </c>
      <c r="C353" s="506" t="s">
        <v>32</v>
      </c>
      <c r="D353" s="508">
        <v>47593</v>
      </c>
      <c r="E353" s="507" t="s">
        <v>331</v>
      </c>
    </row>
    <row r="354" spans="1:5" ht="15" x14ac:dyDescent="0.3">
      <c r="A354" s="506">
        <v>6666</v>
      </c>
      <c r="B354" s="507" t="s">
        <v>3814</v>
      </c>
      <c r="C354" s="506" t="s">
        <v>32</v>
      </c>
      <c r="D354" s="508">
        <v>55001</v>
      </c>
      <c r="E354" s="507" t="s">
        <v>331</v>
      </c>
    </row>
    <row r="355" spans="1:5" ht="15" x14ac:dyDescent="0.3">
      <c r="A355" s="506">
        <v>6667</v>
      </c>
      <c r="B355" s="507" t="s">
        <v>3815</v>
      </c>
      <c r="C355" s="506" t="s">
        <v>32</v>
      </c>
      <c r="D355" s="508">
        <v>73048</v>
      </c>
      <c r="E355" s="507" t="s">
        <v>331</v>
      </c>
    </row>
    <row r="356" spans="1:5" ht="15" x14ac:dyDescent="0.3">
      <c r="A356" s="506">
        <v>6668</v>
      </c>
      <c r="B356" s="507" t="s">
        <v>3816</v>
      </c>
      <c r="C356" s="506" t="s">
        <v>32</v>
      </c>
      <c r="D356" s="508">
        <v>125084</v>
      </c>
      <c r="E356" s="507" t="s">
        <v>331</v>
      </c>
    </row>
    <row r="357" spans="1:5" ht="15" x14ac:dyDescent="0.3">
      <c r="A357" s="506">
        <v>6669</v>
      </c>
      <c r="B357" s="507" t="s">
        <v>3817</v>
      </c>
      <c r="C357" s="506" t="s">
        <v>32</v>
      </c>
      <c r="D357" s="508">
        <v>289254</v>
      </c>
      <c r="E357" s="507" t="s">
        <v>331</v>
      </c>
    </row>
    <row r="358" spans="1:5" ht="15" x14ac:dyDescent="0.3">
      <c r="A358" s="506">
        <v>6670</v>
      </c>
      <c r="B358" s="507" t="s">
        <v>3818</v>
      </c>
      <c r="C358" s="506" t="s">
        <v>32</v>
      </c>
      <c r="D358" s="508">
        <v>587743</v>
      </c>
      <c r="E358" s="507" t="s">
        <v>331</v>
      </c>
    </row>
    <row r="359" spans="1:5" ht="15" x14ac:dyDescent="0.3">
      <c r="A359" s="506">
        <v>6671</v>
      </c>
      <c r="B359" s="507" t="s">
        <v>3819</v>
      </c>
      <c r="C359" s="506" t="s">
        <v>32</v>
      </c>
      <c r="D359" s="508">
        <v>1254705</v>
      </c>
      <c r="E359" s="507" t="s">
        <v>331</v>
      </c>
    </row>
    <row r="360" spans="1:5" ht="15" x14ac:dyDescent="0.3">
      <c r="A360" s="506">
        <v>6672</v>
      </c>
      <c r="B360" s="507" t="s">
        <v>3820</v>
      </c>
      <c r="C360" s="506" t="s">
        <v>32</v>
      </c>
      <c r="D360" s="508">
        <v>1660804</v>
      </c>
      <c r="E360" s="507" t="s">
        <v>331</v>
      </c>
    </row>
    <row r="361" spans="1:5" ht="15" x14ac:dyDescent="0.3">
      <c r="A361" s="506">
        <v>6673</v>
      </c>
      <c r="B361" s="507" t="s">
        <v>3821</v>
      </c>
      <c r="C361" s="506" t="s">
        <v>32</v>
      </c>
      <c r="D361" s="508">
        <v>10710000</v>
      </c>
      <c r="E361" s="507" t="s">
        <v>6108</v>
      </c>
    </row>
    <row r="362" spans="1:5" ht="15" x14ac:dyDescent="0.3">
      <c r="A362" s="506">
        <v>6674</v>
      </c>
      <c r="B362" s="507" t="s">
        <v>3822</v>
      </c>
      <c r="C362" s="506" t="s">
        <v>32</v>
      </c>
      <c r="D362" s="508">
        <v>10948000</v>
      </c>
      <c r="E362" s="507" t="s">
        <v>6108</v>
      </c>
    </row>
    <row r="363" spans="1:5" ht="15" x14ac:dyDescent="0.3">
      <c r="A363" s="506">
        <v>6675</v>
      </c>
      <c r="B363" s="507" t="s">
        <v>3823</v>
      </c>
      <c r="C363" s="506" t="s">
        <v>32</v>
      </c>
      <c r="D363" s="508">
        <v>1023400</v>
      </c>
      <c r="E363" s="507" t="s">
        <v>6108</v>
      </c>
    </row>
    <row r="364" spans="1:5" ht="15" x14ac:dyDescent="0.3">
      <c r="A364" s="506">
        <v>6677</v>
      </c>
      <c r="B364" s="507" t="s">
        <v>3824</v>
      </c>
      <c r="C364" s="506" t="s">
        <v>32</v>
      </c>
      <c r="D364" s="508">
        <v>654500</v>
      </c>
      <c r="E364" s="507" t="s">
        <v>6108</v>
      </c>
    </row>
    <row r="365" spans="1:5" ht="15" x14ac:dyDescent="0.3">
      <c r="A365" s="506">
        <v>6679</v>
      </c>
      <c r="B365" s="507" t="s">
        <v>3825</v>
      </c>
      <c r="C365" s="506" t="s">
        <v>32</v>
      </c>
      <c r="D365" s="508">
        <v>928200</v>
      </c>
      <c r="E365" s="507" t="s">
        <v>6108</v>
      </c>
    </row>
    <row r="366" spans="1:5" ht="15" x14ac:dyDescent="0.3">
      <c r="A366" s="506">
        <v>6680</v>
      </c>
      <c r="B366" s="507" t="s">
        <v>3826</v>
      </c>
      <c r="C366" s="506" t="s">
        <v>32</v>
      </c>
      <c r="D366" s="508">
        <v>238000</v>
      </c>
      <c r="E366" s="507" t="s">
        <v>6108</v>
      </c>
    </row>
    <row r="367" spans="1:5" ht="15" x14ac:dyDescent="0.3">
      <c r="A367" s="506">
        <v>6681</v>
      </c>
      <c r="B367" s="507" t="s">
        <v>3827</v>
      </c>
      <c r="C367" s="506" t="s">
        <v>32</v>
      </c>
      <c r="D367" s="508">
        <v>4713114</v>
      </c>
      <c r="E367" s="507" t="s">
        <v>6108</v>
      </c>
    </row>
    <row r="368" spans="1:5" ht="15" x14ac:dyDescent="0.3">
      <c r="A368" s="506">
        <v>6682</v>
      </c>
      <c r="B368" s="507" t="s">
        <v>3828</v>
      </c>
      <c r="C368" s="506" t="s">
        <v>32</v>
      </c>
      <c r="D368" s="508">
        <v>226100</v>
      </c>
      <c r="E368" s="507" t="s">
        <v>6108</v>
      </c>
    </row>
    <row r="369" spans="1:5" ht="15" x14ac:dyDescent="0.3">
      <c r="A369" s="506">
        <v>6683</v>
      </c>
      <c r="B369" s="507" t="s">
        <v>3829</v>
      </c>
      <c r="C369" s="506" t="s">
        <v>32</v>
      </c>
      <c r="D369" s="508">
        <v>122166</v>
      </c>
      <c r="E369" s="507" t="s">
        <v>6108</v>
      </c>
    </row>
    <row r="370" spans="1:5" ht="15" x14ac:dyDescent="0.3">
      <c r="A370" s="506">
        <v>6684</v>
      </c>
      <c r="B370" s="507" t="s">
        <v>3830</v>
      </c>
      <c r="C370" s="506" t="s">
        <v>32</v>
      </c>
      <c r="D370" s="508">
        <v>6000</v>
      </c>
      <c r="E370" s="507" t="s">
        <v>331</v>
      </c>
    </row>
    <row r="371" spans="1:5" ht="15" x14ac:dyDescent="0.3">
      <c r="A371" s="506">
        <v>6698</v>
      </c>
      <c r="B371" s="507" t="s">
        <v>3831</v>
      </c>
      <c r="C371" s="506" t="s">
        <v>21</v>
      </c>
      <c r="D371" s="508">
        <v>7521</v>
      </c>
      <c r="E371" s="507" t="s">
        <v>6108</v>
      </c>
    </row>
    <row r="372" spans="1:5" ht="15" x14ac:dyDescent="0.3">
      <c r="A372" s="506">
        <v>6700</v>
      </c>
      <c r="B372" s="507" t="s">
        <v>3832</v>
      </c>
      <c r="C372" s="506" t="s">
        <v>21</v>
      </c>
      <c r="D372" s="508">
        <v>8383</v>
      </c>
      <c r="E372" s="507" t="s">
        <v>6108</v>
      </c>
    </row>
    <row r="373" spans="1:5" ht="15" x14ac:dyDescent="0.3">
      <c r="A373" s="506">
        <v>6701</v>
      </c>
      <c r="B373" s="507" t="s">
        <v>3833</v>
      </c>
      <c r="C373" s="506" t="s">
        <v>21</v>
      </c>
      <c r="D373" s="508">
        <v>17705</v>
      </c>
      <c r="E373" s="507" t="s">
        <v>6108</v>
      </c>
    </row>
    <row r="374" spans="1:5" ht="15" x14ac:dyDescent="0.3">
      <c r="A374" s="506">
        <v>6702</v>
      </c>
      <c r="B374" s="507" t="s">
        <v>3834</v>
      </c>
      <c r="C374" s="506" t="s">
        <v>21</v>
      </c>
      <c r="D374" s="508">
        <v>21975</v>
      </c>
      <c r="E374" s="507" t="s">
        <v>6108</v>
      </c>
    </row>
    <row r="375" spans="1:5" ht="15" x14ac:dyDescent="0.3">
      <c r="A375" s="506">
        <v>6703</v>
      </c>
      <c r="B375" s="507" t="s">
        <v>3835</v>
      </c>
      <c r="C375" s="506" t="s">
        <v>21</v>
      </c>
      <c r="D375" s="508">
        <v>25129</v>
      </c>
      <c r="E375" s="507" t="s">
        <v>6108</v>
      </c>
    </row>
    <row r="376" spans="1:5" ht="15" x14ac:dyDescent="0.3">
      <c r="A376" s="506">
        <v>6704</v>
      </c>
      <c r="B376" s="507" t="s">
        <v>3836</v>
      </c>
      <c r="C376" s="506" t="s">
        <v>21</v>
      </c>
      <c r="D376" s="508">
        <v>31384</v>
      </c>
      <c r="E376" s="507" t="s">
        <v>6108</v>
      </c>
    </row>
    <row r="377" spans="1:5" ht="15" x14ac:dyDescent="0.3">
      <c r="A377" s="506">
        <v>6710</v>
      </c>
      <c r="B377" s="507" t="s">
        <v>3837</v>
      </c>
      <c r="C377" s="506" t="s">
        <v>21</v>
      </c>
      <c r="D377" s="508">
        <v>8245</v>
      </c>
      <c r="E377" s="507" t="s">
        <v>6108</v>
      </c>
    </row>
    <row r="378" spans="1:5" ht="15" x14ac:dyDescent="0.3">
      <c r="A378" s="506">
        <v>6715</v>
      </c>
      <c r="B378" s="507" t="s">
        <v>3838</v>
      </c>
      <c r="C378" s="506" t="s">
        <v>32</v>
      </c>
      <c r="D378" s="508">
        <v>25395</v>
      </c>
      <c r="E378" s="507" t="s">
        <v>331</v>
      </c>
    </row>
    <row r="379" spans="1:5" ht="15" x14ac:dyDescent="0.3">
      <c r="A379" s="506">
        <v>6722</v>
      </c>
      <c r="B379" s="507" t="s">
        <v>3839</v>
      </c>
      <c r="C379" s="506" t="s">
        <v>30</v>
      </c>
      <c r="D379" s="508">
        <v>27370</v>
      </c>
      <c r="E379" s="507" t="s">
        <v>331</v>
      </c>
    </row>
    <row r="380" spans="1:5" ht="15" x14ac:dyDescent="0.3">
      <c r="A380" s="506">
        <v>6733</v>
      </c>
      <c r="B380" s="507" t="s">
        <v>3840</v>
      </c>
      <c r="C380" s="506" t="s">
        <v>32</v>
      </c>
      <c r="D380" s="508">
        <v>968</v>
      </c>
      <c r="E380" s="507" t="s">
        <v>331</v>
      </c>
    </row>
    <row r="381" spans="1:5" ht="15" x14ac:dyDescent="0.3">
      <c r="A381" s="506">
        <v>6739</v>
      </c>
      <c r="B381" s="507" t="s">
        <v>3841</v>
      </c>
      <c r="C381" s="506" t="s">
        <v>30</v>
      </c>
      <c r="D381" s="508">
        <v>65450</v>
      </c>
      <c r="E381" s="507" t="s">
        <v>331</v>
      </c>
    </row>
    <row r="382" spans="1:5" ht="15" x14ac:dyDescent="0.3">
      <c r="A382" s="506">
        <v>6780</v>
      </c>
      <c r="B382" s="507" t="s">
        <v>3842</v>
      </c>
      <c r="C382" s="506" t="s">
        <v>3582</v>
      </c>
      <c r="D382" s="508">
        <v>90368</v>
      </c>
      <c r="E382" s="507" t="s">
        <v>6108</v>
      </c>
    </row>
    <row r="383" spans="1:5" ht="15" x14ac:dyDescent="0.3">
      <c r="A383" s="506">
        <v>6789</v>
      </c>
      <c r="B383" s="507" t="s">
        <v>3843</v>
      </c>
      <c r="C383" s="506" t="s">
        <v>670</v>
      </c>
      <c r="D383" s="508">
        <v>4665</v>
      </c>
      <c r="E383" s="507" t="s">
        <v>331</v>
      </c>
    </row>
    <row r="384" spans="1:5" ht="15" x14ac:dyDescent="0.3">
      <c r="A384" s="506">
        <v>6792</v>
      </c>
      <c r="B384" s="507" t="s">
        <v>3844</v>
      </c>
      <c r="C384" s="506" t="s">
        <v>32</v>
      </c>
      <c r="D384" s="508">
        <v>526696</v>
      </c>
      <c r="E384" s="507" t="s">
        <v>331</v>
      </c>
    </row>
    <row r="385" spans="1:5" ht="15" x14ac:dyDescent="0.3">
      <c r="A385" s="506">
        <v>6793</v>
      </c>
      <c r="B385" s="507" t="s">
        <v>3845</v>
      </c>
      <c r="C385" s="506" t="s">
        <v>32</v>
      </c>
      <c r="D385" s="508">
        <v>543830</v>
      </c>
      <c r="E385" s="507" t="s">
        <v>331</v>
      </c>
    </row>
    <row r="386" spans="1:5" ht="15" x14ac:dyDescent="0.3">
      <c r="A386" s="506">
        <v>6807</v>
      </c>
      <c r="B386" s="507" t="s">
        <v>3846</v>
      </c>
      <c r="C386" s="506" t="s">
        <v>21</v>
      </c>
      <c r="D386" s="508">
        <v>47454</v>
      </c>
      <c r="E386" s="507" t="s">
        <v>331</v>
      </c>
    </row>
    <row r="387" spans="1:5" ht="15" x14ac:dyDescent="0.3">
      <c r="A387" s="506">
        <v>6824</v>
      </c>
      <c r="B387" s="507" t="s">
        <v>3847</v>
      </c>
      <c r="C387" s="506" t="s">
        <v>670</v>
      </c>
      <c r="D387" s="508">
        <v>42</v>
      </c>
      <c r="E387" s="507" t="s">
        <v>331</v>
      </c>
    </row>
    <row r="388" spans="1:5" ht="15" x14ac:dyDescent="0.3">
      <c r="A388" s="506">
        <v>6825</v>
      </c>
      <c r="B388" s="507" t="s">
        <v>3848</v>
      </c>
      <c r="C388" s="506" t="s">
        <v>32</v>
      </c>
      <c r="D388" s="508">
        <v>281961</v>
      </c>
      <c r="E388" s="507" t="s">
        <v>6108</v>
      </c>
    </row>
    <row r="389" spans="1:5" ht="15" x14ac:dyDescent="0.3">
      <c r="A389" s="506">
        <v>6826</v>
      </c>
      <c r="B389" s="507" t="s">
        <v>3849</v>
      </c>
      <c r="C389" s="506" t="s">
        <v>32</v>
      </c>
      <c r="D389" s="508">
        <v>435504</v>
      </c>
      <c r="E389" s="507" t="s">
        <v>6108</v>
      </c>
    </row>
    <row r="390" spans="1:5" ht="15" x14ac:dyDescent="0.3">
      <c r="A390" s="506">
        <v>6830</v>
      </c>
      <c r="B390" s="507" t="s">
        <v>3850</v>
      </c>
      <c r="C390" s="506" t="s">
        <v>30</v>
      </c>
      <c r="D390" s="508">
        <v>596965</v>
      </c>
      <c r="E390" s="507" t="s">
        <v>331</v>
      </c>
    </row>
    <row r="391" spans="1:5" ht="15" x14ac:dyDescent="0.3">
      <c r="A391" s="506">
        <v>6831</v>
      </c>
      <c r="B391" s="507" t="s">
        <v>3851</v>
      </c>
      <c r="C391" s="506" t="s">
        <v>30</v>
      </c>
      <c r="D391" s="508">
        <v>617224</v>
      </c>
      <c r="E391" s="507" t="s">
        <v>331</v>
      </c>
    </row>
    <row r="392" spans="1:5" ht="15" x14ac:dyDescent="0.3">
      <c r="A392" s="506">
        <v>6832</v>
      </c>
      <c r="B392" s="507" t="s">
        <v>3852</v>
      </c>
      <c r="C392" s="506" t="s">
        <v>30</v>
      </c>
      <c r="D392" s="508">
        <v>637483</v>
      </c>
      <c r="E392" s="507" t="s">
        <v>331</v>
      </c>
    </row>
    <row r="393" spans="1:5" ht="15" x14ac:dyDescent="0.3">
      <c r="A393" s="506">
        <v>6834</v>
      </c>
      <c r="B393" s="507" t="s">
        <v>3853</v>
      </c>
      <c r="C393" s="506" t="s">
        <v>328</v>
      </c>
      <c r="D393" s="508">
        <v>4121</v>
      </c>
      <c r="E393" s="507" t="s">
        <v>6108</v>
      </c>
    </row>
    <row r="394" spans="1:5" ht="15" x14ac:dyDescent="0.3">
      <c r="A394" s="506">
        <v>6835</v>
      </c>
      <c r="B394" s="507" t="s">
        <v>3854</v>
      </c>
      <c r="C394" s="506" t="s">
        <v>32</v>
      </c>
      <c r="D394" s="508">
        <v>605</v>
      </c>
      <c r="E394" s="507" t="s">
        <v>331</v>
      </c>
    </row>
    <row r="395" spans="1:5" ht="15" x14ac:dyDescent="0.3">
      <c r="A395" s="506">
        <v>6846</v>
      </c>
      <c r="B395" s="507" t="s">
        <v>3855</v>
      </c>
      <c r="C395" s="506" t="s">
        <v>32</v>
      </c>
      <c r="D395" s="508">
        <v>2127</v>
      </c>
      <c r="E395" s="507" t="s">
        <v>331</v>
      </c>
    </row>
    <row r="396" spans="1:5" ht="15" x14ac:dyDescent="0.3">
      <c r="A396" s="506">
        <v>6847</v>
      </c>
      <c r="B396" s="507" t="s">
        <v>3856</v>
      </c>
      <c r="C396" s="506" t="s">
        <v>32</v>
      </c>
      <c r="D396" s="508">
        <v>2205</v>
      </c>
      <c r="E396" s="507" t="s">
        <v>331</v>
      </c>
    </row>
    <row r="397" spans="1:5" ht="15" x14ac:dyDescent="0.3">
      <c r="A397" s="506">
        <v>6853</v>
      </c>
      <c r="B397" s="507" t="s">
        <v>3857</v>
      </c>
      <c r="C397" s="506" t="s">
        <v>32</v>
      </c>
      <c r="D397" s="508">
        <v>1550</v>
      </c>
      <c r="E397" s="507" t="s">
        <v>331</v>
      </c>
    </row>
    <row r="398" spans="1:5" ht="15" x14ac:dyDescent="0.3">
      <c r="A398" s="506">
        <v>6858</v>
      </c>
      <c r="B398" s="507" t="s">
        <v>3858</v>
      </c>
      <c r="C398" s="506" t="s">
        <v>30</v>
      </c>
      <c r="D398" s="508">
        <v>790086</v>
      </c>
      <c r="E398" s="507" t="s">
        <v>331</v>
      </c>
    </row>
    <row r="399" spans="1:5" ht="15" x14ac:dyDescent="0.3">
      <c r="A399" s="506">
        <v>6859</v>
      </c>
      <c r="B399" s="507" t="s">
        <v>3859</v>
      </c>
      <c r="C399" s="506" t="s">
        <v>30</v>
      </c>
      <c r="D399" s="508">
        <v>755166</v>
      </c>
      <c r="E399" s="507" t="s">
        <v>331</v>
      </c>
    </row>
    <row r="400" spans="1:5" ht="15" x14ac:dyDescent="0.3">
      <c r="A400" s="506">
        <v>6861</v>
      </c>
      <c r="B400" s="507" t="s">
        <v>3860</v>
      </c>
      <c r="C400" s="506" t="s">
        <v>21</v>
      </c>
      <c r="D400" s="508">
        <v>82490</v>
      </c>
      <c r="E400" s="507" t="s">
        <v>331</v>
      </c>
    </row>
    <row r="401" spans="1:5" ht="15" x14ac:dyDescent="0.3">
      <c r="A401" s="506">
        <v>6863</v>
      </c>
      <c r="B401" s="507" t="s">
        <v>3861</v>
      </c>
      <c r="C401" s="506" t="s">
        <v>32</v>
      </c>
      <c r="D401" s="508">
        <v>48510</v>
      </c>
      <c r="E401" s="507" t="s">
        <v>331</v>
      </c>
    </row>
    <row r="402" spans="1:5" ht="15" x14ac:dyDescent="0.3">
      <c r="A402" s="506">
        <v>6865</v>
      </c>
      <c r="B402" s="507" t="s">
        <v>3862</v>
      </c>
      <c r="C402" s="506" t="s">
        <v>30</v>
      </c>
      <c r="D402" s="508">
        <v>592629</v>
      </c>
      <c r="E402" s="507" t="s">
        <v>331</v>
      </c>
    </row>
    <row r="403" spans="1:5" ht="15" x14ac:dyDescent="0.3">
      <c r="A403" s="506">
        <v>6867</v>
      </c>
      <c r="B403" s="507" t="s">
        <v>3863</v>
      </c>
      <c r="C403" s="506" t="s">
        <v>979</v>
      </c>
      <c r="D403" s="508">
        <v>607987</v>
      </c>
      <c r="E403" s="507" t="s">
        <v>331</v>
      </c>
    </row>
    <row r="404" spans="1:5" ht="15" x14ac:dyDescent="0.3">
      <c r="A404" s="506">
        <v>6875</v>
      </c>
      <c r="B404" s="507" t="s">
        <v>3864</v>
      </c>
      <c r="C404" s="506" t="s">
        <v>670</v>
      </c>
      <c r="D404" s="508">
        <v>5691</v>
      </c>
      <c r="E404" s="507" t="s">
        <v>331</v>
      </c>
    </row>
    <row r="405" spans="1:5" ht="15" x14ac:dyDescent="0.3">
      <c r="A405" s="506">
        <v>6878</v>
      </c>
      <c r="B405" s="507" t="s">
        <v>3865</v>
      </c>
      <c r="C405" s="506" t="s">
        <v>2265</v>
      </c>
      <c r="D405" s="508">
        <v>2000</v>
      </c>
      <c r="E405" s="507" t="s">
        <v>331</v>
      </c>
    </row>
    <row r="406" spans="1:5" ht="15" x14ac:dyDescent="0.3">
      <c r="A406" s="506">
        <v>6884</v>
      </c>
      <c r="B406" s="507" t="s">
        <v>3866</v>
      </c>
      <c r="C406" s="506" t="s">
        <v>32</v>
      </c>
      <c r="D406" s="508">
        <v>3093167</v>
      </c>
      <c r="E406" s="507" t="s">
        <v>6108</v>
      </c>
    </row>
    <row r="407" spans="1:5" ht="15" x14ac:dyDescent="0.3">
      <c r="A407" s="506">
        <v>6889</v>
      </c>
      <c r="B407" s="507" t="s">
        <v>3867</v>
      </c>
      <c r="C407" s="506" t="s">
        <v>328</v>
      </c>
      <c r="D407" s="508">
        <v>915</v>
      </c>
      <c r="E407" s="507" t="s">
        <v>6108</v>
      </c>
    </row>
    <row r="408" spans="1:5" ht="15" x14ac:dyDescent="0.3">
      <c r="A408" s="506">
        <v>6914</v>
      </c>
      <c r="B408" s="507" t="s">
        <v>3868</v>
      </c>
      <c r="C408" s="506" t="s">
        <v>670</v>
      </c>
      <c r="D408" s="508">
        <v>11034</v>
      </c>
      <c r="E408" s="507" t="s">
        <v>6108</v>
      </c>
    </row>
    <row r="409" spans="1:5" ht="15" x14ac:dyDescent="0.3">
      <c r="A409" s="506">
        <v>6919</v>
      </c>
      <c r="B409" s="507" t="s">
        <v>3869</v>
      </c>
      <c r="C409" s="506" t="s">
        <v>3579</v>
      </c>
      <c r="D409" s="508">
        <v>279400</v>
      </c>
      <c r="E409" s="507" t="s">
        <v>6108</v>
      </c>
    </row>
    <row r="410" spans="1:5" ht="15" x14ac:dyDescent="0.3">
      <c r="A410" s="506">
        <v>6944</v>
      </c>
      <c r="B410" s="507" t="s">
        <v>3870</v>
      </c>
      <c r="C410" s="506" t="s">
        <v>32</v>
      </c>
      <c r="D410" s="508">
        <v>499800</v>
      </c>
      <c r="E410" s="507" t="s">
        <v>331</v>
      </c>
    </row>
    <row r="411" spans="1:5" ht="15" x14ac:dyDescent="0.3">
      <c r="A411" s="506">
        <v>6958</v>
      </c>
      <c r="B411" s="507" t="s">
        <v>3871</v>
      </c>
      <c r="C411" s="506" t="s">
        <v>21</v>
      </c>
      <c r="D411" s="508">
        <v>19656</v>
      </c>
      <c r="E411" s="507" t="s">
        <v>6108</v>
      </c>
    </row>
    <row r="412" spans="1:5" ht="15" x14ac:dyDescent="0.3">
      <c r="A412" s="506">
        <v>6962</v>
      </c>
      <c r="B412" s="507" t="s">
        <v>3872</v>
      </c>
      <c r="C412" s="506" t="s">
        <v>3596</v>
      </c>
      <c r="D412" s="508">
        <v>2380</v>
      </c>
      <c r="E412" s="507" t="s">
        <v>331</v>
      </c>
    </row>
    <row r="413" spans="1:5" ht="15" x14ac:dyDescent="0.3">
      <c r="A413" s="506">
        <v>6963</v>
      </c>
      <c r="B413" s="507" t="s">
        <v>3873</v>
      </c>
      <c r="C413" s="506" t="s">
        <v>3596</v>
      </c>
      <c r="D413" s="508">
        <v>2380</v>
      </c>
      <c r="E413" s="507" t="s">
        <v>331</v>
      </c>
    </row>
    <row r="414" spans="1:5" ht="15" x14ac:dyDescent="0.3">
      <c r="A414" s="506">
        <v>6964</v>
      </c>
      <c r="B414" s="507" t="s">
        <v>3874</v>
      </c>
      <c r="C414" s="506" t="s">
        <v>3596</v>
      </c>
      <c r="D414" s="508">
        <v>2660</v>
      </c>
      <c r="E414" s="507" t="s">
        <v>331</v>
      </c>
    </row>
    <row r="415" spans="1:5" ht="15" x14ac:dyDescent="0.3">
      <c r="A415" s="506">
        <v>7004</v>
      </c>
      <c r="B415" s="507" t="s">
        <v>3875</v>
      </c>
      <c r="C415" s="506" t="s">
        <v>30</v>
      </c>
      <c r="D415" s="508">
        <v>53550</v>
      </c>
      <c r="E415" s="507" t="s">
        <v>331</v>
      </c>
    </row>
    <row r="416" spans="1:5" ht="15" x14ac:dyDescent="0.3">
      <c r="A416" s="506">
        <v>7005</v>
      </c>
      <c r="B416" s="507" t="s">
        <v>3876</v>
      </c>
      <c r="C416" s="506" t="s">
        <v>30</v>
      </c>
      <c r="D416" s="508">
        <v>19040</v>
      </c>
      <c r="E416" s="507" t="s">
        <v>331</v>
      </c>
    </row>
    <row r="417" spans="1:5" ht="15" x14ac:dyDescent="0.3">
      <c r="A417" s="506">
        <v>7009</v>
      </c>
      <c r="B417" s="507" t="s">
        <v>3877</v>
      </c>
      <c r="C417" s="506" t="s">
        <v>3582</v>
      </c>
      <c r="D417" s="508">
        <v>107849</v>
      </c>
      <c r="E417" s="507" t="s">
        <v>6108</v>
      </c>
    </row>
    <row r="418" spans="1:5" ht="15" x14ac:dyDescent="0.3">
      <c r="A418" s="506">
        <v>7012</v>
      </c>
      <c r="B418" s="507" t="s">
        <v>3878</v>
      </c>
      <c r="C418" s="506" t="s">
        <v>32</v>
      </c>
      <c r="D418" s="508">
        <v>1272</v>
      </c>
      <c r="E418" s="507" t="s">
        <v>331</v>
      </c>
    </row>
    <row r="419" spans="1:5" ht="15" x14ac:dyDescent="0.3">
      <c r="A419" s="506">
        <v>7018</v>
      </c>
      <c r="B419" s="507" t="s">
        <v>3879</v>
      </c>
      <c r="C419" s="506" t="s">
        <v>3579</v>
      </c>
      <c r="D419" s="508">
        <v>365104</v>
      </c>
      <c r="E419" s="507" t="s">
        <v>6108</v>
      </c>
    </row>
    <row r="420" spans="1:5" ht="15" x14ac:dyDescent="0.3">
      <c r="A420" s="506">
        <v>7019</v>
      </c>
      <c r="B420" s="507" t="s">
        <v>3880</v>
      </c>
      <c r="C420" s="506" t="s">
        <v>3579</v>
      </c>
      <c r="D420" s="508">
        <v>15861</v>
      </c>
      <c r="E420" s="507" t="s">
        <v>331</v>
      </c>
    </row>
    <row r="421" spans="1:5" ht="15" x14ac:dyDescent="0.3">
      <c r="A421" s="506">
        <v>7020</v>
      </c>
      <c r="B421" s="507" t="s">
        <v>6189</v>
      </c>
      <c r="C421" s="506" t="s">
        <v>32</v>
      </c>
      <c r="D421" s="508">
        <v>164639</v>
      </c>
      <c r="E421" s="507" t="s">
        <v>6108</v>
      </c>
    </row>
    <row r="422" spans="1:5" ht="15" x14ac:dyDescent="0.3">
      <c r="A422" s="506">
        <v>7021</v>
      </c>
      <c r="B422" s="507" t="s">
        <v>3881</v>
      </c>
      <c r="C422" s="506" t="s">
        <v>32</v>
      </c>
      <c r="D422" s="508">
        <v>159991</v>
      </c>
      <c r="E422" s="507" t="s">
        <v>6108</v>
      </c>
    </row>
    <row r="423" spans="1:5" ht="15" x14ac:dyDescent="0.3">
      <c r="A423" s="506">
        <v>7022</v>
      </c>
      <c r="B423" s="507" t="s">
        <v>3882</v>
      </c>
      <c r="C423" s="506" t="s">
        <v>32</v>
      </c>
      <c r="D423" s="508">
        <v>192810</v>
      </c>
      <c r="E423" s="507" t="s">
        <v>6108</v>
      </c>
    </row>
    <row r="424" spans="1:5" ht="15" x14ac:dyDescent="0.3">
      <c r="A424" s="506">
        <v>7023</v>
      </c>
      <c r="B424" s="507" t="s">
        <v>3883</v>
      </c>
      <c r="C424" s="506" t="s">
        <v>32</v>
      </c>
      <c r="D424" s="508">
        <v>284721</v>
      </c>
      <c r="E424" s="507" t="s">
        <v>6108</v>
      </c>
    </row>
    <row r="425" spans="1:5" ht="15" x14ac:dyDescent="0.3">
      <c r="A425" s="506">
        <v>7024</v>
      </c>
      <c r="B425" s="507" t="s">
        <v>3884</v>
      </c>
      <c r="C425" s="506" t="s">
        <v>32</v>
      </c>
      <c r="D425" s="508">
        <v>277592</v>
      </c>
      <c r="E425" s="507" t="s">
        <v>6108</v>
      </c>
    </row>
    <row r="426" spans="1:5" ht="15" x14ac:dyDescent="0.3">
      <c r="A426" s="506">
        <v>7025</v>
      </c>
      <c r="B426" s="507" t="s">
        <v>3885</v>
      </c>
      <c r="C426" s="506" t="s">
        <v>32</v>
      </c>
      <c r="D426" s="508">
        <v>561915</v>
      </c>
      <c r="E426" s="507" t="s">
        <v>6108</v>
      </c>
    </row>
    <row r="427" spans="1:5" ht="15" x14ac:dyDescent="0.3">
      <c r="A427" s="506">
        <v>7026</v>
      </c>
      <c r="B427" s="507" t="s">
        <v>3886</v>
      </c>
      <c r="C427" s="506" t="s">
        <v>32</v>
      </c>
      <c r="D427" s="508">
        <v>826211</v>
      </c>
      <c r="E427" s="507" t="s">
        <v>6108</v>
      </c>
    </row>
    <row r="428" spans="1:5" ht="15" x14ac:dyDescent="0.3">
      <c r="A428" s="506">
        <v>7041</v>
      </c>
      <c r="B428" s="507" t="s">
        <v>3887</v>
      </c>
      <c r="C428" s="506" t="s">
        <v>32</v>
      </c>
      <c r="D428" s="508">
        <v>1530530</v>
      </c>
      <c r="E428" s="507" t="s">
        <v>331</v>
      </c>
    </row>
    <row r="429" spans="1:5" ht="15" x14ac:dyDescent="0.3">
      <c r="A429" s="506">
        <v>7050</v>
      </c>
      <c r="B429" s="507" t="s">
        <v>3888</v>
      </c>
      <c r="C429" s="506" t="s">
        <v>979</v>
      </c>
      <c r="D429" s="508">
        <v>16529</v>
      </c>
      <c r="E429" s="507" t="s">
        <v>6109</v>
      </c>
    </row>
    <row r="430" spans="1:5" ht="15" x14ac:dyDescent="0.3">
      <c r="A430" s="506">
        <v>7055</v>
      </c>
      <c r="B430" s="507" t="s">
        <v>3889</v>
      </c>
      <c r="C430" s="506" t="s">
        <v>670</v>
      </c>
      <c r="D430" s="508">
        <v>1156</v>
      </c>
      <c r="E430" s="507" t="s">
        <v>331</v>
      </c>
    </row>
    <row r="431" spans="1:5" ht="15" x14ac:dyDescent="0.3">
      <c r="A431" s="506">
        <v>7057</v>
      </c>
      <c r="B431" s="507" t="s">
        <v>3890</v>
      </c>
      <c r="C431" s="506" t="s">
        <v>979</v>
      </c>
      <c r="D431" s="508">
        <v>13284</v>
      </c>
      <c r="E431" s="507" t="s">
        <v>6109</v>
      </c>
    </row>
    <row r="432" spans="1:5" ht="15" x14ac:dyDescent="0.3">
      <c r="A432" s="506">
        <v>7071</v>
      </c>
      <c r="B432" s="507" t="s">
        <v>3891</v>
      </c>
      <c r="C432" s="506" t="s">
        <v>3596</v>
      </c>
      <c r="D432" s="508">
        <v>1964</v>
      </c>
      <c r="E432" s="507" t="s">
        <v>331</v>
      </c>
    </row>
    <row r="433" spans="1:5" ht="15" x14ac:dyDescent="0.3">
      <c r="A433" s="506">
        <v>7080</v>
      </c>
      <c r="B433" s="507" t="s">
        <v>3892</v>
      </c>
      <c r="C433" s="506" t="s">
        <v>328</v>
      </c>
      <c r="D433" s="508">
        <v>38436</v>
      </c>
      <c r="E433" s="507" t="s">
        <v>331</v>
      </c>
    </row>
    <row r="434" spans="1:5" ht="15" x14ac:dyDescent="0.3">
      <c r="A434" s="506">
        <v>7081</v>
      </c>
      <c r="B434" s="507" t="s">
        <v>3893</v>
      </c>
      <c r="C434" s="506" t="s">
        <v>328</v>
      </c>
      <c r="D434" s="508">
        <v>80651</v>
      </c>
      <c r="E434" s="507" t="s">
        <v>331</v>
      </c>
    </row>
    <row r="435" spans="1:5" ht="15" x14ac:dyDescent="0.3">
      <c r="A435" s="506">
        <v>7082</v>
      </c>
      <c r="B435" s="507" t="s">
        <v>3894</v>
      </c>
      <c r="C435" s="506" t="s">
        <v>32</v>
      </c>
      <c r="D435" s="508">
        <v>1600671</v>
      </c>
      <c r="E435" s="507" t="s">
        <v>331</v>
      </c>
    </row>
    <row r="436" spans="1:5" ht="15" x14ac:dyDescent="0.3">
      <c r="A436" s="506">
        <v>7084</v>
      </c>
      <c r="B436" s="507" t="s">
        <v>3895</v>
      </c>
      <c r="C436" s="506" t="s">
        <v>32</v>
      </c>
      <c r="D436" s="508">
        <v>1088510</v>
      </c>
      <c r="E436" s="507" t="s">
        <v>331</v>
      </c>
    </row>
    <row r="437" spans="1:5" ht="15" x14ac:dyDescent="0.3">
      <c r="A437" s="506">
        <v>7085</v>
      </c>
      <c r="B437" s="507" t="s">
        <v>3896</v>
      </c>
      <c r="C437" s="506" t="s">
        <v>32</v>
      </c>
      <c r="D437" s="508">
        <v>1457296</v>
      </c>
      <c r="E437" s="507" t="s">
        <v>331</v>
      </c>
    </row>
    <row r="438" spans="1:5" ht="15" x14ac:dyDescent="0.3">
      <c r="A438" s="506">
        <v>7086</v>
      </c>
      <c r="B438" s="507" t="s">
        <v>3897</v>
      </c>
      <c r="C438" s="506" t="s">
        <v>32</v>
      </c>
      <c r="D438" s="508">
        <v>805271</v>
      </c>
      <c r="E438" s="507" t="s">
        <v>331</v>
      </c>
    </row>
    <row r="439" spans="1:5" ht="15" x14ac:dyDescent="0.3">
      <c r="A439" s="506">
        <v>7087</v>
      </c>
      <c r="B439" s="507" t="s">
        <v>3898</v>
      </c>
      <c r="C439" s="506" t="s">
        <v>32</v>
      </c>
      <c r="D439" s="508">
        <v>559313</v>
      </c>
      <c r="E439" s="507" t="s">
        <v>331</v>
      </c>
    </row>
    <row r="440" spans="1:5" ht="15" x14ac:dyDescent="0.3">
      <c r="A440" s="506">
        <v>7088</v>
      </c>
      <c r="B440" s="507" t="s">
        <v>3899</v>
      </c>
      <c r="C440" s="506" t="s">
        <v>670</v>
      </c>
      <c r="D440" s="508">
        <v>4665</v>
      </c>
      <c r="E440" s="507" t="s">
        <v>331</v>
      </c>
    </row>
    <row r="441" spans="1:5" ht="15" x14ac:dyDescent="0.3">
      <c r="A441" s="506">
        <v>7089</v>
      </c>
      <c r="B441" s="507" t="s">
        <v>3900</v>
      </c>
      <c r="C441" s="506" t="s">
        <v>32</v>
      </c>
      <c r="D441" s="508">
        <v>623660</v>
      </c>
      <c r="E441" s="507" t="s">
        <v>331</v>
      </c>
    </row>
    <row r="442" spans="1:5" ht="15" x14ac:dyDescent="0.3">
      <c r="A442" s="506">
        <v>7091</v>
      </c>
      <c r="B442" s="507" t="s">
        <v>3901</v>
      </c>
      <c r="C442" s="506" t="s">
        <v>32</v>
      </c>
      <c r="D442" s="508">
        <v>1851353</v>
      </c>
      <c r="E442" s="507" t="s">
        <v>331</v>
      </c>
    </row>
    <row r="443" spans="1:5" ht="15" x14ac:dyDescent="0.3">
      <c r="A443" s="506">
        <v>7092</v>
      </c>
      <c r="B443" s="507" t="s">
        <v>3902</v>
      </c>
      <c r="C443" s="506" t="s">
        <v>32</v>
      </c>
      <c r="D443" s="508">
        <v>2485168</v>
      </c>
      <c r="E443" s="507" t="s">
        <v>331</v>
      </c>
    </row>
    <row r="444" spans="1:5" ht="15" x14ac:dyDescent="0.3">
      <c r="A444" s="506">
        <v>7093</v>
      </c>
      <c r="B444" s="507" t="s">
        <v>3903</v>
      </c>
      <c r="C444" s="506" t="s">
        <v>32</v>
      </c>
      <c r="D444" s="508">
        <v>2876720</v>
      </c>
      <c r="E444" s="507" t="s">
        <v>331</v>
      </c>
    </row>
    <row r="445" spans="1:5" ht="15" x14ac:dyDescent="0.3">
      <c r="A445" s="506">
        <v>7094</v>
      </c>
      <c r="B445" s="507" t="s">
        <v>3904</v>
      </c>
      <c r="C445" s="506" t="s">
        <v>32</v>
      </c>
      <c r="D445" s="508">
        <v>3983182</v>
      </c>
      <c r="E445" s="507" t="s">
        <v>331</v>
      </c>
    </row>
    <row r="446" spans="1:5" ht="15" x14ac:dyDescent="0.3">
      <c r="A446" s="506">
        <v>7096</v>
      </c>
      <c r="B446" s="507" t="s">
        <v>3905</v>
      </c>
      <c r="C446" s="506" t="s">
        <v>32</v>
      </c>
      <c r="D446" s="508">
        <v>1881348</v>
      </c>
      <c r="E446" s="507" t="s">
        <v>331</v>
      </c>
    </row>
    <row r="447" spans="1:5" ht="15" x14ac:dyDescent="0.3">
      <c r="A447" s="506">
        <v>7097</v>
      </c>
      <c r="B447" s="507" t="s">
        <v>3906</v>
      </c>
      <c r="C447" s="506" t="s">
        <v>32</v>
      </c>
      <c r="D447" s="508">
        <v>2907016</v>
      </c>
      <c r="E447" s="507" t="s">
        <v>331</v>
      </c>
    </row>
    <row r="448" spans="1:5" ht="15" x14ac:dyDescent="0.3">
      <c r="A448" s="506">
        <v>7098</v>
      </c>
      <c r="B448" s="507" t="s">
        <v>3907</v>
      </c>
      <c r="C448" s="506" t="s">
        <v>32</v>
      </c>
      <c r="D448" s="508">
        <v>3693375</v>
      </c>
      <c r="E448" s="507" t="s">
        <v>331</v>
      </c>
    </row>
    <row r="449" spans="1:5" ht="15" x14ac:dyDescent="0.3">
      <c r="A449" s="506">
        <v>7099</v>
      </c>
      <c r="B449" s="507" t="s">
        <v>3908</v>
      </c>
      <c r="C449" s="506" t="s">
        <v>32</v>
      </c>
      <c r="D449" s="508">
        <v>3821573</v>
      </c>
      <c r="E449" s="507" t="s">
        <v>331</v>
      </c>
    </row>
    <row r="450" spans="1:5" ht="15" x14ac:dyDescent="0.3">
      <c r="A450" s="506">
        <v>7101</v>
      </c>
      <c r="B450" s="507" t="s">
        <v>3909</v>
      </c>
      <c r="C450" s="506" t="s">
        <v>32</v>
      </c>
      <c r="D450" s="508">
        <v>1030260</v>
      </c>
      <c r="E450" s="507" t="s">
        <v>331</v>
      </c>
    </row>
    <row r="451" spans="1:5" ht="15" x14ac:dyDescent="0.3">
      <c r="A451" s="506">
        <v>7104</v>
      </c>
      <c r="B451" s="507" t="s">
        <v>3910</v>
      </c>
      <c r="C451" s="506" t="s">
        <v>32</v>
      </c>
      <c r="D451" s="508">
        <v>378392</v>
      </c>
      <c r="E451" s="507" t="s">
        <v>331</v>
      </c>
    </row>
    <row r="452" spans="1:5" ht="15" x14ac:dyDescent="0.3">
      <c r="A452" s="506">
        <v>7105</v>
      </c>
      <c r="B452" s="507" t="s">
        <v>3911</v>
      </c>
      <c r="C452" s="506" t="s">
        <v>328</v>
      </c>
      <c r="D452" s="508">
        <v>14753</v>
      </c>
      <c r="E452" s="507" t="s">
        <v>331</v>
      </c>
    </row>
    <row r="453" spans="1:5" ht="15" x14ac:dyDescent="0.3">
      <c r="A453" s="506">
        <v>7106</v>
      </c>
      <c r="B453" s="507" t="s">
        <v>3912</v>
      </c>
      <c r="C453" s="506" t="s">
        <v>328</v>
      </c>
      <c r="D453" s="508">
        <v>26064</v>
      </c>
      <c r="E453" s="507" t="s">
        <v>331</v>
      </c>
    </row>
    <row r="454" spans="1:5" ht="15" x14ac:dyDescent="0.3">
      <c r="A454" s="506">
        <v>7107</v>
      </c>
      <c r="B454" s="507" t="s">
        <v>3913</v>
      </c>
      <c r="C454" s="506" t="s">
        <v>328</v>
      </c>
      <c r="D454" s="508">
        <v>58068</v>
      </c>
      <c r="E454" s="507" t="s">
        <v>331</v>
      </c>
    </row>
    <row r="455" spans="1:5" ht="15" x14ac:dyDescent="0.3">
      <c r="A455" s="506">
        <v>7109</v>
      </c>
      <c r="B455" s="507" t="s">
        <v>3914</v>
      </c>
      <c r="C455" s="506" t="s">
        <v>328</v>
      </c>
      <c r="D455" s="508">
        <v>20206</v>
      </c>
      <c r="E455" s="507" t="s">
        <v>331</v>
      </c>
    </row>
    <row r="456" spans="1:5" ht="15" x14ac:dyDescent="0.3">
      <c r="A456" s="506">
        <v>7110</v>
      </c>
      <c r="B456" s="507" t="s">
        <v>3915</v>
      </c>
      <c r="C456" s="506" t="s">
        <v>328</v>
      </c>
      <c r="D456" s="508">
        <v>35129</v>
      </c>
      <c r="E456" s="507" t="s">
        <v>331</v>
      </c>
    </row>
    <row r="457" spans="1:5" ht="15" x14ac:dyDescent="0.3">
      <c r="A457" s="506">
        <v>7111</v>
      </c>
      <c r="B457" s="507" t="s">
        <v>3916</v>
      </c>
      <c r="C457" s="506" t="s">
        <v>328</v>
      </c>
      <c r="D457" s="508">
        <v>80450</v>
      </c>
      <c r="E457" s="507" t="s">
        <v>331</v>
      </c>
    </row>
    <row r="458" spans="1:5" ht="15" x14ac:dyDescent="0.3">
      <c r="A458" s="506">
        <v>7114</v>
      </c>
      <c r="B458" s="507" t="s">
        <v>3917</v>
      </c>
      <c r="C458" s="506" t="s">
        <v>30</v>
      </c>
      <c r="D458" s="508">
        <v>738772</v>
      </c>
      <c r="E458" s="507" t="s">
        <v>331</v>
      </c>
    </row>
    <row r="459" spans="1:5" ht="15" x14ac:dyDescent="0.3">
      <c r="A459" s="506">
        <v>7115</v>
      </c>
      <c r="B459" s="507" t="s">
        <v>3918</v>
      </c>
      <c r="C459" s="506" t="s">
        <v>670</v>
      </c>
      <c r="D459" s="508">
        <v>11560</v>
      </c>
      <c r="E459" s="507" t="s">
        <v>6108</v>
      </c>
    </row>
    <row r="460" spans="1:5" ht="15" x14ac:dyDescent="0.3">
      <c r="A460" s="506">
        <v>7119</v>
      </c>
      <c r="B460" s="507" t="s">
        <v>3919</v>
      </c>
      <c r="C460" s="506" t="s">
        <v>328</v>
      </c>
      <c r="D460" s="508">
        <v>658308</v>
      </c>
      <c r="E460" s="507" t="s">
        <v>331</v>
      </c>
    </row>
    <row r="461" spans="1:5" ht="15" x14ac:dyDescent="0.3">
      <c r="A461" s="506">
        <v>7120</v>
      </c>
      <c r="B461" s="507" t="s">
        <v>3920</v>
      </c>
      <c r="C461" s="506" t="s">
        <v>328</v>
      </c>
      <c r="D461" s="508">
        <v>793692</v>
      </c>
      <c r="E461" s="507" t="s">
        <v>331</v>
      </c>
    </row>
    <row r="462" spans="1:5" ht="15" x14ac:dyDescent="0.3">
      <c r="A462" s="506">
        <v>7121</v>
      </c>
      <c r="B462" s="507" t="s">
        <v>3921</v>
      </c>
      <c r="C462" s="506" t="s">
        <v>328</v>
      </c>
      <c r="D462" s="508">
        <v>979846</v>
      </c>
      <c r="E462" s="507" t="s">
        <v>331</v>
      </c>
    </row>
    <row r="463" spans="1:5" ht="15" x14ac:dyDescent="0.3">
      <c r="A463" s="506">
        <v>7122</v>
      </c>
      <c r="B463" s="507" t="s">
        <v>3922</v>
      </c>
      <c r="C463" s="506" t="s">
        <v>328</v>
      </c>
      <c r="D463" s="508">
        <v>1345385</v>
      </c>
      <c r="E463" s="507" t="s">
        <v>331</v>
      </c>
    </row>
    <row r="464" spans="1:5" ht="15" x14ac:dyDescent="0.3">
      <c r="A464" s="506">
        <v>7123</v>
      </c>
      <c r="B464" s="507" t="s">
        <v>3923</v>
      </c>
      <c r="C464" s="506" t="s">
        <v>328</v>
      </c>
      <c r="D464" s="508">
        <v>1818385</v>
      </c>
      <c r="E464" s="507" t="s">
        <v>331</v>
      </c>
    </row>
    <row r="465" spans="1:5" ht="15" x14ac:dyDescent="0.3">
      <c r="A465" s="506">
        <v>7124</v>
      </c>
      <c r="B465" s="507" t="s">
        <v>3924</v>
      </c>
      <c r="C465" s="506" t="s">
        <v>328</v>
      </c>
      <c r="D465" s="508">
        <v>2435231</v>
      </c>
      <c r="E465" s="507" t="s">
        <v>331</v>
      </c>
    </row>
    <row r="466" spans="1:5" ht="15" x14ac:dyDescent="0.3">
      <c r="A466" s="506">
        <v>7125</v>
      </c>
      <c r="B466" s="507" t="s">
        <v>3925</v>
      </c>
      <c r="C466" s="506" t="s">
        <v>328</v>
      </c>
      <c r="D466" s="508">
        <v>2855769</v>
      </c>
      <c r="E466" s="507" t="s">
        <v>331</v>
      </c>
    </row>
    <row r="467" spans="1:5" ht="15" x14ac:dyDescent="0.3">
      <c r="A467" s="506">
        <v>7131</v>
      </c>
      <c r="B467" s="507" t="s">
        <v>3926</v>
      </c>
      <c r="C467" s="506" t="s">
        <v>21</v>
      </c>
      <c r="D467" s="508">
        <v>11163</v>
      </c>
      <c r="E467" s="507" t="s">
        <v>6108</v>
      </c>
    </row>
    <row r="468" spans="1:5" ht="15" x14ac:dyDescent="0.3">
      <c r="A468" s="506">
        <v>7133</v>
      </c>
      <c r="B468" s="507" t="s">
        <v>3927</v>
      </c>
      <c r="C468" s="506" t="s">
        <v>21</v>
      </c>
      <c r="D468" s="508">
        <v>26709</v>
      </c>
      <c r="E468" s="507" t="s">
        <v>6108</v>
      </c>
    </row>
    <row r="469" spans="1:5" ht="15" x14ac:dyDescent="0.3">
      <c r="A469" s="506">
        <v>7134</v>
      </c>
      <c r="B469" s="507" t="s">
        <v>3928</v>
      </c>
      <c r="C469" s="506" t="s">
        <v>21</v>
      </c>
      <c r="D469" s="508">
        <v>8935</v>
      </c>
      <c r="E469" s="507" t="s">
        <v>6108</v>
      </c>
    </row>
    <row r="470" spans="1:5" ht="15" x14ac:dyDescent="0.3">
      <c r="A470" s="506">
        <v>7135</v>
      </c>
      <c r="B470" s="507" t="s">
        <v>3929</v>
      </c>
      <c r="C470" s="506" t="s">
        <v>32</v>
      </c>
      <c r="D470" s="508">
        <v>967</v>
      </c>
      <c r="E470" s="507" t="s">
        <v>331</v>
      </c>
    </row>
    <row r="471" spans="1:5" ht="15" x14ac:dyDescent="0.3">
      <c r="A471" s="506">
        <v>7138</v>
      </c>
      <c r="B471" s="507" t="s">
        <v>3930</v>
      </c>
      <c r="C471" s="506" t="s">
        <v>32</v>
      </c>
      <c r="D471" s="508">
        <v>26197</v>
      </c>
      <c r="E471" s="507" t="s">
        <v>331</v>
      </c>
    </row>
    <row r="472" spans="1:5" ht="15" x14ac:dyDescent="0.3">
      <c r="A472" s="506">
        <v>7141</v>
      </c>
      <c r="B472" s="507" t="s">
        <v>3931</v>
      </c>
      <c r="C472" s="506" t="s">
        <v>32</v>
      </c>
      <c r="D472" s="508">
        <v>37163</v>
      </c>
      <c r="E472" s="507" t="s">
        <v>331</v>
      </c>
    </row>
    <row r="473" spans="1:5" ht="15" x14ac:dyDescent="0.3">
      <c r="A473" s="506">
        <v>7142</v>
      </c>
      <c r="B473" s="507" t="s">
        <v>3932</v>
      </c>
      <c r="C473" s="506" t="s">
        <v>328</v>
      </c>
      <c r="D473" s="508">
        <v>61930</v>
      </c>
      <c r="E473" s="507" t="s">
        <v>331</v>
      </c>
    </row>
    <row r="474" spans="1:5" ht="15" x14ac:dyDescent="0.3">
      <c r="A474" s="506">
        <v>7145</v>
      </c>
      <c r="B474" s="507" t="s">
        <v>3933</v>
      </c>
      <c r="C474" s="506" t="s">
        <v>32</v>
      </c>
      <c r="D474" s="508">
        <v>401566</v>
      </c>
      <c r="E474" s="507" t="s">
        <v>331</v>
      </c>
    </row>
    <row r="475" spans="1:5" ht="15" x14ac:dyDescent="0.3">
      <c r="A475" s="506">
        <v>7146</v>
      </c>
      <c r="B475" s="507" t="s">
        <v>3934</v>
      </c>
      <c r="C475" s="506" t="s">
        <v>979</v>
      </c>
      <c r="D475" s="508">
        <v>128468</v>
      </c>
      <c r="E475" s="507" t="s">
        <v>331</v>
      </c>
    </row>
    <row r="476" spans="1:5" ht="15" x14ac:dyDescent="0.3">
      <c r="A476" s="506">
        <v>7147</v>
      </c>
      <c r="B476" s="507" t="s">
        <v>3935</v>
      </c>
      <c r="C476" s="506" t="s">
        <v>32</v>
      </c>
      <c r="D476" s="508">
        <v>778063</v>
      </c>
      <c r="E476" s="507" t="s">
        <v>6108</v>
      </c>
    </row>
    <row r="477" spans="1:5" ht="15" x14ac:dyDescent="0.3">
      <c r="A477" s="506">
        <v>7151</v>
      </c>
      <c r="B477" s="507" t="s">
        <v>3936</v>
      </c>
      <c r="C477" s="506" t="s">
        <v>32</v>
      </c>
      <c r="D477" s="508">
        <v>1005000</v>
      </c>
      <c r="E477" s="507" t="s">
        <v>331</v>
      </c>
    </row>
    <row r="478" spans="1:5" ht="15" x14ac:dyDescent="0.3">
      <c r="A478" s="506">
        <v>7152</v>
      </c>
      <c r="B478" s="507" t="s">
        <v>3937</v>
      </c>
      <c r="C478" s="506" t="s">
        <v>32</v>
      </c>
      <c r="D478" s="508">
        <v>1676620</v>
      </c>
      <c r="E478" s="507" t="s">
        <v>331</v>
      </c>
    </row>
    <row r="479" spans="1:5" ht="15" x14ac:dyDescent="0.3">
      <c r="A479" s="506">
        <v>7153</v>
      </c>
      <c r="B479" s="507" t="s">
        <v>3938</v>
      </c>
      <c r="C479" s="506" t="s">
        <v>3596</v>
      </c>
      <c r="D479" s="508">
        <v>3420</v>
      </c>
      <c r="E479" s="507" t="s">
        <v>331</v>
      </c>
    </row>
    <row r="480" spans="1:5" ht="15" x14ac:dyDescent="0.3">
      <c r="A480" s="506">
        <v>7154</v>
      </c>
      <c r="B480" s="507" t="s">
        <v>3939</v>
      </c>
      <c r="C480" s="506" t="s">
        <v>3596</v>
      </c>
      <c r="D480" s="508">
        <v>3643</v>
      </c>
      <c r="E480" s="507" t="s">
        <v>331</v>
      </c>
    </row>
    <row r="481" spans="1:5" ht="15" x14ac:dyDescent="0.3">
      <c r="A481" s="506">
        <v>7166</v>
      </c>
      <c r="B481" s="507" t="s">
        <v>3940</v>
      </c>
      <c r="C481" s="506" t="s">
        <v>979</v>
      </c>
      <c r="D481" s="508">
        <v>680339</v>
      </c>
      <c r="E481" s="507" t="s">
        <v>331</v>
      </c>
    </row>
    <row r="482" spans="1:5" ht="15" x14ac:dyDescent="0.3">
      <c r="A482" s="506">
        <v>7172</v>
      </c>
      <c r="B482" s="507" t="s">
        <v>3941</v>
      </c>
      <c r="C482" s="506" t="s">
        <v>30</v>
      </c>
      <c r="D482" s="508">
        <v>991602</v>
      </c>
      <c r="E482" s="507" t="s">
        <v>331</v>
      </c>
    </row>
    <row r="483" spans="1:5" ht="15" x14ac:dyDescent="0.3">
      <c r="A483" s="506">
        <v>7174</v>
      </c>
      <c r="B483" s="507" t="s">
        <v>3942</v>
      </c>
      <c r="C483" s="506" t="s">
        <v>30</v>
      </c>
      <c r="D483" s="508">
        <v>1013899</v>
      </c>
      <c r="E483" s="507" t="s">
        <v>331</v>
      </c>
    </row>
    <row r="484" spans="1:5" ht="15" x14ac:dyDescent="0.3">
      <c r="A484" s="506">
        <v>7181</v>
      </c>
      <c r="B484" s="507" t="s">
        <v>3943</v>
      </c>
      <c r="C484" s="506" t="s">
        <v>30</v>
      </c>
      <c r="D484" s="508">
        <v>1129350</v>
      </c>
      <c r="E484" s="507" t="s">
        <v>331</v>
      </c>
    </row>
    <row r="485" spans="1:5" ht="15" x14ac:dyDescent="0.3">
      <c r="A485" s="506">
        <v>7199</v>
      </c>
      <c r="B485" s="507" t="s">
        <v>3944</v>
      </c>
      <c r="C485" s="506" t="s">
        <v>30</v>
      </c>
      <c r="D485" s="508">
        <v>640872</v>
      </c>
      <c r="E485" s="507" t="s">
        <v>331</v>
      </c>
    </row>
    <row r="486" spans="1:5" ht="15" x14ac:dyDescent="0.3">
      <c r="A486" s="506">
        <v>7200</v>
      </c>
      <c r="B486" s="507" t="s">
        <v>3945</v>
      </c>
      <c r="C486" s="506" t="s">
        <v>30</v>
      </c>
      <c r="D486" s="508">
        <v>607363</v>
      </c>
      <c r="E486" s="507" t="s">
        <v>331</v>
      </c>
    </row>
    <row r="487" spans="1:5" ht="15" x14ac:dyDescent="0.3">
      <c r="A487" s="506">
        <v>7202</v>
      </c>
      <c r="B487" s="507" t="s">
        <v>3946</v>
      </c>
      <c r="C487" s="506" t="s">
        <v>670</v>
      </c>
      <c r="D487" s="508">
        <v>6069</v>
      </c>
      <c r="E487" s="507" t="s">
        <v>331</v>
      </c>
    </row>
    <row r="488" spans="1:5" ht="15" x14ac:dyDescent="0.3">
      <c r="A488" s="506">
        <v>7203</v>
      </c>
      <c r="B488" s="507" t="s">
        <v>3947</v>
      </c>
      <c r="C488" s="506" t="s">
        <v>670</v>
      </c>
      <c r="D488" s="508">
        <v>6069</v>
      </c>
      <c r="E488" s="507" t="s">
        <v>331</v>
      </c>
    </row>
    <row r="489" spans="1:5" ht="15" x14ac:dyDescent="0.3">
      <c r="A489" s="506">
        <v>7204</v>
      </c>
      <c r="B489" s="507" t="s">
        <v>3948</v>
      </c>
      <c r="C489" s="506" t="s">
        <v>670</v>
      </c>
      <c r="D489" s="508">
        <v>6069</v>
      </c>
      <c r="E489" s="507" t="s">
        <v>331</v>
      </c>
    </row>
    <row r="490" spans="1:5" ht="15" x14ac:dyDescent="0.3">
      <c r="A490" s="506">
        <v>7205</v>
      </c>
      <c r="B490" s="507" t="s">
        <v>3949</v>
      </c>
      <c r="C490" s="506" t="s">
        <v>670</v>
      </c>
      <c r="D490" s="508">
        <v>6069</v>
      </c>
      <c r="E490" s="507" t="s">
        <v>331</v>
      </c>
    </row>
    <row r="491" spans="1:5" ht="15" x14ac:dyDescent="0.3">
      <c r="A491" s="506">
        <v>7206</v>
      </c>
      <c r="B491" s="507" t="s">
        <v>3950</v>
      </c>
      <c r="C491" s="506" t="s">
        <v>670</v>
      </c>
      <c r="D491" s="508">
        <v>6069</v>
      </c>
      <c r="E491" s="507" t="s">
        <v>331</v>
      </c>
    </row>
    <row r="492" spans="1:5" ht="15" x14ac:dyDescent="0.3">
      <c r="A492" s="506">
        <v>7207</v>
      </c>
      <c r="B492" s="507" t="s">
        <v>3951</v>
      </c>
      <c r="C492" s="506" t="s">
        <v>670</v>
      </c>
      <c r="D492" s="508">
        <v>6069</v>
      </c>
      <c r="E492" s="507" t="s">
        <v>331</v>
      </c>
    </row>
    <row r="493" spans="1:5" ht="15" x14ac:dyDescent="0.3">
      <c r="A493" s="506">
        <v>7208</v>
      </c>
      <c r="B493" s="507" t="s">
        <v>3952</v>
      </c>
      <c r="C493" s="506" t="s">
        <v>670</v>
      </c>
      <c r="D493" s="508">
        <v>6069</v>
      </c>
      <c r="E493" s="507" t="s">
        <v>331</v>
      </c>
    </row>
    <row r="494" spans="1:5" ht="15" x14ac:dyDescent="0.3">
      <c r="A494" s="506">
        <v>7216</v>
      </c>
      <c r="B494" s="507" t="s">
        <v>3953</v>
      </c>
      <c r="C494" s="506" t="s">
        <v>21</v>
      </c>
      <c r="D494" s="508">
        <v>153152</v>
      </c>
      <c r="E494" s="507" t="s">
        <v>6108</v>
      </c>
    </row>
    <row r="495" spans="1:5" ht="15" x14ac:dyDescent="0.3">
      <c r="A495" s="506">
        <v>7219</v>
      </c>
      <c r="B495" s="507" t="s">
        <v>3954</v>
      </c>
      <c r="C495" s="506" t="s">
        <v>32</v>
      </c>
      <c r="D495" s="508">
        <v>919766</v>
      </c>
      <c r="E495" s="507" t="s">
        <v>331</v>
      </c>
    </row>
    <row r="496" spans="1:5" ht="15" x14ac:dyDescent="0.3">
      <c r="A496" s="506">
        <v>7224</v>
      </c>
      <c r="B496" s="507" t="s">
        <v>3955</v>
      </c>
      <c r="C496" s="506" t="s">
        <v>32</v>
      </c>
      <c r="D496" s="508">
        <v>382240</v>
      </c>
      <c r="E496" s="507" t="s">
        <v>331</v>
      </c>
    </row>
    <row r="497" spans="1:5" ht="15" x14ac:dyDescent="0.3">
      <c r="A497" s="506">
        <v>7227</v>
      </c>
      <c r="B497" s="507" t="s">
        <v>3956</v>
      </c>
      <c r="C497" s="506" t="s">
        <v>32</v>
      </c>
      <c r="D497" s="508">
        <v>28917</v>
      </c>
      <c r="E497" s="507" t="s">
        <v>331</v>
      </c>
    </row>
    <row r="498" spans="1:5" ht="15" x14ac:dyDescent="0.3">
      <c r="A498" s="506">
        <v>7228</v>
      </c>
      <c r="B498" s="507" t="s">
        <v>3957</v>
      </c>
      <c r="C498" s="506" t="s">
        <v>32</v>
      </c>
      <c r="D498" s="508">
        <v>208992</v>
      </c>
      <c r="E498" s="507" t="s">
        <v>331</v>
      </c>
    </row>
    <row r="499" spans="1:5" ht="15" x14ac:dyDescent="0.3">
      <c r="A499" s="506">
        <v>7229</v>
      </c>
      <c r="B499" s="507" t="s">
        <v>3958</v>
      </c>
      <c r="C499" s="506" t="s">
        <v>30</v>
      </c>
      <c r="D499" s="508">
        <v>84232</v>
      </c>
      <c r="E499" s="507" t="s">
        <v>6108</v>
      </c>
    </row>
    <row r="500" spans="1:5" ht="15" x14ac:dyDescent="0.3">
      <c r="A500" s="506">
        <v>7231</v>
      </c>
      <c r="B500" s="507" t="s">
        <v>3959</v>
      </c>
      <c r="C500" s="506" t="s">
        <v>30</v>
      </c>
      <c r="D500" s="508">
        <v>7800</v>
      </c>
      <c r="E500" s="507" t="s">
        <v>331</v>
      </c>
    </row>
    <row r="501" spans="1:5" ht="15" x14ac:dyDescent="0.3">
      <c r="A501" s="506">
        <v>7236</v>
      </c>
      <c r="B501" s="507" t="s">
        <v>3960</v>
      </c>
      <c r="C501" s="506" t="s">
        <v>32</v>
      </c>
      <c r="D501" s="508">
        <v>33989</v>
      </c>
      <c r="E501" s="507" t="s">
        <v>331</v>
      </c>
    </row>
    <row r="502" spans="1:5" ht="15" x14ac:dyDescent="0.3">
      <c r="A502" s="506">
        <v>7244</v>
      </c>
      <c r="B502" s="507" t="s">
        <v>3961</v>
      </c>
      <c r="C502" s="506" t="s">
        <v>32</v>
      </c>
      <c r="D502" s="508">
        <v>18972</v>
      </c>
      <c r="E502" s="507" t="s">
        <v>331</v>
      </c>
    </row>
    <row r="503" spans="1:5" ht="15" x14ac:dyDescent="0.3">
      <c r="A503" s="506">
        <v>7245</v>
      </c>
      <c r="B503" s="507" t="s">
        <v>3962</v>
      </c>
      <c r="C503" s="506" t="s">
        <v>32</v>
      </c>
      <c r="D503" s="508">
        <v>45970</v>
      </c>
      <c r="E503" s="507" t="s">
        <v>331</v>
      </c>
    </row>
    <row r="504" spans="1:5" ht="15" x14ac:dyDescent="0.3">
      <c r="A504" s="506">
        <v>7246</v>
      </c>
      <c r="B504" s="507" t="s">
        <v>3963</v>
      </c>
      <c r="C504" s="506" t="s">
        <v>692</v>
      </c>
      <c r="D504" s="508">
        <v>139262</v>
      </c>
      <c r="E504" s="507" t="s">
        <v>6109</v>
      </c>
    </row>
    <row r="505" spans="1:5" ht="15" x14ac:dyDescent="0.3">
      <c r="A505" s="506">
        <v>7247</v>
      </c>
      <c r="B505" s="507" t="s">
        <v>3964</v>
      </c>
      <c r="C505" s="506" t="s">
        <v>979</v>
      </c>
      <c r="D505" s="508">
        <v>18990</v>
      </c>
      <c r="E505" s="507" t="s">
        <v>6109</v>
      </c>
    </row>
    <row r="506" spans="1:5" ht="15" x14ac:dyDescent="0.3">
      <c r="A506" s="506">
        <v>7248</v>
      </c>
      <c r="B506" s="507" t="s">
        <v>3965</v>
      </c>
      <c r="C506" s="506" t="s">
        <v>692</v>
      </c>
      <c r="D506" s="508">
        <v>139262</v>
      </c>
      <c r="E506" s="507" t="s">
        <v>6109</v>
      </c>
    </row>
    <row r="507" spans="1:5" ht="15" x14ac:dyDescent="0.3">
      <c r="A507" s="506">
        <v>7249</v>
      </c>
      <c r="B507" s="507" t="s">
        <v>3966</v>
      </c>
      <c r="C507" s="506" t="s">
        <v>979</v>
      </c>
      <c r="D507" s="508">
        <v>18990</v>
      </c>
      <c r="E507" s="507" t="s">
        <v>6109</v>
      </c>
    </row>
    <row r="508" spans="1:5" ht="15" x14ac:dyDescent="0.3">
      <c r="A508" s="506">
        <v>7252</v>
      </c>
      <c r="B508" s="507" t="s">
        <v>3967</v>
      </c>
      <c r="C508" s="506" t="s">
        <v>32</v>
      </c>
      <c r="D508" s="508">
        <v>35343</v>
      </c>
      <c r="E508" s="507" t="s">
        <v>6108</v>
      </c>
    </row>
    <row r="509" spans="1:5" ht="15" x14ac:dyDescent="0.3">
      <c r="A509" s="506">
        <v>7253</v>
      </c>
      <c r="B509" s="507" t="s">
        <v>3968</v>
      </c>
      <c r="C509" s="506" t="s">
        <v>32</v>
      </c>
      <c r="D509" s="508">
        <v>59976</v>
      </c>
      <c r="E509" s="507" t="s">
        <v>6108</v>
      </c>
    </row>
    <row r="510" spans="1:5" ht="15" x14ac:dyDescent="0.3">
      <c r="A510" s="506">
        <v>7254</v>
      </c>
      <c r="B510" s="507" t="s">
        <v>3969</v>
      </c>
      <c r="C510" s="506" t="s">
        <v>32</v>
      </c>
      <c r="D510" s="508">
        <v>119000</v>
      </c>
      <c r="E510" s="507" t="s">
        <v>6108</v>
      </c>
    </row>
    <row r="511" spans="1:5" ht="15" x14ac:dyDescent="0.3">
      <c r="A511" s="506">
        <v>7255</v>
      </c>
      <c r="B511" s="507" t="s">
        <v>3970</v>
      </c>
      <c r="C511" s="506" t="s">
        <v>32</v>
      </c>
      <c r="D511" s="508">
        <v>139825</v>
      </c>
      <c r="E511" s="507" t="s">
        <v>6108</v>
      </c>
    </row>
    <row r="512" spans="1:5" ht="15" x14ac:dyDescent="0.3">
      <c r="A512" s="506">
        <v>7256</v>
      </c>
      <c r="B512" s="507" t="s">
        <v>3971</v>
      </c>
      <c r="C512" s="506" t="s">
        <v>32</v>
      </c>
      <c r="D512" s="508">
        <v>14399</v>
      </c>
      <c r="E512" s="507" t="s">
        <v>6108</v>
      </c>
    </row>
    <row r="513" spans="1:5" ht="15" x14ac:dyDescent="0.3">
      <c r="A513" s="506">
        <v>7257</v>
      </c>
      <c r="B513" s="507" t="s">
        <v>3972</v>
      </c>
      <c r="C513" s="506" t="s">
        <v>32</v>
      </c>
      <c r="D513" s="508">
        <v>34510</v>
      </c>
      <c r="E513" s="507" t="s">
        <v>6108</v>
      </c>
    </row>
    <row r="514" spans="1:5" ht="15" x14ac:dyDescent="0.3">
      <c r="A514" s="506">
        <v>7258</v>
      </c>
      <c r="B514" s="507" t="s">
        <v>3973</v>
      </c>
      <c r="C514" s="506" t="s">
        <v>32</v>
      </c>
      <c r="D514" s="508">
        <v>59500</v>
      </c>
      <c r="E514" s="507" t="s">
        <v>6108</v>
      </c>
    </row>
    <row r="515" spans="1:5" ht="15" x14ac:dyDescent="0.3">
      <c r="A515" s="506">
        <v>7259</v>
      </c>
      <c r="B515" s="507" t="s">
        <v>3974</v>
      </c>
      <c r="C515" s="506" t="s">
        <v>32</v>
      </c>
      <c r="D515" s="508">
        <v>69853</v>
      </c>
      <c r="E515" s="507" t="s">
        <v>6108</v>
      </c>
    </row>
    <row r="516" spans="1:5" ht="15" x14ac:dyDescent="0.3">
      <c r="A516" s="506">
        <v>7260</v>
      </c>
      <c r="B516" s="507" t="s">
        <v>3975</v>
      </c>
      <c r="C516" s="506" t="s">
        <v>32</v>
      </c>
      <c r="D516" s="508">
        <v>7140</v>
      </c>
      <c r="E516" s="507" t="s">
        <v>6108</v>
      </c>
    </row>
    <row r="517" spans="1:5" ht="15" x14ac:dyDescent="0.3">
      <c r="A517" s="506">
        <v>7261</v>
      </c>
      <c r="B517" s="507" t="s">
        <v>3976</v>
      </c>
      <c r="C517" s="506" t="s">
        <v>32</v>
      </c>
      <c r="D517" s="508">
        <v>14994</v>
      </c>
      <c r="E517" s="507" t="s">
        <v>6108</v>
      </c>
    </row>
    <row r="518" spans="1:5" ht="15" x14ac:dyDescent="0.3">
      <c r="A518" s="506">
        <v>7262</v>
      </c>
      <c r="B518" s="507" t="s">
        <v>3977</v>
      </c>
      <c r="C518" s="506" t="s">
        <v>32</v>
      </c>
      <c r="D518" s="508">
        <v>29988</v>
      </c>
      <c r="E518" s="507" t="s">
        <v>6108</v>
      </c>
    </row>
    <row r="519" spans="1:5" ht="15" x14ac:dyDescent="0.3">
      <c r="A519" s="506">
        <v>7263</v>
      </c>
      <c r="B519" s="507" t="s">
        <v>3978</v>
      </c>
      <c r="C519" s="506" t="s">
        <v>32</v>
      </c>
      <c r="D519" s="508">
        <v>59976</v>
      </c>
      <c r="E519" s="507" t="s">
        <v>6108</v>
      </c>
    </row>
    <row r="520" spans="1:5" ht="15" x14ac:dyDescent="0.3">
      <c r="A520" s="506">
        <v>7264</v>
      </c>
      <c r="B520" s="507" t="s">
        <v>3979</v>
      </c>
      <c r="C520" s="506" t="s">
        <v>32</v>
      </c>
      <c r="D520" s="508">
        <v>119000</v>
      </c>
      <c r="E520" s="507" t="s">
        <v>6108</v>
      </c>
    </row>
    <row r="521" spans="1:5" ht="15" x14ac:dyDescent="0.3">
      <c r="A521" s="506">
        <v>7265</v>
      </c>
      <c r="B521" s="507" t="s">
        <v>3980</v>
      </c>
      <c r="C521" s="506" t="s">
        <v>32</v>
      </c>
      <c r="D521" s="508">
        <v>139825</v>
      </c>
      <c r="E521" s="507" t="s">
        <v>6108</v>
      </c>
    </row>
    <row r="522" spans="1:5" ht="15" x14ac:dyDescent="0.3">
      <c r="A522" s="506">
        <v>7266</v>
      </c>
      <c r="B522" s="507" t="s">
        <v>3981</v>
      </c>
      <c r="C522" s="506" t="s">
        <v>32</v>
      </c>
      <c r="D522" s="508">
        <v>31580</v>
      </c>
      <c r="E522" s="507" t="s">
        <v>6108</v>
      </c>
    </row>
    <row r="523" spans="1:5" ht="15" x14ac:dyDescent="0.3">
      <c r="A523" s="506">
        <v>7267</v>
      </c>
      <c r="B523" s="507" t="s">
        <v>3982</v>
      </c>
      <c r="C523" s="506" t="s">
        <v>32</v>
      </c>
      <c r="D523" s="508">
        <v>26623</v>
      </c>
      <c r="E523" s="507" t="s">
        <v>6108</v>
      </c>
    </row>
    <row r="524" spans="1:5" ht="15" x14ac:dyDescent="0.3">
      <c r="A524" s="506">
        <v>7268</v>
      </c>
      <c r="B524" s="507" t="s">
        <v>3983</v>
      </c>
      <c r="C524" s="506" t="s">
        <v>32</v>
      </c>
      <c r="D524" s="508">
        <v>21384</v>
      </c>
      <c r="E524" s="507" t="s">
        <v>6108</v>
      </c>
    </row>
    <row r="525" spans="1:5" ht="15" x14ac:dyDescent="0.3">
      <c r="A525" s="506">
        <v>7269</v>
      </c>
      <c r="B525" s="507" t="s">
        <v>3984</v>
      </c>
      <c r="C525" s="506" t="s">
        <v>32</v>
      </c>
      <c r="D525" s="508">
        <v>16144</v>
      </c>
      <c r="E525" s="507" t="s">
        <v>6108</v>
      </c>
    </row>
    <row r="526" spans="1:5" ht="15" x14ac:dyDescent="0.3">
      <c r="A526" s="506">
        <v>7270</v>
      </c>
      <c r="B526" s="507" t="s">
        <v>3985</v>
      </c>
      <c r="C526" s="506" t="s">
        <v>32</v>
      </c>
      <c r="D526" s="508">
        <v>25349</v>
      </c>
      <c r="E526" s="507" t="s">
        <v>6108</v>
      </c>
    </row>
    <row r="527" spans="1:5" ht="15" x14ac:dyDescent="0.3">
      <c r="A527" s="506">
        <v>7271</v>
      </c>
      <c r="B527" s="507" t="s">
        <v>3986</v>
      </c>
      <c r="C527" s="506" t="s">
        <v>32</v>
      </c>
      <c r="D527" s="508">
        <v>21384</v>
      </c>
      <c r="E527" s="507" t="s">
        <v>6108</v>
      </c>
    </row>
    <row r="528" spans="1:5" ht="15" x14ac:dyDescent="0.3">
      <c r="A528" s="506">
        <v>7272</v>
      </c>
      <c r="B528" s="507" t="s">
        <v>3987</v>
      </c>
      <c r="C528" s="506" t="s">
        <v>32</v>
      </c>
      <c r="D528" s="508">
        <v>16994</v>
      </c>
      <c r="E528" s="507" t="s">
        <v>6108</v>
      </c>
    </row>
    <row r="529" spans="1:5" ht="15" x14ac:dyDescent="0.3">
      <c r="A529" s="506">
        <v>7273</v>
      </c>
      <c r="B529" s="507" t="s">
        <v>3988</v>
      </c>
      <c r="C529" s="506" t="s">
        <v>32</v>
      </c>
      <c r="D529" s="508">
        <v>12887</v>
      </c>
      <c r="E529" s="507" t="s">
        <v>6108</v>
      </c>
    </row>
    <row r="530" spans="1:5" ht="15" x14ac:dyDescent="0.3">
      <c r="A530" s="506">
        <v>7274</v>
      </c>
      <c r="B530" s="507" t="s">
        <v>3989</v>
      </c>
      <c r="C530" s="506" t="s">
        <v>32</v>
      </c>
      <c r="D530" s="508">
        <v>53104</v>
      </c>
      <c r="E530" s="507" t="s">
        <v>6108</v>
      </c>
    </row>
    <row r="531" spans="1:5" ht="15" x14ac:dyDescent="0.3">
      <c r="A531" s="506">
        <v>7275</v>
      </c>
      <c r="B531" s="507" t="s">
        <v>6190</v>
      </c>
      <c r="C531" s="506" t="s">
        <v>32</v>
      </c>
      <c r="D531" s="508">
        <v>17017</v>
      </c>
      <c r="E531" s="507" t="s">
        <v>6108</v>
      </c>
    </row>
    <row r="532" spans="1:5" ht="15" x14ac:dyDescent="0.3">
      <c r="A532" s="506">
        <v>7276</v>
      </c>
      <c r="B532" s="507" t="s">
        <v>3990</v>
      </c>
      <c r="C532" s="506" t="s">
        <v>32</v>
      </c>
      <c r="D532" s="508">
        <v>25865</v>
      </c>
      <c r="E532" s="507" t="s">
        <v>6108</v>
      </c>
    </row>
    <row r="533" spans="1:5" ht="15" x14ac:dyDescent="0.3">
      <c r="A533" s="506">
        <v>7277</v>
      </c>
      <c r="B533" s="507" t="s">
        <v>3991</v>
      </c>
      <c r="C533" s="506" t="s">
        <v>32</v>
      </c>
      <c r="D533" s="508">
        <v>28455</v>
      </c>
      <c r="E533" s="507" t="s">
        <v>6108</v>
      </c>
    </row>
    <row r="534" spans="1:5" ht="15" x14ac:dyDescent="0.3">
      <c r="A534" s="506">
        <v>7278</v>
      </c>
      <c r="B534" s="507" t="s">
        <v>3992</v>
      </c>
      <c r="C534" s="506" t="s">
        <v>32</v>
      </c>
      <c r="D534" s="508">
        <v>35595</v>
      </c>
      <c r="E534" s="507" t="s">
        <v>6108</v>
      </c>
    </row>
    <row r="535" spans="1:5" ht="15" x14ac:dyDescent="0.3">
      <c r="A535" s="506">
        <v>7279</v>
      </c>
      <c r="B535" s="507" t="s">
        <v>3993</v>
      </c>
      <c r="C535" s="506" t="s">
        <v>32</v>
      </c>
      <c r="D535" s="508">
        <v>42630</v>
      </c>
      <c r="E535" s="507" t="s">
        <v>6108</v>
      </c>
    </row>
    <row r="536" spans="1:5" ht="15" x14ac:dyDescent="0.3">
      <c r="A536" s="506">
        <v>7280</v>
      </c>
      <c r="B536" s="507" t="s">
        <v>3994</v>
      </c>
      <c r="C536" s="506" t="s">
        <v>32</v>
      </c>
      <c r="D536" s="508">
        <v>86100</v>
      </c>
      <c r="E536" s="507" t="s">
        <v>6108</v>
      </c>
    </row>
    <row r="537" spans="1:5" ht="15" x14ac:dyDescent="0.3">
      <c r="A537" s="506">
        <v>7281</v>
      </c>
      <c r="B537" s="507" t="s">
        <v>3995</v>
      </c>
      <c r="C537" s="506" t="s">
        <v>32</v>
      </c>
      <c r="D537" s="508">
        <v>91214</v>
      </c>
      <c r="E537" s="507" t="s">
        <v>6108</v>
      </c>
    </row>
    <row r="538" spans="1:5" ht="15" x14ac:dyDescent="0.3">
      <c r="A538" s="506">
        <v>7282</v>
      </c>
      <c r="B538" s="507" t="s">
        <v>3996</v>
      </c>
      <c r="C538" s="506" t="s">
        <v>32</v>
      </c>
      <c r="D538" s="508">
        <v>8925</v>
      </c>
      <c r="E538" s="507" t="s">
        <v>6108</v>
      </c>
    </row>
    <row r="539" spans="1:5" ht="15" x14ac:dyDescent="0.3">
      <c r="A539" s="506">
        <v>7283</v>
      </c>
      <c r="B539" s="507" t="s">
        <v>3997</v>
      </c>
      <c r="C539" s="506" t="s">
        <v>32</v>
      </c>
      <c r="D539" s="508">
        <v>14700</v>
      </c>
      <c r="E539" s="507" t="s">
        <v>6108</v>
      </c>
    </row>
    <row r="540" spans="1:5" ht="15" x14ac:dyDescent="0.3">
      <c r="A540" s="506">
        <v>7284</v>
      </c>
      <c r="B540" s="507" t="s">
        <v>3998</v>
      </c>
      <c r="C540" s="506" t="s">
        <v>32</v>
      </c>
      <c r="D540" s="508">
        <v>18375</v>
      </c>
      <c r="E540" s="507" t="s">
        <v>6108</v>
      </c>
    </row>
    <row r="541" spans="1:5" ht="15" x14ac:dyDescent="0.3">
      <c r="A541" s="506">
        <v>7285</v>
      </c>
      <c r="B541" s="507" t="s">
        <v>3999</v>
      </c>
      <c r="C541" s="506" t="s">
        <v>32</v>
      </c>
      <c r="D541" s="508">
        <v>22050</v>
      </c>
      <c r="E541" s="507" t="s">
        <v>6108</v>
      </c>
    </row>
    <row r="542" spans="1:5" ht="15" x14ac:dyDescent="0.3">
      <c r="A542" s="506">
        <v>7287</v>
      </c>
      <c r="B542" s="507" t="s">
        <v>4000</v>
      </c>
      <c r="C542" s="506" t="s">
        <v>32</v>
      </c>
      <c r="D542" s="508">
        <v>11025</v>
      </c>
      <c r="E542" s="507" t="s">
        <v>6108</v>
      </c>
    </row>
    <row r="543" spans="1:5" ht="15" x14ac:dyDescent="0.3">
      <c r="A543" s="506">
        <v>7288</v>
      </c>
      <c r="B543" s="507" t="s">
        <v>4001</v>
      </c>
      <c r="C543" s="506" t="s">
        <v>32</v>
      </c>
      <c r="D543" s="508">
        <v>22050</v>
      </c>
      <c r="E543" s="507" t="s">
        <v>6108</v>
      </c>
    </row>
    <row r="544" spans="1:5" ht="15" x14ac:dyDescent="0.3">
      <c r="A544" s="506">
        <v>7289</v>
      </c>
      <c r="B544" s="507" t="s">
        <v>4002</v>
      </c>
      <c r="C544" s="506" t="s">
        <v>32</v>
      </c>
      <c r="D544" s="508">
        <v>5520</v>
      </c>
      <c r="E544" s="507" t="s">
        <v>331</v>
      </c>
    </row>
    <row r="545" spans="1:5" ht="15" x14ac:dyDescent="0.3">
      <c r="A545" s="506">
        <v>7291</v>
      </c>
      <c r="B545" s="507" t="s">
        <v>4003</v>
      </c>
      <c r="C545" s="506" t="s">
        <v>32</v>
      </c>
      <c r="D545" s="508">
        <v>499800</v>
      </c>
      <c r="E545" s="507" t="s">
        <v>331</v>
      </c>
    </row>
    <row r="546" spans="1:5" ht="15" x14ac:dyDescent="0.3">
      <c r="A546" s="506">
        <v>7293</v>
      </c>
      <c r="B546" s="507" t="s">
        <v>4004</v>
      </c>
      <c r="C546" s="506" t="s">
        <v>32</v>
      </c>
      <c r="D546" s="508">
        <v>574620</v>
      </c>
      <c r="E546" s="507" t="s">
        <v>331</v>
      </c>
    </row>
    <row r="547" spans="1:5" ht="15" x14ac:dyDescent="0.3">
      <c r="A547" s="506">
        <v>7295</v>
      </c>
      <c r="B547" s="507" t="s">
        <v>4005</v>
      </c>
      <c r="C547" s="506" t="s">
        <v>32</v>
      </c>
      <c r="D547" s="508">
        <v>656880</v>
      </c>
      <c r="E547" s="507" t="s">
        <v>331</v>
      </c>
    </row>
    <row r="548" spans="1:5" ht="15" x14ac:dyDescent="0.3">
      <c r="A548" s="506">
        <v>7298</v>
      </c>
      <c r="B548" s="507" t="s">
        <v>4006</v>
      </c>
      <c r="C548" s="506" t="s">
        <v>32</v>
      </c>
      <c r="D548" s="508">
        <v>293026</v>
      </c>
      <c r="E548" s="507" t="s">
        <v>331</v>
      </c>
    </row>
    <row r="549" spans="1:5" ht="15" x14ac:dyDescent="0.3">
      <c r="A549" s="506">
        <v>7300</v>
      </c>
      <c r="B549" s="507" t="s">
        <v>4007</v>
      </c>
      <c r="C549" s="506" t="s">
        <v>328</v>
      </c>
      <c r="D549" s="508">
        <v>62035</v>
      </c>
      <c r="E549" s="507" t="s">
        <v>331</v>
      </c>
    </row>
    <row r="550" spans="1:5" ht="15" x14ac:dyDescent="0.3">
      <c r="A550" s="506">
        <v>7302</v>
      </c>
      <c r="B550" s="507" t="s">
        <v>4008</v>
      </c>
      <c r="C550" s="506" t="s">
        <v>328</v>
      </c>
      <c r="D550" s="508">
        <v>11010</v>
      </c>
      <c r="E550" s="507" t="s">
        <v>331</v>
      </c>
    </row>
    <row r="551" spans="1:5" ht="15" x14ac:dyDescent="0.3">
      <c r="A551" s="506">
        <v>7303</v>
      </c>
      <c r="B551" s="507" t="s">
        <v>4009</v>
      </c>
      <c r="C551" s="506" t="s">
        <v>328</v>
      </c>
      <c r="D551" s="508">
        <v>24411</v>
      </c>
      <c r="E551" s="507" t="s">
        <v>331</v>
      </c>
    </row>
    <row r="552" spans="1:5" ht="15" x14ac:dyDescent="0.3">
      <c r="A552" s="506">
        <v>7304</v>
      </c>
      <c r="B552" s="507" t="s">
        <v>4010</v>
      </c>
      <c r="C552" s="506" t="s">
        <v>328</v>
      </c>
      <c r="D552" s="508">
        <v>41175</v>
      </c>
      <c r="E552" s="507" t="s">
        <v>331</v>
      </c>
    </row>
    <row r="553" spans="1:5" ht="15" x14ac:dyDescent="0.3">
      <c r="A553" s="506">
        <v>7305</v>
      </c>
      <c r="B553" s="507" t="s">
        <v>4011</v>
      </c>
      <c r="C553" s="506" t="s">
        <v>328</v>
      </c>
      <c r="D553" s="508">
        <v>85883</v>
      </c>
      <c r="E553" s="507" t="s">
        <v>331</v>
      </c>
    </row>
    <row r="554" spans="1:5" ht="15" x14ac:dyDescent="0.3">
      <c r="A554" s="506">
        <v>7306</v>
      </c>
      <c r="B554" s="507" t="s">
        <v>4012</v>
      </c>
      <c r="C554" s="506" t="s">
        <v>32</v>
      </c>
      <c r="D554" s="508">
        <v>28862</v>
      </c>
      <c r="E554" s="507" t="s">
        <v>6108</v>
      </c>
    </row>
    <row r="555" spans="1:5" ht="15" x14ac:dyDescent="0.3">
      <c r="A555" s="506">
        <v>7307</v>
      </c>
      <c r="B555" s="507" t="s">
        <v>4013</v>
      </c>
      <c r="C555" s="506" t="s">
        <v>32</v>
      </c>
      <c r="D555" s="508">
        <v>99900</v>
      </c>
      <c r="E555" s="507" t="s">
        <v>6108</v>
      </c>
    </row>
    <row r="556" spans="1:5" ht="15" x14ac:dyDescent="0.3">
      <c r="A556" s="506">
        <v>7308</v>
      </c>
      <c r="B556" s="507" t="s">
        <v>4014</v>
      </c>
      <c r="C556" s="506" t="s">
        <v>254</v>
      </c>
      <c r="D556" s="508">
        <v>1750905</v>
      </c>
      <c r="E556" s="507" t="s">
        <v>6109</v>
      </c>
    </row>
    <row r="557" spans="1:5" ht="15" x14ac:dyDescent="0.3">
      <c r="A557" s="506">
        <v>7309</v>
      </c>
      <c r="B557" s="507" t="s">
        <v>4015</v>
      </c>
      <c r="C557" s="506" t="s">
        <v>670</v>
      </c>
      <c r="D557" s="508">
        <v>4701</v>
      </c>
      <c r="E557" s="507" t="s">
        <v>331</v>
      </c>
    </row>
    <row r="558" spans="1:5" ht="15" x14ac:dyDescent="0.3">
      <c r="A558" s="506">
        <v>7313</v>
      </c>
      <c r="B558" s="507" t="s">
        <v>4016</v>
      </c>
      <c r="C558" s="506" t="s">
        <v>3582</v>
      </c>
      <c r="D558" s="508">
        <v>33987</v>
      </c>
      <c r="E558" s="507" t="s">
        <v>6108</v>
      </c>
    </row>
    <row r="559" spans="1:5" ht="15" x14ac:dyDescent="0.3">
      <c r="A559" s="506">
        <v>7317</v>
      </c>
      <c r="B559" s="507" t="s">
        <v>4017</v>
      </c>
      <c r="C559" s="506" t="s">
        <v>21</v>
      </c>
      <c r="D559" s="508">
        <v>6698</v>
      </c>
      <c r="E559" s="507" t="s">
        <v>6108</v>
      </c>
    </row>
    <row r="560" spans="1:5" ht="15" x14ac:dyDescent="0.3">
      <c r="A560" s="506">
        <v>7336</v>
      </c>
      <c r="B560" s="507" t="s">
        <v>4018</v>
      </c>
      <c r="C560" s="506" t="s">
        <v>32</v>
      </c>
      <c r="D560" s="508">
        <v>52073</v>
      </c>
      <c r="E560" s="507" t="s">
        <v>6108</v>
      </c>
    </row>
    <row r="561" spans="1:5" ht="15" x14ac:dyDescent="0.3">
      <c r="A561" s="506">
        <v>7337</v>
      </c>
      <c r="B561" s="507" t="s">
        <v>4019</v>
      </c>
      <c r="C561" s="506" t="s">
        <v>670</v>
      </c>
      <c r="D561" s="508">
        <v>163495</v>
      </c>
      <c r="E561" s="507" t="s">
        <v>6108</v>
      </c>
    </row>
    <row r="562" spans="1:5" ht="15" x14ac:dyDescent="0.3">
      <c r="A562" s="506">
        <v>7338</v>
      </c>
      <c r="B562" s="507" t="s">
        <v>4020</v>
      </c>
      <c r="C562" s="506" t="s">
        <v>328</v>
      </c>
      <c r="D562" s="508">
        <v>57596</v>
      </c>
      <c r="E562" s="507" t="s">
        <v>6108</v>
      </c>
    </row>
    <row r="563" spans="1:5" ht="15" x14ac:dyDescent="0.3">
      <c r="A563" s="506">
        <v>7343</v>
      </c>
      <c r="B563" s="507" t="s">
        <v>4021</v>
      </c>
      <c r="C563" s="506" t="s">
        <v>328</v>
      </c>
      <c r="D563" s="508">
        <v>380800</v>
      </c>
      <c r="E563" s="507" t="s">
        <v>6108</v>
      </c>
    </row>
    <row r="564" spans="1:5" ht="15" x14ac:dyDescent="0.3">
      <c r="A564" s="506">
        <v>7344</v>
      </c>
      <c r="B564" s="507" t="s">
        <v>4022</v>
      </c>
      <c r="C564" s="506" t="s">
        <v>328</v>
      </c>
      <c r="D564" s="508">
        <v>452200</v>
      </c>
      <c r="E564" s="507" t="s">
        <v>6108</v>
      </c>
    </row>
    <row r="565" spans="1:5" ht="15" x14ac:dyDescent="0.3">
      <c r="A565" s="506">
        <v>7345</v>
      </c>
      <c r="B565" s="507" t="s">
        <v>4023</v>
      </c>
      <c r="C565" s="506" t="s">
        <v>32</v>
      </c>
      <c r="D565" s="508">
        <v>833000</v>
      </c>
      <c r="E565" s="507" t="s">
        <v>6108</v>
      </c>
    </row>
    <row r="566" spans="1:5" ht="15" x14ac:dyDescent="0.3">
      <c r="A566" s="506">
        <v>7346</v>
      </c>
      <c r="B566" s="507" t="s">
        <v>4024</v>
      </c>
      <c r="C566" s="506" t="s">
        <v>32</v>
      </c>
      <c r="D566" s="508">
        <v>7140000</v>
      </c>
      <c r="E566" s="507" t="s">
        <v>6108</v>
      </c>
    </row>
    <row r="567" spans="1:5" ht="15" x14ac:dyDescent="0.3">
      <c r="A567" s="506">
        <v>7351</v>
      </c>
      <c r="B567" s="507" t="s">
        <v>4025</v>
      </c>
      <c r="C567" s="506" t="s">
        <v>32</v>
      </c>
      <c r="D567" s="508">
        <v>185640</v>
      </c>
      <c r="E567" s="507" t="s">
        <v>6108</v>
      </c>
    </row>
    <row r="568" spans="1:5" ht="15" x14ac:dyDescent="0.3">
      <c r="A568" s="506">
        <v>7352</v>
      </c>
      <c r="B568" s="507" t="s">
        <v>4026</v>
      </c>
      <c r="C568" s="506" t="s">
        <v>32</v>
      </c>
      <c r="D568" s="508">
        <v>199920</v>
      </c>
      <c r="E568" s="507" t="s">
        <v>6108</v>
      </c>
    </row>
    <row r="569" spans="1:5" ht="15" x14ac:dyDescent="0.3">
      <c r="A569" s="506">
        <v>7353</v>
      </c>
      <c r="B569" s="507" t="s">
        <v>4027</v>
      </c>
      <c r="C569" s="506" t="s">
        <v>32</v>
      </c>
      <c r="D569" s="508">
        <v>379610</v>
      </c>
      <c r="E569" s="507" t="s">
        <v>6108</v>
      </c>
    </row>
    <row r="570" spans="1:5" ht="15" x14ac:dyDescent="0.3">
      <c r="A570" s="506">
        <v>7354</v>
      </c>
      <c r="B570" s="507" t="s">
        <v>4028</v>
      </c>
      <c r="C570" s="506" t="s">
        <v>32</v>
      </c>
      <c r="D570" s="508">
        <v>540260</v>
      </c>
      <c r="E570" s="507" t="s">
        <v>6108</v>
      </c>
    </row>
    <row r="571" spans="1:5" ht="15" x14ac:dyDescent="0.3">
      <c r="A571" s="506">
        <v>7355</v>
      </c>
      <c r="B571" s="507" t="s">
        <v>4029</v>
      </c>
      <c r="C571" s="506" t="s">
        <v>32</v>
      </c>
      <c r="D571" s="508">
        <v>821100</v>
      </c>
      <c r="E571" s="507" t="s">
        <v>6108</v>
      </c>
    </row>
    <row r="572" spans="1:5" ht="15" x14ac:dyDescent="0.3">
      <c r="A572" s="506">
        <v>7356</v>
      </c>
      <c r="B572" s="507" t="s">
        <v>4030</v>
      </c>
      <c r="C572" s="506" t="s">
        <v>32</v>
      </c>
      <c r="D572" s="508">
        <v>1069810</v>
      </c>
      <c r="E572" s="507" t="s">
        <v>6108</v>
      </c>
    </row>
    <row r="573" spans="1:5" ht="15" x14ac:dyDescent="0.3">
      <c r="A573" s="506">
        <v>7359</v>
      </c>
      <c r="B573" s="507" t="s">
        <v>4031</v>
      </c>
      <c r="C573" s="506" t="s">
        <v>32</v>
      </c>
      <c r="D573" s="508">
        <v>363056</v>
      </c>
      <c r="E573" s="507" t="s">
        <v>6108</v>
      </c>
    </row>
    <row r="574" spans="1:5" ht="15" x14ac:dyDescent="0.3">
      <c r="A574" s="506">
        <v>7360</v>
      </c>
      <c r="B574" s="507" t="s">
        <v>4032</v>
      </c>
      <c r="C574" s="506" t="s">
        <v>32</v>
      </c>
      <c r="D574" s="508">
        <v>472588</v>
      </c>
      <c r="E574" s="507" t="s">
        <v>6108</v>
      </c>
    </row>
    <row r="575" spans="1:5" ht="15" x14ac:dyDescent="0.3">
      <c r="A575" s="506">
        <v>7361</v>
      </c>
      <c r="B575" s="507" t="s">
        <v>4033</v>
      </c>
      <c r="C575" s="506" t="s">
        <v>32</v>
      </c>
      <c r="D575" s="508">
        <v>1300</v>
      </c>
      <c r="E575" s="507" t="s">
        <v>331</v>
      </c>
    </row>
    <row r="576" spans="1:5" ht="15" x14ac:dyDescent="0.3">
      <c r="A576" s="506">
        <v>7362</v>
      </c>
      <c r="B576" s="507" t="s">
        <v>4034</v>
      </c>
      <c r="C576" s="506" t="s">
        <v>32</v>
      </c>
      <c r="D576" s="508">
        <v>1400</v>
      </c>
      <c r="E576" s="507" t="s">
        <v>331</v>
      </c>
    </row>
    <row r="577" spans="1:5" ht="15" x14ac:dyDescent="0.3">
      <c r="A577" s="506">
        <v>7363</v>
      </c>
      <c r="B577" s="507" t="s">
        <v>4035</v>
      </c>
      <c r="C577" s="506" t="s">
        <v>32</v>
      </c>
      <c r="D577" s="508">
        <v>256320</v>
      </c>
      <c r="E577" s="507" t="s">
        <v>331</v>
      </c>
    </row>
    <row r="578" spans="1:5" ht="15" x14ac:dyDescent="0.3">
      <c r="A578" s="506">
        <v>7364</v>
      </c>
      <c r="B578" s="507" t="s">
        <v>4036</v>
      </c>
      <c r="C578" s="506" t="s">
        <v>32</v>
      </c>
      <c r="D578" s="508">
        <v>421820</v>
      </c>
      <c r="E578" s="507" t="s">
        <v>331</v>
      </c>
    </row>
    <row r="579" spans="1:5" ht="15" x14ac:dyDescent="0.3">
      <c r="A579" s="506">
        <v>7366</v>
      </c>
      <c r="B579" s="507" t="s">
        <v>4037</v>
      </c>
      <c r="C579" s="506" t="s">
        <v>32</v>
      </c>
      <c r="D579" s="508">
        <v>77164</v>
      </c>
      <c r="E579" s="507" t="s">
        <v>331</v>
      </c>
    </row>
    <row r="580" spans="1:5" ht="15" x14ac:dyDescent="0.3">
      <c r="A580" s="506">
        <v>7367</v>
      </c>
      <c r="B580" s="507" t="s">
        <v>4038</v>
      </c>
      <c r="C580" s="506" t="s">
        <v>32</v>
      </c>
      <c r="D580" s="508">
        <v>219179</v>
      </c>
      <c r="E580" s="507" t="s">
        <v>331</v>
      </c>
    </row>
    <row r="581" spans="1:5" ht="15" x14ac:dyDescent="0.3">
      <c r="A581" s="506">
        <v>7368</v>
      </c>
      <c r="B581" s="507" t="s">
        <v>4039</v>
      </c>
      <c r="C581" s="506" t="s">
        <v>32</v>
      </c>
      <c r="D581" s="508">
        <v>375019</v>
      </c>
      <c r="E581" s="507" t="s">
        <v>331</v>
      </c>
    </row>
    <row r="582" spans="1:5" ht="15" x14ac:dyDescent="0.3">
      <c r="A582" s="506">
        <v>7369</v>
      </c>
      <c r="B582" s="507" t="s">
        <v>4040</v>
      </c>
      <c r="C582" s="506" t="s">
        <v>32</v>
      </c>
      <c r="D582" s="508">
        <v>571775</v>
      </c>
      <c r="E582" s="507" t="s">
        <v>331</v>
      </c>
    </row>
    <row r="583" spans="1:5" ht="15" x14ac:dyDescent="0.3">
      <c r="A583" s="506">
        <v>7370</v>
      </c>
      <c r="B583" s="507" t="s">
        <v>4041</v>
      </c>
      <c r="C583" s="506" t="s">
        <v>32</v>
      </c>
      <c r="D583" s="508">
        <v>601434</v>
      </c>
      <c r="E583" s="507" t="s">
        <v>331</v>
      </c>
    </row>
    <row r="584" spans="1:5" ht="15" x14ac:dyDescent="0.3">
      <c r="A584" s="506">
        <v>7371</v>
      </c>
      <c r="B584" s="507" t="s">
        <v>4042</v>
      </c>
      <c r="C584" s="506" t="s">
        <v>32</v>
      </c>
      <c r="D584" s="508">
        <v>675703</v>
      </c>
      <c r="E584" s="507" t="s">
        <v>331</v>
      </c>
    </row>
    <row r="585" spans="1:5" ht="15" x14ac:dyDescent="0.3">
      <c r="A585" s="506">
        <v>7372</v>
      </c>
      <c r="B585" s="507" t="s">
        <v>6191</v>
      </c>
      <c r="C585" s="506" t="s">
        <v>32</v>
      </c>
      <c r="D585" s="508">
        <v>600950</v>
      </c>
      <c r="E585" s="507" t="s">
        <v>6108</v>
      </c>
    </row>
    <row r="586" spans="1:5" ht="15" x14ac:dyDescent="0.3">
      <c r="A586" s="506">
        <v>7373</v>
      </c>
      <c r="B586" s="507" t="s">
        <v>6192</v>
      </c>
      <c r="C586" s="506" t="s">
        <v>32</v>
      </c>
      <c r="D586" s="508">
        <v>180880</v>
      </c>
      <c r="E586" s="507" t="s">
        <v>6108</v>
      </c>
    </row>
    <row r="587" spans="1:5" ht="15" x14ac:dyDescent="0.3">
      <c r="A587" s="506">
        <v>7374</v>
      </c>
      <c r="B587" s="507" t="s">
        <v>6193</v>
      </c>
      <c r="C587" s="506" t="s">
        <v>32</v>
      </c>
      <c r="D587" s="508">
        <v>1136450</v>
      </c>
      <c r="E587" s="507" t="s">
        <v>6108</v>
      </c>
    </row>
    <row r="588" spans="1:5" ht="15" x14ac:dyDescent="0.3">
      <c r="A588" s="506">
        <v>7375</v>
      </c>
      <c r="B588" s="507" t="s">
        <v>6194</v>
      </c>
      <c r="C588" s="506" t="s">
        <v>32</v>
      </c>
      <c r="D588" s="508">
        <v>6290340</v>
      </c>
      <c r="E588" s="507" t="s">
        <v>6108</v>
      </c>
    </row>
    <row r="589" spans="1:5" ht="15" x14ac:dyDescent="0.3">
      <c r="A589" s="506">
        <v>7376</v>
      </c>
      <c r="B589" s="507" t="s">
        <v>6195</v>
      </c>
      <c r="C589" s="506" t="s">
        <v>32</v>
      </c>
      <c r="D589" s="508">
        <v>7485100</v>
      </c>
      <c r="E589" s="507" t="s">
        <v>6108</v>
      </c>
    </row>
    <row r="590" spans="1:5" ht="15" x14ac:dyDescent="0.3">
      <c r="A590" s="506">
        <v>7377</v>
      </c>
      <c r="B590" s="507" t="s">
        <v>6196</v>
      </c>
      <c r="C590" s="506" t="s">
        <v>32</v>
      </c>
      <c r="D590" s="508">
        <v>114240</v>
      </c>
      <c r="E590" s="507" t="s">
        <v>6108</v>
      </c>
    </row>
    <row r="591" spans="1:5" ht="15" x14ac:dyDescent="0.3">
      <c r="A591" s="506">
        <v>7378</v>
      </c>
      <c r="B591" s="507" t="s">
        <v>6197</v>
      </c>
      <c r="C591" s="506" t="s">
        <v>32</v>
      </c>
      <c r="D591" s="508">
        <v>177310</v>
      </c>
      <c r="E591" s="507" t="s">
        <v>6108</v>
      </c>
    </row>
    <row r="592" spans="1:5" ht="15" x14ac:dyDescent="0.3">
      <c r="A592" s="506">
        <v>7379</v>
      </c>
      <c r="B592" s="507" t="s">
        <v>6198</v>
      </c>
      <c r="C592" s="506" t="s">
        <v>32</v>
      </c>
      <c r="D592" s="508">
        <v>239190</v>
      </c>
      <c r="E592" s="507" t="s">
        <v>6108</v>
      </c>
    </row>
    <row r="593" spans="1:5" ht="15" x14ac:dyDescent="0.3">
      <c r="A593" s="506">
        <v>7380</v>
      </c>
      <c r="B593" s="507" t="s">
        <v>6199</v>
      </c>
      <c r="C593" s="506" t="s">
        <v>32</v>
      </c>
      <c r="D593" s="508">
        <v>441619</v>
      </c>
      <c r="E593" s="507" t="s">
        <v>6108</v>
      </c>
    </row>
    <row r="594" spans="1:5" ht="15" x14ac:dyDescent="0.3">
      <c r="A594" s="506">
        <v>7381</v>
      </c>
      <c r="B594" s="507" t="s">
        <v>6200</v>
      </c>
      <c r="C594" s="506" t="s">
        <v>32</v>
      </c>
      <c r="D594" s="508">
        <v>627921</v>
      </c>
      <c r="E594" s="507" t="s">
        <v>6108</v>
      </c>
    </row>
    <row r="595" spans="1:5" ht="15" x14ac:dyDescent="0.3">
      <c r="A595" s="506">
        <v>7382</v>
      </c>
      <c r="B595" s="507" t="s">
        <v>4043</v>
      </c>
      <c r="C595" s="506" t="s">
        <v>32</v>
      </c>
      <c r="D595" s="508">
        <v>131889</v>
      </c>
      <c r="E595" s="507" t="s">
        <v>331</v>
      </c>
    </row>
    <row r="596" spans="1:5" ht="15" x14ac:dyDescent="0.3">
      <c r="A596" s="506">
        <v>7384</v>
      </c>
      <c r="B596" s="507" t="s">
        <v>4044</v>
      </c>
      <c r="C596" s="506" t="s">
        <v>32</v>
      </c>
      <c r="D596" s="508">
        <v>139150</v>
      </c>
      <c r="E596" s="507" t="s">
        <v>331</v>
      </c>
    </row>
    <row r="597" spans="1:5" ht="15" x14ac:dyDescent="0.3">
      <c r="A597" s="506">
        <v>7387</v>
      </c>
      <c r="B597" s="507" t="s">
        <v>4045</v>
      </c>
      <c r="C597" s="506" t="s">
        <v>32</v>
      </c>
      <c r="D597" s="508">
        <v>78401</v>
      </c>
      <c r="E597" s="507" t="s">
        <v>331</v>
      </c>
    </row>
    <row r="598" spans="1:5" ht="15" x14ac:dyDescent="0.3">
      <c r="A598" s="506">
        <v>7388</v>
      </c>
      <c r="B598" s="507" t="s">
        <v>4046</v>
      </c>
      <c r="C598" s="506" t="s">
        <v>32</v>
      </c>
      <c r="D598" s="508">
        <v>99680</v>
      </c>
      <c r="E598" s="507" t="s">
        <v>331</v>
      </c>
    </row>
    <row r="599" spans="1:5" ht="15" x14ac:dyDescent="0.3">
      <c r="A599" s="506">
        <v>7389</v>
      </c>
      <c r="B599" s="507" t="s">
        <v>4047</v>
      </c>
      <c r="C599" s="506" t="s">
        <v>32</v>
      </c>
      <c r="D599" s="508">
        <v>228057</v>
      </c>
      <c r="E599" s="507" t="s">
        <v>331</v>
      </c>
    </row>
    <row r="600" spans="1:5" ht="15" x14ac:dyDescent="0.3">
      <c r="A600" s="506">
        <v>7391</v>
      </c>
      <c r="B600" s="507" t="s">
        <v>6201</v>
      </c>
      <c r="C600" s="506" t="s">
        <v>32</v>
      </c>
      <c r="D600" s="508">
        <v>279650</v>
      </c>
      <c r="E600" s="507" t="s">
        <v>6108</v>
      </c>
    </row>
    <row r="601" spans="1:5" ht="15" x14ac:dyDescent="0.3">
      <c r="A601" s="506">
        <v>7392</v>
      </c>
      <c r="B601" s="507" t="s">
        <v>6202</v>
      </c>
      <c r="C601" s="506" t="s">
        <v>32</v>
      </c>
      <c r="D601" s="508">
        <v>357000</v>
      </c>
      <c r="E601" s="507" t="s">
        <v>6108</v>
      </c>
    </row>
    <row r="602" spans="1:5" ht="15" x14ac:dyDescent="0.3">
      <c r="A602" s="506">
        <v>7393</v>
      </c>
      <c r="B602" s="507" t="s">
        <v>6203</v>
      </c>
      <c r="C602" s="506" t="s">
        <v>32</v>
      </c>
      <c r="D602" s="508">
        <v>430604</v>
      </c>
      <c r="E602" s="507" t="s">
        <v>6108</v>
      </c>
    </row>
    <row r="603" spans="1:5" ht="15" x14ac:dyDescent="0.3">
      <c r="A603" s="506">
        <v>7396</v>
      </c>
      <c r="B603" s="507" t="s">
        <v>6204</v>
      </c>
      <c r="C603" s="506" t="s">
        <v>32</v>
      </c>
      <c r="D603" s="508">
        <v>440300</v>
      </c>
      <c r="E603" s="507" t="s">
        <v>6108</v>
      </c>
    </row>
    <row r="604" spans="1:5" ht="15" x14ac:dyDescent="0.3">
      <c r="A604" s="506">
        <v>7397</v>
      </c>
      <c r="B604" s="507" t="s">
        <v>6205</v>
      </c>
      <c r="C604" s="506" t="s">
        <v>32</v>
      </c>
      <c r="D604" s="508">
        <v>652120</v>
      </c>
      <c r="E604" s="507" t="s">
        <v>6108</v>
      </c>
    </row>
    <row r="605" spans="1:5" ht="15" x14ac:dyDescent="0.3">
      <c r="A605" s="506">
        <v>7398</v>
      </c>
      <c r="B605" s="507" t="s">
        <v>6206</v>
      </c>
      <c r="C605" s="506" t="s">
        <v>32</v>
      </c>
      <c r="D605" s="508">
        <v>713879</v>
      </c>
      <c r="E605" s="507" t="s">
        <v>6108</v>
      </c>
    </row>
    <row r="606" spans="1:5" ht="15" x14ac:dyDescent="0.3">
      <c r="A606" s="506">
        <v>7399</v>
      </c>
      <c r="B606" s="507" t="s">
        <v>6207</v>
      </c>
      <c r="C606" s="506" t="s">
        <v>32</v>
      </c>
      <c r="D606" s="508">
        <v>743750</v>
      </c>
      <c r="E606" s="507" t="s">
        <v>6108</v>
      </c>
    </row>
    <row r="607" spans="1:5" ht="15" x14ac:dyDescent="0.3">
      <c r="A607" s="506">
        <v>7400</v>
      </c>
      <c r="B607" s="507" t="s">
        <v>6208</v>
      </c>
      <c r="C607" s="506" t="s">
        <v>32</v>
      </c>
      <c r="D607" s="508">
        <v>773500</v>
      </c>
      <c r="E607" s="507" t="s">
        <v>6108</v>
      </c>
    </row>
    <row r="608" spans="1:5" ht="15" x14ac:dyDescent="0.3">
      <c r="A608" s="506">
        <v>7401</v>
      </c>
      <c r="B608" s="507" t="s">
        <v>6209</v>
      </c>
      <c r="C608" s="506" t="s">
        <v>32</v>
      </c>
      <c r="D608" s="508">
        <v>880600</v>
      </c>
      <c r="E608" s="507" t="s">
        <v>6108</v>
      </c>
    </row>
    <row r="609" spans="1:5" ht="15" x14ac:dyDescent="0.3">
      <c r="A609" s="506">
        <v>7403</v>
      </c>
      <c r="B609" s="507" t="s">
        <v>6210</v>
      </c>
      <c r="C609" s="506" t="s">
        <v>32</v>
      </c>
      <c r="D609" s="508">
        <v>1184050</v>
      </c>
      <c r="E609" s="507" t="s">
        <v>6108</v>
      </c>
    </row>
    <row r="610" spans="1:5" ht="15" x14ac:dyDescent="0.3">
      <c r="A610" s="506">
        <v>7404</v>
      </c>
      <c r="B610" s="507" t="s">
        <v>6211</v>
      </c>
      <c r="C610" s="506" t="s">
        <v>32</v>
      </c>
      <c r="D610" s="508">
        <v>1320900</v>
      </c>
      <c r="E610" s="507" t="s">
        <v>6108</v>
      </c>
    </row>
    <row r="611" spans="1:5" ht="15" x14ac:dyDescent="0.3">
      <c r="A611" s="506">
        <v>7405</v>
      </c>
      <c r="B611" s="507" t="s">
        <v>6212</v>
      </c>
      <c r="C611" s="506" t="s">
        <v>32</v>
      </c>
      <c r="D611" s="508">
        <v>1320900</v>
      </c>
      <c r="E611" s="507" t="s">
        <v>6108</v>
      </c>
    </row>
    <row r="612" spans="1:5" ht="15" x14ac:dyDescent="0.3">
      <c r="A612" s="506">
        <v>7406</v>
      </c>
      <c r="B612" s="507" t="s">
        <v>6213</v>
      </c>
      <c r="C612" s="506" t="s">
        <v>32</v>
      </c>
      <c r="D612" s="508">
        <v>1785000</v>
      </c>
      <c r="E612" s="507" t="s">
        <v>6108</v>
      </c>
    </row>
    <row r="613" spans="1:5" ht="15" x14ac:dyDescent="0.3">
      <c r="A613" s="506">
        <v>7407</v>
      </c>
      <c r="B613" s="507" t="s">
        <v>4048</v>
      </c>
      <c r="C613" s="506" t="s">
        <v>32</v>
      </c>
      <c r="D613" s="508">
        <v>47186</v>
      </c>
      <c r="E613" s="507" t="s">
        <v>331</v>
      </c>
    </row>
    <row r="614" spans="1:5" ht="15" x14ac:dyDescent="0.3">
      <c r="A614" s="506">
        <v>7409</v>
      </c>
      <c r="B614" s="507" t="s">
        <v>4049</v>
      </c>
      <c r="C614" s="506" t="s">
        <v>32</v>
      </c>
      <c r="D614" s="508">
        <v>75158</v>
      </c>
      <c r="E614" s="507" t="s">
        <v>331</v>
      </c>
    </row>
    <row r="615" spans="1:5" ht="15" x14ac:dyDescent="0.3">
      <c r="A615" s="506">
        <v>7410</v>
      </c>
      <c r="B615" s="507" t="s">
        <v>4050</v>
      </c>
      <c r="C615" s="506" t="s">
        <v>32</v>
      </c>
      <c r="D615" s="508">
        <v>115474</v>
      </c>
      <c r="E615" s="507" t="s">
        <v>331</v>
      </c>
    </row>
    <row r="616" spans="1:5" ht="15" x14ac:dyDescent="0.3">
      <c r="A616" s="506">
        <v>7411</v>
      </c>
      <c r="B616" s="507" t="s">
        <v>4051</v>
      </c>
      <c r="C616" s="506" t="s">
        <v>32</v>
      </c>
      <c r="D616" s="508">
        <v>839761</v>
      </c>
      <c r="E616" s="507" t="s">
        <v>331</v>
      </c>
    </row>
    <row r="617" spans="1:5" ht="15" x14ac:dyDescent="0.3">
      <c r="A617" s="506">
        <v>7412</v>
      </c>
      <c r="B617" s="507" t="s">
        <v>6214</v>
      </c>
      <c r="C617" s="506" t="s">
        <v>32</v>
      </c>
      <c r="D617" s="508">
        <v>190400</v>
      </c>
      <c r="E617" s="507" t="s">
        <v>6108</v>
      </c>
    </row>
    <row r="618" spans="1:5" ht="15" x14ac:dyDescent="0.3">
      <c r="A618" s="506">
        <v>7413</v>
      </c>
      <c r="B618" s="507" t="s">
        <v>6215</v>
      </c>
      <c r="C618" s="506" t="s">
        <v>32</v>
      </c>
      <c r="D618" s="508">
        <v>210630</v>
      </c>
      <c r="E618" s="507" t="s">
        <v>6108</v>
      </c>
    </row>
    <row r="619" spans="1:5" ht="15" x14ac:dyDescent="0.3">
      <c r="A619" s="506">
        <v>7414</v>
      </c>
      <c r="B619" s="507" t="s">
        <v>6216</v>
      </c>
      <c r="C619" s="506" t="s">
        <v>32</v>
      </c>
      <c r="D619" s="508">
        <v>435540</v>
      </c>
      <c r="E619" s="507" t="s">
        <v>6108</v>
      </c>
    </row>
    <row r="620" spans="1:5" ht="15" x14ac:dyDescent="0.3">
      <c r="A620" s="506">
        <v>7416</v>
      </c>
      <c r="B620" s="507" t="s">
        <v>6217</v>
      </c>
      <c r="C620" s="506" t="s">
        <v>32</v>
      </c>
      <c r="D620" s="508">
        <v>1050770</v>
      </c>
      <c r="E620" s="507" t="s">
        <v>6108</v>
      </c>
    </row>
    <row r="621" spans="1:5" ht="15" x14ac:dyDescent="0.3">
      <c r="A621" s="506">
        <v>7417</v>
      </c>
      <c r="B621" s="507" t="s">
        <v>6218</v>
      </c>
      <c r="C621" s="506" t="s">
        <v>32</v>
      </c>
      <c r="D621" s="508">
        <v>1190000</v>
      </c>
      <c r="E621" s="507" t="s">
        <v>6108</v>
      </c>
    </row>
    <row r="622" spans="1:5" ht="15" x14ac:dyDescent="0.3">
      <c r="A622" s="506">
        <v>7418</v>
      </c>
      <c r="B622" s="507" t="s">
        <v>4052</v>
      </c>
      <c r="C622" s="506" t="s">
        <v>254</v>
      </c>
      <c r="D622" s="508">
        <v>249095</v>
      </c>
      <c r="E622" s="507" t="s">
        <v>6109</v>
      </c>
    </row>
    <row r="623" spans="1:5" ht="15" x14ac:dyDescent="0.3">
      <c r="A623" s="506">
        <v>7419</v>
      </c>
      <c r="B623" s="507" t="s">
        <v>4053</v>
      </c>
      <c r="C623" s="506" t="s">
        <v>30</v>
      </c>
      <c r="D623" s="508">
        <v>618292</v>
      </c>
      <c r="E623" s="507" t="s">
        <v>331</v>
      </c>
    </row>
    <row r="624" spans="1:5" ht="15" x14ac:dyDescent="0.3">
      <c r="A624" s="506">
        <v>7420</v>
      </c>
      <c r="B624" s="507" t="s">
        <v>4054</v>
      </c>
      <c r="C624" s="506" t="s">
        <v>30</v>
      </c>
      <c r="D624" s="508">
        <v>637309</v>
      </c>
      <c r="E624" s="507" t="s">
        <v>331</v>
      </c>
    </row>
    <row r="625" spans="1:5" ht="15" x14ac:dyDescent="0.3">
      <c r="A625" s="506">
        <v>7421</v>
      </c>
      <c r="B625" s="507" t="s">
        <v>4055</v>
      </c>
      <c r="C625" s="506" t="s">
        <v>30</v>
      </c>
      <c r="D625" s="508">
        <v>660275</v>
      </c>
      <c r="E625" s="507" t="s">
        <v>331</v>
      </c>
    </row>
    <row r="626" spans="1:5" ht="15" x14ac:dyDescent="0.3">
      <c r="A626" s="506">
        <v>7422</v>
      </c>
      <c r="B626" s="507" t="s">
        <v>4056</v>
      </c>
      <c r="C626" s="506" t="s">
        <v>30</v>
      </c>
      <c r="D626" s="508">
        <v>806463</v>
      </c>
      <c r="E626" s="507" t="s">
        <v>331</v>
      </c>
    </row>
    <row r="627" spans="1:5" ht="15" x14ac:dyDescent="0.3">
      <c r="A627" s="506">
        <v>7423</v>
      </c>
      <c r="B627" s="507" t="s">
        <v>4057</v>
      </c>
      <c r="C627" s="506" t="s">
        <v>670</v>
      </c>
      <c r="D627" s="508">
        <v>706</v>
      </c>
      <c r="E627" s="507" t="s">
        <v>331</v>
      </c>
    </row>
    <row r="628" spans="1:5" ht="15" x14ac:dyDescent="0.3">
      <c r="A628" s="506">
        <v>7426</v>
      </c>
      <c r="B628" s="507" t="s">
        <v>4058</v>
      </c>
      <c r="C628" s="506" t="s">
        <v>328</v>
      </c>
      <c r="D628" s="508">
        <v>53812</v>
      </c>
      <c r="E628" s="507" t="s">
        <v>6108</v>
      </c>
    </row>
    <row r="629" spans="1:5" ht="15" x14ac:dyDescent="0.3">
      <c r="A629" s="506">
        <v>7427</v>
      </c>
      <c r="B629" s="507" t="s">
        <v>4059</v>
      </c>
      <c r="C629" s="506" t="s">
        <v>328</v>
      </c>
      <c r="D629" s="508">
        <v>106958</v>
      </c>
      <c r="E629" s="507" t="s">
        <v>6108</v>
      </c>
    </row>
    <row r="630" spans="1:5" ht="15" x14ac:dyDescent="0.3">
      <c r="A630" s="506">
        <v>7428</v>
      </c>
      <c r="B630" s="507" t="s">
        <v>4060</v>
      </c>
      <c r="C630" s="506" t="s">
        <v>328</v>
      </c>
      <c r="D630" s="508">
        <v>58422</v>
      </c>
      <c r="E630" s="507" t="s">
        <v>6108</v>
      </c>
    </row>
    <row r="631" spans="1:5" ht="15" x14ac:dyDescent="0.3">
      <c r="A631" s="506">
        <v>7429</v>
      </c>
      <c r="B631" s="507" t="s">
        <v>4061</v>
      </c>
      <c r="C631" s="506" t="s">
        <v>328</v>
      </c>
      <c r="D631" s="508">
        <v>84301</v>
      </c>
      <c r="E631" s="507" t="s">
        <v>6108</v>
      </c>
    </row>
    <row r="632" spans="1:5" ht="15" x14ac:dyDescent="0.3">
      <c r="A632" s="506">
        <v>7430</v>
      </c>
      <c r="B632" s="507" t="s">
        <v>4062</v>
      </c>
      <c r="C632" s="506" t="s">
        <v>328</v>
      </c>
      <c r="D632" s="508">
        <v>138013</v>
      </c>
      <c r="E632" s="507" t="s">
        <v>6108</v>
      </c>
    </row>
    <row r="633" spans="1:5" ht="15" x14ac:dyDescent="0.3">
      <c r="A633" s="506">
        <v>7434</v>
      </c>
      <c r="B633" s="507" t="s">
        <v>4063</v>
      </c>
      <c r="C633" s="506" t="s">
        <v>32</v>
      </c>
      <c r="D633" s="508">
        <v>558830</v>
      </c>
      <c r="E633" s="507" t="s">
        <v>6108</v>
      </c>
    </row>
    <row r="634" spans="1:5" ht="15" x14ac:dyDescent="0.3">
      <c r="A634" s="506">
        <v>7436</v>
      </c>
      <c r="B634" s="507" t="s">
        <v>4064</v>
      </c>
      <c r="C634" s="506" t="s">
        <v>3582</v>
      </c>
      <c r="D634" s="508">
        <v>68508</v>
      </c>
      <c r="E634" s="507" t="s">
        <v>6108</v>
      </c>
    </row>
    <row r="635" spans="1:5" ht="15" x14ac:dyDescent="0.3">
      <c r="A635" s="506">
        <v>7437</v>
      </c>
      <c r="B635" s="507" t="s">
        <v>4065</v>
      </c>
      <c r="C635" s="506" t="s">
        <v>3582</v>
      </c>
      <c r="D635" s="508">
        <v>57408</v>
      </c>
      <c r="E635" s="507" t="s">
        <v>6108</v>
      </c>
    </row>
    <row r="636" spans="1:5" ht="15" x14ac:dyDescent="0.3">
      <c r="A636" s="506">
        <v>7438</v>
      </c>
      <c r="B636" s="507" t="s">
        <v>4066</v>
      </c>
      <c r="C636" s="506" t="s">
        <v>3582</v>
      </c>
      <c r="D636" s="508">
        <v>478048</v>
      </c>
      <c r="E636" s="507" t="s">
        <v>331</v>
      </c>
    </row>
    <row r="637" spans="1:5" ht="15" x14ac:dyDescent="0.3">
      <c r="A637" s="506">
        <v>7439</v>
      </c>
      <c r="B637" s="507" t="s">
        <v>4067</v>
      </c>
      <c r="C637" s="506" t="s">
        <v>979</v>
      </c>
      <c r="D637" s="508">
        <v>5950</v>
      </c>
      <c r="E637" s="507" t="s">
        <v>6108</v>
      </c>
    </row>
    <row r="638" spans="1:5" ht="15" x14ac:dyDescent="0.3">
      <c r="A638" s="506">
        <v>7442</v>
      </c>
      <c r="B638" s="507" t="s">
        <v>4068</v>
      </c>
      <c r="C638" s="506" t="s">
        <v>328</v>
      </c>
      <c r="D638" s="508">
        <v>1571</v>
      </c>
      <c r="E638" s="507" t="s">
        <v>6108</v>
      </c>
    </row>
    <row r="639" spans="1:5" ht="15" x14ac:dyDescent="0.3">
      <c r="A639" s="506">
        <v>7443</v>
      </c>
      <c r="B639" s="507" t="s">
        <v>4069</v>
      </c>
      <c r="C639" s="506" t="s">
        <v>328</v>
      </c>
      <c r="D639" s="508">
        <v>3123</v>
      </c>
      <c r="E639" s="507" t="s">
        <v>6108</v>
      </c>
    </row>
    <row r="640" spans="1:5" ht="15" x14ac:dyDescent="0.3">
      <c r="A640" s="506">
        <v>7444</v>
      </c>
      <c r="B640" s="507" t="s">
        <v>4070</v>
      </c>
      <c r="C640" s="506" t="s">
        <v>328</v>
      </c>
      <c r="D640" s="508">
        <v>14757</v>
      </c>
      <c r="E640" s="507" t="s">
        <v>331</v>
      </c>
    </row>
    <row r="641" spans="1:5" ht="15" x14ac:dyDescent="0.3">
      <c r="A641" s="506">
        <v>7445</v>
      </c>
      <c r="B641" s="507" t="s">
        <v>6219</v>
      </c>
      <c r="C641" s="506" t="s">
        <v>32</v>
      </c>
      <c r="D641" s="508">
        <v>330820</v>
      </c>
      <c r="E641" s="507" t="s">
        <v>6108</v>
      </c>
    </row>
    <row r="642" spans="1:5" ht="15" x14ac:dyDescent="0.3">
      <c r="A642" s="506">
        <v>7446</v>
      </c>
      <c r="B642" s="507" t="s">
        <v>6220</v>
      </c>
      <c r="C642" s="506" t="s">
        <v>32</v>
      </c>
      <c r="D642" s="508">
        <v>510510</v>
      </c>
      <c r="E642" s="507" t="s">
        <v>6108</v>
      </c>
    </row>
    <row r="643" spans="1:5" ht="15" x14ac:dyDescent="0.3">
      <c r="A643" s="506">
        <v>7448</v>
      </c>
      <c r="B643" s="507" t="s">
        <v>6221</v>
      </c>
      <c r="C643" s="506" t="s">
        <v>32</v>
      </c>
      <c r="D643" s="508">
        <v>999600</v>
      </c>
      <c r="E643" s="507" t="s">
        <v>6108</v>
      </c>
    </row>
    <row r="644" spans="1:5" ht="15" x14ac:dyDescent="0.3">
      <c r="A644" s="506">
        <v>7451</v>
      </c>
      <c r="B644" s="507" t="s">
        <v>4071</v>
      </c>
      <c r="C644" s="506" t="s">
        <v>670</v>
      </c>
      <c r="D644" s="508">
        <v>4701</v>
      </c>
      <c r="E644" s="507" t="s">
        <v>331</v>
      </c>
    </row>
    <row r="645" spans="1:5" ht="15" x14ac:dyDescent="0.3">
      <c r="A645" s="506">
        <v>7452</v>
      </c>
      <c r="B645" s="507" t="s">
        <v>4072</v>
      </c>
      <c r="C645" s="506" t="s">
        <v>670</v>
      </c>
      <c r="D645" s="508">
        <v>4939</v>
      </c>
      <c r="E645" s="507" t="s">
        <v>331</v>
      </c>
    </row>
    <row r="646" spans="1:5" ht="15" x14ac:dyDescent="0.3">
      <c r="A646" s="506">
        <v>7453</v>
      </c>
      <c r="B646" s="507" t="s">
        <v>6222</v>
      </c>
      <c r="C646" s="506" t="s">
        <v>32</v>
      </c>
      <c r="D646" s="508">
        <v>182226</v>
      </c>
      <c r="E646" s="507" t="s">
        <v>6108</v>
      </c>
    </row>
    <row r="647" spans="1:5" ht="15" x14ac:dyDescent="0.3">
      <c r="A647" s="506">
        <v>7455</v>
      </c>
      <c r="B647" s="507" t="s">
        <v>6223</v>
      </c>
      <c r="C647" s="506" t="s">
        <v>32</v>
      </c>
      <c r="D647" s="508">
        <v>618800</v>
      </c>
      <c r="E647" s="507" t="s">
        <v>6108</v>
      </c>
    </row>
    <row r="648" spans="1:5" ht="15" x14ac:dyDescent="0.3">
      <c r="A648" s="506">
        <v>7457</v>
      </c>
      <c r="B648" s="507" t="s">
        <v>4073</v>
      </c>
      <c r="C648" s="506" t="s">
        <v>328</v>
      </c>
      <c r="D648" s="508">
        <v>28821</v>
      </c>
      <c r="E648" s="507" t="s">
        <v>6108</v>
      </c>
    </row>
    <row r="649" spans="1:5" ht="15" x14ac:dyDescent="0.3">
      <c r="A649" s="506">
        <v>7458</v>
      </c>
      <c r="B649" s="507" t="s">
        <v>4074</v>
      </c>
      <c r="C649" s="506" t="s">
        <v>328</v>
      </c>
      <c r="D649" s="508">
        <v>44783</v>
      </c>
      <c r="E649" s="507" t="s">
        <v>6108</v>
      </c>
    </row>
    <row r="650" spans="1:5" ht="15" x14ac:dyDescent="0.3">
      <c r="A650" s="506">
        <v>7460</v>
      </c>
      <c r="B650" s="507" t="s">
        <v>4075</v>
      </c>
      <c r="C650" s="506" t="s">
        <v>328</v>
      </c>
      <c r="D650" s="508">
        <v>39417</v>
      </c>
      <c r="E650" s="507" t="s">
        <v>6108</v>
      </c>
    </row>
    <row r="651" spans="1:5" ht="15" x14ac:dyDescent="0.3">
      <c r="A651" s="506">
        <v>7461</v>
      </c>
      <c r="B651" s="507" t="s">
        <v>4076</v>
      </c>
      <c r="C651" s="506" t="s">
        <v>30</v>
      </c>
      <c r="D651" s="508">
        <v>89049</v>
      </c>
      <c r="E651" s="507" t="s">
        <v>331</v>
      </c>
    </row>
    <row r="652" spans="1:5" ht="15" x14ac:dyDescent="0.3">
      <c r="A652" s="506">
        <v>7462</v>
      </c>
      <c r="B652" s="507" t="s">
        <v>4077</v>
      </c>
      <c r="C652" s="506" t="s">
        <v>2265</v>
      </c>
      <c r="D652" s="508">
        <v>1800</v>
      </c>
      <c r="E652" s="507" t="s">
        <v>331</v>
      </c>
    </row>
    <row r="653" spans="1:5" ht="15" x14ac:dyDescent="0.3">
      <c r="A653" s="506">
        <v>7463</v>
      </c>
      <c r="B653" s="507" t="s">
        <v>4078</v>
      </c>
      <c r="C653" s="506" t="s">
        <v>21</v>
      </c>
      <c r="D653" s="508">
        <v>5114</v>
      </c>
      <c r="E653" s="507" t="s">
        <v>6108</v>
      </c>
    </row>
    <row r="654" spans="1:5" ht="15" x14ac:dyDescent="0.3">
      <c r="A654" s="506">
        <v>7465</v>
      </c>
      <c r="B654" s="507" t="s">
        <v>4079</v>
      </c>
      <c r="C654" s="506" t="s">
        <v>21</v>
      </c>
      <c r="D654" s="508">
        <v>5953</v>
      </c>
      <c r="E654" s="507" t="s">
        <v>6108</v>
      </c>
    </row>
    <row r="655" spans="1:5" ht="15" x14ac:dyDescent="0.3">
      <c r="A655" s="506">
        <v>7467</v>
      </c>
      <c r="B655" s="507" t="s">
        <v>4080</v>
      </c>
      <c r="C655" s="506" t="s">
        <v>21</v>
      </c>
      <c r="D655" s="508">
        <v>7205</v>
      </c>
      <c r="E655" s="507" t="s">
        <v>6108</v>
      </c>
    </row>
    <row r="656" spans="1:5" ht="15" x14ac:dyDescent="0.3">
      <c r="A656" s="506">
        <v>7468</v>
      </c>
      <c r="B656" s="507" t="s">
        <v>4081</v>
      </c>
      <c r="C656" s="506" t="s">
        <v>21</v>
      </c>
      <c r="D656" s="508">
        <v>7426</v>
      </c>
      <c r="E656" s="507" t="s">
        <v>6108</v>
      </c>
    </row>
    <row r="657" spans="1:5" ht="15" x14ac:dyDescent="0.3">
      <c r="A657" s="506">
        <v>7471</v>
      </c>
      <c r="B657" s="507" t="s">
        <v>6224</v>
      </c>
      <c r="C657" s="506" t="s">
        <v>32</v>
      </c>
      <c r="D657" s="508">
        <v>96000</v>
      </c>
      <c r="E657" s="507" t="s">
        <v>6108</v>
      </c>
    </row>
    <row r="658" spans="1:5" ht="15" x14ac:dyDescent="0.3">
      <c r="A658" s="506">
        <v>7472</v>
      </c>
      <c r="B658" s="507" t="s">
        <v>4082</v>
      </c>
      <c r="C658" s="506" t="s">
        <v>32</v>
      </c>
      <c r="D658" s="508">
        <v>101150</v>
      </c>
      <c r="E658" s="507" t="s">
        <v>6108</v>
      </c>
    </row>
    <row r="659" spans="1:5" ht="15" x14ac:dyDescent="0.3">
      <c r="A659" s="506">
        <v>7482</v>
      </c>
      <c r="B659" s="507" t="s">
        <v>6225</v>
      </c>
      <c r="C659" s="506" t="s">
        <v>32</v>
      </c>
      <c r="D659" s="508">
        <v>123311</v>
      </c>
      <c r="E659" s="507" t="s">
        <v>6108</v>
      </c>
    </row>
    <row r="660" spans="1:5" ht="15" x14ac:dyDescent="0.3">
      <c r="A660" s="506">
        <v>7485</v>
      </c>
      <c r="B660" s="507" t="s">
        <v>6226</v>
      </c>
      <c r="C660" s="506" t="s">
        <v>32</v>
      </c>
      <c r="D660" s="508">
        <v>160650</v>
      </c>
      <c r="E660" s="507" t="s">
        <v>6108</v>
      </c>
    </row>
    <row r="661" spans="1:5" ht="15" x14ac:dyDescent="0.3">
      <c r="A661" s="506">
        <v>7487</v>
      </c>
      <c r="B661" s="507" t="s">
        <v>4083</v>
      </c>
      <c r="C661" s="506" t="s">
        <v>32</v>
      </c>
      <c r="D661" s="508">
        <v>208000</v>
      </c>
      <c r="E661" s="507" t="s">
        <v>6108</v>
      </c>
    </row>
    <row r="662" spans="1:5" ht="15" x14ac:dyDescent="0.3">
      <c r="A662" s="506">
        <v>7488</v>
      </c>
      <c r="B662" s="507" t="s">
        <v>4084</v>
      </c>
      <c r="C662" s="506" t="s">
        <v>32</v>
      </c>
      <c r="D662" s="508">
        <v>12519</v>
      </c>
      <c r="E662" s="507" t="s">
        <v>6108</v>
      </c>
    </row>
    <row r="663" spans="1:5" ht="15" x14ac:dyDescent="0.3">
      <c r="A663" s="506">
        <v>7489</v>
      </c>
      <c r="B663" s="507" t="s">
        <v>4085</v>
      </c>
      <c r="C663" s="506" t="s">
        <v>32</v>
      </c>
      <c r="D663" s="508">
        <v>37485</v>
      </c>
      <c r="E663" s="507" t="s">
        <v>6108</v>
      </c>
    </row>
    <row r="664" spans="1:5" ht="15" x14ac:dyDescent="0.3">
      <c r="A664" s="506">
        <v>7490</v>
      </c>
      <c r="B664" s="507" t="s">
        <v>6227</v>
      </c>
      <c r="C664" s="506" t="s">
        <v>32</v>
      </c>
      <c r="D664" s="508">
        <v>148750</v>
      </c>
      <c r="E664" s="507" t="s">
        <v>6108</v>
      </c>
    </row>
    <row r="665" spans="1:5" ht="15" x14ac:dyDescent="0.3">
      <c r="A665" s="506">
        <v>7493</v>
      </c>
      <c r="B665" s="507" t="s">
        <v>6228</v>
      </c>
      <c r="C665" s="506" t="s">
        <v>32</v>
      </c>
      <c r="D665" s="508">
        <v>50694</v>
      </c>
      <c r="E665" s="507" t="s">
        <v>6108</v>
      </c>
    </row>
    <row r="666" spans="1:5" ht="15" x14ac:dyDescent="0.3">
      <c r="A666" s="506">
        <v>7494</v>
      </c>
      <c r="B666" s="507" t="s">
        <v>6229</v>
      </c>
      <c r="C666" s="506" t="s">
        <v>32</v>
      </c>
      <c r="D666" s="508">
        <v>71222</v>
      </c>
      <c r="E666" s="507" t="s">
        <v>6108</v>
      </c>
    </row>
    <row r="667" spans="1:5" ht="15" x14ac:dyDescent="0.3">
      <c r="A667" s="506">
        <v>7496</v>
      </c>
      <c r="B667" s="507" t="s">
        <v>6230</v>
      </c>
      <c r="C667" s="506" t="s">
        <v>32</v>
      </c>
      <c r="D667" s="508">
        <v>84490</v>
      </c>
      <c r="E667" s="507" t="s">
        <v>6108</v>
      </c>
    </row>
    <row r="668" spans="1:5" ht="15" x14ac:dyDescent="0.3">
      <c r="A668" s="506">
        <v>7497</v>
      </c>
      <c r="B668" s="507" t="s">
        <v>6231</v>
      </c>
      <c r="C668" s="506" t="s">
        <v>32</v>
      </c>
      <c r="D668" s="508">
        <v>82110</v>
      </c>
      <c r="E668" s="507" t="s">
        <v>6108</v>
      </c>
    </row>
    <row r="669" spans="1:5" ht="15" x14ac:dyDescent="0.3">
      <c r="A669" s="506">
        <v>7501</v>
      </c>
      <c r="B669" s="507" t="s">
        <v>4086</v>
      </c>
      <c r="C669" s="506" t="s">
        <v>32</v>
      </c>
      <c r="D669" s="508">
        <v>339150</v>
      </c>
      <c r="E669" s="507" t="s">
        <v>6108</v>
      </c>
    </row>
    <row r="670" spans="1:5" ht="15" x14ac:dyDescent="0.3">
      <c r="A670" s="506">
        <v>7502</v>
      </c>
      <c r="B670" s="507" t="s">
        <v>4087</v>
      </c>
      <c r="C670" s="506" t="s">
        <v>32</v>
      </c>
      <c r="D670" s="508">
        <v>737800</v>
      </c>
      <c r="E670" s="507" t="s">
        <v>6108</v>
      </c>
    </row>
    <row r="671" spans="1:5" ht="15" x14ac:dyDescent="0.3">
      <c r="A671" s="506">
        <v>7503</v>
      </c>
      <c r="B671" s="507" t="s">
        <v>4088</v>
      </c>
      <c r="C671" s="506" t="s">
        <v>32</v>
      </c>
      <c r="D671" s="508">
        <v>890120</v>
      </c>
      <c r="E671" s="507" t="s">
        <v>6108</v>
      </c>
    </row>
    <row r="672" spans="1:5" ht="15" x14ac:dyDescent="0.3">
      <c r="A672" s="506">
        <v>7511</v>
      </c>
      <c r="B672" s="507" t="s">
        <v>4089</v>
      </c>
      <c r="C672" s="506" t="s">
        <v>32</v>
      </c>
      <c r="D672" s="508">
        <v>311780</v>
      </c>
      <c r="E672" s="507" t="s">
        <v>6108</v>
      </c>
    </row>
    <row r="673" spans="1:5" ht="15" x14ac:dyDescent="0.3">
      <c r="A673" s="506">
        <v>7520</v>
      </c>
      <c r="B673" s="507" t="s">
        <v>4090</v>
      </c>
      <c r="C673" s="506" t="s">
        <v>32</v>
      </c>
      <c r="D673" s="508">
        <v>126140</v>
      </c>
      <c r="E673" s="507" t="s">
        <v>6108</v>
      </c>
    </row>
    <row r="674" spans="1:5" ht="15" x14ac:dyDescent="0.3">
      <c r="A674" s="506">
        <v>7523</v>
      </c>
      <c r="B674" s="507" t="s">
        <v>4091</v>
      </c>
      <c r="C674" s="506" t="s">
        <v>32</v>
      </c>
      <c r="D674" s="508">
        <v>211820</v>
      </c>
      <c r="E674" s="507" t="s">
        <v>6108</v>
      </c>
    </row>
    <row r="675" spans="1:5" ht="15" x14ac:dyDescent="0.3">
      <c r="A675" s="506">
        <v>7524</v>
      </c>
      <c r="B675" s="507" t="s">
        <v>4092</v>
      </c>
      <c r="C675" s="506" t="s">
        <v>32</v>
      </c>
      <c r="D675" s="508">
        <v>211820</v>
      </c>
      <c r="E675" s="507" t="s">
        <v>6108</v>
      </c>
    </row>
    <row r="676" spans="1:5" ht="15" x14ac:dyDescent="0.3">
      <c r="A676" s="506">
        <v>7530</v>
      </c>
      <c r="B676" s="507" t="s">
        <v>4093</v>
      </c>
      <c r="C676" s="506" t="s">
        <v>32</v>
      </c>
      <c r="D676" s="508">
        <v>130900</v>
      </c>
      <c r="E676" s="507" t="s">
        <v>6108</v>
      </c>
    </row>
    <row r="677" spans="1:5" ht="15" x14ac:dyDescent="0.3">
      <c r="A677" s="506">
        <v>7542</v>
      </c>
      <c r="B677" s="507" t="s">
        <v>6232</v>
      </c>
      <c r="C677" s="506" t="s">
        <v>32</v>
      </c>
      <c r="D677" s="508">
        <v>10115</v>
      </c>
      <c r="E677" s="507" t="s">
        <v>6108</v>
      </c>
    </row>
    <row r="678" spans="1:5" ht="15" x14ac:dyDescent="0.3">
      <c r="A678" s="506">
        <v>7544</v>
      </c>
      <c r="B678" s="507" t="s">
        <v>6233</v>
      </c>
      <c r="C678" s="506" t="s">
        <v>32</v>
      </c>
      <c r="D678" s="508">
        <v>21420</v>
      </c>
      <c r="E678" s="507" t="s">
        <v>6108</v>
      </c>
    </row>
    <row r="679" spans="1:5" ht="15" x14ac:dyDescent="0.3">
      <c r="A679" s="506">
        <v>7550</v>
      </c>
      <c r="B679" s="507" t="s">
        <v>4094</v>
      </c>
      <c r="C679" s="506" t="s">
        <v>32</v>
      </c>
      <c r="D679" s="508">
        <v>165291</v>
      </c>
      <c r="E679" s="507" t="s">
        <v>6108</v>
      </c>
    </row>
    <row r="680" spans="1:5" ht="15" x14ac:dyDescent="0.3">
      <c r="A680" s="506">
        <v>7551</v>
      </c>
      <c r="B680" s="507" t="s">
        <v>6234</v>
      </c>
      <c r="C680" s="506" t="s">
        <v>32</v>
      </c>
      <c r="D680" s="508">
        <v>78778</v>
      </c>
      <c r="E680" s="507" t="s">
        <v>6108</v>
      </c>
    </row>
    <row r="681" spans="1:5" ht="15" x14ac:dyDescent="0.3">
      <c r="A681" s="506">
        <v>7554</v>
      </c>
      <c r="B681" s="507" t="s">
        <v>4095</v>
      </c>
      <c r="C681" s="506" t="s">
        <v>32</v>
      </c>
      <c r="D681" s="508">
        <v>46520</v>
      </c>
      <c r="E681" s="507" t="s">
        <v>6108</v>
      </c>
    </row>
    <row r="682" spans="1:5" ht="15" x14ac:dyDescent="0.3">
      <c r="A682" s="506">
        <v>7555</v>
      </c>
      <c r="B682" s="507" t="s">
        <v>312</v>
      </c>
      <c r="C682" s="506" t="s">
        <v>32</v>
      </c>
      <c r="D682" s="508">
        <v>42090</v>
      </c>
      <c r="E682" s="507" t="s">
        <v>6108</v>
      </c>
    </row>
    <row r="683" spans="1:5" ht="15" x14ac:dyDescent="0.3">
      <c r="A683" s="506">
        <v>7556</v>
      </c>
      <c r="B683" s="507" t="s">
        <v>4096</v>
      </c>
      <c r="C683" s="506" t="s">
        <v>21</v>
      </c>
      <c r="D683" s="508">
        <v>1728</v>
      </c>
      <c r="E683" s="507" t="s">
        <v>6108</v>
      </c>
    </row>
    <row r="684" spans="1:5" ht="15" x14ac:dyDescent="0.3">
      <c r="A684" s="506">
        <v>7557</v>
      </c>
      <c r="B684" s="507" t="s">
        <v>4097</v>
      </c>
      <c r="C684" s="506" t="s">
        <v>32</v>
      </c>
      <c r="D684" s="508">
        <v>2810</v>
      </c>
      <c r="E684" s="507" t="s">
        <v>6108</v>
      </c>
    </row>
    <row r="685" spans="1:5" ht="15" x14ac:dyDescent="0.3">
      <c r="A685" s="506">
        <v>7558</v>
      </c>
      <c r="B685" s="507" t="s">
        <v>6235</v>
      </c>
      <c r="C685" s="506" t="s">
        <v>307</v>
      </c>
      <c r="D685" s="508">
        <v>856800</v>
      </c>
      <c r="E685" s="507" t="s">
        <v>6108</v>
      </c>
    </row>
    <row r="686" spans="1:5" ht="15" x14ac:dyDescent="0.3">
      <c r="A686" s="506">
        <v>7559</v>
      </c>
      <c r="B686" s="507" t="s">
        <v>4098</v>
      </c>
      <c r="C686" s="506" t="s">
        <v>21</v>
      </c>
      <c r="D686" s="508">
        <v>2763</v>
      </c>
      <c r="E686" s="507" t="s">
        <v>6108</v>
      </c>
    </row>
    <row r="687" spans="1:5" ht="15" x14ac:dyDescent="0.3">
      <c r="A687" s="506">
        <v>7560</v>
      </c>
      <c r="B687" s="507" t="s">
        <v>4099</v>
      </c>
      <c r="C687" s="506" t="s">
        <v>21</v>
      </c>
      <c r="D687" s="508">
        <v>3247</v>
      </c>
      <c r="E687" s="507" t="s">
        <v>6108</v>
      </c>
    </row>
    <row r="688" spans="1:5" ht="15" x14ac:dyDescent="0.3">
      <c r="A688" s="506">
        <v>7561</v>
      </c>
      <c r="B688" s="507" t="s">
        <v>4100</v>
      </c>
      <c r="C688" s="506" t="s">
        <v>21</v>
      </c>
      <c r="D688" s="508">
        <v>1852</v>
      </c>
      <c r="E688" s="507" t="s">
        <v>6108</v>
      </c>
    </row>
    <row r="689" spans="1:5" ht="15" x14ac:dyDescent="0.3">
      <c r="A689" s="506">
        <v>7562</v>
      </c>
      <c r="B689" s="507" t="s">
        <v>4101</v>
      </c>
      <c r="C689" s="506" t="s">
        <v>328</v>
      </c>
      <c r="D689" s="508">
        <v>22180</v>
      </c>
      <c r="E689" s="507" t="s">
        <v>6108</v>
      </c>
    </row>
    <row r="690" spans="1:5" ht="15" x14ac:dyDescent="0.3">
      <c r="A690" s="506">
        <v>7567</v>
      </c>
      <c r="B690" s="507" t="s">
        <v>4102</v>
      </c>
      <c r="C690" s="506" t="s">
        <v>32</v>
      </c>
      <c r="D690" s="508">
        <v>95994</v>
      </c>
      <c r="E690" s="507" t="s">
        <v>6108</v>
      </c>
    </row>
    <row r="691" spans="1:5" ht="15" x14ac:dyDescent="0.3">
      <c r="A691" s="506">
        <v>7568</v>
      </c>
      <c r="B691" s="507" t="s">
        <v>4103</v>
      </c>
      <c r="C691" s="506" t="s">
        <v>32</v>
      </c>
      <c r="D691" s="508">
        <v>45220</v>
      </c>
      <c r="E691" s="507" t="s">
        <v>6108</v>
      </c>
    </row>
    <row r="692" spans="1:5" ht="15" x14ac:dyDescent="0.3">
      <c r="A692" s="506">
        <v>7571</v>
      </c>
      <c r="B692" s="507" t="s">
        <v>4104</v>
      </c>
      <c r="C692" s="506" t="s">
        <v>32</v>
      </c>
      <c r="D692" s="508">
        <v>83781</v>
      </c>
      <c r="E692" s="507" t="s">
        <v>6108</v>
      </c>
    </row>
    <row r="693" spans="1:5" ht="15" x14ac:dyDescent="0.3">
      <c r="A693" s="506">
        <v>7575</v>
      </c>
      <c r="B693" s="507" t="s">
        <v>4105</v>
      </c>
      <c r="C693" s="506" t="s">
        <v>32</v>
      </c>
      <c r="D693" s="508">
        <v>34050</v>
      </c>
      <c r="E693" s="507" t="s">
        <v>6108</v>
      </c>
    </row>
    <row r="694" spans="1:5" ht="15" x14ac:dyDescent="0.3">
      <c r="A694" s="506">
        <v>7576</v>
      </c>
      <c r="B694" s="507" t="s">
        <v>4106</v>
      </c>
      <c r="C694" s="506" t="s">
        <v>32</v>
      </c>
      <c r="D694" s="508">
        <v>2000</v>
      </c>
      <c r="E694" s="507" t="s">
        <v>6108</v>
      </c>
    </row>
    <row r="695" spans="1:5" ht="15" x14ac:dyDescent="0.3">
      <c r="A695" s="506">
        <v>7577</v>
      </c>
      <c r="B695" s="507" t="s">
        <v>4107</v>
      </c>
      <c r="C695" s="506" t="s">
        <v>32</v>
      </c>
      <c r="D695" s="508">
        <v>8000</v>
      </c>
      <c r="E695" s="507" t="s">
        <v>6108</v>
      </c>
    </row>
    <row r="696" spans="1:5" ht="15" x14ac:dyDescent="0.3">
      <c r="A696" s="506">
        <v>7578</v>
      </c>
      <c r="B696" s="507" t="s">
        <v>4108</v>
      </c>
      <c r="C696" s="506" t="s">
        <v>32</v>
      </c>
      <c r="D696" s="508">
        <v>9055</v>
      </c>
      <c r="E696" s="507" t="s">
        <v>6108</v>
      </c>
    </row>
    <row r="697" spans="1:5" ht="15" x14ac:dyDescent="0.3">
      <c r="A697" s="506">
        <v>7579</v>
      </c>
      <c r="B697" s="507" t="s">
        <v>4109</v>
      </c>
      <c r="C697" s="506" t="s">
        <v>32</v>
      </c>
      <c r="D697" s="508">
        <v>750</v>
      </c>
      <c r="E697" s="507" t="s">
        <v>6108</v>
      </c>
    </row>
    <row r="698" spans="1:5" ht="15" x14ac:dyDescent="0.3">
      <c r="A698" s="506">
        <v>7580</v>
      </c>
      <c r="B698" s="507" t="s">
        <v>4110</v>
      </c>
      <c r="C698" s="506" t="s">
        <v>32</v>
      </c>
      <c r="D698" s="508">
        <v>23000</v>
      </c>
      <c r="E698" s="507" t="s">
        <v>6108</v>
      </c>
    </row>
    <row r="699" spans="1:5" ht="15" x14ac:dyDescent="0.3">
      <c r="A699" s="506">
        <v>7582</v>
      </c>
      <c r="B699" s="507" t="s">
        <v>4111</v>
      </c>
      <c r="C699" s="506" t="s">
        <v>32</v>
      </c>
      <c r="D699" s="508">
        <v>25000</v>
      </c>
      <c r="E699" s="507" t="s">
        <v>6108</v>
      </c>
    </row>
    <row r="700" spans="1:5" ht="15" x14ac:dyDescent="0.3">
      <c r="A700" s="506">
        <v>7583</v>
      </c>
      <c r="B700" s="507" t="s">
        <v>4112</v>
      </c>
      <c r="C700" s="506" t="s">
        <v>32</v>
      </c>
      <c r="D700" s="508">
        <v>29750</v>
      </c>
      <c r="E700" s="507" t="s">
        <v>6108</v>
      </c>
    </row>
    <row r="701" spans="1:5" ht="15" x14ac:dyDescent="0.3">
      <c r="A701" s="506">
        <v>7585</v>
      </c>
      <c r="B701" s="507" t="s">
        <v>4113</v>
      </c>
      <c r="C701" s="506" t="s">
        <v>328</v>
      </c>
      <c r="D701" s="508">
        <v>37163</v>
      </c>
      <c r="E701" s="507" t="s">
        <v>331</v>
      </c>
    </row>
    <row r="702" spans="1:5" ht="15" x14ac:dyDescent="0.3">
      <c r="A702" s="506">
        <v>7586</v>
      </c>
      <c r="B702" s="507" t="s">
        <v>4114</v>
      </c>
      <c r="C702" s="506" t="s">
        <v>32</v>
      </c>
      <c r="D702" s="508">
        <v>3413</v>
      </c>
      <c r="E702" s="507" t="s">
        <v>6108</v>
      </c>
    </row>
    <row r="703" spans="1:5" ht="15" x14ac:dyDescent="0.3">
      <c r="A703" s="506">
        <v>7587</v>
      </c>
      <c r="B703" s="507" t="s">
        <v>4115</v>
      </c>
      <c r="C703" s="506" t="s">
        <v>670</v>
      </c>
      <c r="D703" s="508">
        <v>153769</v>
      </c>
      <c r="E703" s="507" t="s">
        <v>6108</v>
      </c>
    </row>
    <row r="704" spans="1:5" ht="15" x14ac:dyDescent="0.3">
      <c r="A704" s="506">
        <v>7596</v>
      </c>
      <c r="B704" s="507" t="s">
        <v>4116</v>
      </c>
      <c r="C704" s="506" t="s">
        <v>3582</v>
      </c>
      <c r="D704" s="508">
        <v>52107</v>
      </c>
      <c r="E704" s="507" t="s">
        <v>6108</v>
      </c>
    </row>
    <row r="705" spans="1:5" ht="15" x14ac:dyDescent="0.3">
      <c r="A705" s="506">
        <v>7598</v>
      </c>
      <c r="B705" s="507" t="s">
        <v>4117</v>
      </c>
      <c r="C705" s="506" t="s">
        <v>30</v>
      </c>
      <c r="D705" s="508">
        <v>90440</v>
      </c>
      <c r="E705" s="507" t="s">
        <v>331</v>
      </c>
    </row>
    <row r="706" spans="1:5" ht="15" x14ac:dyDescent="0.3">
      <c r="A706" s="506">
        <v>7603</v>
      </c>
      <c r="B706" s="507" t="s">
        <v>4118</v>
      </c>
      <c r="C706" s="506" t="s">
        <v>328</v>
      </c>
      <c r="D706" s="508">
        <v>386587</v>
      </c>
      <c r="E706" s="507" t="s">
        <v>6108</v>
      </c>
    </row>
    <row r="707" spans="1:5" ht="15" x14ac:dyDescent="0.3">
      <c r="A707" s="506">
        <v>7604</v>
      </c>
      <c r="B707" s="507" t="s">
        <v>4119</v>
      </c>
      <c r="C707" s="506" t="s">
        <v>328</v>
      </c>
      <c r="D707" s="508">
        <v>466632</v>
      </c>
      <c r="E707" s="507" t="s">
        <v>6108</v>
      </c>
    </row>
    <row r="708" spans="1:5" ht="15" x14ac:dyDescent="0.3">
      <c r="A708" s="506">
        <v>7606</v>
      </c>
      <c r="B708" s="507" t="s">
        <v>4120</v>
      </c>
      <c r="C708" s="506" t="s">
        <v>328</v>
      </c>
      <c r="D708" s="508">
        <v>595966</v>
      </c>
      <c r="E708" s="507" t="s">
        <v>6108</v>
      </c>
    </row>
    <row r="709" spans="1:5" ht="15" x14ac:dyDescent="0.3">
      <c r="A709" s="506">
        <v>7607</v>
      </c>
      <c r="B709" s="507" t="s">
        <v>4121</v>
      </c>
      <c r="C709" s="506" t="s">
        <v>328</v>
      </c>
      <c r="D709" s="508">
        <v>657040</v>
      </c>
      <c r="E709" s="507" t="s">
        <v>6108</v>
      </c>
    </row>
    <row r="710" spans="1:5" ht="15" x14ac:dyDescent="0.3">
      <c r="A710" s="506">
        <v>7608</v>
      </c>
      <c r="B710" s="507" t="s">
        <v>4122</v>
      </c>
      <c r="C710" s="506" t="s">
        <v>328</v>
      </c>
      <c r="D710" s="508">
        <v>803045</v>
      </c>
      <c r="E710" s="507" t="s">
        <v>6108</v>
      </c>
    </row>
    <row r="711" spans="1:5" ht="15" x14ac:dyDescent="0.3">
      <c r="A711" s="506">
        <v>7610</v>
      </c>
      <c r="B711" s="507" t="s">
        <v>4123</v>
      </c>
      <c r="C711" s="506" t="s">
        <v>21</v>
      </c>
      <c r="D711" s="508">
        <v>9663</v>
      </c>
      <c r="E711" s="507" t="s">
        <v>6108</v>
      </c>
    </row>
    <row r="712" spans="1:5" ht="15" x14ac:dyDescent="0.3">
      <c r="A712" s="506">
        <v>7613</v>
      </c>
      <c r="B712" s="507" t="s">
        <v>4124</v>
      </c>
      <c r="C712" s="506" t="s">
        <v>328</v>
      </c>
      <c r="D712" s="508">
        <v>947968</v>
      </c>
      <c r="E712" s="507" t="s">
        <v>6108</v>
      </c>
    </row>
    <row r="713" spans="1:5" ht="15" x14ac:dyDescent="0.3">
      <c r="A713" s="506">
        <v>7614</v>
      </c>
      <c r="B713" s="507" t="s">
        <v>4125</v>
      </c>
      <c r="C713" s="506" t="s">
        <v>328</v>
      </c>
      <c r="D713" s="508">
        <v>1199074</v>
      </c>
      <c r="E713" s="507" t="s">
        <v>6108</v>
      </c>
    </row>
    <row r="714" spans="1:5" ht="15" x14ac:dyDescent="0.3">
      <c r="A714" s="506">
        <v>7615</v>
      </c>
      <c r="B714" s="507" t="s">
        <v>4126</v>
      </c>
      <c r="C714" s="506" t="s">
        <v>328</v>
      </c>
      <c r="D714" s="508">
        <v>1517165</v>
      </c>
      <c r="E714" s="507" t="s">
        <v>6108</v>
      </c>
    </row>
    <row r="715" spans="1:5" ht="15" x14ac:dyDescent="0.3">
      <c r="A715" s="506">
        <v>7616</v>
      </c>
      <c r="B715" s="507" t="s">
        <v>4127</v>
      </c>
      <c r="C715" s="506" t="s">
        <v>328</v>
      </c>
      <c r="D715" s="508">
        <v>1719584</v>
      </c>
      <c r="E715" s="507" t="s">
        <v>6108</v>
      </c>
    </row>
    <row r="716" spans="1:5" ht="15" x14ac:dyDescent="0.3">
      <c r="A716" s="506">
        <v>7617</v>
      </c>
      <c r="B716" s="507" t="s">
        <v>4128</v>
      </c>
      <c r="C716" s="506" t="s">
        <v>328</v>
      </c>
      <c r="D716" s="508">
        <v>1922003</v>
      </c>
      <c r="E716" s="507" t="s">
        <v>6108</v>
      </c>
    </row>
    <row r="717" spans="1:5" ht="15" x14ac:dyDescent="0.3">
      <c r="A717" s="506">
        <v>7618</v>
      </c>
      <c r="B717" s="507" t="s">
        <v>4129</v>
      </c>
      <c r="C717" s="506" t="s">
        <v>328</v>
      </c>
      <c r="D717" s="508">
        <v>2159846</v>
      </c>
      <c r="E717" s="507" t="s">
        <v>6108</v>
      </c>
    </row>
    <row r="718" spans="1:5" ht="15" x14ac:dyDescent="0.3">
      <c r="A718" s="506">
        <v>7619</v>
      </c>
      <c r="B718" s="507" t="s">
        <v>4130</v>
      </c>
      <c r="C718" s="506" t="s">
        <v>328</v>
      </c>
      <c r="D718" s="508">
        <v>2762417</v>
      </c>
      <c r="E718" s="507" t="s">
        <v>6108</v>
      </c>
    </row>
    <row r="719" spans="1:5" ht="15" x14ac:dyDescent="0.3">
      <c r="A719" s="506">
        <v>7620</v>
      </c>
      <c r="B719" s="507" t="s">
        <v>4131</v>
      </c>
      <c r="C719" s="506" t="s">
        <v>328</v>
      </c>
      <c r="D719" s="508">
        <v>3060985</v>
      </c>
      <c r="E719" s="507" t="s">
        <v>6108</v>
      </c>
    </row>
    <row r="720" spans="1:5" ht="15" x14ac:dyDescent="0.3">
      <c r="A720" s="506">
        <v>7621</v>
      </c>
      <c r="B720" s="507" t="s">
        <v>4132</v>
      </c>
      <c r="C720" s="506" t="s">
        <v>328</v>
      </c>
      <c r="D720" s="508">
        <v>3384856</v>
      </c>
      <c r="E720" s="507" t="s">
        <v>6108</v>
      </c>
    </row>
    <row r="721" spans="1:5" ht="15" x14ac:dyDescent="0.3">
      <c r="A721" s="506">
        <v>7622</v>
      </c>
      <c r="B721" s="507" t="s">
        <v>4133</v>
      </c>
      <c r="C721" s="506" t="s">
        <v>328</v>
      </c>
      <c r="D721" s="508">
        <v>3708726</v>
      </c>
      <c r="E721" s="507" t="s">
        <v>6108</v>
      </c>
    </row>
    <row r="722" spans="1:5" ht="15" x14ac:dyDescent="0.3">
      <c r="A722" s="506">
        <v>7626</v>
      </c>
      <c r="B722" s="507" t="s">
        <v>4134</v>
      </c>
      <c r="C722" s="506" t="s">
        <v>32</v>
      </c>
      <c r="D722" s="508">
        <v>623931</v>
      </c>
      <c r="E722" s="507" t="s">
        <v>6108</v>
      </c>
    </row>
    <row r="723" spans="1:5" ht="15" x14ac:dyDescent="0.3">
      <c r="A723" s="506">
        <v>7627</v>
      </c>
      <c r="B723" s="507" t="s">
        <v>4135</v>
      </c>
      <c r="C723" s="506" t="s">
        <v>32</v>
      </c>
      <c r="D723" s="508">
        <v>647170</v>
      </c>
      <c r="E723" s="507" t="s">
        <v>6108</v>
      </c>
    </row>
    <row r="724" spans="1:5" ht="15" x14ac:dyDescent="0.3">
      <c r="A724" s="506">
        <v>7628</v>
      </c>
      <c r="B724" s="507" t="s">
        <v>4136</v>
      </c>
      <c r="C724" s="506" t="s">
        <v>32</v>
      </c>
      <c r="D724" s="508">
        <v>669423</v>
      </c>
      <c r="E724" s="507" t="s">
        <v>6108</v>
      </c>
    </row>
    <row r="725" spans="1:5" ht="15" x14ac:dyDescent="0.3">
      <c r="A725" s="506">
        <v>7630</v>
      </c>
      <c r="B725" s="507" t="s">
        <v>4137</v>
      </c>
      <c r="C725" s="506" t="s">
        <v>32</v>
      </c>
      <c r="D725" s="508">
        <v>705256</v>
      </c>
      <c r="E725" s="507" t="s">
        <v>6108</v>
      </c>
    </row>
    <row r="726" spans="1:5" ht="15" x14ac:dyDescent="0.3">
      <c r="A726" s="506">
        <v>7631</v>
      </c>
      <c r="B726" s="507" t="s">
        <v>4138</v>
      </c>
      <c r="C726" s="506" t="s">
        <v>32</v>
      </c>
      <c r="D726" s="508">
        <v>905521</v>
      </c>
      <c r="E726" s="507" t="s">
        <v>6108</v>
      </c>
    </row>
    <row r="727" spans="1:5" ht="15" x14ac:dyDescent="0.3">
      <c r="A727" s="506">
        <v>7632</v>
      </c>
      <c r="B727" s="507" t="s">
        <v>4139</v>
      </c>
      <c r="C727" s="506" t="s">
        <v>32</v>
      </c>
      <c r="D727" s="508">
        <v>968595</v>
      </c>
      <c r="E727" s="507" t="s">
        <v>6108</v>
      </c>
    </row>
    <row r="728" spans="1:5" ht="15" x14ac:dyDescent="0.3">
      <c r="A728" s="506">
        <v>7633</v>
      </c>
      <c r="B728" s="507" t="s">
        <v>4140</v>
      </c>
      <c r="C728" s="506" t="s">
        <v>32</v>
      </c>
      <c r="D728" s="508">
        <v>1046753</v>
      </c>
      <c r="E728" s="507" t="s">
        <v>6108</v>
      </c>
    </row>
    <row r="729" spans="1:5" ht="15" x14ac:dyDescent="0.3">
      <c r="A729" s="506">
        <v>7634</v>
      </c>
      <c r="B729" s="507" t="s">
        <v>4141</v>
      </c>
      <c r="C729" s="506" t="s">
        <v>32</v>
      </c>
      <c r="D729" s="508">
        <v>1126845</v>
      </c>
      <c r="E729" s="507" t="s">
        <v>6108</v>
      </c>
    </row>
    <row r="730" spans="1:5" ht="15" x14ac:dyDescent="0.3">
      <c r="A730" s="506">
        <v>7635</v>
      </c>
      <c r="B730" s="507" t="s">
        <v>4142</v>
      </c>
      <c r="C730" s="506" t="s">
        <v>32</v>
      </c>
      <c r="D730" s="508">
        <v>921007</v>
      </c>
      <c r="E730" s="507" t="s">
        <v>6108</v>
      </c>
    </row>
    <row r="731" spans="1:5" ht="15" x14ac:dyDescent="0.3">
      <c r="A731" s="506">
        <v>7636</v>
      </c>
      <c r="B731" s="507" t="s">
        <v>4143</v>
      </c>
      <c r="C731" s="506" t="s">
        <v>32</v>
      </c>
      <c r="D731" s="508">
        <v>961491</v>
      </c>
      <c r="E731" s="507" t="s">
        <v>6108</v>
      </c>
    </row>
    <row r="732" spans="1:5" ht="15" x14ac:dyDescent="0.3">
      <c r="A732" s="506">
        <v>7637</v>
      </c>
      <c r="B732" s="507" t="s">
        <v>4144</v>
      </c>
      <c r="C732" s="506" t="s">
        <v>32</v>
      </c>
      <c r="D732" s="508">
        <v>1072821</v>
      </c>
      <c r="E732" s="507" t="s">
        <v>6108</v>
      </c>
    </row>
    <row r="733" spans="1:5" ht="15" x14ac:dyDescent="0.3">
      <c r="A733" s="506">
        <v>7638</v>
      </c>
      <c r="B733" s="507" t="s">
        <v>4145</v>
      </c>
      <c r="C733" s="506" t="s">
        <v>32</v>
      </c>
      <c r="D733" s="508">
        <v>1300543</v>
      </c>
      <c r="E733" s="507" t="s">
        <v>6108</v>
      </c>
    </row>
    <row r="734" spans="1:5" ht="15" x14ac:dyDescent="0.3">
      <c r="A734" s="506">
        <v>7639</v>
      </c>
      <c r="B734" s="507" t="s">
        <v>4146</v>
      </c>
      <c r="C734" s="506" t="s">
        <v>32</v>
      </c>
      <c r="D734" s="508">
        <v>1361269</v>
      </c>
      <c r="E734" s="507" t="s">
        <v>6108</v>
      </c>
    </row>
    <row r="735" spans="1:5" ht="15" x14ac:dyDescent="0.3">
      <c r="A735" s="506">
        <v>7640</v>
      </c>
      <c r="B735" s="507" t="s">
        <v>4147</v>
      </c>
      <c r="C735" s="506" t="s">
        <v>32</v>
      </c>
      <c r="D735" s="508">
        <v>1457417</v>
      </c>
      <c r="E735" s="507" t="s">
        <v>6108</v>
      </c>
    </row>
    <row r="736" spans="1:5" ht="15" x14ac:dyDescent="0.3">
      <c r="A736" s="506">
        <v>7641</v>
      </c>
      <c r="B736" s="507" t="s">
        <v>4148</v>
      </c>
      <c r="C736" s="506" t="s">
        <v>32</v>
      </c>
      <c r="D736" s="508">
        <v>1644655</v>
      </c>
      <c r="E736" s="507" t="s">
        <v>6108</v>
      </c>
    </row>
    <row r="737" spans="1:5" ht="15" x14ac:dyDescent="0.3">
      <c r="A737" s="506">
        <v>7642</v>
      </c>
      <c r="B737" s="507" t="s">
        <v>4149</v>
      </c>
      <c r="C737" s="506" t="s">
        <v>32</v>
      </c>
      <c r="D737" s="508">
        <v>1705381</v>
      </c>
      <c r="E737" s="507" t="s">
        <v>6108</v>
      </c>
    </row>
    <row r="738" spans="1:5" ht="15" x14ac:dyDescent="0.3">
      <c r="A738" s="506">
        <v>7643</v>
      </c>
      <c r="B738" s="507" t="s">
        <v>4150</v>
      </c>
      <c r="C738" s="506" t="s">
        <v>32</v>
      </c>
      <c r="D738" s="508">
        <v>1978647</v>
      </c>
      <c r="E738" s="507" t="s">
        <v>6108</v>
      </c>
    </row>
    <row r="739" spans="1:5" ht="15" x14ac:dyDescent="0.3">
      <c r="A739" s="506">
        <v>7644</v>
      </c>
      <c r="B739" s="507" t="s">
        <v>4151</v>
      </c>
      <c r="C739" s="506" t="s">
        <v>32</v>
      </c>
      <c r="D739" s="508">
        <v>2105158</v>
      </c>
      <c r="E739" s="507" t="s">
        <v>6108</v>
      </c>
    </row>
    <row r="740" spans="1:5" ht="15" x14ac:dyDescent="0.3">
      <c r="A740" s="506">
        <v>7645</v>
      </c>
      <c r="B740" s="507" t="s">
        <v>4152</v>
      </c>
      <c r="C740" s="506" t="s">
        <v>328</v>
      </c>
      <c r="D740" s="508">
        <v>4093322</v>
      </c>
      <c r="E740" s="507" t="s">
        <v>6108</v>
      </c>
    </row>
    <row r="741" spans="1:5" ht="15" x14ac:dyDescent="0.3">
      <c r="A741" s="506">
        <v>7646</v>
      </c>
      <c r="B741" s="507" t="s">
        <v>4153</v>
      </c>
      <c r="C741" s="506" t="s">
        <v>328</v>
      </c>
      <c r="D741" s="508">
        <v>4832151</v>
      </c>
      <c r="E741" s="507" t="s">
        <v>6108</v>
      </c>
    </row>
    <row r="742" spans="1:5" ht="15" x14ac:dyDescent="0.3">
      <c r="A742" s="506">
        <v>7647</v>
      </c>
      <c r="B742" s="507" t="s">
        <v>4154</v>
      </c>
      <c r="C742" s="506" t="s">
        <v>32</v>
      </c>
      <c r="D742" s="508">
        <v>2423969</v>
      </c>
      <c r="E742" s="507" t="s">
        <v>6108</v>
      </c>
    </row>
    <row r="743" spans="1:5" ht="15" x14ac:dyDescent="0.3">
      <c r="A743" s="506">
        <v>7648</v>
      </c>
      <c r="B743" s="507" t="s">
        <v>4155</v>
      </c>
      <c r="C743" s="506" t="s">
        <v>328</v>
      </c>
      <c r="D743" s="508">
        <v>6593197</v>
      </c>
      <c r="E743" s="507" t="s">
        <v>6108</v>
      </c>
    </row>
    <row r="744" spans="1:5" ht="15" x14ac:dyDescent="0.3">
      <c r="A744" s="506">
        <v>7650</v>
      </c>
      <c r="B744" s="507" t="s">
        <v>4156</v>
      </c>
      <c r="C744" s="506" t="s">
        <v>3579</v>
      </c>
      <c r="D744" s="508">
        <v>217786</v>
      </c>
      <c r="E744" s="507" t="s">
        <v>6108</v>
      </c>
    </row>
    <row r="745" spans="1:5" ht="15" x14ac:dyDescent="0.3">
      <c r="A745" s="506">
        <v>7651</v>
      </c>
      <c r="B745" s="507" t="s">
        <v>4157</v>
      </c>
      <c r="C745" s="506" t="s">
        <v>3579</v>
      </c>
      <c r="D745" s="508">
        <v>281697</v>
      </c>
      <c r="E745" s="507" t="s">
        <v>6108</v>
      </c>
    </row>
    <row r="746" spans="1:5" ht="15" x14ac:dyDescent="0.3">
      <c r="A746" s="506">
        <v>7652</v>
      </c>
      <c r="B746" s="507" t="s">
        <v>4158</v>
      </c>
      <c r="C746" s="506" t="s">
        <v>3579</v>
      </c>
      <c r="D746" s="508">
        <v>253411</v>
      </c>
      <c r="E746" s="507" t="s">
        <v>6108</v>
      </c>
    </row>
    <row r="747" spans="1:5" ht="15" x14ac:dyDescent="0.3">
      <c r="A747" s="506">
        <v>7653</v>
      </c>
      <c r="B747" s="507" t="s">
        <v>4159</v>
      </c>
      <c r="C747" s="506" t="s">
        <v>3579</v>
      </c>
      <c r="D747" s="508">
        <v>360000</v>
      </c>
      <c r="E747" s="507" t="s">
        <v>6108</v>
      </c>
    </row>
    <row r="748" spans="1:5" ht="15" x14ac:dyDescent="0.3">
      <c r="A748" s="506">
        <v>7654</v>
      </c>
      <c r="B748" s="507" t="s">
        <v>4160</v>
      </c>
      <c r="C748" s="506" t="s">
        <v>3579</v>
      </c>
      <c r="D748" s="508">
        <v>68020</v>
      </c>
      <c r="E748" s="507" t="s">
        <v>6108</v>
      </c>
    </row>
    <row r="749" spans="1:5" ht="15" x14ac:dyDescent="0.3">
      <c r="A749" s="506">
        <v>7655</v>
      </c>
      <c r="B749" s="507" t="s">
        <v>4161</v>
      </c>
      <c r="C749" s="506" t="s">
        <v>3579</v>
      </c>
      <c r="D749" s="508">
        <v>90335</v>
      </c>
      <c r="E749" s="507" t="s">
        <v>6108</v>
      </c>
    </row>
    <row r="750" spans="1:5" ht="15" x14ac:dyDescent="0.3">
      <c r="A750" s="506">
        <v>7656</v>
      </c>
      <c r="B750" s="507" t="s">
        <v>4162</v>
      </c>
      <c r="C750" s="506" t="s">
        <v>3579</v>
      </c>
      <c r="D750" s="508">
        <v>181163</v>
      </c>
      <c r="E750" s="507" t="s">
        <v>6108</v>
      </c>
    </row>
    <row r="751" spans="1:5" ht="15" x14ac:dyDescent="0.3">
      <c r="A751" s="506">
        <v>7657</v>
      </c>
      <c r="B751" s="507" t="s">
        <v>4163</v>
      </c>
      <c r="C751" s="506" t="s">
        <v>3579</v>
      </c>
      <c r="D751" s="508">
        <v>127996</v>
      </c>
      <c r="E751" s="507" t="s">
        <v>6108</v>
      </c>
    </row>
    <row r="752" spans="1:5" ht="15" x14ac:dyDescent="0.3">
      <c r="A752" s="506">
        <v>7658</v>
      </c>
      <c r="B752" s="507" t="s">
        <v>4164</v>
      </c>
      <c r="C752" s="506" t="s">
        <v>30</v>
      </c>
      <c r="D752" s="508">
        <v>1167963</v>
      </c>
      <c r="E752" s="507" t="s">
        <v>331</v>
      </c>
    </row>
    <row r="753" spans="1:5" ht="15" x14ac:dyDescent="0.3">
      <c r="A753" s="506">
        <v>7664</v>
      </c>
      <c r="B753" s="507" t="s">
        <v>4165</v>
      </c>
      <c r="C753" s="506" t="s">
        <v>32</v>
      </c>
      <c r="D753" s="508">
        <v>1163004</v>
      </c>
      <c r="E753" s="507" t="s">
        <v>6108</v>
      </c>
    </row>
    <row r="754" spans="1:5" ht="15" x14ac:dyDescent="0.3">
      <c r="A754" s="506">
        <v>7680</v>
      </c>
      <c r="B754" s="507" t="s">
        <v>4166</v>
      </c>
      <c r="C754" s="506" t="s">
        <v>3579</v>
      </c>
      <c r="D754" s="508">
        <v>83900</v>
      </c>
      <c r="E754" s="507" t="s">
        <v>6108</v>
      </c>
    </row>
    <row r="755" spans="1:5" ht="15" x14ac:dyDescent="0.3">
      <c r="A755" s="506">
        <v>7686</v>
      </c>
      <c r="B755" s="507" t="s">
        <v>4167</v>
      </c>
      <c r="C755" s="506" t="s">
        <v>30</v>
      </c>
      <c r="D755" s="508">
        <v>81001</v>
      </c>
      <c r="E755" s="507" t="s">
        <v>331</v>
      </c>
    </row>
    <row r="756" spans="1:5" ht="15" x14ac:dyDescent="0.3">
      <c r="A756" s="506">
        <v>7687</v>
      </c>
      <c r="B756" s="507" t="s">
        <v>4168</v>
      </c>
      <c r="C756" s="506" t="s">
        <v>30</v>
      </c>
      <c r="D756" s="508">
        <v>94010</v>
      </c>
      <c r="E756" s="507" t="s">
        <v>331</v>
      </c>
    </row>
    <row r="757" spans="1:5" ht="15" x14ac:dyDescent="0.3">
      <c r="A757" s="506">
        <v>7688</v>
      </c>
      <c r="B757" s="507" t="s">
        <v>4169</v>
      </c>
      <c r="C757" s="506" t="s">
        <v>30</v>
      </c>
      <c r="D757" s="508">
        <v>74845</v>
      </c>
      <c r="E757" s="507" t="s">
        <v>331</v>
      </c>
    </row>
    <row r="758" spans="1:5" ht="15" x14ac:dyDescent="0.3">
      <c r="A758" s="506">
        <v>7689</v>
      </c>
      <c r="B758" s="507" t="s">
        <v>4170</v>
      </c>
      <c r="C758" s="506" t="s">
        <v>30</v>
      </c>
      <c r="D758" s="508">
        <v>73596</v>
      </c>
      <c r="E758" s="507" t="s">
        <v>331</v>
      </c>
    </row>
    <row r="759" spans="1:5" ht="15" x14ac:dyDescent="0.3">
      <c r="A759" s="506">
        <v>7690</v>
      </c>
      <c r="B759" s="507" t="s">
        <v>4171</v>
      </c>
      <c r="C759" s="506" t="s">
        <v>30</v>
      </c>
      <c r="D759" s="508">
        <v>71400</v>
      </c>
      <c r="E759" s="507" t="s">
        <v>331</v>
      </c>
    </row>
    <row r="760" spans="1:5" ht="15" x14ac:dyDescent="0.3">
      <c r="A760" s="506">
        <v>7691</v>
      </c>
      <c r="B760" s="507" t="s">
        <v>4172</v>
      </c>
      <c r="C760" s="506" t="s">
        <v>30</v>
      </c>
      <c r="D760" s="508">
        <v>65450</v>
      </c>
      <c r="E760" s="507" t="s">
        <v>331</v>
      </c>
    </row>
    <row r="761" spans="1:5" ht="15" x14ac:dyDescent="0.3">
      <c r="A761" s="506">
        <v>7692</v>
      </c>
      <c r="B761" s="507" t="s">
        <v>4173</v>
      </c>
      <c r="C761" s="506" t="s">
        <v>30</v>
      </c>
      <c r="D761" s="508">
        <v>85680</v>
      </c>
      <c r="E761" s="507" t="s">
        <v>331</v>
      </c>
    </row>
    <row r="762" spans="1:5" ht="15" x14ac:dyDescent="0.3">
      <c r="A762" s="506">
        <v>7695</v>
      </c>
      <c r="B762" s="507" t="s">
        <v>4174</v>
      </c>
      <c r="C762" s="506" t="s">
        <v>979</v>
      </c>
      <c r="D762" s="508">
        <v>2125</v>
      </c>
      <c r="E762" s="507" t="s">
        <v>6108</v>
      </c>
    </row>
    <row r="763" spans="1:5" ht="15" x14ac:dyDescent="0.3">
      <c r="A763" s="506">
        <v>7697</v>
      </c>
      <c r="B763" s="507" t="s">
        <v>4175</v>
      </c>
      <c r="C763" s="506" t="s">
        <v>979</v>
      </c>
      <c r="D763" s="508">
        <v>12624</v>
      </c>
      <c r="E763" s="507" t="s">
        <v>6108</v>
      </c>
    </row>
    <row r="764" spans="1:5" ht="15" x14ac:dyDescent="0.3">
      <c r="A764" s="506">
        <v>7698</v>
      </c>
      <c r="B764" s="507" t="s">
        <v>4176</v>
      </c>
      <c r="C764" s="506" t="s">
        <v>979</v>
      </c>
      <c r="D764" s="508">
        <v>2549</v>
      </c>
      <c r="E764" s="507" t="s">
        <v>6108</v>
      </c>
    </row>
    <row r="765" spans="1:5" ht="15" x14ac:dyDescent="0.3">
      <c r="A765" s="506">
        <v>7699</v>
      </c>
      <c r="B765" s="507" t="s">
        <v>4177</v>
      </c>
      <c r="C765" s="506" t="s">
        <v>32</v>
      </c>
      <c r="D765" s="508">
        <v>4992</v>
      </c>
      <c r="E765" s="507" t="s">
        <v>6108</v>
      </c>
    </row>
    <row r="766" spans="1:5" ht="15" x14ac:dyDescent="0.3">
      <c r="A766" s="506">
        <v>7700</v>
      </c>
      <c r="B766" s="507" t="s">
        <v>4178</v>
      </c>
      <c r="C766" s="506" t="s">
        <v>32</v>
      </c>
      <c r="D766" s="508">
        <v>8922</v>
      </c>
      <c r="E766" s="507" t="s">
        <v>6108</v>
      </c>
    </row>
    <row r="767" spans="1:5" ht="15" x14ac:dyDescent="0.3">
      <c r="A767" s="506">
        <v>7701</v>
      </c>
      <c r="B767" s="507" t="s">
        <v>4179</v>
      </c>
      <c r="C767" s="506" t="s">
        <v>979</v>
      </c>
      <c r="D767" s="508">
        <v>3363</v>
      </c>
      <c r="E767" s="507" t="s">
        <v>6108</v>
      </c>
    </row>
    <row r="768" spans="1:5" ht="15" x14ac:dyDescent="0.3">
      <c r="A768" s="506">
        <v>7707</v>
      </c>
      <c r="B768" s="507" t="s">
        <v>4180</v>
      </c>
      <c r="C768" s="506" t="s">
        <v>3582</v>
      </c>
      <c r="D768" s="508">
        <v>79213</v>
      </c>
      <c r="E768" s="507" t="s">
        <v>6108</v>
      </c>
    </row>
    <row r="769" spans="1:5" ht="15" x14ac:dyDescent="0.3">
      <c r="A769" s="506">
        <v>7710</v>
      </c>
      <c r="B769" s="507" t="s">
        <v>4181</v>
      </c>
      <c r="C769" s="506" t="s">
        <v>32</v>
      </c>
      <c r="D769" s="508">
        <v>57596</v>
      </c>
      <c r="E769" s="507" t="s">
        <v>331</v>
      </c>
    </row>
    <row r="770" spans="1:5" ht="15" x14ac:dyDescent="0.3">
      <c r="A770" s="506">
        <v>7713</v>
      </c>
      <c r="B770" s="507" t="s">
        <v>4182</v>
      </c>
      <c r="C770" s="506" t="s">
        <v>32</v>
      </c>
      <c r="D770" s="508">
        <v>11566</v>
      </c>
      <c r="E770" s="507" t="s">
        <v>331</v>
      </c>
    </row>
    <row r="771" spans="1:5" ht="15" x14ac:dyDescent="0.3">
      <c r="A771" s="506">
        <v>7714</v>
      </c>
      <c r="B771" s="507" t="s">
        <v>4183</v>
      </c>
      <c r="C771" s="506" t="s">
        <v>21</v>
      </c>
      <c r="D771" s="508">
        <v>59247</v>
      </c>
      <c r="E771" s="507" t="s">
        <v>6108</v>
      </c>
    </row>
    <row r="772" spans="1:5" ht="15" x14ac:dyDescent="0.3">
      <c r="A772" s="506">
        <v>7715</v>
      </c>
      <c r="B772" s="507" t="s">
        <v>4184</v>
      </c>
      <c r="C772" s="506" t="s">
        <v>21</v>
      </c>
      <c r="D772" s="508">
        <v>53106</v>
      </c>
      <c r="E772" s="507" t="s">
        <v>6108</v>
      </c>
    </row>
    <row r="773" spans="1:5" ht="15" x14ac:dyDescent="0.3">
      <c r="A773" s="506">
        <v>7717</v>
      </c>
      <c r="B773" s="507" t="s">
        <v>4185</v>
      </c>
      <c r="C773" s="506" t="s">
        <v>32</v>
      </c>
      <c r="D773" s="508">
        <v>185641</v>
      </c>
      <c r="E773" s="507" t="s">
        <v>6108</v>
      </c>
    </row>
    <row r="774" spans="1:5" ht="15" x14ac:dyDescent="0.3">
      <c r="A774" s="506">
        <v>7718</v>
      </c>
      <c r="B774" s="507" t="s">
        <v>4186</v>
      </c>
      <c r="C774" s="506" t="s">
        <v>32</v>
      </c>
      <c r="D774" s="508">
        <v>107873</v>
      </c>
      <c r="E774" s="507" t="s">
        <v>6108</v>
      </c>
    </row>
    <row r="775" spans="1:5" ht="15" x14ac:dyDescent="0.3">
      <c r="A775" s="506">
        <v>7720</v>
      </c>
      <c r="B775" s="507" t="s">
        <v>4187</v>
      </c>
      <c r="C775" s="506" t="s">
        <v>32</v>
      </c>
      <c r="D775" s="508">
        <v>169183</v>
      </c>
      <c r="E775" s="507" t="s">
        <v>6108</v>
      </c>
    </row>
    <row r="776" spans="1:5" ht="15" x14ac:dyDescent="0.3">
      <c r="A776" s="506">
        <v>7722</v>
      </c>
      <c r="B776" s="507" t="s">
        <v>4188</v>
      </c>
      <c r="C776" s="506" t="s">
        <v>328</v>
      </c>
      <c r="D776" s="508">
        <v>16703</v>
      </c>
      <c r="E776" s="507" t="s">
        <v>331</v>
      </c>
    </row>
    <row r="777" spans="1:5" ht="15" x14ac:dyDescent="0.3">
      <c r="A777" s="506">
        <v>7723</v>
      </c>
      <c r="B777" s="507" t="s">
        <v>4189</v>
      </c>
      <c r="C777" s="506" t="s">
        <v>32</v>
      </c>
      <c r="D777" s="508">
        <v>1052900</v>
      </c>
      <c r="E777" s="507" t="s">
        <v>6108</v>
      </c>
    </row>
    <row r="778" spans="1:5" ht="15" x14ac:dyDescent="0.3">
      <c r="A778" s="506">
        <v>7724</v>
      </c>
      <c r="B778" s="507" t="s">
        <v>4190</v>
      </c>
      <c r="C778" s="506" t="s">
        <v>32</v>
      </c>
      <c r="D778" s="508">
        <v>1579350</v>
      </c>
      <c r="E778" s="507" t="s">
        <v>6108</v>
      </c>
    </row>
    <row r="779" spans="1:5" ht="15" x14ac:dyDescent="0.3">
      <c r="A779" s="506">
        <v>7725</v>
      </c>
      <c r="B779" s="507" t="s">
        <v>4191</v>
      </c>
      <c r="C779" s="506" t="s">
        <v>32</v>
      </c>
      <c r="D779" s="508">
        <v>2105800</v>
      </c>
      <c r="E779" s="507" t="s">
        <v>6108</v>
      </c>
    </row>
    <row r="780" spans="1:5" ht="15" x14ac:dyDescent="0.3">
      <c r="A780" s="506">
        <v>7727</v>
      </c>
      <c r="B780" s="507" t="s">
        <v>6236</v>
      </c>
      <c r="C780" s="506" t="s">
        <v>328</v>
      </c>
      <c r="D780" s="508">
        <v>92820</v>
      </c>
      <c r="E780" s="507" t="s">
        <v>6108</v>
      </c>
    </row>
    <row r="781" spans="1:5" ht="15" x14ac:dyDescent="0.3">
      <c r="A781" s="506">
        <v>7729</v>
      </c>
      <c r="B781" s="507" t="s">
        <v>6237</v>
      </c>
      <c r="C781" s="506" t="s">
        <v>328</v>
      </c>
      <c r="D781" s="508">
        <v>314160</v>
      </c>
      <c r="E781" s="507" t="s">
        <v>6108</v>
      </c>
    </row>
    <row r="782" spans="1:5" ht="15" x14ac:dyDescent="0.3">
      <c r="A782" s="506">
        <v>7730</v>
      </c>
      <c r="B782" s="507" t="s">
        <v>6238</v>
      </c>
      <c r="C782" s="506" t="s">
        <v>328</v>
      </c>
      <c r="D782" s="508">
        <v>568860</v>
      </c>
      <c r="E782" s="507" t="s">
        <v>6108</v>
      </c>
    </row>
    <row r="783" spans="1:5" ht="15" x14ac:dyDescent="0.3">
      <c r="A783" s="506">
        <v>7737</v>
      </c>
      <c r="B783" s="507" t="s">
        <v>4192</v>
      </c>
      <c r="C783" s="506" t="s">
        <v>32</v>
      </c>
      <c r="D783" s="508">
        <v>98899</v>
      </c>
      <c r="E783" s="507" t="s">
        <v>6108</v>
      </c>
    </row>
    <row r="784" spans="1:5" ht="15" x14ac:dyDescent="0.3">
      <c r="A784" s="506">
        <v>7738</v>
      </c>
      <c r="B784" s="507" t="s">
        <v>4193</v>
      </c>
      <c r="C784" s="506" t="s">
        <v>32</v>
      </c>
      <c r="D784" s="508">
        <v>145180</v>
      </c>
      <c r="E784" s="507" t="s">
        <v>6108</v>
      </c>
    </row>
    <row r="785" spans="1:5" ht="15" x14ac:dyDescent="0.3">
      <c r="A785" s="506">
        <v>7743</v>
      </c>
      <c r="B785" s="507" t="s">
        <v>6239</v>
      </c>
      <c r="C785" s="506" t="s">
        <v>32</v>
      </c>
      <c r="D785" s="508">
        <v>77469</v>
      </c>
      <c r="E785" s="507" t="s">
        <v>6108</v>
      </c>
    </row>
    <row r="786" spans="1:5" ht="15" x14ac:dyDescent="0.3">
      <c r="A786" s="506">
        <v>7744</v>
      </c>
      <c r="B786" s="507" t="s">
        <v>4194</v>
      </c>
      <c r="C786" s="506" t="s">
        <v>32</v>
      </c>
      <c r="D786" s="508">
        <v>128163</v>
      </c>
      <c r="E786" s="507" t="s">
        <v>6108</v>
      </c>
    </row>
    <row r="787" spans="1:5" ht="15" x14ac:dyDescent="0.3">
      <c r="A787" s="506">
        <v>7750</v>
      </c>
      <c r="B787" s="507" t="s">
        <v>6240</v>
      </c>
      <c r="C787" s="506" t="s">
        <v>32</v>
      </c>
      <c r="D787" s="508">
        <v>92820</v>
      </c>
      <c r="E787" s="507" t="s">
        <v>6108</v>
      </c>
    </row>
    <row r="788" spans="1:5" ht="15" x14ac:dyDescent="0.3">
      <c r="A788" s="506">
        <v>7752</v>
      </c>
      <c r="B788" s="507" t="s">
        <v>4195</v>
      </c>
      <c r="C788" s="506" t="s">
        <v>32</v>
      </c>
      <c r="D788" s="508">
        <v>122000</v>
      </c>
      <c r="E788" s="507" t="s">
        <v>6108</v>
      </c>
    </row>
    <row r="789" spans="1:5" ht="15" x14ac:dyDescent="0.3">
      <c r="A789" s="506">
        <v>7754</v>
      </c>
      <c r="B789" s="507" t="s">
        <v>6241</v>
      </c>
      <c r="C789" s="506" t="s">
        <v>32</v>
      </c>
      <c r="D789" s="508">
        <v>157000</v>
      </c>
      <c r="E789" s="507" t="s">
        <v>6108</v>
      </c>
    </row>
    <row r="790" spans="1:5" ht="15" x14ac:dyDescent="0.3">
      <c r="A790" s="506">
        <v>7755</v>
      </c>
      <c r="B790" s="507" t="s">
        <v>6242</v>
      </c>
      <c r="C790" s="506" t="s">
        <v>32</v>
      </c>
      <c r="D790" s="508">
        <v>996863</v>
      </c>
      <c r="E790" s="507" t="s">
        <v>6108</v>
      </c>
    </row>
    <row r="791" spans="1:5" ht="15" x14ac:dyDescent="0.3">
      <c r="A791" s="506">
        <v>7758</v>
      </c>
      <c r="B791" s="507" t="s">
        <v>4196</v>
      </c>
      <c r="C791" s="506" t="s">
        <v>32</v>
      </c>
      <c r="D791" s="508">
        <v>1785000</v>
      </c>
      <c r="E791" s="507" t="s">
        <v>6108</v>
      </c>
    </row>
    <row r="792" spans="1:5" ht="15" x14ac:dyDescent="0.3">
      <c r="A792" s="506">
        <v>7762</v>
      </c>
      <c r="B792" s="507" t="s">
        <v>4197</v>
      </c>
      <c r="C792" s="506" t="s">
        <v>32</v>
      </c>
      <c r="D792" s="508">
        <v>273700</v>
      </c>
      <c r="E792" s="507" t="s">
        <v>6108</v>
      </c>
    </row>
    <row r="793" spans="1:5" ht="15" x14ac:dyDescent="0.3">
      <c r="A793" s="506">
        <v>7766</v>
      </c>
      <c r="B793" s="507" t="s">
        <v>4198</v>
      </c>
      <c r="C793" s="506" t="s">
        <v>32</v>
      </c>
      <c r="D793" s="508">
        <v>166600</v>
      </c>
      <c r="E793" s="507" t="s">
        <v>6108</v>
      </c>
    </row>
    <row r="794" spans="1:5" ht="15" x14ac:dyDescent="0.3">
      <c r="A794" s="506">
        <v>7767</v>
      </c>
      <c r="B794" s="507" t="s">
        <v>4199</v>
      </c>
      <c r="C794" s="506" t="s">
        <v>3582</v>
      </c>
      <c r="D794" s="508">
        <v>1190</v>
      </c>
      <c r="E794" s="507" t="s">
        <v>331</v>
      </c>
    </row>
    <row r="795" spans="1:5" ht="15" x14ac:dyDescent="0.3">
      <c r="A795" s="506">
        <v>7769</v>
      </c>
      <c r="B795" s="507" t="s">
        <v>4200</v>
      </c>
      <c r="C795" s="506" t="s">
        <v>3582</v>
      </c>
      <c r="D795" s="508">
        <v>2975</v>
      </c>
      <c r="E795" s="507" t="s">
        <v>331</v>
      </c>
    </row>
    <row r="796" spans="1:5" ht="15" x14ac:dyDescent="0.3">
      <c r="A796" s="506">
        <v>7770</v>
      </c>
      <c r="B796" s="507" t="s">
        <v>4201</v>
      </c>
      <c r="C796" s="506" t="s">
        <v>32</v>
      </c>
      <c r="D796" s="508">
        <v>1937000</v>
      </c>
      <c r="E796" s="507" t="s">
        <v>6108</v>
      </c>
    </row>
    <row r="797" spans="1:5" ht="15" x14ac:dyDescent="0.3">
      <c r="A797" s="506">
        <v>7772</v>
      </c>
      <c r="B797" s="507" t="s">
        <v>4202</v>
      </c>
      <c r="C797" s="506" t="s">
        <v>32</v>
      </c>
      <c r="D797" s="508">
        <v>57001</v>
      </c>
      <c r="E797" s="507" t="s">
        <v>6108</v>
      </c>
    </row>
    <row r="798" spans="1:5" ht="15" x14ac:dyDescent="0.3">
      <c r="A798" s="506">
        <v>7773</v>
      </c>
      <c r="B798" s="507" t="s">
        <v>4203</v>
      </c>
      <c r="C798" s="506" t="s">
        <v>32</v>
      </c>
      <c r="D798" s="508">
        <v>58310</v>
      </c>
      <c r="E798" s="507" t="s">
        <v>6108</v>
      </c>
    </row>
    <row r="799" spans="1:5" ht="15" x14ac:dyDescent="0.3">
      <c r="A799" s="506">
        <v>7774</v>
      </c>
      <c r="B799" s="507" t="s">
        <v>4204</v>
      </c>
      <c r="C799" s="506" t="s">
        <v>32</v>
      </c>
      <c r="D799" s="508">
        <v>17574</v>
      </c>
      <c r="E799" s="507" t="s">
        <v>6108</v>
      </c>
    </row>
    <row r="800" spans="1:5" ht="15" x14ac:dyDescent="0.3">
      <c r="A800" s="506">
        <v>7775</v>
      </c>
      <c r="B800" s="507" t="s">
        <v>4205</v>
      </c>
      <c r="C800" s="506" t="s">
        <v>32</v>
      </c>
      <c r="D800" s="508">
        <v>58310</v>
      </c>
      <c r="E800" s="507" t="s">
        <v>6108</v>
      </c>
    </row>
    <row r="801" spans="1:5" ht="15" x14ac:dyDescent="0.3">
      <c r="A801" s="506">
        <v>7776</v>
      </c>
      <c r="B801" s="507" t="s">
        <v>4206</v>
      </c>
      <c r="C801" s="506" t="s">
        <v>32</v>
      </c>
      <c r="D801" s="508">
        <v>29750</v>
      </c>
      <c r="E801" s="507" t="s">
        <v>6108</v>
      </c>
    </row>
    <row r="802" spans="1:5" ht="15" x14ac:dyDescent="0.3">
      <c r="A802" s="506">
        <v>7777</v>
      </c>
      <c r="B802" s="507" t="s">
        <v>4207</v>
      </c>
      <c r="C802" s="506" t="s">
        <v>32</v>
      </c>
      <c r="D802" s="508">
        <v>58715</v>
      </c>
      <c r="E802" s="507" t="s">
        <v>6108</v>
      </c>
    </row>
    <row r="803" spans="1:5" ht="15" x14ac:dyDescent="0.3">
      <c r="A803" s="506">
        <v>7778</v>
      </c>
      <c r="B803" s="507" t="s">
        <v>6243</v>
      </c>
      <c r="C803" s="506" t="s">
        <v>32</v>
      </c>
      <c r="D803" s="508">
        <v>52598</v>
      </c>
      <c r="E803" s="507" t="s">
        <v>6108</v>
      </c>
    </row>
    <row r="804" spans="1:5" ht="15" x14ac:dyDescent="0.3">
      <c r="A804" s="506">
        <v>7780</v>
      </c>
      <c r="B804" s="507" t="s">
        <v>4208</v>
      </c>
      <c r="C804" s="506" t="s">
        <v>32</v>
      </c>
      <c r="D804" s="508">
        <v>34510</v>
      </c>
      <c r="E804" s="507" t="s">
        <v>6108</v>
      </c>
    </row>
    <row r="805" spans="1:5" ht="15" x14ac:dyDescent="0.3">
      <c r="A805" s="506">
        <v>7781</v>
      </c>
      <c r="B805" s="507" t="s">
        <v>4209</v>
      </c>
      <c r="C805" s="506" t="s">
        <v>32</v>
      </c>
      <c r="D805" s="508">
        <v>14280</v>
      </c>
      <c r="E805" s="507" t="s">
        <v>6108</v>
      </c>
    </row>
    <row r="806" spans="1:5" ht="15" x14ac:dyDescent="0.3">
      <c r="A806" s="506">
        <v>7782</v>
      </c>
      <c r="B806" s="507" t="s">
        <v>4210</v>
      </c>
      <c r="C806" s="506" t="s">
        <v>32</v>
      </c>
      <c r="D806" s="508">
        <v>18374</v>
      </c>
      <c r="E806" s="507" t="s">
        <v>6108</v>
      </c>
    </row>
    <row r="807" spans="1:5" ht="15" x14ac:dyDescent="0.3">
      <c r="A807" s="506">
        <v>7783</v>
      </c>
      <c r="B807" s="507" t="s">
        <v>4211</v>
      </c>
      <c r="C807" s="506" t="s">
        <v>32</v>
      </c>
      <c r="D807" s="508">
        <v>8783</v>
      </c>
      <c r="E807" s="507" t="s">
        <v>6108</v>
      </c>
    </row>
    <row r="808" spans="1:5" ht="15" x14ac:dyDescent="0.3">
      <c r="A808" s="506">
        <v>7784</v>
      </c>
      <c r="B808" s="507" t="s">
        <v>4212</v>
      </c>
      <c r="C808" s="506" t="s">
        <v>32</v>
      </c>
      <c r="D808" s="508">
        <v>65450</v>
      </c>
      <c r="E808" s="507" t="s">
        <v>6108</v>
      </c>
    </row>
    <row r="809" spans="1:5" ht="15" x14ac:dyDescent="0.3">
      <c r="A809" s="506">
        <v>7785</v>
      </c>
      <c r="B809" s="507" t="s">
        <v>4213</v>
      </c>
      <c r="C809" s="506" t="s">
        <v>32</v>
      </c>
      <c r="D809" s="508">
        <v>24777</v>
      </c>
      <c r="E809" s="507" t="s">
        <v>6108</v>
      </c>
    </row>
    <row r="810" spans="1:5" ht="15" x14ac:dyDescent="0.3">
      <c r="A810" s="506">
        <v>7786</v>
      </c>
      <c r="B810" s="507" t="s">
        <v>4214</v>
      </c>
      <c r="C810" s="506" t="s">
        <v>32</v>
      </c>
      <c r="D810" s="508">
        <v>21935</v>
      </c>
      <c r="E810" s="507" t="s">
        <v>6108</v>
      </c>
    </row>
    <row r="811" spans="1:5" ht="15" x14ac:dyDescent="0.3">
      <c r="A811" s="506">
        <v>7787</v>
      </c>
      <c r="B811" s="507" t="s">
        <v>6244</v>
      </c>
      <c r="C811" s="506" t="s">
        <v>32</v>
      </c>
      <c r="D811" s="508">
        <v>27643</v>
      </c>
      <c r="E811" s="507" t="s">
        <v>6108</v>
      </c>
    </row>
    <row r="812" spans="1:5" ht="15" x14ac:dyDescent="0.3">
      <c r="A812" s="506">
        <v>7788</v>
      </c>
      <c r="B812" s="507" t="s">
        <v>4215</v>
      </c>
      <c r="C812" s="506" t="s">
        <v>32</v>
      </c>
      <c r="D812" s="508">
        <v>9106</v>
      </c>
      <c r="E812" s="507" t="s">
        <v>6108</v>
      </c>
    </row>
    <row r="813" spans="1:5" ht="15" x14ac:dyDescent="0.3">
      <c r="A813" s="506">
        <v>7798</v>
      </c>
      <c r="B813" s="507" t="s">
        <v>4216</v>
      </c>
      <c r="C813" s="506" t="s">
        <v>32</v>
      </c>
      <c r="D813" s="508">
        <v>5950</v>
      </c>
      <c r="E813" s="507" t="s">
        <v>6108</v>
      </c>
    </row>
    <row r="814" spans="1:5" ht="15" x14ac:dyDescent="0.3">
      <c r="A814" s="506">
        <v>7800</v>
      </c>
      <c r="B814" s="507" t="s">
        <v>4217</v>
      </c>
      <c r="C814" s="506" t="s">
        <v>32</v>
      </c>
      <c r="D814" s="508">
        <v>3181</v>
      </c>
      <c r="E814" s="507" t="s">
        <v>6108</v>
      </c>
    </row>
    <row r="815" spans="1:5" ht="15" x14ac:dyDescent="0.3">
      <c r="A815" s="506">
        <v>7801</v>
      </c>
      <c r="B815" s="507" t="s">
        <v>4218</v>
      </c>
      <c r="C815" s="506" t="s">
        <v>32</v>
      </c>
      <c r="D815" s="508">
        <v>14110</v>
      </c>
      <c r="E815" s="507" t="s">
        <v>6108</v>
      </c>
    </row>
    <row r="816" spans="1:5" ht="15" x14ac:dyDescent="0.3">
      <c r="A816" s="506">
        <v>7811</v>
      </c>
      <c r="B816" s="507" t="s">
        <v>4219</v>
      </c>
      <c r="C816" s="506" t="s">
        <v>32</v>
      </c>
      <c r="D816" s="508">
        <v>16483</v>
      </c>
      <c r="E816" s="507" t="s">
        <v>6108</v>
      </c>
    </row>
    <row r="817" spans="1:5" ht="15" x14ac:dyDescent="0.3">
      <c r="A817" s="506">
        <v>7819</v>
      </c>
      <c r="B817" s="507" t="s">
        <v>4220</v>
      </c>
      <c r="C817" s="506" t="s">
        <v>32</v>
      </c>
      <c r="D817" s="508">
        <v>93900</v>
      </c>
      <c r="E817" s="507" t="s">
        <v>6108</v>
      </c>
    </row>
    <row r="818" spans="1:5" ht="15" x14ac:dyDescent="0.3">
      <c r="A818" s="506">
        <v>7821</v>
      </c>
      <c r="B818" s="507" t="s">
        <v>4221</v>
      </c>
      <c r="C818" s="506" t="s">
        <v>4222</v>
      </c>
      <c r="D818" s="508">
        <v>176120</v>
      </c>
      <c r="E818" s="507" t="s">
        <v>6108</v>
      </c>
    </row>
    <row r="819" spans="1:5" ht="15" x14ac:dyDescent="0.3">
      <c r="A819" s="506">
        <v>7822</v>
      </c>
      <c r="B819" s="507" t="s">
        <v>4223</v>
      </c>
      <c r="C819" s="506" t="s">
        <v>4222</v>
      </c>
      <c r="D819" s="508">
        <v>96900</v>
      </c>
      <c r="E819" s="507" t="s">
        <v>6108</v>
      </c>
    </row>
    <row r="820" spans="1:5" ht="15" x14ac:dyDescent="0.3">
      <c r="A820" s="506">
        <v>7823</v>
      </c>
      <c r="B820" s="507" t="s">
        <v>6245</v>
      </c>
      <c r="C820" s="506" t="s">
        <v>4222</v>
      </c>
      <c r="D820" s="508">
        <v>130000</v>
      </c>
      <c r="E820" s="507" t="s">
        <v>6108</v>
      </c>
    </row>
    <row r="821" spans="1:5" ht="15" x14ac:dyDescent="0.3">
      <c r="A821" s="506">
        <v>7824</v>
      </c>
      <c r="B821" s="507" t="s">
        <v>4224</v>
      </c>
      <c r="C821" s="506" t="s">
        <v>4222</v>
      </c>
      <c r="D821" s="508">
        <v>827</v>
      </c>
      <c r="E821" s="507" t="s">
        <v>6108</v>
      </c>
    </row>
    <row r="822" spans="1:5" ht="15" x14ac:dyDescent="0.3">
      <c r="A822" s="506">
        <v>7825</v>
      </c>
      <c r="B822" s="507" t="s">
        <v>4225</v>
      </c>
      <c r="C822" s="506" t="s">
        <v>32</v>
      </c>
      <c r="D822" s="508">
        <v>4400</v>
      </c>
      <c r="E822" s="507" t="s">
        <v>6108</v>
      </c>
    </row>
    <row r="823" spans="1:5" ht="15" x14ac:dyDescent="0.3">
      <c r="A823" s="506">
        <v>7826</v>
      </c>
      <c r="B823" s="507" t="s">
        <v>4226</v>
      </c>
      <c r="C823" s="506" t="s">
        <v>32</v>
      </c>
      <c r="D823" s="508">
        <v>9600</v>
      </c>
      <c r="E823" s="507" t="s">
        <v>6108</v>
      </c>
    </row>
    <row r="824" spans="1:5" ht="15" x14ac:dyDescent="0.3">
      <c r="A824" s="506">
        <v>7827</v>
      </c>
      <c r="B824" s="507" t="s">
        <v>4227</v>
      </c>
      <c r="C824" s="506" t="s">
        <v>4222</v>
      </c>
      <c r="D824" s="508">
        <v>2142</v>
      </c>
      <c r="E824" s="507" t="s">
        <v>6108</v>
      </c>
    </row>
    <row r="825" spans="1:5" ht="15" x14ac:dyDescent="0.3">
      <c r="A825" s="506">
        <v>7832</v>
      </c>
      <c r="B825" s="507" t="s">
        <v>4228</v>
      </c>
      <c r="C825" s="506" t="s">
        <v>32</v>
      </c>
      <c r="D825" s="508">
        <v>6188</v>
      </c>
      <c r="E825" s="507" t="s">
        <v>6108</v>
      </c>
    </row>
    <row r="826" spans="1:5" ht="15" x14ac:dyDescent="0.3">
      <c r="A826" s="506">
        <v>7836</v>
      </c>
      <c r="B826" s="507" t="s">
        <v>4229</v>
      </c>
      <c r="C826" s="506" t="s">
        <v>32</v>
      </c>
      <c r="D826" s="508">
        <v>185938</v>
      </c>
      <c r="E826" s="507" t="s">
        <v>6108</v>
      </c>
    </row>
    <row r="827" spans="1:5" ht="15" x14ac:dyDescent="0.3">
      <c r="A827" s="506">
        <v>7837</v>
      </c>
      <c r="B827" s="507" t="s">
        <v>4230</v>
      </c>
      <c r="C827" s="506" t="s">
        <v>32</v>
      </c>
      <c r="D827" s="508">
        <v>254898</v>
      </c>
      <c r="E827" s="507" t="s">
        <v>6108</v>
      </c>
    </row>
    <row r="828" spans="1:5" ht="15" x14ac:dyDescent="0.3">
      <c r="A828" s="506">
        <v>7838</v>
      </c>
      <c r="B828" s="507" t="s">
        <v>4231</v>
      </c>
      <c r="C828" s="506" t="s">
        <v>32</v>
      </c>
      <c r="D828" s="508">
        <v>51051</v>
      </c>
      <c r="E828" s="507" t="s">
        <v>6108</v>
      </c>
    </row>
    <row r="829" spans="1:5" ht="15" x14ac:dyDescent="0.3">
      <c r="A829" s="506">
        <v>7839</v>
      </c>
      <c r="B829" s="507" t="s">
        <v>4232</v>
      </c>
      <c r="C829" s="506" t="s">
        <v>32</v>
      </c>
      <c r="D829" s="508">
        <v>57715</v>
      </c>
      <c r="E829" s="507" t="s">
        <v>6108</v>
      </c>
    </row>
    <row r="830" spans="1:5" ht="15" x14ac:dyDescent="0.3">
      <c r="A830" s="506">
        <v>7844</v>
      </c>
      <c r="B830" s="507" t="s">
        <v>4233</v>
      </c>
      <c r="C830" s="506" t="s">
        <v>4222</v>
      </c>
      <c r="D830" s="508">
        <v>10591</v>
      </c>
      <c r="E830" s="507" t="s">
        <v>6108</v>
      </c>
    </row>
    <row r="831" spans="1:5" ht="15" x14ac:dyDescent="0.3">
      <c r="A831" s="506">
        <v>7846</v>
      </c>
      <c r="B831" s="507" t="s">
        <v>6246</v>
      </c>
      <c r="C831" s="506" t="s">
        <v>4222</v>
      </c>
      <c r="D831" s="508">
        <v>10591</v>
      </c>
      <c r="E831" s="507" t="s">
        <v>6108</v>
      </c>
    </row>
    <row r="832" spans="1:5" ht="15" x14ac:dyDescent="0.3">
      <c r="A832" s="506">
        <v>7850</v>
      </c>
      <c r="B832" s="507" t="s">
        <v>4234</v>
      </c>
      <c r="C832" s="506" t="s">
        <v>4235</v>
      </c>
      <c r="D832" s="508">
        <v>26009</v>
      </c>
      <c r="E832" s="507" t="s">
        <v>6108</v>
      </c>
    </row>
    <row r="833" spans="1:5" ht="15" x14ac:dyDescent="0.3">
      <c r="A833" s="506">
        <v>7852</v>
      </c>
      <c r="B833" s="507" t="s">
        <v>4236</v>
      </c>
      <c r="C833" s="506" t="s">
        <v>328</v>
      </c>
      <c r="D833" s="508">
        <v>2924</v>
      </c>
      <c r="E833" s="507" t="s">
        <v>6108</v>
      </c>
    </row>
    <row r="834" spans="1:5" ht="15" x14ac:dyDescent="0.3">
      <c r="A834" s="506">
        <v>7870</v>
      </c>
      <c r="B834" s="507" t="s">
        <v>4237</v>
      </c>
      <c r="C834" s="506" t="s">
        <v>3582</v>
      </c>
      <c r="D834" s="508">
        <v>100862</v>
      </c>
      <c r="E834" s="507" t="s">
        <v>6108</v>
      </c>
    </row>
    <row r="835" spans="1:5" ht="15" x14ac:dyDescent="0.3">
      <c r="A835" s="506">
        <v>7874</v>
      </c>
      <c r="B835" s="507" t="s">
        <v>4238</v>
      </c>
      <c r="C835" s="506" t="s">
        <v>32</v>
      </c>
      <c r="D835" s="508">
        <v>51170</v>
      </c>
      <c r="E835" s="507" t="s">
        <v>6108</v>
      </c>
    </row>
    <row r="836" spans="1:5" ht="15" x14ac:dyDescent="0.3">
      <c r="A836" s="506">
        <v>7876</v>
      </c>
      <c r="B836" s="507" t="s">
        <v>4239</v>
      </c>
      <c r="C836" s="506" t="s">
        <v>32</v>
      </c>
      <c r="D836" s="508">
        <v>185279</v>
      </c>
      <c r="E836" s="507" t="s">
        <v>6108</v>
      </c>
    </row>
    <row r="837" spans="1:5" ht="15" x14ac:dyDescent="0.3">
      <c r="A837" s="506">
        <v>7877</v>
      </c>
      <c r="B837" s="507" t="s">
        <v>4240</v>
      </c>
      <c r="C837" s="506" t="s">
        <v>32</v>
      </c>
      <c r="D837" s="508">
        <v>41650</v>
      </c>
      <c r="E837" s="507" t="s">
        <v>6108</v>
      </c>
    </row>
    <row r="838" spans="1:5" ht="15" x14ac:dyDescent="0.3">
      <c r="A838" s="506">
        <v>7884</v>
      </c>
      <c r="B838" s="507" t="s">
        <v>4241</v>
      </c>
      <c r="C838" s="506" t="s">
        <v>32</v>
      </c>
      <c r="D838" s="508">
        <v>80000</v>
      </c>
      <c r="E838" s="507" t="s">
        <v>331</v>
      </c>
    </row>
    <row r="839" spans="1:5" ht="15" x14ac:dyDescent="0.3">
      <c r="A839" s="506">
        <v>7891</v>
      </c>
      <c r="B839" s="507" t="s">
        <v>4242</v>
      </c>
      <c r="C839" s="506" t="s">
        <v>3579</v>
      </c>
      <c r="D839" s="508">
        <v>146452</v>
      </c>
      <c r="E839" s="507" t="s">
        <v>6108</v>
      </c>
    </row>
    <row r="840" spans="1:5" ht="15" x14ac:dyDescent="0.3">
      <c r="A840" s="506">
        <v>7892</v>
      </c>
      <c r="B840" s="507" t="s">
        <v>6247</v>
      </c>
      <c r="C840" s="506" t="s">
        <v>979</v>
      </c>
      <c r="D840" s="508">
        <v>380000</v>
      </c>
      <c r="E840" s="507" t="s">
        <v>6108</v>
      </c>
    </row>
    <row r="841" spans="1:5" ht="15" x14ac:dyDescent="0.3">
      <c r="A841" s="506">
        <v>7896</v>
      </c>
      <c r="B841" s="507" t="s">
        <v>4243</v>
      </c>
      <c r="C841" s="506" t="s">
        <v>32</v>
      </c>
      <c r="D841" s="508">
        <v>161</v>
      </c>
      <c r="E841" s="507" t="s">
        <v>6108</v>
      </c>
    </row>
    <row r="842" spans="1:5" ht="15" x14ac:dyDescent="0.3">
      <c r="A842" s="506">
        <v>7897</v>
      </c>
      <c r="B842" s="507" t="s">
        <v>4244</v>
      </c>
      <c r="C842" s="506" t="s">
        <v>32</v>
      </c>
      <c r="D842" s="508">
        <v>1345</v>
      </c>
      <c r="E842" s="507" t="s">
        <v>6108</v>
      </c>
    </row>
    <row r="843" spans="1:5" ht="15" x14ac:dyDescent="0.3">
      <c r="A843" s="506">
        <v>7898</v>
      </c>
      <c r="B843" s="507" t="s">
        <v>4245</v>
      </c>
      <c r="C843" s="506" t="s">
        <v>32</v>
      </c>
      <c r="D843" s="508">
        <v>719</v>
      </c>
      <c r="E843" s="507" t="s">
        <v>6108</v>
      </c>
    </row>
    <row r="844" spans="1:5" ht="15" x14ac:dyDescent="0.3">
      <c r="A844" s="506">
        <v>7900</v>
      </c>
      <c r="B844" s="507" t="s">
        <v>4246</v>
      </c>
      <c r="C844" s="506" t="s">
        <v>32</v>
      </c>
      <c r="D844" s="508">
        <v>352</v>
      </c>
      <c r="E844" s="507" t="s">
        <v>6108</v>
      </c>
    </row>
    <row r="845" spans="1:5" ht="15" x14ac:dyDescent="0.3">
      <c r="A845" s="506">
        <v>7901</v>
      </c>
      <c r="B845" s="507" t="s">
        <v>4247</v>
      </c>
      <c r="C845" s="506" t="s">
        <v>32</v>
      </c>
      <c r="D845" s="508">
        <v>143</v>
      </c>
      <c r="E845" s="507" t="s">
        <v>6108</v>
      </c>
    </row>
    <row r="846" spans="1:5" ht="15" x14ac:dyDescent="0.3">
      <c r="A846" s="506">
        <v>7904</v>
      </c>
      <c r="B846" s="507" t="s">
        <v>4248</v>
      </c>
      <c r="C846" s="506" t="s">
        <v>32</v>
      </c>
      <c r="D846" s="508">
        <v>33000</v>
      </c>
      <c r="E846" s="507" t="s">
        <v>6108</v>
      </c>
    </row>
    <row r="847" spans="1:5" ht="15" x14ac:dyDescent="0.3">
      <c r="A847" s="506">
        <v>7906</v>
      </c>
      <c r="B847" s="507" t="s">
        <v>4249</v>
      </c>
      <c r="C847" s="506" t="s">
        <v>32</v>
      </c>
      <c r="D847" s="508">
        <v>25000</v>
      </c>
      <c r="E847" s="507" t="s">
        <v>6108</v>
      </c>
    </row>
    <row r="848" spans="1:5" ht="15" x14ac:dyDescent="0.3">
      <c r="A848" s="506">
        <v>7908</v>
      </c>
      <c r="B848" s="507" t="s">
        <v>4250</v>
      </c>
      <c r="C848" s="506" t="s">
        <v>32</v>
      </c>
      <c r="D848" s="508">
        <v>25600</v>
      </c>
      <c r="E848" s="507" t="s">
        <v>6108</v>
      </c>
    </row>
    <row r="849" spans="1:5" ht="15" x14ac:dyDescent="0.3">
      <c r="A849" s="506">
        <v>7910</v>
      </c>
      <c r="B849" s="507" t="s">
        <v>4251</v>
      </c>
      <c r="C849" s="506" t="s">
        <v>32</v>
      </c>
      <c r="D849" s="508">
        <v>30000</v>
      </c>
      <c r="E849" s="507" t="s">
        <v>6108</v>
      </c>
    </row>
    <row r="850" spans="1:5" ht="15" x14ac:dyDescent="0.3">
      <c r="A850" s="506">
        <v>7919</v>
      </c>
      <c r="B850" s="507" t="s">
        <v>4252</v>
      </c>
      <c r="C850" s="506" t="s">
        <v>3582</v>
      </c>
      <c r="D850" s="508">
        <v>43468</v>
      </c>
      <c r="E850" s="507" t="s">
        <v>6108</v>
      </c>
    </row>
    <row r="851" spans="1:5" ht="15" x14ac:dyDescent="0.3">
      <c r="A851" s="506">
        <v>7921</v>
      </c>
      <c r="B851" s="507" t="s">
        <v>4253</v>
      </c>
      <c r="C851" s="506" t="s">
        <v>30</v>
      </c>
      <c r="D851" s="508">
        <v>798017</v>
      </c>
      <c r="E851" s="507" t="s">
        <v>331</v>
      </c>
    </row>
    <row r="852" spans="1:5" ht="15" x14ac:dyDescent="0.3">
      <c r="A852" s="506">
        <v>7922</v>
      </c>
      <c r="B852" s="507" t="s">
        <v>4254</v>
      </c>
      <c r="C852" s="506" t="s">
        <v>979</v>
      </c>
      <c r="D852" s="508">
        <v>8878</v>
      </c>
      <c r="E852" s="507" t="s">
        <v>6108</v>
      </c>
    </row>
    <row r="853" spans="1:5" ht="15" x14ac:dyDescent="0.3">
      <c r="A853" s="506">
        <v>7923</v>
      </c>
      <c r="B853" s="507" t="s">
        <v>4255</v>
      </c>
      <c r="C853" s="506" t="s">
        <v>670</v>
      </c>
      <c r="D853" s="508">
        <v>7238</v>
      </c>
      <c r="E853" s="507" t="s">
        <v>6108</v>
      </c>
    </row>
    <row r="854" spans="1:5" ht="15" x14ac:dyDescent="0.3">
      <c r="A854" s="506">
        <v>7926</v>
      </c>
      <c r="B854" s="507" t="s">
        <v>4256</v>
      </c>
      <c r="C854" s="506" t="s">
        <v>32</v>
      </c>
      <c r="D854" s="508">
        <v>34323</v>
      </c>
      <c r="E854" s="507" t="s">
        <v>6108</v>
      </c>
    </row>
    <row r="855" spans="1:5" ht="15" x14ac:dyDescent="0.3">
      <c r="A855" s="506">
        <v>7932</v>
      </c>
      <c r="B855" s="507" t="s">
        <v>4257</v>
      </c>
      <c r="C855" s="506" t="s">
        <v>328</v>
      </c>
      <c r="D855" s="508">
        <v>5726</v>
      </c>
      <c r="E855" s="507" t="s">
        <v>331</v>
      </c>
    </row>
    <row r="856" spans="1:5" ht="15" x14ac:dyDescent="0.3">
      <c r="A856" s="506">
        <v>7934</v>
      </c>
      <c r="B856" s="507" t="s">
        <v>6248</v>
      </c>
      <c r="C856" s="506" t="s">
        <v>32</v>
      </c>
      <c r="D856" s="508">
        <v>1259020</v>
      </c>
      <c r="E856" s="507" t="s">
        <v>6108</v>
      </c>
    </row>
    <row r="857" spans="1:5" ht="15" x14ac:dyDescent="0.3">
      <c r="A857" s="506">
        <v>7939</v>
      </c>
      <c r="B857" s="507" t="s">
        <v>6249</v>
      </c>
      <c r="C857" s="506" t="s">
        <v>32</v>
      </c>
      <c r="D857" s="508">
        <v>166600</v>
      </c>
      <c r="E857" s="507" t="s">
        <v>6108</v>
      </c>
    </row>
    <row r="858" spans="1:5" ht="15" x14ac:dyDescent="0.3">
      <c r="A858" s="506">
        <v>7941</v>
      </c>
      <c r="B858" s="507" t="s">
        <v>6250</v>
      </c>
      <c r="C858" s="506" t="s">
        <v>32</v>
      </c>
      <c r="D858" s="508">
        <v>440300</v>
      </c>
      <c r="E858" s="507" t="s">
        <v>6108</v>
      </c>
    </row>
    <row r="859" spans="1:5" ht="15" x14ac:dyDescent="0.3">
      <c r="A859" s="506">
        <v>7942</v>
      </c>
      <c r="B859" s="507" t="s">
        <v>6251</v>
      </c>
      <c r="C859" s="506" t="s">
        <v>32</v>
      </c>
      <c r="D859" s="508">
        <v>158270</v>
      </c>
      <c r="E859" s="507" t="s">
        <v>6108</v>
      </c>
    </row>
    <row r="860" spans="1:5" ht="15" x14ac:dyDescent="0.3">
      <c r="A860" s="506">
        <v>7945</v>
      </c>
      <c r="B860" s="507" t="s">
        <v>4258</v>
      </c>
      <c r="C860" s="506" t="s">
        <v>328</v>
      </c>
      <c r="D860" s="508">
        <v>125</v>
      </c>
      <c r="E860" s="507" t="s">
        <v>6108</v>
      </c>
    </row>
    <row r="861" spans="1:5" ht="15" x14ac:dyDescent="0.3">
      <c r="A861" s="506">
        <v>7946</v>
      </c>
      <c r="B861" s="507" t="s">
        <v>6252</v>
      </c>
      <c r="C861" s="506" t="s">
        <v>4259</v>
      </c>
      <c r="D861" s="508">
        <v>99628</v>
      </c>
      <c r="E861" s="507" t="s">
        <v>6108</v>
      </c>
    </row>
    <row r="862" spans="1:5" ht="15" x14ac:dyDescent="0.3">
      <c r="A862" s="506">
        <v>7947</v>
      </c>
      <c r="B862" s="507" t="s">
        <v>4260</v>
      </c>
      <c r="C862" s="506" t="s">
        <v>32</v>
      </c>
      <c r="D862" s="508">
        <v>337960</v>
      </c>
      <c r="E862" s="507" t="s">
        <v>331</v>
      </c>
    </row>
    <row r="863" spans="1:5" ht="15" x14ac:dyDescent="0.3">
      <c r="A863" s="506">
        <v>7948</v>
      </c>
      <c r="B863" s="507" t="s">
        <v>6253</v>
      </c>
      <c r="C863" s="506" t="s">
        <v>328</v>
      </c>
      <c r="D863" s="508">
        <v>24871</v>
      </c>
      <c r="E863" s="507" t="s">
        <v>6108</v>
      </c>
    </row>
    <row r="864" spans="1:5" ht="15" x14ac:dyDescent="0.3">
      <c r="A864" s="506">
        <v>7949</v>
      </c>
      <c r="B864" s="507" t="s">
        <v>4261</v>
      </c>
      <c r="C864" s="506" t="s">
        <v>32</v>
      </c>
      <c r="D864" s="508">
        <v>217902</v>
      </c>
      <c r="E864" s="507" t="s">
        <v>331</v>
      </c>
    </row>
    <row r="865" spans="1:5" ht="15" x14ac:dyDescent="0.3">
      <c r="A865" s="506">
        <v>7950</v>
      </c>
      <c r="B865" s="507" t="s">
        <v>4262</v>
      </c>
      <c r="C865" s="506" t="s">
        <v>32</v>
      </c>
      <c r="D865" s="508">
        <v>370391</v>
      </c>
      <c r="E865" s="507" t="s">
        <v>331</v>
      </c>
    </row>
    <row r="866" spans="1:5" ht="15" x14ac:dyDescent="0.3">
      <c r="A866" s="506">
        <v>7953</v>
      </c>
      <c r="B866" s="507" t="s">
        <v>4263</v>
      </c>
      <c r="C866" s="506" t="s">
        <v>21</v>
      </c>
      <c r="D866" s="508">
        <v>11617</v>
      </c>
      <c r="E866" s="507" t="s">
        <v>6108</v>
      </c>
    </row>
    <row r="867" spans="1:5" ht="15" x14ac:dyDescent="0.3">
      <c r="A867" s="506">
        <v>7955</v>
      </c>
      <c r="B867" s="507" t="s">
        <v>4264</v>
      </c>
      <c r="C867" s="506" t="s">
        <v>32</v>
      </c>
      <c r="D867" s="508">
        <v>142613</v>
      </c>
      <c r="E867" s="507" t="s">
        <v>6108</v>
      </c>
    </row>
    <row r="868" spans="1:5" ht="15" x14ac:dyDescent="0.3">
      <c r="A868" s="506">
        <v>7956</v>
      </c>
      <c r="B868" s="507" t="s">
        <v>4265</v>
      </c>
      <c r="C868" s="506" t="s">
        <v>32</v>
      </c>
      <c r="D868" s="508">
        <v>149915</v>
      </c>
      <c r="E868" s="507" t="s">
        <v>6108</v>
      </c>
    </row>
    <row r="869" spans="1:5" ht="15" x14ac:dyDescent="0.3">
      <c r="A869" s="506">
        <v>7957</v>
      </c>
      <c r="B869" s="507" t="s">
        <v>4266</v>
      </c>
      <c r="C869" s="506" t="s">
        <v>32</v>
      </c>
      <c r="D869" s="508">
        <v>181691</v>
      </c>
      <c r="E869" s="507" t="s">
        <v>6108</v>
      </c>
    </row>
    <row r="870" spans="1:5" ht="15" x14ac:dyDescent="0.3">
      <c r="A870" s="506">
        <v>7958</v>
      </c>
      <c r="B870" s="507" t="s">
        <v>4267</v>
      </c>
      <c r="C870" s="506" t="s">
        <v>32</v>
      </c>
      <c r="D870" s="508">
        <v>470215</v>
      </c>
      <c r="E870" s="507" t="s">
        <v>6108</v>
      </c>
    </row>
    <row r="871" spans="1:5" ht="15" x14ac:dyDescent="0.3">
      <c r="A871" s="506">
        <v>7959</v>
      </c>
      <c r="B871" s="507" t="s">
        <v>4268</v>
      </c>
      <c r="C871" s="506" t="s">
        <v>32</v>
      </c>
      <c r="D871" s="508">
        <v>171816</v>
      </c>
      <c r="E871" s="507" t="s">
        <v>6108</v>
      </c>
    </row>
    <row r="872" spans="1:5" ht="15" x14ac:dyDescent="0.3">
      <c r="A872" s="506">
        <v>7961</v>
      </c>
      <c r="B872" s="507" t="s">
        <v>4269</v>
      </c>
      <c r="C872" s="506" t="s">
        <v>328</v>
      </c>
      <c r="D872" s="508">
        <v>341734</v>
      </c>
      <c r="E872" s="507" t="s">
        <v>331</v>
      </c>
    </row>
    <row r="873" spans="1:5" ht="15" x14ac:dyDescent="0.3">
      <c r="A873" s="506">
        <v>7962</v>
      </c>
      <c r="B873" s="507" t="s">
        <v>4270</v>
      </c>
      <c r="C873" s="506" t="s">
        <v>328</v>
      </c>
      <c r="D873" s="508">
        <v>414613</v>
      </c>
      <c r="E873" s="507" t="s">
        <v>331</v>
      </c>
    </row>
    <row r="874" spans="1:5" ht="15" x14ac:dyDescent="0.3">
      <c r="A874" s="506">
        <v>7963</v>
      </c>
      <c r="B874" s="507" t="s">
        <v>4271</v>
      </c>
      <c r="C874" s="506" t="s">
        <v>328</v>
      </c>
      <c r="D874" s="508">
        <v>507298</v>
      </c>
      <c r="E874" s="507" t="s">
        <v>331</v>
      </c>
    </row>
    <row r="875" spans="1:5" ht="15" x14ac:dyDescent="0.3">
      <c r="A875" s="506">
        <v>7965</v>
      </c>
      <c r="B875" s="507" t="s">
        <v>6254</v>
      </c>
      <c r="C875" s="506" t="s">
        <v>32</v>
      </c>
      <c r="D875" s="508">
        <v>183260</v>
      </c>
      <c r="E875" s="507" t="s">
        <v>6108</v>
      </c>
    </row>
    <row r="876" spans="1:5" ht="15" x14ac:dyDescent="0.3">
      <c r="A876" s="506">
        <v>7966</v>
      </c>
      <c r="B876" s="507" t="s">
        <v>6255</v>
      </c>
      <c r="C876" s="506" t="s">
        <v>32</v>
      </c>
      <c r="D876" s="508">
        <v>592620</v>
      </c>
      <c r="E876" s="507" t="s">
        <v>6108</v>
      </c>
    </row>
    <row r="877" spans="1:5" ht="15" x14ac:dyDescent="0.3">
      <c r="A877" s="506">
        <v>7967</v>
      </c>
      <c r="B877" s="507" t="s">
        <v>6256</v>
      </c>
      <c r="C877" s="506" t="s">
        <v>32</v>
      </c>
      <c r="D877" s="508">
        <v>1259020</v>
      </c>
      <c r="E877" s="507" t="s">
        <v>6108</v>
      </c>
    </row>
    <row r="878" spans="1:5" ht="15" x14ac:dyDescent="0.3">
      <c r="A878" s="506">
        <v>7968</v>
      </c>
      <c r="B878" s="507" t="s">
        <v>4272</v>
      </c>
      <c r="C878" s="506" t="s">
        <v>32</v>
      </c>
      <c r="D878" s="508">
        <v>380000</v>
      </c>
      <c r="E878" s="507" t="s">
        <v>331</v>
      </c>
    </row>
    <row r="879" spans="1:5" ht="15" x14ac:dyDescent="0.3">
      <c r="A879" s="506">
        <v>7969</v>
      </c>
      <c r="B879" s="507" t="s">
        <v>4273</v>
      </c>
      <c r="C879" s="506" t="s">
        <v>21</v>
      </c>
      <c r="D879" s="508">
        <v>10577</v>
      </c>
      <c r="E879" s="507" t="s">
        <v>6108</v>
      </c>
    </row>
    <row r="880" spans="1:5" ht="15" x14ac:dyDescent="0.3">
      <c r="A880" s="506">
        <v>7970</v>
      </c>
      <c r="B880" s="507" t="s">
        <v>4274</v>
      </c>
      <c r="C880" s="506" t="s">
        <v>21</v>
      </c>
      <c r="D880" s="508">
        <v>4355</v>
      </c>
      <c r="E880" s="507" t="s">
        <v>6108</v>
      </c>
    </row>
    <row r="881" spans="1:5" ht="15" x14ac:dyDescent="0.3">
      <c r="A881" s="506">
        <v>7971</v>
      </c>
      <c r="B881" s="507" t="s">
        <v>4275</v>
      </c>
      <c r="C881" s="506" t="s">
        <v>21</v>
      </c>
      <c r="D881" s="508">
        <v>7000</v>
      </c>
      <c r="E881" s="507" t="s">
        <v>6108</v>
      </c>
    </row>
    <row r="882" spans="1:5" ht="15" x14ac:dyDescent="0.3">
      <c r="A882" s="506">
        <v>7973</v>
      </c>
      <c r="B882" s="507" t="s">
        <v>4276</v>
      </c>
      <c r="C882" s="506" t="s">
        <v>670</v>
      </c>
      <c r="D882" s="508">
        <v>46285</v>
      </c>
      <c r="E882" s="507" t="s">
        <v>6108</v>
      </c>
    </row>
    <row r="883" spans="1:5" ht="15" x14ac:dyDescent="0.3">
      <c r="A883" s="506">
        <v>7976</v>
      </c>
      <c r="B883" s="507" t="s">
        <v>4277</v>
      </c>
      <c r="C883" s="506" t="s">
        <v>30</v>
      </c>
      <c r="D883" s="508">
        <v>69020</v>
      </c>
      <c r="E883" s="507" t="s">
        <v>331</v>
      </c>
    </row>
    <row r="884" spans="1:5" ht="15" x14ac:dyDescent="0.3">
      <c r="A884" s="506">
        <v>7977</v>
      </c>
      <c r="B884" s="507" t="s">
        <v>4278</v>
      </c>
      <c r="C884" s="506" t="s">
        <v>30</v>
      </c>
      <c r="D884" s="508">
        <v>30583</v>
      </c>
      <c r="E884" s="507" t="s">
        <v>331</v>
      </c>
    </row>
    <row r="885" spans="1:5" ht="15" x14ac:dyDescent="0.3">
      <c r="A885" s="506">
        <v>7979</v>
      </c>
      <c r="B885" s="507" t="s">
        <v>4279</v>
      </c>
      <c r="C885" s="506" t="s">
        <v>32</v>
      </c>
      <c r="D885" s="508">
        <v>73013</v>
      </c>
      <c r="E885" s="507" t="s">
        <v>6108</v>
      </c>
    </row>
    <row r="886" spans="1:5" ht="15" x14ac:dyDescent="0.3">
      <c r="A886" s="506">
        <v>7983</v>
      </c>
      <c r="B886" s="507" t="s">
        <v>6257</v>
      </c>
      <c r="C886" s="506" t="s">
        <v>3582</v>
      </c>
      <c r="D886" s="508">
        <v>219000</v>
      </c>
      <c r="E886" s="507" t="s">
        <v>6109</v>
      </c>
    </row>
    <row r="887" spans="1:5" ht="15" x14ac:dyDescent="0.3">
      <c r="A887" s="506">
        <v>7984</v>
      </c>
      <c r="B887" s="507" t="s">
        <v>4280</v>
      </c>
      <c r="C887" s="506" t="s">
        <v>979</v>
      </c>
      <c r="D887" s="508">
        <v>104125</v>
      </c>
      <c r="E887" s="507" t="s">
        <v>331</v>
      </c>
    </row>
    <row r="888" spans="1:5" ht="15" x14ac:dyDescent="0.3">
      <c r="A888" s="506">
        <v>7989</v>
      </c>
      <c r="B888" s="507" t="s">
        <v>6258</v>
      </c>
      <c r="C888" s="506" t="s">
        <v>254</v>
      </c>
      <c r="D888" s="508">
        <v>12795750</v>
      </c>
      <c r="E888" s="507" t="s">
        <v>6109</v>
      </c>
    </row>
    <row r="889" spans="1:5" ht="15" x14ac:dyDescent="0.3">
      <c r="A889" s="506">
        <v>7993</v>
      </c>
      <c r="B889" s="507" t="s">
        <v>4281</v>
      </c>
      <c r="C889" s="506" t="s">
        <v>32</v>
      </c>
      <c r="D889" s="508">
        <v>2040850</v>
      </c>
      <c r="E889" s="507" t="s">
        <v>6108</v>
      </c>
    </row>
    <row r="890" spans="1:5" ht="15" x14ac:dyDescent="0.3">
      <c r="A890" s="506">
        <v>7994</v>
      </c>
      <c r="B890" s="507" t="s">
        <v>4282</v>
      </c>
      <c r="C890" s="506" t="s">
        <v>21</v>
      </c>
      <c r="D890" s="508">
        <v>2495</v>
      </c>
      <c r="E890" s="507" t="s">
        <v>331</v>
      </c>
    </row>
    <row r="891" spans="1:5" ht="15" x14ac:dyDescent="0.3">
      <c r="A891" s="506">
        <v>7999</v>
      </c>
      <c r="B891" s="507" t="s">
        <v>4283</v>
      </c>
      <c r="C891" s="506" t="s">
        <v>670</v>
      </c>
      <c r="D891" s="508">
        <v>7013</v>
      </c>
      <c r="E891" s="507" t="s">
        <v>6108</v>
      </c>
    </row>
    <row r="892" spans="1:5" ht="15" x14ac:dyDescent="0.3">
      <c r="A892" s="506">
        <v>8000</v>
      </c>
      <c r="B892" s="507" t="s">
        <v>4284</v>
      </c>
      <c r="C892" s="506" t="s">
        <v>328</v>
      </c>
      <c r="D892" s="508">
        <v>13090</v>
      </c>
      <c r="E892" s="507" t="s">
        <v>6108</v>
      </c>
    </row>
    <row r="893" spans="1:5" ht="15" x14ac:dyDescent="0.3">
      <c r="A893" s="506">
        <v>8001</v>
      </c>
      <c r="B893" s="507" t="s">
        <v>4285</v>
      </c>
      <c r="C893" s="506" t="s">
        <v>328</v>
      </c>
      <c r="D893" s="508">
        <v>15500</v>
      </c>
      <c r="E893" s="507" t="s">
        <v>6108</v>
      </c>
    </row>
    <row r="894" spans="1:5" ht="15" x14ac:dyDescent="0.3">
      <c r="A894" s="506">
        <v>8002</v>
      </c>
      <c r="B894" s="507" t="s">
        <v>2246</v>
      </c>
      <c r="C894" s="506" t="s">
        <v>328</v>
      </c>
      <c r="D894" s="508">
        <v>20205</v>
      </c>
      <c r="E894" s="507" t="s">
        <v>6108</v>
      </c>
    </row>
    <row r="895" spans="1:5" ht="15" x14ac:dyDescent="0.3">
      <c r="A895" s="506">
        <v>8003</v>
      </c>
      <c r="B895" s="507" t="s">
        <v>2247</v>
      </c>
      <c r="C895" s="506" t="s">
        <v>328</v>
      </c>
      <c r="D895" s="508">
        <v>21734</v>
      </c>
      <c r="E895" s="507" t="s">
        <v>6108</v>
      </c>
    </row>
    <row r="896" spans="1:5" ht="15" x14ac:dyDescent="0.3">
      <c r="A896" s="506">
        <v>8011</v>
      </c>
      <c r="B896" s="507" t="s">
        <v>6259</v>
      </c>
      <c r="C896" s="506" t="s">
        <v>32</v>
      </c>
      <c r="D896" s="508">
        <v>2397850</v>
      </c>
      <c r="E896" s="507" t="s">
        <v>6108</v>
      </c>
    </row>
    <row r="897" spans="1:5" ht="15" x14ac:dyDescent="0.3">
      <c r="A897" s="506">
        <v>8012</v>
      </c>
      <c r="B897" s="507" t="s">
        <v>4286</v>
      </c>
      <c r="C897" s="506" t="s">
        <v>32</v>
      </c>
      <c r="D897" s="508">
        <v>187068</v>
      </c>
      <c r="E897" s="507" t="s">
        <v>6108</v>
      </c>
    </row>
    <row r="898" spans="1:5" ht="15" x14ac:dyDescent="0.3">
      <c r="A898" s="506">
        <v>8015</v>
      </c>
      <c r="B898" s="507" t="s">
        <v>4287</v>
      </c>
      <c r="C898" s="506" t="s">
        <v>32</v>
      </c>
      <c r="D898" s="508">
        <v>79730</v>
      </c>
      <c r="E898" s="507" t="s">
        <v>6108</v>
      </c>
    </row>
    <row r="899" spans="1:5" ht="15" x14ac:dyDescent="0.3">
      <c r="A899" s="506">
        <v>8019</v>
      </c>
      <c r="B899" s="507" t="s">
        <v>6260</v>
      </c>
      <c r="C899" s="506" t="s">
        <v>32</v>
      </c>
      <c r="D899" s="508">
        <v>174013</v>
      </c>
      <c r="E899" s="507" t="s">
        <v>6108</v>
      </c>
    </row>
    <row r="900" spans="1:5" ht="15" x14ac:dyDescent="0.3">
      <c r="A900" s="506">
        <v>8025</v>
      </c>
      <c r="B900" s="507" t="s">
        <v>4288</v>
      </c>
      <c r="C900" s="506" t="s">
        <v>3582</v>
      </c>
      <c r="D900" s="508">
        <v>989334</v>
      </c>
      <c r="E900" s="507" t="s">
        <v>6108</v>
      </c>
    </row>
    <row r="901" spans="1:5" ht="15" x14ac:dyDescent="0.3">
      <c r="A901" s="506">
        <v>8026</v>
      </c>
      <c r="B901" s="507" t="s">
        <v>4289</v>
      </c>
      <c r="C901" s="506" t="s">
        <v>32</v>
      </c>
      <c r="D901" s="508">
        <v>54264</v>
      </c>
      <c r="E901" s="507" t="s">
        <v>6108</v>
      </c>
    </row>
    <row r="902" spans="1:5" ht="15" x14ac:dyDescent="0.3">
      <c r="A902" s="506">
        <v>8028</v>
      </c>
      <c r="B902" s="507" t="s">
        <v>6261</v>
      </c>
      <c r="C902" s="506" t="s">
        <v>32</v>
      </c>
      <c r="D902" s="508">
        <v>107576</v>
      </c>
      <c r="E902" s="507" t="s">
        <v>6108</v>
      </c>
    </row>
    <row r="903" spans="1:5" ht="15" x14ac:dyDescent="0.3">
      <c r="A903" s="506">
        <v>8033</v>
      </c>
      <c r="B903" s="507" t="s">
        <v>4290</v>
      </c>
      <c r="C903" s="506" t="s">
        <v>32</v>
      </c>
      <c r="D903" s="508">
        <v>4475685</v>
      </c>
      <c r="E903" s="507" t="s">
        <v>6108</v>
      </c>
    </row>
    <row r="904" spans="1:5" ht="15" x14ac:dyDescent="0.3">
      <c r="A904" s="506">
        <v>8034</v>
      </c>
      <c r="B904" s="507" t="s">
        <v>4291</v>
      </c>
      <c r="C904" s="506" t="s">
        <v>32</v>
      </c>
      <c r="D904" s="508">
        <v>3163370</v>
      </c>
      <c r="E904" s="507" t="s">
        <v>6108</v>
      </c>
    </row>
    <row r="905" spans="1:5" ht="15" x14ac:dyDescent="0.3">
      <c r="A905" s="506">
        <v>8035</v>
      </c>
      <c r="B905" s="507" t="s">
        <v>4292</v>
      </c>
      <c r="C905" s="506" t="s">
        <v>32</v>
      </c>
      <c r="D905" s="508">
        <v>3469618</v>
      </c>
      <c r="E905" s="507" t="s">
        <v>6108</v>
      </c>
    </row>
    <row r="906" spans="1:5" ht="15" x14ac:dyDescent="0.3">
      <c r="A906" s="506">
        <v>8036</v>
      </c>
      <c r="B906" s="507" t="s">
        <v>4293</v>
      </c>
      <c r="C906" s="506" t="s">
        <v>32</v>
      </c>
      <c r="D906" s="508">
        <v>7712628</v>
      </c>
      <c r="E906" s="507" t="s">
        <v>6108</v>
      </c>
    </row>
    <row r="907" spans="1:5" ht="15" x14ac:dyDescent="0.3">
      <c r="A907" s="506">
        <v>8037</v>
      </c>
      <c r="B907" s="507" t="s">
        <v>4294</v>
      </c>
      <c r="C907" s="506" t="s">
        <v>328</v>
      </c>
      <c r="D907" s="508">
        <v>26977</v>
      </c>
      <c r="E907" s="507" t="s">
        <v>6108</v>
      </c>
    </row>
    <row r="908" spans="1:5" ht="15" x14ac:dyDescent="0.3">
      <c r="A908" s="506">
        <v>8038</v>
      </c>
      <c r="B908" s="507" t="s">
        <v>4295</v>
      </c>
      <c r="C908" s="506" t="s">
        <v>328</v>
      </c>
      <c r="D908" s="508">
        <v>23261</v>
      </c>
      <c r="E908" s="507" t="s">
        <v>6108</v>
      </c>
    </row>
    <row r="909" spans="1:5" ht="15" x14ac:dyDescent="0.3">
      <c r="A909" s="506">
        <v>8039</v>
      </c>
      <c r="B909" s="507" t="s">
        <v>4296</v>
      </c>
      <c r="C909" s="506" t="s">
        <v>328</v>
      </c>
      <c r="D909" s="508">
        <v>22487</v>
      </c>
      <c r="E909" s="507" t="s">
        <v>6108</v>
      </c>
    </row>
    <row r="910" spans="1:5" ht="15" x14ac:dyDescent="0.3">
      <c r="A910" s="506">
        <v>8041</v>
      </c>
      <c r="B910" s="507" t="s">
        <v>4297</v>
      </c>
      <c r="C910" s="506" t="s">
        <v>670</v>
      </c>
      <c r="D910" s="508">
        <v>7557</v>
      </c>
      <c r="E910" s="507" t="s">
        <v>331</v>
      </c>
    </row>
    <row r="911" spans="1:5" ht="15" x14ac:dyDescent="0.3">
      <c r="A911" s="506">
        <v>8044</v>
      </c>
      <c r="B911" s="507" t="s">
        <v>4298</v>
      </c>
      <c r="C911" s="506" t="s">
        <v>3582</v>
      </c>
      <c r="D911" s="508">
        <v>7140</v>
      </c>
      <c r="E911" s="507" t="s">
        <v>331</v>
      </c>
    </row>
    <row r="912" spans="1:5" ht="15" x14ac:dyDescent="0.3">
      <c r="A912" s="506">
        <v>8046</v>
      </c>
      <c r="B912" s="507" t="s">
        <v>6262</v>
      </c>
      <c r="C912" s="506" t="s">
        <v>32</v>
      </c>
      <c r="D912" s="508">
        <v>1142242</v>
      </c>
      <c r="E912" s="507" t="s">
        <v>6108</v>
      </c>
    </row>
    <row r="913" spans="1:5" ht="15" x14ac:dyDescent="0.3">
      <c r="A913" s="506">
        <v>8047</v>
      </c>
      <c r="B913" s="507" t="s">
        <v>6263</v>
      </c>
      <c r="C913" s="506" t="s">
        <v>32</v>
      </c>
      <c r="D913" s="508">
        <v>646170</v>
      </c>
      <c r="E913" s="507" t="s">
        <v>6108</v>
      </c>
    </row>
    <row r="914" spans="1:5" ht="15" x14ac:dyDescent="0.3">
      <c r="A914" s="506">
        <v>8048</v>
      </c>
      <c r="B914" s="507" t="s">
        <v>6264</v>
      </c>
      <c r="C914" s="506" t="s">
        <v>32</v>
      </c>
      <c r="D914" s="508">
        <v>1190000</v>
      </c>
      <c r="E914" s="507" t="s">
        <v>6108</v>
      </c>
    </row>
    <row r="915" spans="1:5" ht="15" x14ac:dyDescent="0.3">
      <c r="A915" s="506">
        <v>8050</v>
      </c>
      <c r="B915" s="507" t="s">
        <v>4299</v>
      </c>
      <c r="C915" s="506" t="s">
        <v>3582</v>
      </c>
      <c r="D915" s="508">
        <v>207</v>
      </c>
      <c r="E915" s="507" t="s">
        <v>331</v>
      </c>
    </row>
    <row r="916" spans="1:5" ht="15" x14ac:dyDescent="0.3">
      <c r="A916" s="506">
        <v>8051</v>
      </c>
      <c r="B916" s="507" t="s">
        <v>4300</v>
      </c>
      <c r="C916" s="506" t="s">
        <v>32</v>
      </c>
      <c r="D916" s="508">
        <v>82840</v>
      </c>
      <c r="E916" s="507" t="s">
        <v>331</v>
      </c>
    </row>
    <row r="917" spans="1:5" ht="15" x14ac:dyDescent="0.3">
      <c r="A917" s="506">
        <v>8052</v>
      </c>
      <c r="B917" s="507" t="s">
        <v>4301</v>
      </c>
      <c r="C917" s="506" t="s">
        <v>32</v>
      </c>
      <c r="D917" s="508">
        <v>32898</v>
      </c>
      <c r="E917" s="507" t="s">
        <v>6108</v>
      </c>
    </row>
    <row r="918" spans="1:5" ht="15" x14ac:dyDescent="0.3">
      <c r="A918" s="506">
        <v>8053</v>
      </c>
      <c r="B918" s="507" t="s">
        <v>4302</v>
      </c>
      <c r="C918" s="506" t="s">
        <v>32</v>
      </c>
      <c r="D918" s="508">
        <v>29259</v>
      </c>
      <c r="E918" s="507" t="s">
        <v>6108</v>
      </c>
    </row>
    <row r="919" spans="1:5" ht="15" x14ac:dyDescent="0.3">
      <c r="A919" s="506">
        <v>8054</v>
      </c>
      <c r="B919" s="507" t="s">
        <v>4303</v>
      </c>
      <c r="C919" s="506" t="s">
        <v>32</v>
      </c>
      <c r="D919" s="508">
        <v>654</v>
      </c>
      <c r="E919" s="507" t="s">
        <v>331</v>
      </c>
    </row>
    <row r="920" spans="1:5" ht="15" x14ac:dyDescent="0.3">
      <c r="A920" s="506">
        <v>8055</v>
      </c>
      <c r="B920" s="507" t="s">
        <v>6265</v>
      </c>
      <c r="C920" s="506" t="s">
        <v>32</v>
      </c>
      <c r="D920" s="508">
        <v>64189</v>
      </c>
      <c r="E920" s="507" t="s">
        <v>6108</v>
      </c>
    </row>
    <row r="921" spans="1:5" ht="15" x14ac:dyDescent="0.3">
      <c r="A921" s="506">
        <v>8057</v>
      </c>
      <c r="B921" s="507" t="s">
        <v>6266</v>
      </c>
      <c r="C921" s="506" t="s">
        <v>328</v>
      </c>
      <c r="D921" s="508">
        <v>15708</v>
      </c>
      <c r="E921" s="507" t="s">
        <v>6108</v>
      </c>
    </row>
    <row r="922" spans="1:5" ht="15" x14ac:dyDescent="0.3">
      <c r="A922" s="506">
        <v>8060</v>
      </c>
      <c r="B922" s="507" t="s">
        <v>4304</v>
      </c>
      <c r="C922" s="506" t="s">
        <v>1455</v>
      </c>
      <c r="D922" s="508">
        <v>1840000</v>
      </c>
      <c r="E922" s="507" t="s">
        <v>331</v>
      </c>
    </row>
    <row r="923" spans="1:5" ht="15" x14ac:dyDescent="0.3">
      <c r="A923" s="506">
        <v>8061</v>
      </c>
      <c r="B923" s="507" t="s">
        <v>6267</v>
      </c>
      <c r="C923" s="506" t="s">
        <v>32</v>
      </c>
      <c r="D923" s="508">
        <v>1409617</v>
      </c>
      <c r="E923" s="507" t="s">
        <v>6108</v>
      </c>
    </row>
    <row r="924" spans="1:5" ht="15" x14ac:dyDescent="0.3">
      <c r="A924" s="506">
        <v>8062</v>
      </c>
      <c r="B924" s="507" t="s">
        <v>6268</v>
      </c>
      <c r="C924" s="506" t="s">
        <v>32</v>
      </c>
      <c r="D924" s="508">
        <v>1455965</v>
      </c>
      <c r="E924" s="507" t="s">
        <v>6108</v>
      </c>
    </row>
    <row r="925" spans="1:5" ht="15" x14ac:dyDescent="0.3">
      <c r="A925" s="506">
        <v>8070</v>
      </c>
      <c r="B925" s="507" t="s">
        <v>4305</v>
      </c>
      <c r="C925" s="506" t="s">
        <v>32</v>
      </c>
      <c r="D925" s="508">
        <v>396032</v>
      </c>
      <c r="E925" s="507" t="s">
        <v>6108</v>
      </c>
    </row>
    <row r="926" spans="1:5" ht="15" x14ac:dyDescent="0.3">
      <c r="A926" s="506">
        <v>8077</v>
      </c>
      <c r="B926" s="507" t="s">
        <v>4306</v>
      </c>
      <c r="C926" s="506" t="s">
        <v>3582</v>
      </c>
      <c r="D926" s="508">
        <v>107100</v>
      </c>
      <c r="E926" s="507" t="s">
        <v>6108</v>
      </c>
    </row>
    <row r="927" spans="1:5" ht="15" x14ac:dyDescent="0.3">
      <c r="A927" s="506">
        <v>8078</v>
      </c>
      <c r="B927" s="507" t="s">
        <v>4307</v>
      </c>
      <c r="C927" s="506" t="s">
        <v>32</v>
      </c>
      <c r="D927" s="508">
        <v>39984</v>
      </c>
      <c r="E927" s="507" t="s">
        <v>331</v>
      </c>
    </row>
    <row r="928" spans="1:5" ht="15" x14ac:dyDescent="0.3">
      <c r="A928" s="506">
        <v>8079</v>
      </c>
      <c r="B928" s="507" t="s">
        <v>6269</v>
      </c>
      <c r="C928" s="506" t="s">
        <v>32</v>
      </c>
      <c r="D928" s="508">
        <v>249900</v>
      </c>
      <c r="E928" s="507" t="s">
        <v>6108</v>
      </c>
    </row>
    <row r="929" spans="1:5" ht="15" x14ac:dyDescent="0.3">
      <c r="A929" s="506">
        <v>8080</v>
      </c>
      <c r="B929" s="507" t="s">
        <v>6270</v>
      </c>
      <c r="C929" s="506" t="s">
        <v>328</v>
      </c>
      <c r="D929" s="508">
        <v>784924</v>
      </c>
      <c r="E929" s="507" t="s">
        <v>6108</v>
      </c>
    </row>
    <row r="930" spans="1:5" ht="15" x14ac:dyDescent="0.3">
      <c r="A930" s="506">
        <v>8085</v>
      </c>
      <c r="B930" s="507" t="s">
        <v>4308</v>
      </c>
      <c r="C930" s="506" t="s">
        <v>32</v>
      </c>
      <c r="D930" s="508">
        <v>141617</v>
      </c>
      <c r="E930" s="507" t="s">
        <v>6108</v>
      </c>
    </row>
    <row r="931" spans="1:5" ht="15" x14ac:dyDescent="0.3">
      <c r="A931" s="506">
        <v>8086</v>
      </c>
      <c r="B931" s="507" t="s">
        <v>4309</v>
      </c>
      <c r="C931" s="506" t="s">
        <v>32</v>
      </c>
      <c r="D931" s="508">
        <v>163745</v>
      </c>
      <c r="E931" s="507" t="s">
        <v>6108</v>
      </c>
    </row>
    <row r="932" spans="1:5" ht="15" x14ac:dyDescent="0.3">
      <c r="A932" s="506">
        <v>8089</v>
      </c>
      <c r="B932" s="507" t="s">
        <v>4310</v>
      </c>
      <c r="C932" s="506" t="s">
        <v>32</v>
      </c>
      <c r="D932" s="508">
        <v>153788</v>
      </c>
      <c r="E932" s="507" t="s">
        <v>6108</v>
      </c>
    </row>
    <row r="933" spans="1:5" ht="15" x14ac:dyDescent="0.3">
      <c r="A933" s="506">
        <v>8090</v>
      </c>
      <c r="B933" s="507" t="s">
        <v>4311</v>
      </c>
      <c r="C933" s="506" t="s">
        <v>32</v>
      </c>
      <c r="D933" s="508">
        <v>90724</v>
      </c>
      <c r="E933" s="507" t="s">
        <v>6108</v>
      </c>
    </row>
    <row r="934" spans="1:5" ht="15" x14ac:dyDescent="0.3">
      <c r="A934" s="506">
        <v>8091</v>
      </c>
      <c r="B934" s="507" t="s">
        <v>4312</v>
      </c>
      <c r="C934" s="506" t="s">
        <v>32</v>
      </c>
      <c r="D934" s="508">
        <v>146044</v>
      </c>
      <c r="E934" s="507" t="s">
        <v>6108</v>
      </c>
    </row>
    <row r="935" spans="1:5" ht="15" x14ac:dyDescent="0.3">
      <c r="A935" s="506">
        <v>8094</v>
      </c>
      <c r="B935" s="507" t="s">
        <v>4313</v>
      </c>
      <c r="C935" s="506" t="s">
        <v>32</v>
      </c>
      <c r="D935" s="508">
        <v>142171</v>
      </c>
      <c r="E935" s="507" t="s">
        <v>6108</v>
      </c>
    </row>
    <row r="936" spans="1:5" ht="15" x14ac:dyDescent="0.3">
      <c r="A936" s="506">
        <v>8097</v>
      </c>
      <c r="B936" s="507" t="s">
        <v>4314</v>
      </c>
      <c r="C936" s="506" t="s">
        <v>21</v>
      </c>
      <c r="D936" s="508">
        <v>64513</v>
      </c>
      <c r="E936" s="507" t="s">
        <v>6108</v>
      </c>
    </row>
    <row r="937" spans="1:5" ht="15" x14ac:dyDescent="0.3">
      <c r="A937" s="506">
        <v>8099</v>
      </c>
      <c r="B937" s="507" t="s">
        <v>4315</v>
      </c>
      <c r="C937" s="506" t="s">
        <v>21</v>
      </c>
      <c r="D937" s="508">
        <v>92190</v>
      </c>
      <c r="E937" s="507" t="s">
        <v>331</v>
      </c>
    </row>
    <row r="938" spans="1:5" ht="15" x14ac:dyDescent="0.3">
      <c r="A938" s="506">
        <v>8100</v>
      </c>
      <c r="B938" s="507" t="s">
        <v>4316</v>
      </c>
      <c r="C938" s="506" t="s">
        <v>21</v>
      </c>
      <c r="D938" s="508">
        <v>96390</v>
      </c>
      <c r="E938" s="507" t="s">
        <v>331</v>
      </c>
    </row>
    <row r="939" spans="1:5" ht="15" x14ac:dyDescent="0.3">
      <c r="A939" s="506">
        <v>8101</v>
      </c>
      <c r="B939" s="507" t="s">
        <v>4317</v>
      </c>
      <c r="C939" s="506" t="s">
        <v>670</v>
      </c>
      <c r="D939" s="508">
        <v>13614</v>
      </c>
      <c r="E939" s="507" t="s">
        <v>6108</v>
      </c>
    </row>
    <row r="940" spans="1:5" ht="15" x14ac:dyDescent="0.3">
      <c r="A940" s="506">
        <v>8102</v>
      </c>
      <c r="B940" s="507" t="s">
        <v>6271</v>
      </c>
      <c r="C940" s="506" t="s">
        <v>254</v>
      </c>
      <c r="D940" s="508">
        <v>3309125</v>
      </c>
      <c r="E940" s="507" t="s">
        <v>6109</v>
      </c>
    </row>
    <row r="941" spans="1:5" ht="15" x14ac:dyDescent="0.3">
      <c r="A941" s="506">
        <v>8103</v>
      </c>
      <c r="B941" s="507" t="s">
        <v>4318</v>
      </c>
      <c r="C941" s="506" t="s">
        <v>3582</v>
      </c>
      <c r="D941" s="508">
        <v>3451000</v>
      </c>
      <c r="E941" s="507" t="s">
        <v>331</v>
      </c>
    </row>
    <row r="942" spans="1:5" ht="15" x14ac:dyDescent="0.3">
      <c r="A942" s="506">
        <v>8113</v>
      </c>
      <c r="B942" s="507" t="s">
        <v>6272</v>
      </c>
      <c r="C942" s="506" t="s">
        <v>32</v>
      </c>
      <c r="D942" s="508">
        <v>101150</v>
      </c>
      <c r="E942" s="507" t="s">
        <v>6108</v>
      </c>
    </row>
    <row r="943" spans="1:5" ht="15" x14ac:dyDescent="0.3">
      <c r="A943" s="506">
        <v>8116</v>
      </c>
      <c r="B943" s="507" t="s">
        <v>4319</v>
      </c>
      <c r="C943" s="506" t="s">
        <v>32</v>
      </c>
      <c r="D943" s="508">
        <v>2905980</v>
      </c>
      <c r="E943" s="507" t="s">
        <v>6108</v>
      </c>
    </row>
    <row r="944" spans="1:5" ht="15" x14ac:dyDescent="0.3">
      <c r="A944" s="506">
        <v>8141</v>
      </c>
      <c r="B944" s="507" t="s">
        <v>4320</v>
      </c>
      <c r="C944" s="506" t="s">
        <v>3579</v>
      </c>
      <c r="D944" s="508">
        <v>86312</v>
      </c>
      <c r="E944" s="507" t="s">
        <v>6108</v>
      </c>
    </row>
    <row r="945" spans="1:5" ht="15" x14ac:dyDescent="0.3">
      <c r="A945" s="506">
        <v>8142</v>
      </c>
      <c r="B945" s="507" t="s">
        <v>4321</v>
      </c>
      <c r="C945" s="506" t="s">
        <v>21</v>
      </c>
      <c r="D945" s="508">
        <v>91300</v>
      </c>
      <c r="E945" s="507" t="s">
        <v>6108</v>
      </c>
    </row>
    <row r="946" spans="1:5" ht="15" x14ac:dyDescent="0.3">
      <c r="A946" s="506">
        <v>8143</v>
      </c>
      <c r="B946" s="507" t="s">
        <v>4322</v>
      </c>
      <c r="C946" s="506" t="s">
        <v>670</v>
      </c>
      <c r="D946" s="508">
        <v>1999</v>
      </c>
      <c r="E946" s="507" t="s">
        <v>6108</v>
      </c>
    </row>
    <row r="947" spans="1:5" ht="15" x14ac:dyDescent="0.3">
      <c r="A947" s="506">
        <v>8144</v>
      </c>
      <c r="B947" s="507" t="s">
        <v>4323</v>
      </c>
      <c r="C947" s="506" t="s">
        <v>670</v>
      </c>
      <c r="D947" s="508">
        <v>6100</v>
      </c>
      <c r="E947" s="507" t="s">
        <v>6108</v>
      </c>
    </row>
    <row r="948" spans="1:5" ht="15" x14ac:dyDescent="0.3">
      <c r="A948" s="506">
        <v>8145</v>
      </c>
      <c r="B948" s="507" t="s">
        <v>4324</v>
      </c>
      <c r="C948" s="506" t="s">
        <v>328</v>
      </c>
      <c r="D948" s="508">
        <v>21420</v>
      </c>
      <c r="E948" s="507" t="s">
        <v>6108</v>
      </c>
    </row>
    <row r="949" spans="1:5" ht="15" x14ac:dyDescent="0.3">
      <c r="A949" s="506">
        <v>8146</v>
      </c>
      <c r="B949" s="507" t="s">
        <v>4325</v>
      </c>
      <c r="C949" s="506" t="s">
        <v>21</v>
      </c>
      <c r="D949" s="508">
        <v>66640</v>
      </c>
      <c r="E949" s="507" t="s">
        <v>6108</v>
      </c>
    </row>
    <row r="950" spans="1:5" ht="15" x14ac:dyDescent="0.3">
      <c r="A950" s="506">
        <v>8149</v>
      </c>
      <c r="B950" s="507" t="s">
        <v>4326</v>
      </c>
      <c r="C950" s="506" t="s">
        <v>3579</v>
      </c>
      <c r="D950" s="508">
        <v>186900</v>
      </c>
      <c r="E950" s="507" t="s">
        <v>6108</v>
      </c>
    </row>
    <row r="951" spans="1:5" ht="15" x14ac:dyDescent="0.3">
      <c r="A951" s="506">
        <v>8150</v>
      </c>
      <c r="B951" s="507" t="s">
        <v>4327</v>
      </c>
      <c r="C951" s="506" t="s">
        <v>32</v>
      </c>
      <c r="D951" s="508">
        <v>104350</v>
      </c>
      <c r="E951" s="507" t="s">
        <v>6108</v>
      </c>
    </row>
    <row r="952" spans="1:5" ht="15" x14ac:dyDescent="0.3">
      <c r="A952" s="506">
        <v>8152</v>
      </c>
      <c r="B952" s="507" t="s">
        <v>4328</v>
      </c>
      <c r="C952" s="506" t="s">
        <v>32</v>
      </c>
      <c r="D952" s="508">
        <v>18697</v>
      </c>
      <c r="E952" s="507" t="s">
        <v>6108</v>
      </c>
    </row>
    <row r="953" spans="1:5" ht="15" x14ac:dyDescent="0.3">
      <c r="A953" s="506">
        <v>8153</v>
      </c>
      <c r="B953" s="507" t="s">
        <v>4329</v>
      </c>
      <c r="C953" s="506" t="s">
        <v>32</v>
      </c>
      <c r="D953" s="508">
        <v>92189</v>
      </c>
      <c r="E953" s="507" t="s">
        <v>6108</v>
      </c>
    </row>
    <row r="954" spans="1:5" ht="15" x14ac:dyDescent="0.3">
      <c r="A954" s="506">
        <v>8154</v>
      </c>
      <c r="B954" s="507" t="s">
        <v>4330</v>
      </c>
      <c r="C954" s="506" t="s">
        <v>32</v>
      </c>
      <c r="D954" s="508">
        <v>176423</v>
      </c>
      <c r="E954" s="507" t="s">
        <v>6108</v>
      </c>
    </row>
    <row r="955" spans="1:5" ht="15" x14ac:dyDescent="0.3">
      <c r="A955" s="506">
        <v>8155</v>
      </c>
      <c r="B955" s="507" t="s">
        <v>4331</v>
      </c>
      <c r="C955" s="506" t="s">
        <v>32</v>
      </c>
      <c r="D955" s="508">
        <v>10675</v>
      </c>
      <c r="E955" s="507" t="s">
        <v>6108</v>
      </c>
    </row>
    <row r="956" spans="1:5" ht="15" x14ac:dyDescent="0.3">
      <c r="A956" s="506">
        <v>8156</v>
      </c>
      <c r="B956" s="507" t="s">
        <v>4332</v>
      </c>
      <c r="C956" s="506" t="s">
        <v>328</v>
      </c>
      <c r="D956" s="508">
        <v>18294</v>
      </c>
      <c r="E956" s="507" t="s">
        <v>331</v>
      </c>
    </row>
    <row r="957" spans="1:5" ht="15" x14ac:dyDescent="0.3">
      <c r="A957" s="506">
        <v>8157</v>
      </c>
      <c r="B957" s="507" t="s">
        <v>4333</v>
      </c>
      <c r="C957" s="506" t="s">
        <v>32</v>
      </c>
      <c r="D957" s="508">
        <v>1805</v>
      </c>
      <c r="E957" s="507" t="s">
        <v>331</v>
      </c>
    </row>
    <row r="958" spans="1:5" ht="15" x14ac:dyDescent="0.3">
      <c r="A958" s="506">
        <v>8158</v>
      </c>
      <c r="B958" s="507" t="s">
        <v>4334</v>
      </c>
      <c r="C958" s="506" t="s">
        <v>32</v>
      </c>
      <c r="D958" s="508">
        <v>4553</v>
      </c>
      <c r="E958" s="507" t="s">
        <v>331</v>
      </c>
    </row>
    <row r="959" spans="1:5" ht="15" x14ac:dyDescent="0.3">
      <c r="A959" s="506">
        <v>8159</v>
      </c>
      <c r="B959" s="507" t="s">
        <v>4335</v>
      </c>
      <c r="C959" s="506" t="s">
        <v>32</v>
      </c>
      <c r="D959" s="508">
        <v>22101</v>
      </c>
      <c r="E959" s="507" t="s">
        <v>331</v>
      </c>
    </row>
    <row r="960" spans="1:5" ht="15" x14ac:dyDescent="0.3">
      <c r="A960" s="506">
        <v>8160</v>
      </c>
      <c r="B960" s="507" t="s">
        <v>4336</v>
      </c>
      <c r="C960" s="506" t="s">
        <v>32</v>
      </c>
      <c r="D960" s="508">
        <v>5841</v>
      </c>
      <c r="E960" s="507" t="s">
        <v>331</v>
      </c>
    </row>
    <row r="961" spans="1:5" ht="15" x14ac:dyDescent="0.3">
      <c r="A961" s="506">
        <v>8161</v>
      </c>
      <c r="B961" s="507" t="s">
        <v>4337</v>
      </c>
      <c r="C961" s="506" t="s">
        <v>32</v>
      </c>
      <c r="D961" s="508">
        <v>24225</v>
      </c>
      <c r="E961" s="507" t="s">
        <v>331</v>
      </c>
    </row>
    <row r="962" spans="1:5" ht="15" x14ac:dyDescent="0.3">
      <c r="A962" s="506">
        <v>8162</v>
      </c>
      <c r="B962" s="507" t="s">
        <v>4338</v>
      </c>
      <c r="C962" s="506" t="s">
        <v>32</v>
      </c>
      <c r="D962" s="508">
        <v>11190</v>
      </c>
      <c r="E962" s="507" t="s">
        <v>331</v>
      </c>
    </row>
    <row r="963" spans="1:5" ht="15" x14ac:dyDescent="0.3">
      <c r="A963" s="506">
        <v>8164</v>
      </c>
      <c r="B963" s="507" t="s">
        <v>4339</v>
      </c>
      <c r="C963" s="506" t="s">
        <v>32</v>
      </c>
      <c r="D963" s="508">
        <v>70491</v>
      </c>
      <c r="E963" s="507" t="s">
        <v>331</v>
      </c>
    </row>
    <row r="964" spans="1:5" ht="15" x14ac:dyDescent="0.3">
      <c r="A964" s="506">
        <v>8165</v>
      </c>
      <c r="B964" s="507" t="s">
        <v>4340</v>
      </c>
      <c r="C964" s="506" t="s">
        <v>32</v>
      </c>
      <c r="D964" s="508">
        <v>34330</v>
      </c>
      <c r="E964" s="507" t="s">
        <v>331</v>
      </c>
    </row>
    <row r="965" spans="1:5" ht="15" x14ac:dyDescent="0.3">
      <c r="A965" s="506">
        <v>8166</v>
      </c>
      <c r="B965" s="507" t="s">
        <v>4341</v>
      </c>
      <c r="C965" s="506" t="s">
        <v>32</v>
      </c>
      <c r="D965" s="508">
        <v>22101</v>
      </c>
      <c r="E965" s="507" t="s">
        <v>331</v>
      </c>
    </row>
    <row r="966" spans="1:5" ht="15" x14ac:dyDescent="0.3">
      <c r="A966" s="506">
        <v>8167</v>
      </c>
      <c r="B966" s="507" t="s">
        <v>4342</v>
      </c>
      <c r="C966" s="506" t="s">
        <v>32</v>
      </c>
      <c r="D966" s="508">
        <v>11444</v>
      </c>
      <c r="E966" s="507" t="s">
        <v>331</v>
      </c>
    </row>
    <row r="967" spans="1:5" ht="15" x14ac:dyDescent="0.3">
      <c r="A967" s="506">
        <v>8169</v>
      </c>
      <c r="B967" s="507" t="s">
        <v>4343</v>
      </c>
      <c r="C967" s="506" t="s">
        <v>32</v>
      </c>
      <c r="D967" s="508">
        <v>5839</v>
      </c>
      <c r="E967" s="507" t="s">
        <v>331</v>
      </c>
    </row>
    <row r="968" spans="1:5" ht="15" x14ac:dyDescent="0.3">
      <c r="A968" s="506">
        <v>8170</v>
      </c>
      <c r="B968" s="507" t="s">
        <v>4344</v>
      </c>
      <c r="C968" s="506" t="s">
        <v>32</v>
      </c>
      <c r="D968" s="508">
        <v>8080</v>
      </c>
      <c r="E968" s="507" t="s">
        <v>331</v>
      </c>
    </row>
    <row r="969" spans="1:5" ht="15" x14ac:dyDescent="0.3">
      <c r="A969" s="506">
        <v>8171</v>
      </c>
      <c r="B969" s="507" t="s">
        <v>4345</v>
      </c>
      <c r="C969" s="506" t="s">
        <v>32</v>
      </c>
      <c r="D969" s="508">
        <v>3944</v>
      </c>
      <c r="E969" s="507" t="s">
        <v>331</v>
      </c>
    </row>
    <row r="970" spans="1:5" ht="15" x14ac:dyDescent="0.3">
      <c r="A970" s="506">
        <v>8172</v>
      </c>
      <c r="B970" s="507" t="s">
        <v>4346</v>
      </c>
      <c r="C970" s="506" t="s">
        <v>328</v>
      </c>
      <c r="D970" s="508">
        <v>12794</v>
      </c>
      <c r="E970" s="507" t="s">
        <v>331</v>
      </c>
    </row>
    <row r="971" spans="1:5" ht="15" x14ac:dyDescent="0.3">
      <c r="A971" s="506">
        <v>8173</v>
      </c>
      <c r="B971" s="507" t="s">
        <v>4347</v>
      </c>
      <c r="C971" s="506" t="s">
        <v>328</v>
      </c>
      <c r="D971" s="508">
        <v>10288</v>
      </c>
      <c r="E971" s="507" t="s">
        <v>331</v>
      </c>
    </row>
    <row r="972" spans="1:5" ht="15" x14ac:dyDescent="0.3">
      <c r="A972" s="506">
        <v>8174</v>
      </c>
      <c r="B972" s="507" t="s">
        <v>4348</v>
      </c>
      <c r="C972" s="506" t="s">
        <v>32</v>
      </c>
      <c r="D972" s="508">
        <v>14068</v>
      </c>
      <c r="E972" s="507" t="s">
        <v>331</v>
      </c>
    </row>
    <row r="973" spans="1:5" ht="15" x14ac:dyDescent="0.3">
      <c r="A973" s="506">
        <v>8175</v>
      </c>
      <c r="B973" s="507" t="s">
        <v>4349</v>
      </c>
      <c r="C973" s="506" t="s">
        <v>32</v>
      </c>
      <c r="D973" s="508">
        <v>10702</v>
      </c>
      <c r="E973" s="507" t="s">
        <v>331</v>
      </c>
    </row>
    <row r="974" spans="1:5" ht="15" x14ac:dyDescent="0.3">
      <c r="A974" s="506">
        <v>8177</v>
      </c>
      <c r="B974" s="507" t="s">
        <v>4350</v>
      </c>
      <c r="C974" s="506" t="s">
        <v>32</v>
      </c>
      <c r="D974" s="508">
        <v>5701</v>
      </c>
      <c r="E974" s="507" t="s">
        <v>331</v>
      </c>
    </row>
    <row r="975" spans="1:5" ht="15" x14ac:dyDescent="0.3">
      <c r="A975" s="506">
        <v>8178</v>
      </c>
      <c r="B975" s="507" t="s">
        <v>4351</v>
      </c>
      <c r="C975" s="506" t="s">
        <v>32</v>
      </c>
      <c r="D975" s="508">
        <v>2969</v>
      </c>
      <c r="E975" s="507" t="s">
        <v>331</v>
      </c>
    </row>
    <row r="976" spans="1:5" ht="15" x14ac:dyDescent="0.3">
      <c r="A976" s="506">
        <v>8179</v>
      </c>
      <c r="B976" s="507" t="s">
        <v>4352</v>
      </c>
      <c r="C976" s="506" t="s">
        <v>32</v>
      </c>
      <c r="D976" s="508">
        <v>10643</v>
      </c>
      <c r="E976" s="507" t="s">
        <v>331</v>
      </c>
    </row>
    <row r="977" spans="1:5" ht="15" x14ac:dyDescent="0.3">
      <c r="A977" s="506">
        <v>8180</v>
      </c>
      <c r="B977" s="507" t="s">
        <v>4353</v>
      </c>
      <c r="C977" s="506" t="s">
        <v>32</v>
      </c>
      <c r="D977" s="508">
        <v>5421</v>
      </c>
      <c r="E977" s="507" t="s">
        <v>331</v>
      </c>
    </row>
    <row r="978" spans="1:5" ht="15" x14ac:dyDescent="0.3">
      <c r="A978" s="506">
        <v>8181</v>
      </c>
      <c r="B978" s="507" t="s">
        <v>4354</v>
      </c>
      <c r="C978" s="506" t="s">
        <v>32</v>
      </c>
      <c r="D978" s="508">
        <v>3512</v>
      </c>
      <c r="E978" s="507" t="s">
        <v>331</v>
      </c>
    </row>
    <row r="979" spans="1:5" ht="15" x14ac:dyDescent="0.3">
      <c r="A979" s="506">
        <v>8182</v>
      </c>
      <c r="B979" s="507" t="s">
        <v>4355</v>
      </c>
      <c r="C979" s="506" t="s">
        <v>32</v>
      </c>
      <c r="D979" s="508">
        <v>1829</v>
      </c>
      <c r="E979" s="507" t="s">
        <v>331</v>
      </c>
    </row>
    <row r="980" spans="1:5" ht="15" x14ac:dyDescent="0.3">
      <c r="A980" s="506">
        <v>8183</v>
      </c>
      <c r="B980" s="507" t="s">
        <v>4356</v>
      </c>
      <c r="C980" s="506" t="s">
        <v>32</v>
      </c>
      <c r="D980" s="508">
        <v>919</v>
      </c>
      <c r="E980" s="507" t="s">
        <v>331</v>
      </c>
    </row>
    <row r="981" spans="1:5" ht="15" x14ac:dyDescent="0.3">
      <c r="A981" s="506">
        <v>8185</v>
      </c>
      <c r="B981" s="507" t="s">
        <v>4357</v>
      </c>
      <c r="C981" s="506" t="s">
        <v>32</v>
      </c>
      <c r="D981" s="508">
        <v>27562</v>
      </c>
      <c r="E981" s="507" t="s">
        <v>331</v>
      </c>
    </row>
    <row r="982" spans="1:5" ht="15" x14ac:dyDescent="0.3">
      <c r="A982" s="506">
        <v>8186</v>
      </c>
      <c r="B982" s="507" t="s">
        <v>4358</v>
      </c>
      <c r="C982" s="506" t="s">
        <v>32</v>
      </c>
      <c r="D982" s="508">
        <v>36961</v>
      </c>
      <c r="E982" s="507" t="s">
        <v>331</v>
      </c>
    </row>
    <row r="983" spans="1:5" ht="15" x14ac:dyDescent="0.3">
      <c r="A983" s="506">
        <v>8187</v>
      </c>
      <c r="B983" s="507" t="s">
        <v>4359</v>
      </c>
      <c r="C983" s="506" t="s">
        <v>32</v>
      </c>
      <c r="D983" s="508">
        <v>4767</v>
      </c>
      <c r="E983" s="507" t="s">
        <v>331</v>
      </c>
    </row>
    <row r="984" spans="1:5" ht="15" x14ac:dyDescent="0.3">
      <c r="A984" s="506">
        <v>8188</v>
      </c>
      <c r="B984" s="507" t="s">
        <v>4360</v>
      </c>
      <c r="C984" s="506" t="s">
        <v>32</v>
      </c>
      <c r="D984" s="508">
        <v>4125</v>
      </c>
      <c r="E984" s="507" t="s">
        <v>331</v>
      </c>
    </row>
    <row r="985" spans="1:5" ht="15" x14ac:dyDescent="0.3">
      <c r="A985" s="506">
        <v>8189</v>
      </c>
      <c r="B985" s="507" t="s">
        <v>4361</v>
      </c>
      <c r="C985" s="506" t="s">
        <v>32</v>
      </c>
      <c r="D985" s="508">
        <v>1805</v>
      </c>
      <c r="E985" s="507" t="s">
        <v>331</v>
      </c>
    </row>
    <row r="986" spans="1:5" ht="15" x14ac:dyDescent="0.3">
      <c r="A986" s="506">
        <v>8190</v>
      </c>
      <c r="B986" s="507" t="s">
        <v>4362</v>
      </c>
      <c r="C986" s="506" t="s">
        <v>32</v>
      </c>
      <c r="D986" s="508">
        <v>1568</v>
      </c>
      <c r="E986" s="507" t="s">
        <v>331</v>
      </c>
    </row>
    <row r="987" spans="1:5" ht="15" x14ac:dyDescent="0.3">
      <c r="A987" s="506">
        <v>8191</v>
      </c>
      <c r="B987" s="507" t="s">
        <v>4363</v>
      </c>
      <c r="C987" s="506" t="s">
        <v>328</v>
      </c>
      <c r="D987" s="508">
        <v>4085</v>
      </c>
      <c r="E987" s="507" t="s">
        <v>331</v>
      </c>
    </row>
    <row r="988" spans="1:5" ht="15" x14ac:dyDescent="0.3">
      <c r="A988" s="506">
        <v>8192</v>
      </c>
      <c r="B988" s="507" t="s">
        <v>4364</v>
      </c>
      <c r="C988" s="506" t="s">
        <v>32</v>
      </c>
      <c r="D988" s="508">
        <v>1253</v>
      </c>
      <c r="E988" s="507" t="s">
        <v>331</v>
      </c>
    </row>
    <row r="989" spans="1:5" ht="15" x14ac:dyDescent="0.3">
      <c r="A989" s="506">
        <v>8193</v>
      </c>
      <c r="B989" s="507" t="s">
        <v>4365</v>
      </c>
      <c r="C989" s="506" t="s">
        <v>32</v>
      </c>
      <c r="D989" s="508">
        <v>532</v>
      </c>
      <c r="E989" s="507" t="s">
        <v>331</v>
      </c>
    </row>
    <row r="990" spans="1:5" ht="15" x14ac:dyDescent="0.3">
      <c r="A990" s="506">
        <v>8195</v>
      </c>
      <c r="B990" s="507" t="s">
        <v>4366</v>
      </c>
      <c r="C990" s="506" t="s">
        <v>328</v>
      </c>
      <c r="D990" s="508">
        <v>21932</v>
      </c>
      <c r="E990" s="507" t="s">
        <v>6108</v>
      </c>
    </row>
    <row r="991" spans="1:5" ht="15" x14ac:dyDescent="0.3">
      <c r="A991" s="506">
        <v>8199</v>
      </c>
      <c r="B991" s="507" t="s">
        <v>4367</v>
      </c>
      <c r="C991" s="506" t="s">
        <v>328</v>
      </c>
      <c r="D991" s="508">
        <v>14624</v>
      </c>
      <c r="E991" s="507" t="s">
        <v>6108</v>
      </c>
    </row>
    <row r="992" spans="1:5" ht="15" x14ac:dyDescent="0.3">
      <c r="A992" s="506">
        <v>8202</v>
      </c>
      <c r="B992" s="507" t="s">
        <v>4368</v>
      </c>
      <c r="C992" s="506" t="s">
        <v>32</v>
      </c>
      <c r="D992" s="508">
        <v>232250</v>
      </c>
      <c r="E992" s="507" t="s">
        <v>6108</v>
      </c>
    </row>
    <row r="993" spans="1:5" ht="15" x14ac:dyDescent="0.3">
      <c r="A993" s="506">
        <v>8203</v>
      </c>
      <c r="B993" s="507" t="s">
        <v>4369</v>
      </c>
      <c r="C993" s="506" t="s">
        <v>32</v>
      </c>
      <c r="D993" s="508">
        <v>14700</v>
      </c>
      <c r="E993" s="507" t="s">
        <v>6108</v>
      </c>
    </row>
    <row r="994" spans="1:5" ht="15" x14ac:dyDescent="0.3">
      <c r="A994" s="506">
        <v>8204</v>
      </c>
      <c r="B994" s="507" t="s">
        <v>4370</v>
      </c>
      <c r="C994" s="506" t="s">
        <v>32</v>
      </c>
      <c r="D994" s="508">
        <v>33450</v>
      </c>
      <c r="E994" s="507" t="s">
        <v>6108</v>
      </c>
    </row>
    <row r="995" spans="1:5" ht="15" x14ac:dyDescent="0.3">
      <c r="A995" s="506">
        <v>8205</v>
      </c>
      <c r="B995" s="507" t="s">
        <v>4371</v>
      </c>
      <c r="C995" s="506" t="s">
        <v>4372</v>
      </c>
      <c r="D995" s="508">
        <v>167</v>
      </c>
      <c r="E995" s="507" t="s">
        <v>6108</v>
      </c>
    </row>
    <row r="996" spans="1:5" ht="15" x14ac:dyDescent="0.3">
      <c r="A996" s="506">
        <v>8206</v>
      </c>
      <c r="B996" s="507" t="s">
        <v>4373</v>
      </c>
      <c r="C996" s="506" t="s">
        <v>328</v>
      </c>
      <c r="D996" s="508">
        <v>38900</v>
      </c>
      <c r="E996" s="507" t="s">
        <v>6108</v>
      </c>
    </row>
    <row r="997" spans="1:5" ht="15" x14ac:dyDescent="0.3">
      <c r="A997" s="506">
        <v>8207</v>
      </c>
      <c r="B997" s="507" t="s">
        <v>4374</v>
      </c>
      <c r="C997" s="506" t="s">
        <v>328</v>
      </c>
      <c r="D997" s="508">
        <v>21932</v>
      </c>
      <c r="E997" s="507" t="s">
        <v>6108</v>
      </c>
    </row>
    <row r="998" spans="1:5" ht="15" x14ac:dyDescent="0.3">
      <c r="A998" s="506">
        <v>8208</v>
      </c>
      <c r="B998" s="507" t="s">
        <v>4375</v>
      </c>
      <c r="C998" s="506" t="s">
        <v>328</v>
      </c>
      <c r="D998" s="508">
        <v>50073</v>
      </c>
      <c r="E998" s="507" t="s">
        <v>6108</v>
      </c>
    </row>
    <row r="999" spans="1:5" ht="15" x14ac:dyDescent="0.3">
      <c r="A999" s="506">
        <v>8209</v>
      </c>
      <c r="B999" s="507" t="s">
        <v>4376</v>
      </c>
      <c r="C999" s="506" t="s">
        <v>32</v>
      </c>
      <c r="D999" s="508">
        <v>1350</v>
      </c>
      <c r="E999" s="507" t="s">
        <v>6108</v>
      </c>
    </row>
    <row r="1000" spans="1:5" ht="15" x14ac:dyDescent="0.3">
      <c r="A1000" s="506">
        <v>8210</v>
      </c>
      <c r="B1000" s="507" t="s">
        <v>4377</v>
      </c>
      <c r="C1000" s="506" t="s">
        <v>328</v>
      </c>
      <c r="D1000" s="508">
        <v>9145</v>
      </c>
      <c r="E1000" s="507" t="s">
        <v>6108</v>
      </c>
    </row>
    <row r="1001" spans="1:5" ht="15" x14ac:dyDescent="0.3">
      <c r="A1001" s="506">
        <v>8211</v>
      </c>
      <c r="B1001" s="507" t="s">
        <v>4378</v>
      </c>
      <c r="C1001" s="506" t="s">
        <v>328</v>
      </c>
      <c r="D1001" s="508">
        <v>5775</v>
      </c>
      <c r="E1001" s="507" t="s">
        <v>6108</v>
      </c>
    </row>
    <row r="1002" spans="1:5" ht="15" x14ac:dyDescent="0.3">
      <c r="A1002" s="506">
        <v>8212</v>
      </c>
      <c r="B1002" s="507" t="s">
        <v>4379</v>
      </c>
      <c r="C1002" s="506" t="s">
        <v>328</v>
      </c>
      <c r="D1002" s="508">
        <v>17732</v>
      </c>
      <c r="E1002" s="507" t="s">
        <v>6108</v>
      </c>
    </row>
    <row r="1003" spans="1:5" ht="15" x14ac:dyDescent="0.3">
      <c r="A1003" s="506">
        <v>8213</v>
      </c>
      <c r="B1003" s="507" t="s">
        <v>4380</v>
      </c>
      <c r="C1003" s="506" t="s">
        <v>32</v>
      </c>
      <c r="D1003" s="508">
        <v>450</v>
      </c>
      <c r="E1003" s="507" t="s">
        <v>6108</v>
      </c>
    </row>
    <row r="1004" spans="1:5" ht="15" x14ac:dyDescent="0.3">
      <c r="A1004" s="506">
        <v>8216</v>
      </c>
      <c r="B1004" s="507" t="s">
        <v>4381</v>
      </c>
      <c r="C1004" s="506" t="s">
        <v>32</v>
      </c>
      <c r="D1004" s="508">
        <v>11250</v>
      </c>
      <c r="E1004" s="507" t="s">
        <v>6108</v>
      </c>
    </row>
    <row r="1005" spans="1:5" ht="15" x14ac:dyDescent="0.3">
      <c r="A1005" s="506">
        <v>8217</v>
      </c>
      <c r="B1005" s="507" t="s">
        <v>4382</v>
      </c>
      <c r="C1005" s="506" t="s">
        <v>32</v>
      </c>
      <c r="D1005" s="508">
        <v>1428</v>
      </c>
      <c r="E1005" s="507" t="s">
        <v>6108</v>
      </c>
    </row>
    <row r="1006" spans="1:5" ht="15" x14ac:dyDescent="0.3">
      <c r="A1006" s="506">
        <v>8218</v>
      </c>
      <c r="B1006" s="507" t="s">
        <v>4383</v>
      </c>
      <c r="C1006" s="506" t="s">
        <v>328</v>
      </c>
      <c r="D1006" s="508">
        <v>1583</v>
      </c>
      <c r="E1006" s="507" t="s">
        <v>6108</v>
      </c>
    </row>
    <row r="1007" spans="1:5" ht="15" x14ac:dyDescent="0.3">
      <c r="A1007" s="506">
        <v>8219</v>
      </c>
      <c r="B1007" s="507" t="s">
        <v>4384</v>
      </c>
      <c r="C1007" s="506" t="s">
        <v>32</v>
      </c>
      <c r="D1007" s="508">
        <v>28875</v>
      </c>
      <c r="E1007" s="507" t="s">
        <v>6108</v>
      </c>
    </row>
    <row r="1008" spans="1:5" ht="15" x14ac:dyDescent="0.3">
      <c r="A1008" s="506">
        <v>8221</v>
      </c>
      <c r="B1008" s="507" t="s">
        <v>4385</v>
      </c>
      <c r="C1008" s="506" t="s">
        <v>328</v>
      </c>
      <c r="D1008" s="508">
        <v>2500</v>
      </c>
      <c r="E1008" s="507" t="s">
        <v>6108</v>
      </c>
    </row>
    <row r="1009" spans="1:5" ht="15" x14ac:dyDescent="0.3">
      <c r="A1009" s="506">
        <v>8222</v>
      </c>
      <c r="B1009" s="507" t="s">
        <v>4386</v>
      </c>
      <c r="C1009" s="506" t="s">
        <v>32</v>
      </c>
      <c r="D1009" s="508">
        <v>42007</v>
      </c>
      <c r="E1009" s="507" t="s">
        <v>6108</v>
      </c>
    </row>
    <row r="1010" spans="1:5" ht="15" x14ac:dyDescent="0.3">
      <c r="A1010" s="506">
        <v>8223</v>
      </c>
      <c r="B1010" s="507" t="s">
        <v>4387</v>
      </c>
      <c r="C1010" s="506" t="s">
        <v>32</v>
      </c>
      <c r="D1010" s="508">
        <v>17751</v>
      </c>
      <c r="E1010" s="507" t="s">
        <v>6108</v>
      </c>
    </row>
    <row r="1011" spans="1:5" ht="15" x14ac:dyDescent="0.3">
      <c r="A1011" s="506">
        <v>8224</v>
      </c>
      <c r="B1011" s="507" t="s">
        <v>4388</v>
      </c>
      <c r="C1011" s="506" t="s">
        <v>32</v>
      </c>
      <c r="D1011" s="508">
        <v>9500</v>
      </c>
      <c r="E1011" s="507" t="s">
        <v>6108</v>
      </c>
    </row>
    <row r="1012" spans="1:5" ht="15" x14ac:dyDescent="0.3">
      <c r="A1012" s="506">
        <v>8225</v>
      </c>
      <c r="B1012" s="507" t="s">
        <v>4389</v>
      </c>
      <c r="C1012" s="506" t="s">
        <v>32</v>
      </c>
      <c r="D1012" s="508">
        <v>7350</v>
      </c>
      <c r="E1012" s="507" t="s">
        <v>6108</v>
      </c>
    </row>
    <row r="1013" spans="1:5" ht="15" x14ac:dyDescent="0.3">
      <c r="A1013" s="506">
        <v>8227</v>
      </c>
      <c r="B1013" s="507" t="s">
        <v>4390</v>
      </c>
      <c r="C1013" s="506" t="s">
        <v>32</v>
      </c>
      <c r="D1013" s="508">
        <v>1290</v>
      </c>
      <c r="E1013" s="507" t="s">
        <v>6108</v>
      </c>
    </row>
    <row r="1014" spans="1:5" ht="15" x14ac:dyDescent="0.3">
      <c r="A1014" s="506">
        <v>8228</v>
      </c>
      <c r="B1014" s="507" t="s">
        <v>6273</v>
      </c>
      <c r="C1014" s="506" t="s">
        <v>328</v>
      </c>
      <c r="D1014" s="508">
        <v>61285</v>
      </c>
      <c r="E1014" s="507" t="s">
        <v>6108</v>
      </c>
    </row>
    <row r="1015" spans="1:5" ht="15" x14ac:dyDescent="0.3">
      <c r="A1015" s="506">
        <v>8229</v>
      </c>
      <c r="B1015" s="507" t="s">
        <v>4391</v>
      </c>
      <c r="C1015" s="506" t="s">
        <v>32</v>
      </c>
      <c r="D1015" s="508">
        <v>400</v>
      </c>
      <c r="E1015" s="507" t="s">
        <v>6108</v>
      </c>
    </row>
    <row r="1016" spans="1:5" ht="15" x14ac:dyDescent="0.3">
      <c r="A1016" s="506">
        <v>8230</v>
      </c>
      <c r="B1016" s="507" t="s">
        <v>6274</v>
      </c>
      <c r="C1016" s="506" t="s">
        <v>328</v>
      </c>
      <c r="D1016" s="508">
        <v>18056</v>
      </c>
      <c r="E1016" s="507" t="s">
        <v>6108</v>
      </c>
    </row>
    <row r="1017" spans="1:5" ht="15" x14ac:dyDescent="0.3">
      <c r="A1017" s="506">
        <v>8231</v>
      </c>
      <c r="B1017" s="507" t="s">
        <v>4392</v>
      </c>
      <c r="C1017" s="506" t="s">
        <v>32</v>
      </c>
      <c r="D1017" s="508">
        <v>3689</v>
      </c>
      <c r="E1017" s="507" t="s">
        <v>6108</v>
      </c>
    </row>
    <row r="1018" spans="1:5" ht="15" x14ac:dyDescent="0.3">
      <c r="A1018" s="506">
        <v>8232</v>
      </c>
      <c r="B1018" s="507" t="s">
        <v>4393</v>
      </c>
      <c r="C1018" s="506" t="s">
        <v>328</v>
      </c>
      <c r="D1018" s="508">
        <v>12530</v>
      </c>
      <c r="E1018" s="507" t="s">
        <v>6108</v>
      </c>
    </row>
    <row r="1019" spans="1:5" ht="15" x14ac:dyDescent="0.3">
      <c r="A1019" s="506">
        <v>8233</v>
      </c>
      <c r="B1019" s="507" t="s">
        <v>4394</v>
      </c>
      <c r="C1019" s="506" t="s">
        <v>32</v>
      </c>
      <c r="D1019" s="508">
        <v>13000</v>
      </c>
      <c r="E1019" s="507" t="s">
        <v>6108</v>
      </c>
    </row>
    <row r="1020" spans="1:5" ht="15" x14ac:dyDescent="0.3">
      <c r="A1020" s="506">
        <v>8235</v>
      </c>
      <c r="B1020" s="507" t="s">
        <v>4395</v>
      </c>
      <c r="C1020" s="506" t="s">
        <v>32</v>
      </c>
      <c r="D1020" s="508">
        <v>12000</v>
      </c>
      <c r="E1020" s="507" t="s">
        <v>6108</v>
      </c>
    </row>
    <row r="1021" spans="1:5" ht="15" x14ac:dyDescent="0.3">
      <c r="A1021" s="506">
        <v>8244</v>
      </c>
      <c r="B1021" s="507" t="s">
        <v>4396</v>
      </c>
      <c r="C1021" s="506" t="s">
        <v>32</v>
      </c>
      <c r="D1021" s="508">
        <v>431291</v>
      </c>
      <c r="E1021" s="507" t="s">
        <v>6108</v>
      </c>
    </row>
    <row r="1022" spans="1:5" ht="15" x14ac:dyDescent="0.3">
      <c r="A1022" s="506">
        <v>8245</v>
      </c>
      <c r="B1022" s="507" t="s">
        <v>4397</v>
      </c>
      <c r="C1022" s="506" t="s">
        <v>32</v>
      </c>
      <c r="D1022" s="508">
        <v>1097758</v>
      </c>
      <c r="E1022" s="507" t="s">
        <v>6108</v>
      </c>
    </row>
    <row r="1023" spans="1:5" ht="15" x14ac:dyDescent="0.3">
      <c r="A1023" s="506">
        <v>8246</v>
      </c>
      <c r="B1023" s="507" t="s">
        <v>4398</v>
      </c>
      <c r="C1023" s="506" t="s">
        <v>32</v>
      </c>
      <c r="D1023" s="508">
        <v>360679</v>
      </c>
      <c r="E1023" s="507" t="s">
        <v>6108</v>
      </c>
    </row>
    <row r="1024" spans="1:5" ht="15" x14ac:dyDescent="0.3">
      <c r="A1024" s="506">
        <v>8247</v>
      </c>
      <c r="B1024" s="507" t="s">
        <v>4399</v>
      </c>
      <c r="C1024" s="506" t="s">
        <v>32</v>
      </c>
      <c r="D1024" s="508">
        <v>82038</v>
      </c>
      <c r="E1024" s="507" t="s">
        <v>6108</v>
      </c>
    </row>
    <row r="1025" spans="1:5" ht="15" x14ac:dyDescent="0.3">
      <c r="A1025" s="506">
        <v>8248</v>
      </c>
      <c r="B1025" s="507" t="s">
        <v>4400</v>
      </c>
      <c r="C1025" s="506" t="s">
        <v>32</v>
      </c>
      <c r="D1025" s="508">
        <v>281922</v>
      </c>
      <c r="E1025" s="507" t="s">
        <v>6108</v>
      </c>
    </row>
    <row r="1026" spans="1:5" ht="15" x14ac:dyDescent="0.3">
      <c r="A1026" s="506">
        <v>8249</v>
      </c>
      <c r="B1026" s="507" t="s">
        <v>4401</v>
      </c>
      <c r="C1026" s="506" t="s">
        <v>32</v>
      </c>
      <c r="D1026" s="508">
        <v>558820</v>
      </c>
      <c r="E1026" s="507" t="s">
        <v>6108</v>
      </c>
    </row>
    <row r="1027" spans="1:5" ht="15" x14ac:dyDescent="0.3">
      <c r="A1027" s="506">
        <v>8250</v>
      </c>
      <c r="B1027" s="507" t="s">
        <v>4402</v>
      </c>
      <c r="C1027" s="506" t="s">
        <v>32</v>
      </c>
      <c r="D1027" s="508">
        <v>451138</v>
      </c>
      <c r="E1027" s="507" t="s">
        <v>6108</v>
      </c>
    </row>
    <row r="1028" spans="1:5" ht="15" x14ac:dyDescent="0.3">
      <c r="A1028" s="506">
        <v>8253</v>
      </c>
      <c r="B1028" s="507" t="s">
        <v>4403</v>
      </c>
      <c r="C1028" s="506" t="s">
        <v>3579</v>
      </c>
      <c r="D1028" s="508">
        <v>206900</v>
      </c>
      <c r="E1028" s="507" t="s">
        <v>6108</v>
      </c>
    </row>
    <row r="1029" spans="1:5" ht="15" x14ac:dyDescent="0.3">
      <c r="A1029" s="506">
        <v>8254</v>
      </c>
      <c r="B1029" s="507" t="s">
        <v>4404</v>
      </c>
      <c r="C1029" s="506" t="s">
        <v>670</v>
      </c>
      <c r="D1029" s="508">
        <v>18850</v>
      </c>
      <c r="E1029" s="507" t="s">
        <v>6108</v>
      </c>
    </row>
    <row r="1030" spans="1:5" ht="15" x14ac:dyDescent="0.3">
      <c r="A1030" s="506">
        <v>8256</v>
      </c>
      <c r="B1030" s="507" t="s">
        <v>4405</v>
      </c>
      <c r="C1030" s="506" t="s">
        <v>692</v>
      </c>
      <c r="D1030" s="508">
        <v>121212</v>
      </c>
      <c r="E1030" s="507" t="s">
        <v>6109</v>
      </c>
    </row>
    <row r="1031" spans="1:5" ht="15" x14ac:dyDescent="0.3">
      <c r="A1031" s="506">
        <v>8258</v>
      </c>
      <c r="B1031" s="507" t="s">
        <v>4406</v>
      </c>
      <c r="C1031" s="506" t="s">
        <v>3582</v>
      </c>
      <c r="D1031" s="508">
        <v>44498</v>
      </c>
      <c r="E1031" s="507" t="s">
        <v>6108</v>
      </c>
    </row>
    <row r="1032" spans="1:5" ht="15" x14ac:dyDescent="0.3">
      <c r="A1032" s="506">
        <v>8259</v>
      </c>
      <c r="B1032" s="507" t="s">
        <v>4407</v>
      </c>
      <c r="C1032" s="506" t="s">
        <v>328</v>
      </c>
      <c r="D1032" s="508">
        <v>19203</v>
      </c>
      <c r="E1032" s="507" t="s">
        <v>331</v>
      </c>
    </row>
    <row r="1033" spans="1:5" ht="15" x14ac:dyDescent="0.3">
      <c r="A1033" s="506">
        <v>8260</v>
      </c>
      <c r="B1033" s="507" t="s">
        <v>4408</v>
      </c>
      <c r="C1033" s="506" t="s">
        <v>328</v>
      </c>
      <c r="D1033" s="508">
        <v>5474</v>
      </c>
      <c r="E1033" s="507" t="s">
        <v>331</v>
      </c>
    </row>
    <row r="1034" spans="1:5" ht="15" x14ac:dyDescent="0.3">
      <c r="A1034" s="506">
        <v>8262</v>
      </c>
      <c r="B1034" s="507" t="s">
        <v>4409</v>
      </c>
      <c r="C1034" s="506" t="s">
        <v>3579</v>
      </c>
      <c r="D1034" s="508">
        <v>116996</v>
      </c>
      <c r="E1034" s="507" t="s">
        <v>6108</v>
      </c>
    </row>
    <row r="1035" spans="1:5" ht="15" x14ac:dyDescent="0.3">
      <c r="A1035" s="506">
        <v>8270</v>
      </c>
      <c r="B1035" s="507" t="s">
        <v>4410</v>
      </c>
      <c r="C1035" s="506" t="s">
        <v>328</v>
      </c>
      <c r="D1035" s="508">
        <v>8246</v>
      </c>
      <c r="E1035" s="507" t="s">
        <v>6108</v>
      </c>
    </row>
    <row r="1036" spans="1:5" ht="15" x14ac:dyDescent="0.3">
      <c r="A1036" s="506">
        <v>8271</v>
      </c>
      <c r="B1036" s="507" t="s">
        <v>4411</v>
      </c>
      <c r="C1036" s="506" t="s">
        <v>21</v>
      </c>
      <c r="D1036" s="508">
        <v>11484</v>
      </c>
      <c r="E1036" s="507" t="s">
        <v>6108</v>
      </c>
    </row>
    <row r="1037" spans="1:5" ht="15" x14ac:dyDescent="0.3">
      <c r="A1037" s="506">
        <v>8276</v>
      </c>
      <c r="B1037" s="507" t="s">
        <v>4412</v>
      </c>
      <c r="C1037" s="506" t="s">
        <v>32</v>
      </c>
      <c r="D1037" s="508">
        <v>87406</v>
      </c>
      <c r="E1037" s="507" t="s">
        <v>6108</v>
      </c>
    </row>
    <row r="1038" spans="1:5" ht="15" x14ac:dyDescent="0.3">
      <c r="A1038" s="506">
        <v>8277</v>
      </c>
      <c r="B1038" s="507" t="s">
        <v>4413</v>
      </c>
      <c r="C1038" s="506" t="s">
        <v>32</v>
      </c>
      <c r="D1038" s="508">
        <v>25158</v>
      </c>
      <c r="E1038" s="507" t="s">
        <v>6108</v>
      </c>
    </row>
    <row r="1039" spans="1:5" ht="15" x14ac:dyDescent="0.3">
      <c r="A1039" s="506">
        <v>8278</v>
      </c>
      <c r="B1039" s="507" t="s">
        <v>6275</v>
      </c>
      <c r="C1039" s="506" t="s">
        <v>32</v>
      </c>
      <c r="D1039" s="508">
        <v>20171</v>
      </c>
      <c r="E1039" s="507" t="s">
        <v>6108</v>
      </c>
    </row>
    <row r="1040" spans="1:5" ht="15" x14ac:dyDescent="0.3">
      <c r="A1040" s="506">
        <v>8294</v>
      </c>
      <c r="B1040" s="507" t="s">
        <v>4414</v>
      </c>
      <c r="C1040" s="506" t="s">
        <v>32</v>
      </c>
      <c r="D1040" s="508">
        <v>29884</v>
      </c>
      <c r="E1040" s="507" t="s">
        <v>331</v>
      </c>
    </row>
    <row r="1041" spans="1:5" ht="15" x14ac:dyDescent="0.3">
      <c r="A1041" s="506">
        <v>8295</v>
      </c>
      <c r="B1041" s="507" t="s">
        <v>4415</v>
      </c>
      <c r="C1041" s="506" t="s">
        <v>32</v>
      </c>
      <c r="D1041" s="508">
        <v>37988</v>
      </c>
      <c r="E1041" s="507" t="s">
        <v>331</v>
      </c>
    </row>
    <row r="1042" spans="1:5" ht="15" x14ac:dyDescent="0.3">
      <c r="A1042" s="506">
        <v>8297</v>
      </c>
      <c r="B1042" s="507" t="s">
        <v>6276</v>
      </c>
      <c r="C1042" s="506" t="s">
        <v>3582</v>
      </c>
      <c r="D1042" s="508">
        <v>292000</v>
      </c>
      <c r="E1042" s="507" t="s">
        <v>6109</v>
      </c>
    </row>
    <row r="1043" spans="1:5" ht="15" x14ac:dyDescent="0.3">
      <c r="A1043" s="506">
        <v>8298</v>
      </c>
      <c r="B1043" s="507" t="s">
        <v>4416</v>
      </c>
      <c r="C1043" s="506" t="s">
        <v>979</v>
      </c>
      <c r="D1043" s="508">
        <v>112533</v>
      </c>
      <c r="E1043" s="507" t="s">
        <v>331</v>
      </c>
    </row>
    <row r="1044" spans="1:5" ht="15" x14ac:dyDescent="0.3">
      <c r="A1044" s="506">
        <v>8299</v>
      </c>
      <c r="B1044" s="507" t="s">
        <v>4417</v>
      </c>
      <c r="C1044" s="506" t="s">
        <v>692</v>
      </c>
      <c r="D1044" s="508">
        <v>131508</v>
      </c>
      <c r="E1044" s="507" t="s">
        <v>6109</v>
      </c>
    </row>
    <row r="1045" spans="1:5" ht="15" x14ac:dyDescent="0.3">
      <c r="A1045" s="506">
        <v>8300</v>
      </c>
      <c r="B1045" s="507" t="s">
        <v>4418</v>
      </c>
      <c r="C1045" s="506" t="s">
        <v>692</v>
      </c>
      <c r="D1045" s="508">
        <v>163636</v>
      </c>
      <c r="E1045" s="507" t="s">
        <v>6109</v>
      </c>
    </row>
    <row r="1046" spans="1:5" ht="15" x14ac:dyDescent="0.3">
      <c r="A1046" s="506">
        <v>8302</v>
      </c>
      <c r="B1046" s="507" t="s">
        <v>4419</v>
      </c>
      <c r="C1046" s="506" t="s">
        <v>32</v>
      </c>
      <c r="D1046" s="508">
        <v>26165</v>
      </c>
      <c r="E1046" s="507" t="s">
        <v>6108</v>
      </c>
    </row>
    <row r="1047" spans="1:5" ht="15" x14ac:dyDescent="0.3">
      <c r="A1047" s="506">
        <v>8303</v>
      </c>
      <c r="B1047" s="507" t="s">
        <v>4420</v>
      </c>
      <c r="C1047" s="506" t="s">
        <v>32</v>
      </c>
      <c r="D1047" s="508">
        <v>52920</v>
      </c>
      <c r="E1047" s="507" t="s">
        <v>6108</v>
      </c>
    </row>
    <row r="1048" spans="1:5" ht="15" x14ac:dyDescent="0.3">
      <c r="A1048" s="506">
        <v>8304</v>
      </c>
      <c r="B1048" s="507" t="s">
        <v>4421</v>
      </c>
      <c r="C1048" s="506" t="s">
        <v>254</v>
      </c>
      <c r="D1048" s="508">
        <v>2356200</v>
      </c>
      <c r="E1048" s="507" t="s">
        <v>6108</v>
      </c>
    </row>
    <row r="1049" spans="1:5" ht="15" x14ac:dyDescent="0.3">
      <c r="A1049" s="506">
        <v>8306</v>
      </c>
      <c r="B1049" s="507" t="s">
        <v>4422</v>
      </c>
      <c r="C1049" s="506" t="s">
        <v>32</v>
      </c>
      <c r="D1049" s="508">
        <v>150856</v>
      </c>
      <c r="E1049" s="507" t="s">
        <v>6108</v>
      </c>
    </row>
    <row r="1050" spans="1:5" ht="15" x14ac:dyDescent="0.3">
      <c r="A1050" s="506">
        <v>8313</v>
      </c>
      <c r="B1050" s="507" t="s">
        <v>4423</v>
      </c>
      <c r="C1050" s="506" t="s">
        <v>670</v>
      </c>
      <c r="D1050" s="508">
        <v>7444</v>
      </c>
      <c r="E1050" s="507" t="s">
        <v>6108</v>
      </c>
    </row>
    <row r="1051" spans="1:5" ht="15" x14ac:dyDescent="0.3">
      <c r="A1051" s="506">
        <v>8314</v>
      </c>
      <c r="B1051" s="507" t="s">
        <v>4424</v>
      </c>
      <c r="C1051" s="506" t="s">
        <v>670</v>
      </c>
      <c r="D1051" s="508">
        <v>28293</v>
      </c>
      <c r="E1051" s="507" t="s">
        <v>6108</v>
      </c>
    </row>
    <row r="1052" spans="1:5" ht="15" x14ac:dyDescent="0.3">
      <c r="A1052" s="506">
        <v>8319</v>
      </c>
      <c r="B1052" s="507" t="s">
        <v>4425</v>
      </c>
      <c r="C1052" s="506" t="s">
        <v>328</v>
      </c>
      <c r="D1052" s="508">
        <v>2591</v>
      </c>
      <c r="E1052" s="507" t="s">
        <v>6108</v>
      </c>
    </row>
    <row r="1053" spans="1:5" ht="15" x14ac:dyDescent="0.3">
      <c r="A1053" s="506">
        <v>8320</v>
      </c>
      <c r="B1053" s="507" t="s">
        <v>4426</v>
      </c>
      <c r="C1053" s="506" t="s">
        <v>254</v>
      </c>
      <c r="D1053" s="508">
        <v>3636357</v>
      </c>
      <c r="E1053" s="507" t="s">
        <v>6109</v>
      </c>
    </row>
    <row r="1054" spans="1:5" ht="15" x14ac:dyDescent="0.3">
      <c r="A1054" s="506">
        <v>8321</v>
      </c>
      <c r="B1054" s="507" t="s">
        <v>4427</v>
      </c>
      <c r="C1054" s="506" t="s">
        <v>692</v>
      </c>
      <c r="D1054" s="508">
        <v>121212</v>
      </c>
      <c r="E1054" s="507" t="s">
        <v>6109</v>
      </c>
    </row>
    <row r="1055" spans="1:5" ht="15" x14ac:dyDescent="0.3">
      <c r="A1055" s="506">
        <v>8322</v>
      </c>
      <c r="B1055" s="507" t="s">
        <v>4428</v>
      </c>
      <c r="C1055" s="506" t="s">
        <v>328</v>
      </c>
      <c r="D1055" s="508">
        <v>2579</v>
      </c>
      <c r="E1055" s="507" t="s">
        <v>6108</v>
      </c>
    </row>
    <row r="1056" spans="1:5" ht="15" x14ac:dyDescent="0.3">
      <c r="A1056" s="506">
        <v>8324</v>
      </c>
      <c r="B1056" s="507" t="s">
        <v>6277</v>
      </c>
      <c r="C1056" s="506" t="s">
        <v>3582</v>
      </c>
      <c r="D1056" s="508">
        <v>426525</v>
      </c>
      <c r="E1056" s="507" t="s">
        <v>6109</v>
      </c>
    </row>
    <row r="1057" spans="1:5" ht="15" x14ac:dyDescent="0.3">
      <c r="A1057" s="506">
        <v>8328</v>
      </c>
      <c r="B1057" s="507" t="s">
        <v>4429</v>
      </c>
      <c r="C1057" s="506" t="s">
        <v>3593</v>
      </c>
      <c r="D1057" s="508">
        <v>1034</v>
      </c>
      <c r="E1057" s="507" t="s">
        <v>3594</v>
      </c>
    </row>
    <row r="1058" spans="1:5" ht="15" x14ac:dyDescent="0.3">
      <c r="A1058" s="506">
        <v>8329</v>
      </c>
      <c r="B1058" s="507" t="s">
        <v>4430</v>
      </c>
      <c r="C1058" s="506" t="s">
        <v>328</v>
      </c>
      <c r="D1058" s="508">
        <v>8000</v>
      </c>
      <c r="E1058" s="507" t="s">
        <v>6108</v>
      </c>
    </row>
    <row r="1059" spans="1:5" ht="15" x14ac:dyDescent="0.3">
      <c r="A1059" s="506">
        <v>8330</v>
      </c>
      <c r="B1059" s="507" t="s">
        <v>4431</v>
      </c>
      <c r="C1059" s="506" t="s">
        <v>3579</v>
      </c>
      <c r="D1059" s="508">
        <v>248263</v>
      </c>
      <c r="E1059" s="507" t="s">
        <v>6108</v>
      </c>
    </row>
    <row r="1060" spans="1:5" ht="15" x14ac:dyDescent="0.3">
      <c r="A1060" s="506">
        <v>8331</v>
      </c>
      <c r="B1060" s="507" t="s">
        <v>4432</v>
      </c>
      <c r="C1060" s="506" t="s">
        <v>21</v>
      </c>
      <c r="D1060" s="508">
        <v>49465</v>
      </c>
      <c r="E1060" s="507" t="s">
        <v>6108</v>
      </c>
    </row>
    <row r="1061" spans="1:5" ht="15" x14ac:dyDescent="0.3">
      <c r="A1061" s="506">
        <v>8334</v>
      </c>
      <c r="B1061" s="507" t="s">
        <v>4433</v>
      </c>
      <c r="C1061" s="506" t="s">
        <v>328</v>
      </c>
      <c r="D1061" s="508">
        <v>9970</v>
      </c>
      <c r="E1061" s="507" t="s">
        <v>6108</v>
      </c>
    </row>
    <row r="1062" spans="1:5" ht="15" x14ac:dyDescent="0.3">
      <c r="A1062" s="506">
        <v>8340</v>
      </c>
      <c r="B1062" s="507" t="s">
        <v>4434</v>
      </c>
      <c r="C1062" s="506" t="s">
        <v>670</v>
      </c>
      <c r="D1062" s="508">
        <v>10702</v>
      </c>
      <c r="E1062" s="507" t="s">
        <v>331</v>
      </c>
    </row>
    <row r="1063" spans="1:5" ht="15" x14ac:dyDescent="0.3">
      <c r="A1063" s="506">
        <v>8357</v>
      </c>
      <c r="B1063" s="507" t="s">
        <v>4435</v>
      </c>
      <c r="C1063" s="506" t="s">
        <v>32</v>
      </c>
      <c r="D1063" s="508">
        <v>9230</v>
      </c>
      <c r="E1063" s="507" t="s">
        <v>6108</v>
      </c>
    </row>
    <row r="1064" spans="1:5" ht="15" x14ac:dyDescent="0.3">
      <c r="A1064" s="506">
        <v>8358</v>
      </c>
      <c r="B1064" s="507" t="s">
        <v>4436</v>
      </c>
      <c r="C1064" s="506" t="s">
        <v>32</v>
      </c>
      <c r="D1064" s="508">
        <v>221495</v>
      </c>
      <c r="E1064" s="507" t="s">
        <v>6108</v>
      </c>
    </row>
    <row r="1065" spans="1:5" ht="15" x14ac:dyDescent="0.3">
      <c r="A1065" s="506">
        <v>8359</v>
      </c>
      <c r="B1065" s="507" t="s">
        <v>4437</v>
      </c>
      <c r="C1065" s="506" t="s">
        <v>328</v>
      </c>
      <c r="D1065" s="508">
        <v>3069</v>
      </c>
      <c r="E1065" s="507" t="s">
        <v>331</v>
      </c>
    </row>
    <row r="1066" spans="1:5" ht="15" x14ac:dyDescent="0.3">
      <c r="A1066" s="506">
        <v>8362</v>
      </c>
      <c r="B1066" s="507" t="s">
        <v>4438</v>
      </c>
      <c r="C1066" s="506" t="s">
        <v>328</v>
      </c>
      <c r="D1066" s="508">
        <v>1915178</v>
      </c>
      <c r="E1066" s="507" t="s">
        <v>331</v>
      </c>
    </row>
    <row r="1067" spans="1:5" ht="15" x14ac:dyDescent="0.3">
      <c r="A1067" s="506">
        <v>8364</v>
      </c>
      <c r="B1067" s="507" t="s">
        <v>4439</v>
      </c>
      <c r="C1067" s="506" t="s">
        <v>4440</v>
      </c>
      <c r="D1067" s="508">
        <v>22211</v>
      </c>
      <c r="E1067" s="507" t="s">
        <v>6108</v>
      </c>
    </row>
    <row r="1068" spans="1:5" ht="15" x14ac:dyDescent="0.3">
      <c r="A1068" s="506">
        <v>8365</v>
      </c>
      <c r="B1068" s="507" t="s">
        <v>4441</v>
      </c>
      <c r="C1068" s="506" t="s">
        <v>4440</v>
      </c>
      <c r="D1068" s="508">
        <v>28560</v>
      </c>
      <c r="E1068" s="507" t="s">
        <v>6108</v>
      </c>
    </row>
    <row r="1069" spans="1:5" ht="15" x14ac:dyDescent="0.3">
      <c r="A1069" s="506">
        <v>8366</v>
      </c>
      <c r="B1069" s="507" t="s">
        <v>4442</v>
      </c>
      <c r="C1069" s="506" t="s">
        <v>4440</v>
      </c>
      <c r="D1069" s="508">
        <v>25163</v>
      </c>
      <c r="E1069" s="507" t="s">
        <v>6108</v>
      </c>
    </row>
    <row r="1070" spans="1:5" ht="15" x14ac:dyDescent="0.3">
      <c r="A1070" s="506">
        <v>8367</v>
      </c>
      <c r="B1070" s="507" t="s">
        <v>4443</v>
      </c>
      <c r="C1070" s="506" t="s">
        <v>4440</v>
      </c>
      <c r="D1070" s="508">
        <v>35700</v>
      </c>
      <c r="E1070" s="507" t="s">
        <v>6108</v>
      </c>
    </row>
    <row r="1071" spans="1:5" ht="15" x14ac:dyDescent="0.3">
      <c r="A1071" s="506">
        <v>8369</v>
      </c>
      <c r="B1071" s="507" t="s">
        <v>4444</v>
      </c>
      <c r="C1071" s="506" t="s">
        <v>4440</v>
      </c>
      <c r="D1071" s="508">
        <v>39270</v>
      </c>
      <c r="E1071" s="507" t="s">
        <v>6108</v>
      </c>
    </row>
    <row r="1072" spans="1:5" ht="15" x14ac:dyDescent="0.3">
      <c r="A1072" s="506">
        <v>8370</v>
      </c>
      <c r="B1072" s="507" t="s">
        <v>4445</v>
      </c>
      <c r="C1072" s="506" t="s">
        <v>4440</v>
      </c>
      <c r="D1072" s="508">
        <v>39270</v>
      </c>
      <c r="E1072" s="507" t="s">
        <v>6108</v>
      </c>
    </row>
    <row r="1073" spans="1:5" ht="15" x14ac:dyDescent="0.3">
      <c r="A1073" s="506">
        <v>8404</v>
      </c>
      <c r="B1073" s="507" t="s">
        <v>4446</v>
      </c>
      <c r="C1073" s="506" t="s">
        <v>3579</v>
      </c>
      <c r="D1073" s="508">
        <v>74333</v>
      </c>
      <c r="E1073" s="507" t="s">
        <v>6108</v>
      </c>
    </row>
    <row r="1074" spans="1:5" ht="15" x14ac:dyDescent="0.3">
      <c r="A1074" s="506">
        <v>8430</v>
      </c>
      <c r="B1074" s="507" t="s">
        <v>4447</v>
      </c>
      <c r="C1074" s="506" t="s">
        <v>32</v>
      </c>
      <c r="D1074" s="508">
        <v>101621427</v>
      </c>
      <c r="E1074" s="507" t="s">
        <v>6108</v>
      </c>
    </row>
    <row r="1075" spans="1:5" ht="15" x14ac:dyDescent="0.3">
      <c r="A1075" s="506">
        <v>8431</v>
      </c>
      <c r="B1075" s="507" t="s">
        <v>4448</v>
      </c>
      <c r="C1075" s="506" t="s">
        <v>32</v>
      </c>
      <c r="D1075" s="508">
        <v>108258787</v>
      </c>
      <c r="E1075" s="507" t="s">
        <v>6108</v>
      </c>
    </row>
    <row r="1076" spans="1:5" ht="15" x14ac:dyDescent="0.3">
      <c r="A1076" s="506">
        <v>8432</v>
      </c>
      <c r="B1076" s="507" t="s">
        <v>4449</v>
      </c>
      <c r="C1076" s="506" t="s">
        <v>328</v>
      </c>
      <c r="D1076" s="508">
        <v>456028</v>
      </c>
      <c r="E1076" s="507" t="s">
        <v>6108</v>
      </c>
    </row>
    <row r="1077" spans="1:5" ht="15" x14ac:dyDescent="0.3">
      <c r="A1077" s="506">
        <v>8434</v>
      </c>
      <c r="B1077" s="507" t="s">
        <v>4450</v>
      </c>
      <c r="C1077" s="506" t="s">
        <v>328</v>
      </c>
      <c r="D1077" s="508">
        <v>552176</v>
      </c>
      <c r="E1077" s="507" t="s">
        <v>6108</v>
      </c>
    </row>
    <row r="1078" spans="1:5" ht="15" x14ac:dyDescent="0.3">
      <c r="A1078" s="506">
        <v>8435</v>
      </c>
      <c r="B1078" s="507" t="s">
        <v>4451</v>
      </c>
      <c r="C1078" s="506" t="s">
        <v>32</v>
      </c>
      <c r="D1078" s="508">
        <v>602198</v>
      </c>
      <c r="E1078" s="507" t="s">
        <v>6108</v>
      </c>
    </row>
    <row r="1079" spans="1:5" ht="15" x14ac:dyDescent="0.3">
      <c r="A1079" s="506">
        <v>8436</v>
      </c>
      <c r="B1079" s="507" t="s">
        <v>4452</v>
      </c>
      <c r="C1079" s="506" t="s">
        <v>328</v>
      </c>
      <c r="D1079" s="508">
        <v>686863</v>
      </c>
      <c r="E1079" s="507" t="s">
        <v>6108</v>
      </c>
    </row>
    <row r="1080" spans="1:5" ht="15" x14ac:dyDescent="0.3">
      <c r="A1080" s="506">
        <v>8437</v>
      </c>
      <c r="B1080" s="507" t="s">
        <v>4453</v>
      </c>
      <c r="C1080" s="506" t="s">
        <v>32</v>
      </c>
      <c r="D1080" s="508">
        <v>637620</v>
      </c>
      <c r="E1080" s="507" t="s">
        <v>6108</v>
      </c>
    </row>
    <row r="1081" spans="1:5" ht="15" x14ac:dyDescent="0.3">
      <c r="A1081" s="506">
        <v>8438</v>
      </c>
      <c r="B1081" s="507" t="s">
        <v>4454</v>
      </c>
      <c r="C1081" s="506" t="s">
        <v>328</v>
      </c>
      <c r="D1081" s="508">
        <v>801014</v>
      </c>
      <c r="E1081" s="507" t="s">
        <v>6108</v>
      </c>
    </row>
    <row r="1082" spans="1:5" ht="15" x14ac:dyDescent="0.3">
      <c r="A1082" s="506">
        <v>8440</v>
      </c>
      <c r="B1082" s="507" t="s">
        <v>4455</v>
      </c>
      <c r="C1082" s="506" t="s">
        <v>328</v>
      </c>
      <c r="D1082" s="508">
        <v>953119</v>
      </c>
      <c r="E1082" s="507" t="s">
        <v>6108</v>
      </c>
    </row>
    <row r="1083" spans="1:5" ht="15" x14ac:dyDescent="0.3">
      <c r="A1083" s="506">
        <v>8441</v>
      </c>
      <c r="B1083" s="507" t="s">
        <v>4456</v>
      </c>
      <c r="C1083" s="506" t="s">
        <v>32</v>
      </c>
      <c r="D1083" s="508">
        <v>721119</v>
      </c>
      <c r="E1083" s="507" t="s">
        <v>6108</v>
      </c>
    </row>
    <row r="1084" spans="1:5" ht="15" x14ac:dyDescent="0.3">
      <c r="A1084" s="506">
        <v>8442</v>
      </c>
      <c r="B1084" s="507" t="s">
        <v>4457</v>
      </c>
      <c r="C1084" s="506" t="s">
        <v>328</v>
      </c>
      <c r="D1084" s="508">
        <v>1161765</v>
      </c>
      <c r="E1084" s="507" t="s">
        <v>6108</v>
      </c>
    </row>
    <row r="1085" spans="1:5" ht="15" x14ac:dyDescent="0.3">
      <c r="A1085" s="506">
        <v>8443</v>
      </c>
      <c r="B1085" s="507" t="s">
        <v>4458</v>
      </c>
      <c r="C1085" s="506" t="s">
        <v>32</v>
      </c>
      <c r="D1085" s="508">
        <v>756542</v>
      </c>
      <c r="E1085" s="507" t="s">
        <v>6108</v>
      </c>
    </row>
    <row r="1086" spans="1:5" ht="15" x14ac:dyDescent="0.3">
      <c r="A1086" s="506">
        <v>8444</v>
      </c>
      <c r="B1086" s="507" t="s">
        <v>4459</v>
      </c>
      <c r="C1086" s="506" t="s">
        <v>328</v>
      </c>
      <c r="D1086" s="508">
        <v>7038518</v>
      </c>
      <c r="E1086" s="507" t="s">
        <v>6108</v>
      </c>
    </row>
    <row r="1087" spans="1:5" ht="15" x14ac:dyDescent="0.3">
      <c r="A1087" s="506">
        <v>8445</v>
      </c>
      <c r="B1087" s="507" t="s">
        <v>4460</v>
      </c>
      <c r="C1087" s="506" t="s">
        <v>32</v>
      </c>
      <c r="D1087" s="508">
        <v>2494815</v>
      </c>
      <c r="E1087" s="507" t="s">
        <v>6108</v>
      </c>
    </row>
    <row r="1088" spans="1:5" ht="15" x14ac:dyDescent="0.3">
      <c r="A1088" s="506">
        <v>8447</v>
      </c>
      <c r="B1088" s="507" t="s">
        <v>4461</v>
      </c>
      <c r="C1088" s="506" t="s">
        <v>328</v>
      </c>
      <c r="D1088" s="508">
        <v>7488900</v>
      </c>
      <c r="E1088" s="507" t="s">
        <v>6108</v>
      </c>
    </row>
    <row r="1089" spans="1:5" ht="15" x14ac:dyDescent="0.3">
      <c r="A1089" s="506">
        <v>8448</v>
      </c>
      <c r="B1089" s="507" t="s">
        <v>4462</v>
      </c>
      <c r="C1089" s="506" t="s">
        <v>32</v>
      </c>
      <c r="D1089" s="508">
        <v>3274128</v>
      </c>
      <c r="E1089" s="507" t="s">
        <v>6108</v>
      </c>
    </row>
    <row r="1090" spans="1:5" ht="15" x14ac:dyDescent="0.3">
      <c r="A1090" s="506">
        <v>8449</v>
      </c>
      <c r="B1090" s="507" t="s">
        <v>4463</v>
      </c>
      <c r="C1090" s="506" t="s">
        <v>32</v>
      </c>
      <c r="D1090" s="508">
        <v>28531707</v>
      </c>
      <c r="E1090" s="507" t="s">
        <v>6108</v>
      </c>
    </row>
    <row r="1091" spans="1:5" ht="15" x14ac:dyDescent="0.3">
      <c r="A1091" s="506">
        <v>8450</v>
      </c>
      <c r="B1091" s="507" t="s">
        <v>4464</v>
      </c>
      <c r="C1091" s="506" t="s">
        <v>32</v>
      </c>
      <c r="D1091" s="508">
        <v>28531707</v>
      </c>
      <c r="E1091" s="507" t="s">
        <v>6108</v>
      </c>
    </row>
    <row r="1092" spans="1:5" ht="15" x14ac:dyDescent="0.3">
      <c r="A1092" s="506">
        <v>8451</v>
      </c>
      <c r="B1092" s="507" t="s">
        <v>4465</v>
      </c>
      <c r="C1092" s="506" t="s">
        <v>32</v>
      </c>
      <c r="D1092" s="508">
        <v>30414331</v>
      </c>
      <c r="E1092" s="507" t="s">
        <v>6108</v>
      </c>
    </row>
    <row r="1093" spans="1:5" ht="15" x14ac:dyDescent="0.3">
      <c r="A1093" s="506">
        <v>8452</v>
      </c>
      <c r="B1093" s="507" t="s">
        <v>4466</v>
      </c>
      <c r="C1093" s="506" t="s">
        <v>32</v>
      </c>
      <c r="D1093" s="508">
        <v>33362774</v>
      </c>
      <c r="E1093" s="507" t="s">
        <v>6108</v>
      </c>
    </row>
    <row r="1094" spans="1:5" ht="15" x14ac:dyDescent="0.3">
      <c r="A1094" s="506">
        <v>8453</v>
      </c>
      <c r="B1094" s="507" t="s">
        <v>4467</v>
      </c>
      <c r="C1094" s="506" t="s">
        <v>32</v>
      </c>
      <c r="D1094" s="508">
        <v>40552746</v>
      </c>
      <c r="E1094" s="507" t="s">
        <v>6108</v>
      </c>
    </row>
    <row r="1095" spans="1:5" ht="15" x14ac:dyDescent="0.3">
      <c r="A1095" s="506">
        <v>8454</v>
      </c>
      <c r="B1095" s="507" t="s">
        <v>4468</v>
      </c>
      <c r="C1095" s="506" t="s">
        <v>32</v>
      </c>
      <c r="D1095" s="508">
        <v>49066689</v>
      </c>
      <c r="E1095" s="507" t="s">
        <v>6108</v>
      </c>
    </row>
    <row r="1096" spans="1:5" ht="15" x14ac:dyDescent="0.3">
      <c r="A1096" s="506">
        <v>8455</v>
      </c>
      <c r="B1096" s="507" t="s">
        <v>4469</v>
      </c>
      <c r="C1096" s="506" t="s">
        <v>32</v>
      </c>
      <c r="D1096" s="508">
        <v>58272464</v>
      </c>
      <c r="E1096" s="507" t="s">
        <v>6108</v>
      </c>
    </row>
    <row r="1097" spans="1:5" ht="15" x14ac:dyDescent="0.3">
      <c r="A1097" s="506">
        <v>8456</v>
      </c>
      <c r="B1097" s="507" t="s">
        <v>4470</v>
      </c>
      <c r="C1097" s="506" t="s">
        <v>32</v>
      </c>
      <c r="D1097" s="508">
        <v>64775755</v>
      </c>
      <c r="E1097" s="507" t="s">
        <v>6108</v>
      </c>
    </row>
    <row r="1098" spans="1:5" ht="15" x14ac:dyDescent="0.3">
      <c r="A1098" s="506">
        <v>8457</v>
      </c>
      <c r="B1098" s="507" t="s">
        <v>4471</v>
      </c>
      <c r="C1098" s="506" t="s">
        <v>32</v>
      </c>
      <c r="D1098" s="508">
        <v>72129149</v>
      </c>
      <c r="E1098" s="507" t="s">
        <v>6108</v>
      </c>
    </row>
    <row r="1099" spans="1:5" ht="15" x14ac:dyDescent="0.3">
      <c r="A1099" s="506">
        <v>8460</v>
      </c>
      <c r="B1099" s="507" t="s">
        <v>4472</v>
      </c>
      <c r="C1099" s="506" t="s">
        <v>32</v>
      </c>
      <c r="D1099" s="508">
        <v>8850</v>
      </c>
      <c r="E1099" s="507" t="s">
        <v>6108</v>
      </c>
    </row>
    <row r="1100" spans="1:5" ht="15" x14ac:dyDescent="0.3">
      <c r="A1100" s="506">
        <v>8461</v>
      </c>
      <c r="B1100" s="507" t="s">
        <v>4473</v>
      </c>
      <c r="C1100" s="506" t="s">
        <v>328</v>
      </c>
      <c r="D1100" s="508">
        <v>15772</v>
      </c>
      <c r="E1100" s="507" t="s">
        <v>6108</v>
      </c>
    </row>
    <row r="1101" spans="1:5" ht="15" x14ac:dyDescent="0.3">
      <c r="A1101" s="506">
        <v>8462</v>
      </c>
      <c r="B1101" s="507" t="s">
        <v>4474</v>
      </c>
      <c r="C1101" s="506" t="s">
        <v>32</v>
      </c>
      <c r="D1101" s="508">
        <v>370764</v>
      </c>
      <c r="E1101" s="507" t="s">
        <v>6108</v>
      </c>
    </row>
    <row r="1102" spans="1:5" ht="15" x14ac:dyDescent="0.3">
      <c r="A1102" s="506">
        <v>8463</v>
      </c>
      <c r="B1102" s="507" t="s">
        <v>4475</v>
      </c>
      <c r="C1102" s="506" t="s">
        <v>32</v>
      </c>
      <c r="D1102" s="508">
        <v>763205</v>
      </c>
      <c r="E1102" s="507" t="s">
        <v>6108</v>
      </c>
    </row>
    <row r="1103" spans="1:5" ht="15" x14ac:dyDescent="0.3">
      <c r="A1103" s="506">
        <v>8473</v>
      </c>
      <c r="B1103" s="507" t="s">
        <v>4476</v>
      </c>
      <c r="C1103" s="506" t="s">
        <v>21</v>
      </c>
      <c r="D1103" s="508">
        <v>1568</v>
      </c>
      <c r="E1103" s="507" t="s">
        <v>6108</v>
      </c>
    </row>
    <row r="1104" spans="1:5" ht="15" x14ac:dyDescent="0.3">
      <c r="A1104" s="506">
        <v>8474</v>
      </c>
      <c r="B1104" s="507" t="s">
        <v>4477</v>
      </c>
      <c r="C1104" s="506" t="s">
        <v>670</v>
      </c>
      <c r="D1104" s="508">
        <v>6844</v>
      </c>
      <c r="E1104" s="507" t="s">
        <v>331</v>
      </c>
    </row>
    <row r="1105" spans="1:5" ht="15" x14ac:dyDescent="0.3">
      <c r="A1105" s="506">
        <v>8475</v>
      </c>
      <c r="B1105" s="507" t="s">
        <v>4478</v>
      </c>
      <c r="C1105" s="506" t="s">
        <v>670</v>
      </c>
      <c r="D1105" s="508">
        <v>6418</v>
      </c>
      <c r="E1105" s="507" t="s">
        <v>331</v>
      </c>
    </row>
    <row r="1106" spans="1:5" ht="15" x14ac:dyDescent="0.3">
      <c r="A1106" s="506">
        <v>8476</v>
      </c>
      <c r="B1106" s="507" t="s">
        <v>4479</v>
      </c>
      <c r="C1106" s="506" t="s">
        <v>21</v>
      </c>
      <c r="D1106" s="508">
        <v>25535</v>
      </c>
      <c r="E1106" s="507" t="s">
        <v>331</v>
      </c>
    </row>
    <row r="1107" spans="1:5" ht="15" x14ac:dyDescent="0.3">
      <c r="A1107" s="506">
        <v>8478</v>
      </c>
      <c r="B1107" s="507" t="s">
        <v>4480</v>
      </c>
      <c r="C1107" s="506" t="s">
        <v>32</v>
      </c>
      <c r="D1107" s="508">
        <v>24965</v>
      </c>
      <c r="E1107" s="507" t="s">
        <v>6108</v>
      </c>
    </row>
    <row r="1108" spans="1:5" ht="15" x14ac:dyDescent="0.3">
      <c r="A1108" s="506">
        <v>8479</v>
      </c>
      <c r="B1108" s="507" t="s">
        <v>4481</v>
      </c>
      <c r="C1108" s="506" t="s">
        <v>32</v>
      </c>
      <c r="D1108" s="508">
        <v>130</v>
      </c>
      <c r="E1108" s="507" t="s">
        <v>6108</v>
      </c>
    </row>
    <row r="1109" spans="1:5" ht="15" x14ac:dyDescent="0.3">
      <c r="A1109" s="506">
        <v>8480</v>
      </c>
      <c r="B1109" s="507" t="s">
        <v>4482</v>
      </c>
      <c r="C1109" s="506" t="s">
        <v>32</v>
      </c>
      <c r="D1109" s="508">
        <v>1286</v>
      </c>
      <c r="E1109" s="507" t="s">
        <v>6108</v>
      </c>
    </row>
    <row r="1110" spans="1:5" ht="15" x14ac:dyDescent="0.3">
      <c r="A1110" s="506">
        <v>8481</v>
      </c>
      <c r="B1110" s="507" t="s">
        <v>4483</v>
      </c>
      <c r="C1110" s="506" t="s">
        <v>3579</v>
      </c>
      <c r="D1110" s="508">
        <v>94100</v>
      </c>
      <c r="E1110" s="507" t="s">
        <v>6108</v>
      </c>
    </row>
    <row r="1111" spans="1:5" ht="15" x14ac:dyDescent="0.3">
      <c r="A1111" s="506">
        <v>8482</v>
      </c>
      <c r="B1111" s="507" t="s">
        <v>4484</v>
      </c>
      <c r="C1111" s="506" t="s">
        <v>3579</v>
      </c>
      <c r="D1111" s="508">
        <v>74333</v>
      </c>
      <c r="E1111" s="507" t="s">
        <v>6108</v>
      </c>
    </row>
    <row r="1112" spans="1:5" ht="15" x14ac:dyDescent="0.3">
      <c r="A1112" s="506">
        <v>8483</v>
      </c>
      <c r="B1112" s="507" t="s">
        <v>4485</v>
      </c>
      <c r="C1112" s="506" t="s">
        <v>32</v>
      </c>
      <c r="D1112" s="508">
        <v>200343</v>
      </c>
      <c r="E1112" s="507" t="s">
        <v>6108</v>
      </c>
    </row>
    <row r="1113" spans="1:5" ht="15" x14ac:dyDescent="0.3">
      <c r="A1113" s="506">
        <v>8500</v>
      </c>
      <c r="B1113" s="507" t="s">
        <v>4486</v>
      </c>
      <c r="C1113" s="506" t="s">
        <v>328</v>
      </c>
      <c r="D1113" s="508">
        <v>121094</v>
      </c>
      <c r="E1113" s="507" t="s">
        <v>6108</v>
      </c>
    </row>
    <row r="1114" spans="1:5" ht="15" x14ac:dyDescent="0.3">
      <c r="A1114" s="506">
        <v>8501</v>
      </c>
      <c r="B1114" s="507" t="s">
        <v>6278</v>
      </c>
      <c r="C1114" s="506" t="s">
        <v>32</v>
      </c>
      <c r="D1114" s="508">
        <v>1516027</v>
      </c>
      <c r="E1114" s="507" t="s">
        <v>6108</v>
      </c>
    </row>
    <row r="1115" spans="1:5" ht="15" x14ac:dyDescent="0.3">
      <c r="A1115" s="506">
        <v>8502</v>
      </c>
      <c r="B1115" s="507" t="s">
        <v>4487</v>
      </c>
      <c r="C1115" s="506" t="s">
        <v>670</v>
      </c>
      <c r="D1115" s="508">
        <v>9758</v>
      </c>
      <c r="E1115" s="507" t="s">
        <v>331</v>
      </c>
    </row>
    <row r="1116" spans="1:5" ht="15" x14ac:dyDescent="0.3">
      <c r="A1116" s="506">
        <v>8506</v>
      </c>
      <c r="B1116" s="507" t="s">
        <v>4488</v>
      </c>
      <c r="C1116" s="506" t="s">
        <v>3579</v>
      </c>
      <c r="D1116" s="508">
        <v>114400</v>
      </c>
      <c r="E1116" s="507" t="s">
        <v>6108</v>
      </c>
    </row>
    <row r="1117" spans="1:5" ht="15" x14ac:dyDescent="0.3">
      <c r="A1117" s="506">
        <v>8508</v>
      </c>
      <c r="B1117" s="507" t="s">
        <v>4489</v>
      </c>
      <c r="C1117" s="506" t="s">
        <v>3579</v>
      </c>
      <c r="D1117" s="508">
        <v>119900</v>
      </c>
      <c r="E1117" s="507" t="s">
        <v>6108</v>
      </c>
    </row>
    <row r="1118" spans="1:5" ht="15" x14ac:dyDescent="0.3">
      <c r="A1118" s="506">
        <v>8509</v>
      </c>
      <c r="B1118" s="507" t="s">
        <v>4490</v>
      </c>
      <c r="C1118" s="506" t="s">
        <v>3579</v>
      </c>
      <c r="D1118" s="508">
        <v>131040</v>
      </c>
      <c r="E1118" s="507" t="s">
        <v>6108</v>
      </c>
    </row>
    <row r="1119" spans="1:5" ht="15" x14ac:dyDescent="0.3">
      <c r="A1119" s="506">
        <v>8511</v>
      </c>
      <c r="B1119" s="507" t="s">
        <v>4491</v>
      </c>
      <c r="C1119" s="506" t="s">
        <v>3579</v>
      </c>
      <c r="D1119" s="508">
        <v>144990</v>
      </c>
      <c r="E1119" s="507" t="s">
        <v>6108</v>
      </c>
    </row>
    <row r="1120" spans="1:5" ht="15" x14ac:dyDescent="0.3">
      <c r="A1120" s="506">
        <v>8515</v>
      </c>
      <c r="B1120" s="507" t="s">
        <v>4492</v>
      </c>
      <c r="C1120" s="506" t="s">
        <v>670</v>
      </c>
      <c r="D1120" s="508">
        <v>18652</v>
      </c>
      <c r="E1120" s="507" t="s">
        <v>6108</v>
      </c>
    </row>
    <row r="1121" spans="1:5" ht="15" x14ac:dyDescent="0.3">
      <c r="A1121" s="506">
        <v>8516</v>
      </c>
      <c r="B1121" s="507" t="s">
        <v>4493</v>
      </c>
      <c r="C1121" s="506" t="s">
        <v>21</v>
      </c>
      <c r="D1121" s="508">
        <v>42011</v>
      </c>
      <c r="E1121" s="507" t="s">
        <v>331</v>
      </c>
    </row>
    <row r="1122" spans="1:5" ht="15" x14ac:dyDescent="0.3">
      <c r="A1122" s="506">
        <v>8520</v>
      </c>
      <c r="B1122" s="507" t="s">
        <v>4494</v>
      </c>
      <c r="C1122" s="506" t="s">
        <v>3532</v>
      </c>
      <c r="D1122" s="508">
        <v>1614</v>
      </c>
      <c r="E1122" s="507" t="s">
        <v>331</v>
      </c>
    </row>
    <row r="1123" spans="1:5" ht="15" x14ac:dyDescent="0.3">
      <c r="A1123" s="506">
        <v>8522</v>
      </c>
      <c r="B1123" s="507" t="s">
        <v>4495</v>
      </c>
      <c r="C1123" s="506" t="s">
        <v>21</v>
      </c>
      <c r="D1123" s="508">
        <v>8816</v>
      </c>
      <c r="E1123" s="507" t="s">
        <v>6108</v>
      </c>
    </row>
    <row r="1124" spans="1:5" ht="15" x14ac:dyDescent="0.3">
      <c r="A1124" s="506">
        <v>8524</v>
      </c>
      <c r="B1124" s="507" t="s">
        <v>4496</v>
      </c>
      <c r="C1124" s="506" t="s">
        <v>32</v>
      </c>
      <c r="D1124" s="508">
        <v>51200</v>
      </c>
      <c r="E1124" s="507" t="s">
        <v>6108</v>
      </c>
    </row>
    <row r="1125" spans="1:5" ht="15" x14ac:dyDescent="0.3">
      <c r="A1125" s="506">
        <v>8525</v>
      </c>
      <c r="B1125" s="507" t="s">
        <v>4497</v>
      </c>
      <c r="C1125" s="506" t="s">
        <v>21</v>
      </c>
      <c r="D1125" s="508">
        <v>20254</v>
      </c>
      <c r="E1125" s="507" t="s">
        <v>6108</v>
      </c>
    </row>
    <row r="1126" spans="1:5" ht="15" x14ac:dyDescent="0.3">
      <c r="A1126" s="506">
        <v>8529</v>
      </c>
      <c r="B1126" s="507" t="s">
        <v>4498</v>
      </c>
      <c r="C1126" s="506" t="s">
        <v>3579</v>
      </c>
      <c r="D1126" s="508">
        <v>76900</v>
      </c>
      <c r="E1126" s="507" t="s">
        <v>6108</v>
      </c>
    </row>
    <row r="1127" spans="1:5" ht="15" x14ac:dyDescent="0.3">
      <c r="A1127" s="506">
        <v>8530</v>
      </c>
      <c r="B1127" s="507" t="s">
        <v>4499</v>
      </c>
      <c r="C1127" s="506" t="s">
        <v>32</v>
      </c>
      <c r="D1127" s="508">
        <v>12000</v>
      </c>
      <c r="E1127" s="507" t="s">
        <v>6108</v>
      </c>
    </row>
    <row r="1128" spans="1:5" ht="15" x14ac:dyDescent="0.3">
      <c r="A1128" s="506">
        <v>8531</v>
      </c>
      <c r="B1128" s="507" t="s">
        <v>4500</v>
      </c>
      <c r="C1128" s="506" t="s">
        <v>3579</v>
      </c>
      <c r="D1128" s="508">
        <v>29000</v>
      </c>
      <c r="E1128" s="507" t="s">
        <v>6108</v>
      </c>
    </row>
    <row r="1129" spans="1:5" ht="15" x14ac:dyDescent="0.3">
      <c r="A1129" s="506">
        <v>8539</v>
      </c>
      <c r="B1129" s="507" t="s">
        <v>4501</v>
      </c>
      <c r="C1129" s="506" t="s">
        <v>32</v>
      </c>
      <c r="D1129" s="508">
        <v>4900</v>
      </c>
      <c r="E1129" s="507" t="s">
        <v>331</v>
      </c>
    </row>
    <row r="1130" spans="1:5" ht="15" x14ac:dyDescent="0.3">
      <c r="A1130" s="506">
        <v>8555</v>
      </c>
      <c r="B1130" s="507" t="s">
        <v>4502</v>
      </c>
      <c r="C1130" s="506" t="s">
        <v>32</v>
      </c>
      <c r="D1130" s="508">
        <v>1515</v>
      </c>
      <c r="E1130" s="507" t="s">
        <v>6108</v>
      </c>
    </row>
    <row r="1131" spans="1:5" ht="15" x14ac:dyDescent="0.3">
      <c r="A1131" s="506">
        <v>8560</v>
      </c>
      <c r="B1131" s="507" t="s">
        <v>4503</v>
      </c>
      <c r="C1131" s="506" t="s">
        <v>32</v>
      </c>
      <c r="D1131" s="508">
        <v>9802</v>
      </c>
      <c r="E1131" s="507" t="s">
        <v>6108</v>
      </c>
    </row>
    <row r="1132" spans="1:5" ht="15" x14ac:dyDescent="0.3">
      <c r="A1132" s="506">
        <v>8565</v>
      </c>
      <c r="B1132" s="507" t="s">
        <v>4504</v>
      </c>
      <c r="C1132" s="506" t="s">
        <v>670</v>
      </c>
      <c r="D1132" s="508">
        <v>6340</v>
      </c>
      <c r="E1132" s="507" t="s">
        <v>6108</v>
      </c>
    </row>
    <row r="1133" spans="1:5" ht="15" x14ac:dyDescent="0.3">
      <c r="A1133" s="506">
        <v>8566</v>
      </c>
      <c r="B1133" s="507" t="s">
        <v>4505</v>
      </c>
      <c r="C1133" s="506" t="s">
        <v>328</v>
      </c>
      <c r="D1133" s="508">
        <v>1806</v>
      </c>
      <c r="E1133" s="507" t="s">
        <v>6108</v>
      </c>
    </row>
    <row r="1134" spans="1:5" ht="15" x14ac:dyDescent="0.3">
      <c r="A1134" s="506">
        <v>8567</v>
      </c>
      <c r="B1134" s="507" t="s">
        <v>4506</v>
      </c>
      <c r="C1134" s="506" t="s">
        <v>21</v>
      </c>
      <c r="D1134" s="508">
        <v>71341</v>
      </c>
      <c r="E1134" s="507" t="s">
        <v>6108</v>
      </c>
    </row>
    <row r="1135" spans="1:5" ht="15" x14ac:dyDescent="0.3">
      <c r="A1135" s="506">
        <v>8570</v>
      </c>
      <c r="B1135" s="507" t="s">
        <v>4507</v>
      </c>
      <c r="C1135" s="506" t="s">
        <v>4508</v>
      </c>
      <c r="D1135" s="508">
        <v>22868</v>
      </c>
      <c r="E1135" s="507" t="s">
        <v>6108</v>
      </c>
    </row>
    <row r="1136" spans="1:5" ht="15" x14ac:dyDescent="0.3">
      <c r="A1136" s="506">
        <v>8576</v>
      </c>
      <c r="B1136" s="507" t="s">
        <v>4509</v>
      </c>
      <c r="C1136" s="506" t="s">
        <v>3579</v>
      </c>
      <c r="D1136" s="508">
        <v>109900</v>
      </c>
      <c r="E1136" s="507" t="s">
        <v>6108</v>
      </c>
    </row>
    <row r="1137" spans="1:5" ht="15" x14ac:dyDescent="0.3">
      <c r="A1137" s="506">
        <v>8577</v>
      </c>
      <c r="B1137" s="507" t="s">
        <v>4510</v>
      </c>
      <c r="C1137" s="506" t="s">
        <v>328</v>
      </c>
      <c r="D1137" s="508">
        <v>27330</v>
      </c>
      <c r="E1137" s="507" t="s">
        <v>331</v>
      </c>
    </row>
    <row r="1138" spans="1:5" ht="15" x14ac:dyDescent="0.3">
      <c r="A1138" s="506">
        <v>8578</v>
      </c>
      <c r="B1138" s="507" t="s">
        <v>4511</v>
      </c>
      <c r="C1138" s="506" t="s">
        <v>32</v>
      </c>
      <c r="D1138" s="508">
        <v>4877</v>
      </c>
      <c r="E1138" s="507" t="s">
        <v>331</v>
      </c>
    </row>
    <row r="1139" spans="1:5" ht="15" x14ac:dyDescent="0.3">
      <c r="A1139" s="506">
        <v>8579</v>
      </c>
      <c r="B1139" s="507" t="s">
        <v>4512</v>
      </c>
      <c r="C1139" s="506" t="s">
        <v>32</v>
      </c>
      <c r="D1139" s="508">
        <v>19645</v>
      </c>
      <c r="E1139" s="507" t="s">
        <v>331</v>
      </c>
    </row>
    <row r="1140" spans="1:5" ht="15" x14ac:dyDescent="0.3">
      <c r="A1140" s="506">
        <v>8584</v>
      </c>
      <c r="B1140" s="507" t="s">
        <v>4513</v>
      </c>
      <c r="C1140" s="506" t="s">
        <v>328</v>
      </c>
      <c r="D1140" s="508">
        <v>145094</v>
      </c>
      <c r="E1140" s="507" t="s">
        <v>331</v>
      </c>
    </row>
    <row r="1141" spans="1:5" ht="15" x14ac:dyDescent="0.3">
      <c r="A1141" s="506">
        <v>8586</v>
      </c>
      <c r="B1141" s="507" t="s">
        <v>4514</v>
      </c>
      <c r="C1141" s="506" t="s">
        <v>328</v>
      </c>
      <c r="D1141" s="508">
        <v>17160</v>
      </c>
      <c r="E1141" s="507" t="s">
        <v>331</v>
      </c>
    </row>
    <row r="1142" spans="1:5" ht="15" x14ac:dyDescent="0.3">
      <c r="A1142" s="506">
        <v>8588</v>
      </c>
      <c r="B1142" s="507" t="s">
        <v>4515</v>
      </c>
      <c r="C1142" s="506" t="s">
        <v>328</v>
      </c>
      <c r="D1142" s="508">
        <v>7101</v>
      </c>
      <c r="E1142" s="507" t="s">
        <v>331</v>
      </c>
    </row>
    <row r="1143" spans="1:5" ht="15" x14ac:dyDescent="0.3">
      <c r="A1143" s="506">
        <v>8634</v>
      </c>
      <c r="B1143" s="507" t="s">
        <v>4516</v>
      </c>
      <c r="C1143" s="506" t="s">
        <v>32</v>
      </c>
      <c r="D1143" s="508">
        <v>179841</v>
      </c>
      <c r="E1143" s="507" t="s">
        <v>6108</v>
      </c>
    </row>
    <row r="1144" spans="1:5" ht="15" x14ac:dyDescent="0.3">
      <c r="A1144" s="506">
        <v>8635</v>
      </c>
      <c r="B1144" s="507" t="s">
        <v>4517</v>
      </c>
      <c r="C1144" s="506" t="s">
        <v>32</v>
      </c>
      <c r="D1144" s="508">
        <v>3113</v>
      </c>
      <c r="E1144" s="507" t="s">
        <v>331</v>
      </c>
    </row>
    <row r="1145" spans="1:5" ht="15" x14ac:dyDescent="0.3">
      <c r="A1145" s="506">
        <v>8636</v>
      </c>
      <c r="B1145" s="507" t="s">
        <v>4518</v>
      </c>
      <c r="C1145" s="506" t="s">
        <v>670</v>
      </c>
      <c r="D1145" s="508">
        <v>1875</v>
      </c>
      <c r="E1145" s="507" t="s">
        <v>331</v>
      </c>
    </row>
    <row r="1146" spans="1:5" ht="15" x14ac:dyDescent="0.3">
      <c r="A1146" s="506">
        <v>8644</v>
      </c>
      <c r="B1146" s="507" t="s">
        <v>4519</v>
      </c>
      <c r="C1146" s="506" t="s">
        <v>32</v>
      </c>
      <c r="D1146" s="508">
        <v>198359</v>
      </c>
      <c r="E1146" s="507" t="s">
        <v>6108</v>
      </c>
    </row>
    <row r="1147" spans="1:5" ht="15" x14ac:dyDescent="0.3">
      <c r="A1147" s="506">
        <v>8645</v>
      </c>
      <c r="B1147" s="507" t="s">
        <v>4520</v>
      </c>
      <c r="C1147" s="506" t="s">
        <v>32</v>
      </c>
      <c r="D1147" s="508">
        <v>498677</v>
      </c>
      <c r="E1147" s="507" t="s">
        <v>6108</v>
      </c>
    </row>
    <row r="1148" spans="1:5" ht="15" x14ac:dyDescent="0.3">
      <c r="A1148" s="506">
        <v>8654</v>
      </c>
      <c r="B1148" s="507" t="s">
        <v>4521</v>
      </c>
      <c r="C1148" s="506" t="s">
        <v>670</v>
      </c>
      <c r="D1148" s="508">
        <v>5569</v>
      </c>
      <c r="E1148" s="507" t="s">
        <v>331</v>
      </c>
    </row>
    <row r="1149" spans="1:5" ht="15" x14ac:dyDescent="0.3">
      <c r="A1149" s="506">
        <v>8666</v>
      </c>
      <c r="B1149" s="507" t="s">
        <v>4522</v>
      </c>
      <c r="C1149" s="506" t="s">
        <v>328</v>
      </c>
      <c r="D1149" s="508">
        <v>4315</v>
      </c>
      <c r="E1149" s="507" t="s">
        <v>6108</v>
      </c>
    </row>
    <row r="1150" spans="1:5" ht="15" x14ac:dyDescent="0.3">
      <c r="A1150" s="506">
        <v>8672</v>
      </c>
      <c r="B1150" s="507" t="s">
        <v>4523</v>
      </c>
      <c r="C1150" s="506" t="s">
        <v>32</v>
      </c>
      <c r="D1150" s="508">
        <v>3800</v>
      </c>
      <c r="E1150" s="507" t="s">
        <v>6108</v>
      </c>
    </row>
    <row r="1151" spans="1:5" ht="15" x14ac:dyDescent="0.3">
      <c r="A1151" s="506">
        <v>8674</v>
      </c>
      <c r="B1151" s="507" t="s">
        <v>4524</v>
      </c>
      <c r="C1151" s="506" t="s">
        <v>32</v>
      </c>
      <c r="D1151" s="508">
        <v>4600</v>
      </c>
      <c r="E1151" s="507" t="s">
        <v>6108</v>
      </c>
    </row>
    <row r="1152" spans="1:5" ht="15" x14ac:dyDescent="0.3">
      <c r="A1152" s="506">
        <v>8675</v>
      </c>
      <c r="B1152" s="507" t="s">
        <v>4525</v>
      </c>
      <c r="C1152" s="506" t="s">
        <v>32</v>
      </c>
      <c r="D1152" s="508">
        <v>38554</v>
      </c>
      <c r="E1152" s="507" t="s">
        <v>6108</v>
      </c>
    </row>
    <row r="1153" spans="1:5" ht="15" x14ac:dyDescent="0.3">
      <c r="A1153" s="506">
        <v>8676</v>
      </c>
      <c r="B1153" s="507" t="s">
        <v>4526</v>
      </c>
      <c r="C1153" s="506" t="s">
        <v>32</v>
      </c>
      <c r="D1153" s="508">
        <v>10591</v>
      </c>
      <c r="E1153" s="507" t="s">
        <v>6108</v>
      </c>
    </row>
    <row r="1154" spans="1:5" ht="15" x14ac:dyDescent="0.3">
      <c r="A1154" s="506">
        <v>8688</v>
      </c>
      <c r="B1154" s="507" t="s">
        <v>4527</v>
      </c>
      <c r="C1154" s="506" t="s">
        <v>3593</v>
      </c>
      <c r="D1154" s="508">
        <v>1034</v>
      </c>
      <c r="E1154" s="507" t="s">
        <v>3594</v>
      </c>
    </row>
    <row r="1155" spans="1:5" ht="15" x14ac:dyDescent="0.3">
      <c r="A1155" s="506">
        <v>8689</v>
      </c>
      <c r="B1155" s="507" t="s">
        <v>4528</v>
      </c>
      <c r="C1155" s="506" t="s">
        <v>692</v>
      </c>
      <c r="D1155" s="508">
        <v>139262</v>
      </c>
      <c r="E1155" s="507" t="s">
        <v>6109</v>
      </c>
    </row>
    <row r="1156" spans="1:5" ht="15" x14ac:dyDescent="0.3">
      <c r="A1156" s="506">
        <v>8690</v>
      </c>
      <c r="B1156" s="507" t="s">
        <v>4529</v>
      </c>
      <c r="C1156" s="506" t="s">
        <v>692</v>
      </c>
      <c r="D1156" s="508">
        <v>139262</v>
      </c>
      <c r="E1156" s="507" t="s">
        <v>6109</v>
      </c>
    </row>
    <row r="1157" spans="1:5" ht="15" x14ac:dyDescent="0.3">
      <c r="A1157" s="506">
        <v>8694</v>
      </c>
      <c r="B1157" s="507" t="s">
        <v>4530</v>
      </c>
      <c r="C1157" s="506" t="s">
        <v>328</v>
      </c>
      <c r="D1157" s="508">
        <v>3555</v>
      </c>
      <c r="E1157" s="507" t="s">
        <v>6108</v>
      </c>
    </row>
    <row r="1158" spans="1:5" ht="15" x14ac:dyDescent="0.3">
      <c r="A1158" s="506">
        <v>8695</v>
      </c>
      <c r="B1158" s="507" t="s">
        <v>4531</v>
      </c>
      <c r="C1158" s="506" t="s">
        <v>328</v>
      </c>
      <c r="D1158" s="508">
        <v>6250</v>
      </c>
      <c r="E1158" s="507" t="s">
        <v>6108</v>
      </c>
    </row>
    <row r="1159" spans="1:5" ht="15" x14ac:dyDescent="0.3">
      <c r="A1159" s="506">
        <v>8696</v>
      </c>
      <c r="B1159" s="507" t="s">
        <v>4532</v>
      </c>
      <c r="C1159" s="506" t="s">
        <v>328</v>
      </c>
      <c r="D1159" s="508">
        <v>9650</v>
      </c>
      <c r="E1159" s="507" t="s">
        <v>6108</v>
      </c>
    </row>
    <row r="1160" spans="1:5" ht="15" x14ac:dyDescent="0.3">
      <c r="A1160" s="506">
        <v>8698</v>
      </c>
      <c r="B1160" s="507" t="s">
        <v>4533</v>
      </c>
      <c r="C1160" s="506" t="s">
        <v>328</v>
      </c>
      <c r="D1160" s="508">
        <v>17557</v>
      </c>
      <c r="E1160" s="507" t="s">
        <v>6108</v>
      </c>
    </row>
    <row r="1161" spans="1:5" ht="15" x14ac:dyDescent="0.3">
      <c r="A1161" s="506">
        <v>8699</v>
      </c>
      <c r="B1161" s="507" t="s">
        <v>4534</v>
      </c>
      <c r="C1161" s="506" t="s">
        <v>328</v>
      </c>
      <c r="D1161" s="508">
        <v>21932</v>
      </c>
      <c r="E1161" s="507" t="s">
        <v>6108</v>
      </c>
    </row>
    <row r="1162" spans="1:5" ht="15" x14ac:dyDescent="0.3">
      <c r="A1162" s="506">
        <v>8700</v>
      </c>
      <c r="B1162" s="507" t="s">
        <v>4535</v>
      </c>
      <c r="C1162" s="506" t="s">
        <v>328</v>
      </c>
      <c r="D1162" s="508">
        <v>45454</v>
      </c>
      <c r="E1162" s="507" t="s">
        <v>6108</v>
      </c>
    </row>
    <row r="1163" spans="1:5" ht="15" x14ac:dyDescent="0.3">
      <c r="A1163" s="506">
        <v>8706</v>
      </c>
      <c r="B1163" s="507" t="s">
        <v>4536</v>
      </c>
      <c r="C1163" s="506" t="s">
        <v>32</v>
      </c>
      <c r="D1163" s="508">
        <v>6550</v>
      </c>
      <c r="E1163" s="507" t="s">
        <v>6108</v>
      </c>
    </row>
    <row r="1164" spans="1:5" ht="15" x14ac:dyDescent="0.3">
      <c r="A1164" s="506">
        <v>8708</v>
      </c>
      <c r="B1164" s="507" t="s">
        <v>4537</v>
      </c>
      <c r="C1164" s="506" t="s">
        <v>32</v>
      </c>
      <c r="D1164" s="508">
        <v>34213</v>
      </c>
      <c r="E1164" s="507" t="s">
        <v>6108</v>
      </c>
    </row>
    <row r="1165" spans="1:5" ht="15" x14ac:dyDescent="0.3">
      <c r="A1165" s="506">
        <v>8710</v>
      </c>
      <c r="B1165" s="507" t="s">
        <v>4538</v>
      </c>
      <c r="C1165" s="506" t="s">
        <v>32</v>
      </c>
      <c r="D1165" s="508">
        <v>65142</v>
      </c>
      <c r="E1165" s="507" t="s">
        <v>6108</v>
      </c>
    </row>
    <row r="1166" spans="1:5" ht="15" x14ac:dyDescent="0.3">
      <c r="A1166" s="506">
        <v>8712</v>
      </c>
      <c r="B1166" s="507" t="s">
        <v>4539</v>
      </c>
      <c r="C1166" s="506" t="s">
        <v>32</v>
      </c>
      <c r="D1166" s="508">
        <v>24731</v>
      </c>
      <c r="E1166" s="507" t="s">
        <v>6108</v>
      </c>
    </row>
    <row r="1167" spans="1:5" ht="15" x14ac:dyDescent="0.3">
      <c r="A1167" s="506">
        <v>8721</v>
      </c>
      <c r="B1167" s="507" t="s">
        <v>4540</v>
      </c>
      <c r="C1167" s="506" t="s">
        <v>328</v>
      </c>
      <c r="D1167" s="508">
        <v>70900</v>
      </c>
      <c r="E1167" s="507" t="s">
        <v>6108</v>
      </c>
    </row>
    <row r="1168" spans="1:5" ht="15" x14ac:dyDescent="0.3">
      <c r="A1168" s="506">
        <v>8722</v>
      </c>
      <c r="B1168" s="507" t="s">
        <v>4541</v>
      </c>
      <c r="C1168" s="506" t="s">
        <v>328</v>
      </c>
      <c r="D1168" s="508">
        <v>6250</v>
      </c>
      <c r="E1168" s="507" t="s">
        <v>6108</v>
      </c>
    </row>
    <row r="1169" spans="1:5" ht="15" x14ac:dyDescent="0.3">
      <c r="A1169" s="506">
        <v>8729</v>
      </c>
      <c r="B1169" s="507" t="s">
        <v>4542</v>
      </c>
      <c r="C1169" s="506" t="s">
        <v>32</v>
      </c>
      <c r="D1169" s="508">
        <v>9000</v>
      </c>
      <c r="E1169" s="507" t="s">
        <v>6108</v>
      </c>
    </row>
    <row r="1170" spans="1:5" ht="15" x14ac:dyDescent="0.3">
      <c r="A1170" s="506">
        <v>8731</v>
      </c>
      <c r="B1170" s="507" t="s">
        <v>4543</v>
      </c>
      <c r="C1170" s="506" t="s">
        <v>32</v>
      </c>
      <c r="D1170" s="508">
        <v>3800</v>
      </c>
      <c r="E1170" s="507" t="s">
        <v>6108</v>
      </c>
    </row>
    <row r="1171" spans="1:5" ht="15" x14ac:dyDescent="0.3">
      <c r="A1171" s="506">
        <v>8732</v>
      </c>
      <c r="B1171" s="507" t="s">
        <v>4544</v>
      </c>
      <c r="C1171" s="506" t="s">
        <v>32</v>
      </c>
      <c r="D1171" s="508">
        <v>14840</v>
      </c>
      <c r="E1171" s="507" t="s">
        <v>6108</v>
      </c>
    </row>
    <row r="1172" spans="1:5" ht="15" x14ac:dyDescent="0.3">
      <c r="A1172" s="506">
        <v>8734</v>
      </c>
      <c r="B1172" s="507" t="s">
        <v>4545</v>
      </c>
      <c r="C1172" s="506" t="s">
        <v>32</v>
      </c>
      <c r="D1172" s="508">
        <v>6300</v>
      </c>
      <c r="E1172" s="507" t="s">
        <v>6108</v>
      </c>
    </row>
    <row r="1173" spans="1:5" ht="15" x14ac:dyDescent="0.3">
      <c r="A1173" s="506">
        <v>8737</v>
      </c>
      <c r="B1173" s="507" t="s">
        <v>4546</v>
      </c>
      <c r="C1173" s="506" t="s">
        <v>328</v>
      </c>
      <c r="D1173" s="508">
        <v>67983</v>
      </c>
      <c r="E1173" s="507" t="s">
        <v>6108</v>
      </c>
    </row>
    <row r="1174" spans="1:5" ht="15" x14ac:dyDescent="0.3">
      <c r="A1174" s="506">
        <v>8738</v>
      </c>
      <c r="B1174" s="507" t="s">
        <v>4547</v>
      </c>
      <c r="C1174" s="506" t="s">
        <v>328</v>
      </c>
      <c r="D1174" s="508">
        <v>21000</v>
      </c>
      <c r="E1174" s="507" t="s">
        <v>6108</v>
      </c>
    </row>
    <row r="1175" spans="1:5" ht="15" x14ac:dyDescent="0.3">
      <c r="A1175" s="506">
        <v>8743</v>
      </c>
      <c r="B1175" s="507" t="s">
        <v>4548</v>
      </c>
      <c r="C1175" s="506" t="s">
        <v>32</v>
      </c>
      <c r="D1175" s="508">
        <v>25350</v>
      </c>
      <c r="E1175" s="507" t="s">
        <v>6108</v>
      </c>
    </row>
    <row r="1176" spans="1:5" ht="15" x14ac:dyDescent="0.3">
      <c r="A1176" s="506">
        <v>8746</v>
      </c>
      <c r="B1176" s="507" t="s">
        <v>4549</v>
      </c>
      <c r="C1176" s="506" t="s">
        <v>328</v>
      </c>
      <c r="D1176" s="508">
        <v>65150</v>
      </c>
      <c r="E1176" s="507" t="s">
        <v>6108</v>
      </c>
    </row>
    <row r="1177" spans="1:5" ht="15" x14ac:dyDescent="0.3">
      <c r="A1177" s="506">
        <v>8749</v>
      </c>
      <c r="B1177" s="507" t="s">
        <v>4550</v>
      </c>
      <c r="C1177" s="506" t="s">
        <v>328</v>
      </c>
      <c r="D1177" s="508">
        <v>178850</v>
      </c>
      <c r="E1177" s="507" t="s">
        <v>6108</v>
      </c>
    </row>
    <row r="1178" spans="1:5" ht="15" x14ac:dyDescent="0.3">
      <c r="A1178" s="506">
        <v>8760</v>
      </c>
      <c r="B1178" s="507" t="s">
        <v>4551</v>
      </c>
      <c r="C1178" s="506" t="s">
        <v>328</v>
      </c>
      <c r="D1178" s="508">
        <v>9100</v>
      </c>
      <c r="E1178" s="507" t="s">
        <v>6108</v>
      </c>
    </row>
    <row r="1179" spans="1:5" ht="15" x14ac:dyDescent="0.3">
      <c r="A1179" s="506">
        <v>8768</v>
      </c>
      <c r="B1179" s="507" t="s">
        <v>4552</v>
      </c>
      <c r="C1179" s="506" t="s">
        <v>328</v>
      </c>
      <c r="D1179" s="508">
        <v>43900</v>
      </c>
      <c r="E1179" s="507" t="s">
        <v>6108</v>
      </c>
    </row>
    <row r="1180" spans="1:5" ht="15" x14ac:dyDescent="0.3">
      <c r="A1180" s="506">
        <v>8771</v>
      </c>
      <c r="B1180" s="507" t="s">
        <v>4553</v>
      </c>
      <c r="C1180" s="506" t="s">
        <v>32</v>
      </c>
      <c r="D1180" s="508">
        <v>5250</v>
      </c>
      <c r="E1180" s="507" t="s">
        <v>6108</v>
      </c>
    </row>
    <row r="1181" spans="1:5" ht="15" x14ac:dyDescent="0.3">
      <c r="A1181" s="506">
        <v>8774</v>
      </c>
      <c r="B1181" s="507" t="s">
        <v>4554</v>
      </c>
      <c r="C1181" s="506" t="s">
        <v>32</v>
      </c>
      <c r="D1181" s="508">
        <v>250</v>
      </c>
      <c r="E1181" s="507" t="s">
        <v>6108</v>
      </c>
    </row>
    <row r="1182" spans="1:5" ht="15" x14ac:dyDescent="0.3">
      <c r="A1182" s="506">
        <v>8777</v>
      </c>
      <c r="B1182" s="507" t="s">
        <v>4555</v>
      </c>
      <c r="C1182" s="506" t="s">
        <v>328</v>
      </c>
      <c r="D1182" s="508">
        <v>4125</v>
      </c>
      <c r="E1182" s="507" t="s">
        <v>6108</v>
      </c>
    </row>
    <row r="1183" spans="1:5" ht="15" x14ac:dyDescent="0.3">
      <c r="A1183" s="506">
        <v>8779</v>
      </c>
      <c r="B1183" s="507" t="s">
        <v>4556</v>
      </c>
      <c r="C1183" s="506" t="s">
        <v>32</v>
      </c>
      <c r="D1183" s="508">
        <v>3312</v>
      </c>
      <c r="E1183" s="507" t="s">
        <v>6108</v>
      </c>
    </row>
    <row r="1184" spans="1:5" ht="15" x14ac:dyDescent="0.3">
      <c r="A1184" s="506">
        <v>8789</v>
      </c>
      <c r="B1184" s="507" t="s">
        <v>4557</v>
      </c>
      <c r="C1184" s="506" t="s">
        <v>3579</v>
      </c>
      <c r="D1184" s="508">
        <v>16358</v>
      </c>
      <c r="E1184" s="507" t="s">
        <v>6108</v>
      </c>
    </row>
    <row r="1185" spans="1:5" ht="15" x14ac:dyDescent="0.3">
      <c r="A1185" s="506">
        <v>8790</v>
      </c>
      <c r="B1185" s="507" t="s">
        <v>4558</v>
      </c>
      <c r="C1185" s="506" t="s">
        <v>21</v>
      </c>
      <c r="D1185" s="508">
        <v>196055</v>
      </c>
      <c r="E1185" s="507" t="s">
        <v>6108</v>
      </c>
    </row>
    <row r="1186" spans="1:5" ht="15" x14ac:dyDescent="0.3">
      <c r="A1186" s="506">
        <v>8794</v>
      </c>
      <c r="B1186" s="507" t="s">
        <v>4559</v>
      </c>
      <c r="C1186" s="506" t="s">
        <v>21</v>
      </c>
      <c r="D1186" s="508">
        <v>105656</v>
      </c>
      <c r="E1186" s="507" t="s">
        <v>6108</v>
      </c>
    </row>
    <row r="1187" spans="1:5" ht="15" x14ac:dyDescent="0.3">
      <c r="A1187" s="506">
        <v>8844</v>
      </c>
      <c r="B1187" s="507" t="s">
        <v>4560</v>
      </c>
      <c r="C1187" s="506" t="s">
        <v>979</v>
      </c>
      <c r="D1187" s="508">
        <v>5562</v>
      </c>
      <c r="E1187" s="507" t="s">
        <v>6108</v>
      </c>
    </row>
    <row r="1188" spans="1:5" ht="15" x14ac:dyDescent="0.3">
      <c r="A1188" s="506">
        <v>8845</v>
      </c>
      <c r="B1188" s="507" t="s">
        <v>4561</v>
      </c>
      <c r="C1188" s="506" t="s">
        <v>692</v>
      </c>
      <c r="D1188" s="508">
        <v>139262</v>
      </c>
      <c r="E1188" s="507" t="s">
        <v>6109</v>
      </c>
    </row>
    <row r="1189" spans="1:5" ht="15" x14ac:dyDescent="0.3">
      <c r="A1189" s="506">
        <v>8846</v>
      </c>
      <c r="B1189" s="507" t="s">
        <v>4562</v>
      </c>
      <c r="C1189" s="506" t="s">
        <v>32</v>
      </c>
      <c r="D1189" s="508">
        <v>159221</v>
      </c>
      <c r="E1189" s="507" t="s">
        <v>6108</v>
      </c>
    </row>
    <row r="1190" spans="1:5" ht="15" x14ac:dyDescent="0.3">
      <c r="A1190" s="506">
        <v>8854</v>
      </c>
      <c r="B1190" s="507" t="s">
        <v>4563</v>
      </c>
      <c r="C1190" s="506" t="s">
        <v>32</v>
      </c>
      <c r="D1190" s="508">
        <v>4084232</v>
      </c>
      <c r="E1190" s="507" t="s">
        <v>6108</v>
      </c>
    </row>
    <row r="1191" spans="1:5" ht="15" x14ac:dyDescent="0.3">
      <c r="A1191" s="506">
        <v>8855</v>
      </c>
      <c r="B1191" s="507" t="s">
        <v>4564</v>
      </c>
      <c r="C1191" s="506" t="s">
        <v>32</v>
      </c>
      <c r="D1191" s="508">
        <v>2499</v>
      </c>
      <c r="E1191" s="507" t="s">
        <v>6108</v>
      </c>
    </row>
    <row r="1192" spans="1:5" ht="15" x14ac:dyDescent="0.3">
      <c r="A1192" s="506">
        <v>8856</v>
      </c>
      <c r="B1192" s="507" t="s">
        <v>4565</v>
      </c>
      <c r="C1192" s="506" t="s">
        <v>32</v>
      </c>
      <c r="D1192" s="508">
        <v>1545</v>
      </c>
      <c r="E1192" s="507" t="s">
        <v>6108</v>
      </c>
    </row>
    <row r="1193" spans="1:5" ht="15" x14ac:dyDescent="0.3">
      <c r="A1193" s="506">
        <v>8858</v>
      </c>
      <c r="B1193" s="507" t="s">
        <v>4566</v>
      </c>
      <c r="C1193" s="506" t="s">
        <v>328</v>
      </c>
      <c r="D1193" s="508">
        <v>1171</v>
      </c>
      <c r="E1193" s="507" t="s">
        <v>6108</v>
      </c>
    </row>
    <row r="1194" spans="1:5" ht="15" x14ac:dyDescent="0.3">
      <c r="A1194" s="506">
        <v>8859</v>
      </c>
      <c r="B1194" s="507" t="s">
        <v>4567</v>
      </c>
      <c r="C1194" s="506" t="s">
        <v>328</v>
      </c>
      <c r="D1194" s="508">
        <v>14150</v>
      </c>
      <c r="E1194" s="507" t="s">
        <v>6108</v>
      </c>
    </row>
    <row r="1195" spans="1:5" ht="15" x14ac:dyDescent="0.3">
      <c r="A1195" s="506">
        <v>8860</v>
      </c>
      <c r="B1195" s="507" t="s">
        <v>4568</v>
      </c>
      <c r="C1195" s="506" t="s">
        <v>328</v>
      </c>
      <c r="D1195" s="508">
        <v>2900</v>
      </c>
      <c r="E1195" s="507" t="s">
        <v>6108</v>
      </c>
    </row>
    <row r="1196" spans="1:5" ht="15" x14ac:dyDescent="0.3">
      <c r="A1196" s="506">
        <v>8861</v>
      </c>
      <c r="B1196" s="507" t="s">
        <v>4569</v>
      </c>
      <c r="C1196" s="506" t="s">
        <v>328</v>
      </c>
      <c r="D1196" s="508">
        <v>2960</v>
      </c>
      <c r="E1196" s="507" t="s">
        <v>6108</v>
      </c>
    </row>
    <row r="1197" spans="1:5" ht="15" x14ac:dyDescent="0.3">
      <c r="A1197" s="506">
        <v>8862</v>
      </c>
      <c r="B1197" s="507" t="s">
        <v>4570</v>
      </c>
      <c r="C1197" s="506" t="s">
        <v>328</v>
      </c>
      <c r="D1197" s="508">
        <v>2857</v>
      </c>
      <c r="E1197" s="507" t="s">
        <v>6108</v>
      </c>
    </row>
    <row r="1198" spans="1:5" ht="15" x14ac:dyDescent="0.3">
      <c r="A1198" s="506">
        <v>8865</v>
      </c>
      <c r="B1198" s="507" t="s">
        <v>4571</v>
      </c>
      <c r="C1198" s="506" t="s">
        <v>32</v>
      </c>
      <c r="D1198" s="508">
        <v>559993</v>
      </c>
      <c r="E1198" s="507" t="s">
        <v>6108</v>
      </c>
    </row>
    <row r="1199" spans="1:5" ht="15" x14ac:dyDescent="0.3">
      <c r="A1199" s="506">
        <v>8866</v>
      </c>
      <c r="B1199" s="507" t="s">
        <v>4572</v>
      </c>
      <c r="C1199" s="506" t="s">
        <v>32</v>
      </c>
      <c r="D1199" s="508">
        <v>16400</v>
      </c>
      <c r="E1199" s="507" t="s">
        <v>6108</v>
      </c>
    </row>
    <row r="1200" spans="1:5" ht="15" x14ac:dyDescent="0.3">
      <c r="A1200" s="506">
        <v>8867</v>
      </c>
      <c r="B1200" s="507" t="s">
        <v>4573</v>
      </c>
      <c r="C1200" s="506" t="s">
        <v>32</v>
      </c>
      <c r="D1200" s="508">
        <v>54100</v>
      </c>
      <c r="E1200" s="507" t="s">
        <v>6108</v>
      </c>
    </row>
    <row r="1201" spans="1:5" ht="15" x14ac:dyDescent="0.3">
      <c r="A1201" s="506">
        <v>8868</v>
      </c>
      <c r="B1201" s="507" t="s">
        <v>4574</v>
      </c>
      <c r="C1201" s="506" t="s">
        <v>328</v>
      </c>
      <c r="D1201" s="508">
        <v>39950</v>
      </c>
      <c r="E1201" s="507" t="s">
        <v>6108</v>
      </c>
    </row>
    <row r="1202" spans="1:5" ht="15" x14ac:dyDescent="0.3">
      <c r="A1202" s="506">
        <v>8869</v>
      </c>
      <c r="B1202" s="507" t="s">
        <v>4575</v>
      </c>
      <c r="C1202" s="506" t="s">
        <v>328</v>
      </c>
      <c r="D1202" s="508">
        <v>27278</v>
      </c>
      <c r="E1202" s="507" t="s">
        <v>6108</v>
      </c>
    </row>
    <row r="1203" spans="1:5" ht="15" x14ac:dyDescent="0.3">
      <c r="A1203" s="506">
        <v>8870</v>
      </c>
      <c r="B1203" s="507" t="s">
        <v>4576</v>
      </c>
      <c r="C1203" s="506" t="s">
        <v>32</v>
      </c>
      <c r="D1203" s="508">
        <v>3300</v>
      </c>
      <c r="E1203" s="507" t="s">
        <v>6108</v>
      </c>
    </row>
    <row r="1204" spans="1:5" ht="15" x14ac:dyDescent="0.3">
      <c r="A1204" s="506">
        <v>8871</v>
      </c>
      <c r="B1204" s="507" t="s">
        <v>4577</v>
      </c>
      <c r="C1204" s="506" t="s">
        <v>32</v>
      </c>
      <c r="D1204" s="508">
        <v>2475</v>
      </c>
      <c r="E1204" s="507" t="s">
        <v>6108</v>
      </c>
    </row>
    <row r="1205" spans="1:5" ht="15" x14ac:dyDescent="0.3">
      <c r="A1205" s="506">
        <v>8872</v>
      </c>
      <c r="B1205" s="507" t="s">
        <v>4578</v>
      </c>
      <c r="C1205" s="506" t="s">
        <v>32</v>
      </c>
      <c r="D1205" s="508">
        <v>47900</v>
      </c>
      <c r="E1205" s="507" t="s">
        <v>331</v>
      </c>
    </row>
    <row r="1206" spans="1:5" ht="15" x14ac:dyDescent="0.3">
      <c r="A1206" s="506">
        <v>8873</v>
      </c>
      <c r="B1206" s="507" t="s">
        <v>4579</v>
      </c>
      <c r="C1206" s="506" t="s">
        <v>670</v>
      </c>
      <c r="D1206" s="508">
        <v>6684</v>
      </c>
      <c r="E1206" s="507" t="s">
        <v>6108</v>
      </c>
    </row>
    <row r="1207" spans="1:5" ht="15" x14ac:dyDescent="0.3">
      <c r="A1207" s="506">
        <v>8874</v>
      </c>
      <c r="B1207" s="507" t="s">
        <v>4580</v>
      </c>
      <c r="C1207" s="506" t="s">
        <v>32</v>
      </c>
      <c r="D1207" s="508">
        <v>68500</v>
      </c>
      <c r="E1207" s="507" t="s">
        <v>6108</v>
      </c>
    </row>
    <row r="1208" spans="1:5" ht="15" x14ac:dyDescent="0.3">
      <c r="A1208" s="506">
        <v>8875</v>
      </c>
      <c r="B1208" s="507" t="s">
        <v>4581</v>
      </c>
      <c r="C1208" s="506" t="s">
        <v>32</v>
      </c>
      <c r="D1208" s="508">
        <v>220000</v>
      </c>
      <c r="E1208" s="507" t="s">
        <v>6108</v>
      </c>
    </row>
    <row r="1209" spans="1:5" ht="15" x14ac:dyDescent="0.3">
      <c r="A1209" s="506">
        <v>8876</v>
      </c>
      <c r="B1209" s="507" t="s">
        <v>4582</v>
      </c>
      <c r="C1209" s="506" t="s">
        <v>32</v>
      </c>
      <c r="D1209" s="508">
        <v>19100</v>
      </c>
      <c r="E1209" s="507" t="s">
        <v>6108</v>
      </c>
    </row>
    <row r="1210" spans="1:5" ht="15" x14ac:dyDescent="0.3">
      <c r="A1210" s="506">
        <v>8877</v>
      </c>
      <c r="B1210" s="507" t="s">
        <v>4583</v>
      </c>
      <c r="C1210" s="506" t="s">
        <v>32</v>
      </c>
      <c r="D1210" s="508">
        <v>36295</v>
      </c>
      <c r="E1210" s="507" t="s">
        <v>6108</v>
      </c>
    </row>
    <row r="1211" spans="1:5" ht="15" x14ac:dyDescent="0.3">
      <c r="A1211" s="506">
        <v>8880</v>
      </c>
      <c r="B1211" s="507" t="s">
        <v>4584</v>
      </c>
      <c r="C1211" s="506" t="s">
        <v>328</v>
      </c>
      <c r="D1211" s="508">
        <v>155139</v>
      </c>
      <c r="E1211" s="507" t="s">
        <v>6108</v>
      </c>
    </row>
    <row r="1212" spans="1:5" ht="15" x14ac:dyDescent="0.3">
      <c r="A1212" s="506">
        <v>8883</v>
      </c>
      <c r="B1212" s="507" t="s">
        <v>4585</v>
      </c>
      <c r="C1212" s="506" t="s">
        <v>32</v>
      </c>
      <c r="D1212" s="508">
        <v>1902</v>
      </c>
      <c r="E1212" s="507" t="s">
        <v>6108</v>
      </c>
    </row>
    <row r="1213" spans="1:5" ht="15" x14ac:dyDescent="0.3">
      <c r="A1213" s="506">
        <v>8884</v>
      </c>
      <c r="B1213" s="507" t="s">
        <v>4586</v>
      </c>
      <c r="C1213" s="506" t="s">
        <v>32</v>
      </c>
      <c r="D1213" s="508">
        <v>1200</v>
      </c>
      <c r="E1213" s="507" t="s">
        <v>6108</v>
      </c>
    </row>
    <row r="1214" spans="1:5" ht="15" x14ac:dyDescent="0.3">
      <c r="A1214" s="506">
        <v>8885</v>
      </c>
      <c r="B1214" s="507" t="s">
        <v>6279</v>
      </c>
      <c r="C1214" s="506" t="s">
        <v>32</v>
      </c>
      <c r="D1214" s="508">
        <v>15254</v>
      </c>
      <c r="E1214" s="507" t="s">
        <v>6108</v>
      </c>
    </row>
    <row r="1215" spans="1:5" ht="15" x14ac:dyDescent="0.3">
      <c r="A1215" s="506">
        <v>8907</v>
      </c>
      <c r="B1215" s="507" t="s">
        <v>4587</v>
      </c>
      <c r="C1215" s="506" t="s">
        <v>328</v>
      </c>
      <c r="D1215" s="508">
        <v>134406</v>
      </c>
      <c r="E1215" s="507" t="s">
        <v>6108</v>
      </c>
    </row>
    <row r="1216" spans="1:5" ht="15" x14ac:dyDescent="0.3">
      <c r="A1216" s="506">
        <v>8908</v>
      </c>
      <c r="B1216" s="507" t="s">
        <v>4588</v>
      </c>
      <c r="C1216" s="506" t="s">
        <v>328</v>
      </c>
      <c r="D1216" s="508">
        <v>158386</v>
      </c>
      <c r="E1216" s="507" t="s">
        <v>6108</v>
      </c>
    </row>
    <row r="1217" spans="1:5" ht="15" x14ac:dyDescent="0.3">
      <c r="A1217" s="506">
        <v>8911</v>
      </c>
      <c r="B1217" s="507" t="s">
        <v>4589</v>
      </c>
      <c r="C1217" s="506" t="s">
        <v>692</v>
      </c>
      <c r="D1217" s="508">
        <v>163636</v>
      </c>
      <c r="E1217" s="507" t="s">
        <v>6109</v>
      </c>
    </row>
    <row r="1218" spans="1:5" ht="15" x14ac:dyDescent="0.3">
      <c r="A1218" s="506">
        <v>8913</v>
      </c>
      <c r="B1218" s="507" t="s">
        <v>4590</v>
      </c>
      <c r="C1218" s="506" t="s">
        <v>32</v>
      </c>
      <c r="D1218" s="508">
        <v>42821</v>
      </c>
      <c r="E1218" s="507" t="s">
        <v>6108</v>
      </c>
    </row>
    <row r="1219" spans="1:5" ht="15" x14ac:dyDescent="0.3">
      <c r="A1219" s="506">
        <v>8928</v>
      </c>
      <c r="B1219" s="507" t="s">
        <v>4591</v>
      </c>
      <c r="C1219" s="506" t="s">
        <v>328</v>
      </c>
      <c r="D1219" s="508">
        <v>617699</v>
      </c>
      <c r="E1219" s="507" t="s">
        <v>331</v>
      </c>
    </row>
    <row r="1220" spans="1:5" ht="15" x14ac:dyDescent="0.3">
      <c r="A1220" s="506">
        <v>8929</v>
      </c>
      <c r="B1220" s="507" t="s">
        <v>4592</v>
      </c>
      <c r="C1220" s="506" t="s">
        <v>32</v>
      </c>
      <c r="D1220" s="508">
        <v>1193322</v>
      </c>
      <c r="E1220" s="507" t="s">
        <v>6108</v>
      </c>
    </row>
    <row r="1221" spans="1:5" ht="15" x14ac:dyDescent="0.3">
      <c r="A1221" s="506">
        <v>8930</v>
      </c>
      <c r="B1221" s="507" t="s">
        <v>4593</v>
      </c>
      <c r="C1221" s="506" t="s">
        <v>32</v>
      </c>
      <c r="D1221" s="508">
        <v>1953830</v>
      </c>
      <c r="E1221" s="507" t="s">
        <v>6108</v>
      </c>
    </row>
    <row r="1222" spans="1:5" ht="15" x14ac:dyDescent="0.3">
      <c r="A1222" s="506">
        <v>8931</v>
      </c>
      <c r="B1222" s="507" t="s">
        <v>4594</v>
      </c>
      <c r="C1222" s="506" t="s">
        <v>32</v>
      </c>
      <c r="D1222" s="508">
        <v>4683206</v>
      </c>
      <c r="E1222" s="507" t="s">
        <v>6108</v>
      </c>
    </row>
    <row r="1223" spans="1:5" ht="15" x14ac:dyDescent="0.3">
      <c r="A1223" s="506">
        <v>8932</v>
      </c>
      <c r="B1223" s="507" t="s">
        <v>6280</v>
      </c>
      <c r="C1223" s="506" t="s">
        <v>32</v>
      </c>
      <c r="D1223" s="508">
        <v>158270</v>
      </c>
      <c r="E1223" s="507" t="s">
        <v>6108</v>
      </c>
    </row>
    <row r="1224" spans="1:5" ht="15" x14ac:dyDescent="0.3">
      <c r="A1224" s="506">
        <v>8933</v>
      </c>
      <c r="B1224" s="507" t="s">
        <v>6281</v>
      </c>
      <c r="C1224" s="506" t="s">
        <v>32</v>
      </c>
      <c r="D1224" s="508">
        <v>2222095</v>
      </c>
      <c r="E1224" s="507" t="s">
        <v>6108</v>
      </c>
    </row>
    <row r="1225" spans="1:5" ht="15" x14ac:dyDescent="0.3">
      <c r="A1225" s="506">
        <v>8938</v>
      </c>
      <c r="B1225" s="507" t="s">
        <v>4595</v>
      </c>
      <c r="C1225" s="506" t="s">
        <v>32</v>
      </c>
      <c r="D1225" s="508">
        <v>2500</v>
      </c>
      <c r="E1225" s="507" t="s">
        <v>6108</v>
      </c>
    </row>
    <row r="1226" spans="1:5" ht="15" x14ac:dyDescent="0.3">
      <c r="A1226" s="506">
        <v>8939</v>
      </c>
      <c r="B1226" s="507" t="s">
        <v>4596</v>
      </c>
      <c r="C1226" s="506" t="s">
        <v>328</v>
      </c>
      <c r="D1226" s="508">
        <v>3284</v>
      </c>
      <c r="E1226" s="507" t="s">
        <v>6108</v>
      </c>
    </row>
    <row r="1227" spans="1:5" ht="15" x14ac:dyDescent="0.3">
      <c r="A1227" s="506">
        <v>8941</v>
      </c>
      <c r="B1227" s="507" t="s">
        <v>4597</v>
      </c>
      <c r="C1227" s="506" t="s">
        <v>32</v>
      </c>
      <c r="D1227" s="508">
        <v>192750</v>
      </c>
      <c r="E1227" s="507" t="s">
        <v>6108</v>
      </c>
    </row>
    <row r="1228" spans="1:5" ht="15" x14ac:dyDescent="0.3">
      <c r="A1228" s="506">
        <v>8942</v>
      </c>
      <c r="B1228" s="507" t="s">
        <v>4598</v>
      </c>
      <c r="C1228" s="506" t="s">
        <v>328</v>
      </c>
      <c r="D1228" s="508">
        <v>52326</v>
      </c>
      <c r="E1228" s="507" t="s">
        <v>6108</v>
      </c>
    </row>
    <row r="1229" spans="1:5" ht="15" x14ac:dyDescent="0.3">
      <c r="A1229" s="506">
        <v>8968</v>
      </c>
      <c r="B1229" s="507" t="s">
        <v>4599</v>
      </c>
      <c r="C1229" s="506" t="s">
        <v>3593</v>
      </c>
      <c r="D1229" s="508">
        <v>1037</v>
      </c>
      <c r="E1229" s="507" t="s">
        <v>331</v>
      </c>
    </row>
    <row r="1230" spans="1:5" ht="15" x14ac:dyDescent="0.3">
      <c r="A1230" s="506">
        <v>8969</v>
      </c>
      <c r="B1230" s="507" t="s">
        <v>4600</v>
      </c>
      <c r="C1230" s="506" t="s">
        <v>3593</v>
      </c>
      <c r="D1230" s="508">
        <v>1037</v>
      </c>
      <c r="E1230" s="507" t="s">
        <v>331</v>
      </c>
    </row>
    <row r="1231" spans="1:5" ht="15" x14ac:dyDescent="0.3">
      <c r="A1231" s="506">
        <v>8972</v>
      </c>
      <c r="B1231" s="507" t="s">
        <v>4601</v>
      </c>
      <c r="C1231" s="506" t="s">
        <v>30</v>
      </c>
      <c r="D1231" s="508">
        <v>629736</v>
      </c>
      <c r="E1231" s="507" t="s">
        <v>331</v>
      </c>
    </row>
    <row r="1232" spans="1:5" ht="15" x14ac:dyDescent="0.3">
      <c r="A1232" s="506">
        <v>8973</v>
      </c>
      <c r="B1232" s="507" t="s">
        <v>4602</v>
      </c>
      <c r="C1232" s="506" t="s">
        <v>670</v>
      </c>
      <c r="D1232" s="508">
        <v>23789</v>
      </c>
      <c r="E1232" s="507" t="s">
        <v>6108</v>
      </c>
    </row>
    <row r="1233" spans="1:5" ht="15" x14ac:dyDescent="0.3">
      <c r="A1233" s="506">
        <v>8975</v>
      </c>
      <c r="B1233" s="507" t="s">
        <v>4603</v>
      </c>
      <c r="C1233" s="506" t="s">
        <v>328</v>
      </c>
      <c r="D1233" s="508">
        <v>8502</v>
      </c>
      <c r="E1233" s="507" t="s">
        <v>331</v>
      </c>
    </row>
    <row r="1234" spans="1:5" ht="15" x14ac:dyDescent="0.3">
      <c r="A1234" s="506">
        <v>8978</v>
      </c>
      <c r="B1234" s="507" t="s">
        <v>4604</v>
      </c>
      <c r="C1234" s="506" t="s">
        <v>670</v>
      </c>
      <c r="D1234" s="508">
        <v>2797</v>
      </c>
      <c r="E1234" s="507" t="s">
        <v>331</v>
      </c>
    </row>
    <row r="1235" spans="1:5" ht="15" x14ac:dyDescent="0.3">
      <c r="A1235" s="506">
        <v>8979</v>
      </c>
      <c r="B1235" s="507" t="s">
        <v>4605</v>
      </c>
      <c r="C1235" s="506" t="s">
        <v>30</v>
      </c>
      <c r="D1235" s="508">
        <v>16065</v>
      </c>
      <c r="E1235" s="507" t="s">
        <v>331</v>
      </c>
    </row>
    <row r="1236" spans="1:5" ht="15" x14ac:dyDescent="0.3">
      <c r="A1236" s="506">
        <v>8981</v>
      </c>
      <c r="B1236" s="507" t="s">
        <v>4606</v>
      </c>
      <c r="C1236" s="506" t="s">
        <v>670</v>
      </c>
      <c r="D1236" s="508">
        <v>4526</v>
      </c>
      <c r="E1236" s="507" t="s">
        <v>331</v>
      </c>
    </row>
    <row r="1237" spans="1:5" ht="15" x14ac:dyDescent="0.3">
      <c r="A1237" s="506">
        <v>8983</v>
      </c>
      <c r="B1237" s="507" t="s">
        <v>4607</v>
      </c>
      <c r="C1237" s="506" t="s">
        <v>670</v>
      </c>
      <c r="D1237" s="508">
        <v>7854</v>
      </c>
      <c r="E1237" s="507" t="s">
        <v>331</v>
      </c>
    </row>
    <row r="1238" spans="1:5" ht="15" x14ac:dyDescent="0.3">
      <c r="A1238" s="506">
        <v>8984</v>
      </c>
      <c r="B1238" s="507" t="s">
        <v>4608</v>
      </c>
      <c r="C1238" s="506" t="s">
        <v>670</v>
      </c>
      <c r="D1238" s="508">
        <v>6069</v>
      </c>
      <c r="E1238" s="507" t="s">
        <v>331</v>
      </c>
    </row>
    <row r="1239" spans="1:5" ht="15" x14ac:dyDescent="0.3">
      <c r="A1239" s="506">
        <v>8985</v>
      </c>
      <c r="B1239" s="507" t="s">
        <v>4609</v>
      </c>
      <c r="C1239" s="506" t="s">
        <v>32</v>
      </c>
      <c r="D1239" s="508">
        <v>14042</v>
      </c>
      <c r="E1239" s="507" t="s">
        <v>6108</v>
      </c>
    </row>
    <row r="1240" spans="1:5" ht="15" x14ac:dyDescent="0.3">
      <c r="A1240" s="506">
        <v>8986</v>
      </c>
      <c r="B1240" s="507" t="s">
        <v>4610</v>
      </c>
      <c r="C1240" s="506" t="s">
        <v>32</v>
      </c>
      <c r="D1240" s="508">
        <v>13000</v>
      </c>
      <c r="E1240" s="507" t="s">
        <v>6108</v>
      </c>
    </row>
    <row r="1241" spans="1:5" ht="15" x14ac:dyDescent="0.3">
      <c r="A1241" s="506">
        <v>8987</v>
      </c>
      <c r="B1241" s="507" t="s">
        <v>4611</v>
      </c>
      <c r="C1241" s="506" t="s">
        <v>32</v>
      </c>
      <c r="D1241" s="508">
        <v>36000</v>
      </c>
      <c r="E1241" s="507" t="s">
        <v>6108</v>
      </c>
    </row>
    <row r="1242" spans="1:5" ht="15" x14ac:dyDescent="0.3">
      <c r="A1242" s="506">
        <v>8988</v>
      </c>
      <c r="B1242" s="507" t="s">
        <v>4612</v>
      </c>
      <c r="C1242" s="506" t="s">
        <v>32</v>
      </c>
      <c r="D1242" s="508">
        <v>13550</v>
      </c>
      <c r="E1242" s="507" t="s">
        <v>6108</v>
      </c>
    </row>
    <row r="1243" spans="1:5" ht="15" x14ac:dyDescent="0.3">
      <c r="A1243" s="506">
        <v>8990</v>
      </c>
      <c r="B1243" s="507" t="s">
        <v>4613</v>
      </c>
      <c r="C1243" s="506" t="s">
        <v>32</v>
      </c>
      <c r="D1243" s="508">
        <v>83866</v>
      </c>
      <c r="E1243" s="507" t="s">
        <v>6108</v>
      </c>
    </row>
    <row r="1244" spans="1:5" ht="15" x14ac:dyDescent="0.3">
      <c r="A1244" s="506">
        <v>8993</v>
      </c>
      <c r="B1244" s="507" t="s">
        <v>4614</v>
      </c>
      <c r="C1244" s="506" t="s">
        <v>32</v>
      </c>
      <c r="D1244" s="508">
        <v>535000</v>
      </c>
      <c r="E1244" s="507" t="s">
        <v>6108</v>
      </c>
    </row>
    <row r="1245" spans="1:5" ht="15" x14ac:dyDescent="0.3">
      <c r="A1245" s="506">
        <v>8994</v>
      </c>
      <c r="B1245" s="507" t="s">
        <v>4615</v>
      </c>
      <c r="C1245" s="506" t="s">
        <v>32</v>
      </c>
      <c r="D1245" s="508">
        <v>2100</v>
      </c>
      <c r="E1245" s="507" t="s">
        <v>6108</v>
      </c>
    </row>
    <row r="1246" spans="1:5" ht="15" x14ac:dyDescent="0.3">
      <c r="A1246" s="506">
        <v>8995</v>
      </c>
      <c r="B1246" s="507" t="s">
        <v>4616</v>
      </c>
      <c r="C1246" s="506" t="s">
        <v>32</v>
      </c>
      <c r="D1246" s="508">
        <v>10650</v>
      </c>
      <c r="E1246" s="507" t="s">
        <v>6108</v>
      </c>
    </row>
    <row r="1247" spans="1:5" ht="15" x14ac:dyDescent="0.3">
      <c r="A1247" s="506">
        <v>8996</v>
      </c>
      <c r="B1247" s="507" t="s">
        <v>4617</v>
      </c>
      <c r="C1247" s="506" t="s">
        <v>32</v>
      </c>
      <c r="D1247" s="508">
        <v>397100</v>
      </c>
      <c r="E1247" s="507" t="s">
        <v>6108</v>
      </c>
    </row>
    <row r="1248" spans="1:5" ht="15" x14ac:dyDescent="0.3">
      <c r="A1248" s="506">
        <v>8997</v>
      </c>
      <c r="B1248" s="507" t="s">
        <v>4618</v>
      </c>
      <c r="C1248" s="506" t="s">
        <v>32</v>
      </c>
      <c r="D1248" s="508">
        <v>49980</v>
      </c>
      <c r="E1248" s="507" t="s">
        <v>6108</v>
      </c>
    </row>
    <row r="1249" spans="1:5" ht="15" x14ac:dyDescent="0.3">
      <c r="A1249" s="506">
        <v>9000</v>
      </c>
      <c r="B1249" s="507" t="s">
        <v>4619</v>
      </c>
      <c r="C1249" s="506" t="s">
        <v>32</v>
      </c>
      <c r="D1249" s="508">
        <v>219350</v>
      </c>
      <c r="E1249" s="507" t="s">
        <v>6108</v>
      </c>
    </row>
    <row r="1250" spans="1:5" ht="15" x14ac:dyDescent="0.3">
      <c r="A1250" s="506">
        <v>9001</v>
      </c>
      <c r="B1250" s="507" t="s">
        <v>4620</v>
      </c>
      <c r="C1250" s="506" t="s">
        <v>32</v>
      </c>
      <c r="D1250" s="508">
        <v>211820</v>
      </c>
      <c r="E1250" s="507" t="s">
        <v>6108</v>
      </c>
    </row>
    <row r="1251" spans="1:5" ht="15" x14ac:dyDescent="0.3">
      <c r="A1251" s="506">
        <v>9003</v>
      </c>
      <c r="B1251" s="507" t="s">
        <v>4621</v>
      </c>
      <c r="C1251" s="506" t="s">
        <v>32</v>
      </c>
      <c r="D1251" s="508">
        <v>4850</v>
      </c>
      <c r="E1251" s="507" t="s">
        <v>6108</v>
      </c>
    </row>
    <row r="1252" spans="1:5" ht="15" x14ac:dyDescent="0.3">
      <c r="A1252" s="506">
        <v>9004</v>
      </c>
      <c r="B1252" s="507" t="s">
        <v>4622</v>
      </c>
      <c r="C1252" s="506" t="s">
        <v>328</v>
      </c>
      <c r="D1252" s="508">
        <v>264187</v>
      </c>
      <c r="E1252" s="507" t="s">
        <v>331</v>
      </c>
    </row>
    <row r="1253" spans="1:5" ht="15" x14ac:dyDescent="0.3">
      <c r="A1253" s="506">
        <v>9005</v>
      </c>
      <c r="B1253" s="507" t="s">
        <v>4623</v>
      </c>
      <c r="C1253" s="506" t="s">
        <v>328</v>
      </c>
      <c r="D1253" s="508">
        <v>565393</v>
      </c>
      <c r="E1253" s="507" t="s">
        <v>331</v>
      </c>
    </row>
    <row r="1254" spans="1:5" ht="15" x14ac:dyDescent="0.3">
      <c r="A1254" s="506">
        <v>9006</v>
      </c>
      <c r="B1254" s="507" t="s">
        <v>4624</v>
      </c>
      <c r="C1254" s="506" t="s">
        <v>328</v>
      </c>
      <c r="D1254" s="508">
        <v>702094</v>
      </c>
      <c r="E1254" s="507" t="s">
        <v>331</v>
      </c>
    </row>
    <row r="1255" spans="1:5" ht="15" x14ac:dyDescent="0.3">
      <c r="A1255" s="506">
        <v>9007</v>
      </c>
      <c r="B1255" s="507" t="s">
        <v>4625</v>
      </c>
      <c r="C1255" s="506" t="s">
        <v>328</v>
      </c>
      <c r="D1255" s="508">
        <v>827658</v>
      </c>
      <c r="E1255" s="507" t="s">
        <v>331</v>
      </c>
    </row>
    <row r="1256" spans="1:5" ht="15" x14ac:dyDescent="0.3">
      <c r="A1256" s="506">
        <v>9034</v>
      </c>
      <c r="B1256" s="507" t="s">
        <v>4626</v>
      </c>
      <c r="C1256" s="506" t="s">
        <v>32</v>
      </c>
      <c r="D1256" s="508">
        <v>207510</v>
      </c>
      <c r="E1256" s="507" t="s">
        <v>6108</v>
      </c>
    </row>
    <row r="1257" spans="1:5" ht="15" x14ac:dyDescent="0.3">
      <c r="A1257" s="506">
        <v>9035</v>
      </c>
      <c r="B1257" s="507" t="s">
        <v>4627</v>
      </c>
      <c r="C1257" s="506" t="s">
        <v>32</v>
      </c>
      <c r="D1257" s="508">
        <v>224602</v>
      </c>
      <c r="E1257" s="507" t="s">
        <v>6108</v>
      </c>
    </row>
    <row r="1258" spans="1:5" ht="15" x14ac:dyDescent="0.3">
      <c r="A1258" s="506">
        <v>9036</v>
      </c>
      <c r="B1258" s="507" t="s">
        <v>4628</v>
      </c>
      <c r="C1258" s="506" t="s">
        <v>32</v>
      </c>
      <c r="D1258" s="508">
        <v>61289</v>
      </c>
      <c r="E1258" s="507" t="s">
        <v>6108</v>
      </c>
    </row>
    <row r="1259" spans="1:5" ht="15" x14ac:dyDescent="0.3">
      <c r="A1259" s="506">
        <v>9037</v>
      </c>
      <c r="B1259" s="507" t="s">
        <v>4629</v>
      </c>
      <c r="C1259" s="506" t="s">
        <v>32</v>
      </c>
      <c r="D1259" s="508">
        <v>25055</v>
      </c>
      <c r="E1259" s="507" t="s">
        <v>331</v>
      </c>
    </row>
    <row r="1260" spans="1:5" ht="15" x14ac:dyDescent="0.3">
      <c r="A1260" s="506">
        <v>9038</v>
      </c>
      <c r="B1260" s="507" t="s">
        <v>4630</v>
      </c>
      <c r="C1260" s="506" t="s">
        <v>32</v>
      </c>
      <c r="D1260" s="508">
        <v>4121575</v>
      </c>
      <c r="E1260" s="507" t="s">
        <v>6108</v>
      </c>
    </row>
    <row r="1261" spans="1:5" ht="15" x14ac:dyDescent="0.3">
      <c r="A1261" s="506">
        <v>9043</v>
      </c>
      <c r="B1261" s="507" t="s">
        <v>4631</v>
      </c>
      <c r="C1261" s="506" t="s">
        <v>21</v>
      </c>
      <c r="D1261" s="508">
        <v>19493</v>
      </c>
      <c r="E1261" s="507" t="s">
        <v>6108</v>
      </c>
    </row>
    <row r="1262" spans="1:5" ht="15" x14ac:dyDescent="0.3">
      <c r="A1262" s="506">
        <v>9044</v>
      </c>
      <c r="B1262" s="507" t="s">
        <v>4632</v>
      </c>
      <c r="C1262" s="506" t="s">
        <v>21</v>
      </c>
      <c r="D1262" s="508">
        <v>23991</v>
      </c>
      <c r="E1262" s="507" t="s">
        <v>6108</v>
      </c>
    </row>
    <row r="1263" spans="1:5" ht="15" x14ac:dyDescent="0.3">
      <c r="A1263" s="506">
        <v>9048</v>
      </c>
      <c r="B1263" s="507" t="s">
        <v>4633</v>
      </c>
      <c r="C1263" s="506" t="s">
        <v>32</v>
      </c>
      <c r="D1263" s="508">
        <v>568502</v>
      </c>
      <c r="E1263" s="507" t="s">
        <v>6108</v>
      </c>
    </row>
    <row r="1264" spans="1:5" ht="15" x14ac:dyDescent="0.3">
      <c r="A1264" s="506">
        <v>9050</v>
      </c>
      <c r="B1264" s="507" t="s">
        <v>4634</v>
      </c>
      <c r="C1264" s="506" t="s">
        <v>32</v>
      </c>
      <c r="D1264" s="508">
        <v>573861</v>
      </c>
      <c r="E1264" s="507" t="s">
        <v>6108</v>
      </c>
    </row>
    <row r="1265" spans="1:5" ht="15" x14ac:dyDescent="0.3">
      <c r="A1265" s="506">
        <v>9054</v>
      </c>
      <c r="B1265" s="507" t="s">
        <v>4635</v>
      </c>
      <c r="C1265" s="506" t="s">
        <v>21</v>
      </c>
      <c r="D1265" s="508">
        <v>344300</v>
      </c>
      <c r="E1265" s="507" t="s">
        <v>6108</v>
      </c>
    </row>
    <row r="1266" spans="1:5" ht="15" x14ac:dyDescent="0.3">
      <c r="A1266" s="506">
        <v>9056</v>
      </c>
      <c r="B1266" s="507" t="s">
        <v>4636</v>
      </c>
      <c r="C1266" s="506" t="s">
        <v>21</v>
      </c>
      <c r="D1266" s="508">
        <v>646281</v>
      </c>
      <c r="E1266" s="507" t="s">
        <v>6108</v>
      </c>
    </row>
    <row r="1267" spans="1:5" ht="15" x14ac:dyDescent="0.3">
      <c r="A1267" s="506">
        <v>9057</v>
      </c>
      <c r="B1267" s="507" t="s">
        <v>4637</v>
      </c>
      <c r="C1267" s="506" t="s">
        <v>21</v>
      </c>
      <c r="D1267" s="508">
        <v>314800</v>
      </c>
      <c r="E1267" s="507" t="s">
        <v>6108</v>
      </c>
    </row>
    <row r="1268" spans="1:5" ht="15" x14ac:dyDescent="0.3">
      <c r="A1268" s="506">
        <v>9061</v>
      </c>
      <c r="B1268" s="507" t="s">
        <v>4638</v>
      </c>
      <c r="C1268" s="506" t="s">
        <v>21</v>
      </c>
      <c r="D1268" s="508">
        <v>460104</v>
      </c>
      <c r="E1268" s="507" t="s">
        <v>331</v>
      </c>
    </row>
    <row r="1269" spans="1:5" ht="15" x14ac:dyDescent="0.3">
      <c r="A1269" s="506">
        <v>9062</v>
      </c>
      <c r="B1269" s="507" t="s">
        <v>4639</v>
      </c>
      <c r="C1269" s="506" t="s">
        <v>32</v>
      </c>
      <c r="D1269" s="508">
        <v>435667</v>
      </c>
      <c r="E1269" s="507" t="s">
        <v>6108</v>
      </c>
    </row>
    <row r="1270" spans="1:5" ht="15" x14ac:dyDescent="0.3">
      <c r="A1270" s="506">
        <v>9084</v>
      </c>
      <c r="B1270" s="507" t="s">
        <v>4640</v>
      </c>
      <c r="C1270" s="506" t="s">
        <v>254</v>
      </c>
      <c r="D1270" s="508">
        <v>3584000</v>
      </c>
      <c r="E1270" s="507" t="s">
        <v>6109</v>
      </c>
    </row>
    <row r="1271" spans="1:5" ht="15" x14ac:dyDescent="0.3">
      <c r="A1271" s="506">
        <v>9085</v>
      </c>
      <c r="B1271" s="507" t="s">
        <v>4641</v>
      </c>
      <c r="C1271" s="506" t="s">
        <v>254</v>
      </c>
      <c r="D1271" s="508">
        <v>3150000</v>
      </c>
      <c r="E1271" s="507" t="s">
        <v>6109</v>
      </c>
    </row>
    <row r="1272" spans="1:5" ht="15" x14ac:dyDescent="0.3">
      <c r="A1272" s="506">
        <v>9086</v>
      </c>
      <c r="B1272" s="507" t="s">
        <v>4642</v>
      </c>
      <c r="C1272" s="506" t="s">
        <v>254</v>
      </c>
      <c r="D1272" s="508">
        <v>3303000</v>
      </c>
      <c r="E1272" s="507" t="s">
        <v>6109</v>
      </c>
    </row>
    <row r="1273" spans="1:5" ht="15" x14ac:dyDescent="0.3">
      <c r="A1273" s="506">
        <v>9087</v>
      </c>
      <c r="B1273" s="507" t="s">
        <v>4643</v>
      </c>
      <c r="C1273" s="506" t="s">
        <v>254</v>
      </c>
      <c r="D1273" s="508">
        <v>2670000</v>
      </c>
      <c r="E1273" s="507" t="s">
        <v>6109</v>
      </c>
    </row>
    <row r="1274" spans="1:5" ht="15" x14ac:dyDescent="0.3">
      <c r="A1274" s="506">
        <v>9088</v>
      </c>
      <c r="B1274" s="507" t="s">
        <v>4644</v>
      </c>
      <c r="C1274" s="506" t="s">
        <v>254</v>
      </c>
      <c r="D1274" s="508">
        <v>3736000</v>
      </c>
      <c r="E1274" s="507" t="s">
        <v>6109</v>
      </c>
    </row>
    <row r="1275" spans="1:5" ht="15" x14ac:dyDescent="0.3">
      <c r="A1275" s="506">
        <v>9089</v>
      </c>
      <c r="B1275" s="507" t="s">
        <v>4645</v>
      </c>
      <c r="C1275" s="506" t="s">
        <v>254</v>
      </c>
      <c r="D1275" s="508">
        <v>3310000</v>
      </c>
      <c r="E1275" s="507" t="s">
        <v>6109</v>
      </c>
    </row>
    <row r="1276" spans="1:5" ht="15" x14ac:dyDescent="0.3">
      <c r="A1276" s="506">
        <v>9090</v>
      </c>
      <c r="B1276" s="507" t="s">
        <v>4646</v>
      </c>
      <c r="C1276" s="506" t="s">
        <v>254</v>
      </c>
      <c r="D1276" s="508">
        <v>2316000</v>
      </c>
      <c r="E1276" s="507" t="s">
        <v>6109</v>
      </c>
    </row>
    <row r="1277" spans="1:5" ht="15" x14ac:dyDescent="0.3">
      <c r="A1277" s="506">
        <v>9091</v>
      </c>
      <c r="B1277" s="507" t="s">
        <v>4647</v>
      </c>
      <c r="C1277" s="506" t="s">
        <v>254</v>
      </c>
      <c r="D1277" s="508">
        <v>4690453</v>
      </c>
      <c r="E1277" s="507" t="s">
        <v>6109</v>
      </c>
    </row>
    <row r="1278" spans="1:5" ht="15" x14ac:dyDescent="0.3">
      <c r="A1278" s="506">
        <v>9092</v>
      </c>
      <c r="B1278" s="507" t="s">
        <v>4648</v>
      </c>
      <c r="C1278" s="506" t="s">
        <v>254</v>
      </c>
      <c r="D1278" s="508">
        <v>3264239</v>
      </c>
      <c r="E1278" s="507" t="s">
        <v>6109</v>
      </c>
    </row>
    <row r="1279" spans="1:5" ht="15" x14ac:dyDescent="0.3">
      <c r="A1279" s="506">
        <v>9093</v>
      </c>
      <c r="B1279" s="507" t="s">
        <v>4649</v>
      </c>
      <c r="C1279" s="506" t="s">
        <v>254</v>
      </c>
      <c r="D1279" s="508">
        <v>2718000</v>
      </c>
      <c r="E1279" s="507" t="s">
        <v>6109</v>
      </c>
    </row>
    <row r="1280" spans="1:5" ht="15" x14ac:dyDescent="0.3">
      <c r="A1280" s="506">
        <v>9094</v>
      </c>
      <c r="B1280" s="507" t="s">
        <v>4650</v>
      </c>
      <c r="C1280" s="506" t="s">
        <v>254</v>
      </c>
      <c r="D1280" s="508">
        <v>2447000</v>
      </c>
      <c r="E1280" s="507" t="s">
        <v>6109</v>
      </c>
    </row>
    <row r="1281" spans="1:5" ht="15" x14ac:dyDescent="0.3">
      <c r="A1281" s="506">
        <v>9095</v>
      </c>
      <c r="B1281" s="507" t="s">
        <v>4651</v>
      </c>
      <c r="C1281" s="506" t="s">
        <v>254</v>
      </c>
      <c r="D1281" s="508">
        <v>3064000</v>
      </c>
      <c r="E1281" s="507" t="s">
        <v>6109</v>
      </c>
    </row>
    <row r="1282" spans="1:5" ht="15" x14ac:dyDescent="0.3">
      <c r="A1282" s="506">
        <v>9096</v>
      </c>
      <c r="B1282" s="507" t="s">
        <v>4652</v>
      </c>
      <c r="C1282" s="506" t="s">
        <v>254</v>
      </c>
      <c r="D1282" s="508">
        <v>3736000</v>
      </c>
      <c r="E1282" s="507" t="s">
        <v>6109</v>
      </c>
    </row>
    <row r="1283" spans="1:5" ht="15" x14ac:dyDescent="0.3">
      <c r="A1283" s="506">
        <v>9097</v>
      </c>
      <c r="B1283" s="507" t="s">
        <v>4653</v>
      </c>
      <c r="C1283" s="506" t="s">
        <v>254</v>
      </c>
      <c r="D1283" s="508">
        <v>3064000</v>
      </c>
      <c r="E1283" s="507" t="s">
        <v>6109</v>
      </c>
    </row>
    <row r="1284" spans="1:5" ht="15" x14ac:dyDescent="0.3">
      <c r="A1284" s="506">
        <v>9098</v>
      </c>
      <c r="B1284" s="507" t="s">
        <v>4654</v>
      </c>
      <c r="C1284" s="506" t="s">
        <v>254</v>
      </c>
      <c r="D1284" s="508">
        <v>2316000</v>
      </c>
      <c r="E1284" s="507" t="s">
        <v>6109</v>
      </c>
    </row>
    <row r="1285" spans="1:5" ht="15" x14ac:dyDescent="0.3">
      <c r="A1285" s="506">
        <v>9099</v>
      </c>
      <c r="B1285" s="507" t="s">
        <v>4655</v>
      </c>
      <c r="C1285" s="506" t="s">
        <v>254</v>
      </c>
      <c r="D1285" s="508">
        <v>2018000</v>
      </c>
      <c r="E1285" s="507" t="s">
        <v>6109</v>
      </c>
    </row>
    <row r="1286" spans="1:5" ht="15" x14ac:dyDescent="0.3">
      <c r="A1286" s="506">
        <v>9100</v>
      </c>
      <c r="B1286" s="507" t="s">
        <v>4656</v>
      </c>
      <c r="C1286" s="506" t="s">
        <v>254</v>
      </c>
      <c r="D1286" s="508">
        <v>1750905</v>
      </c>
      <c r="E1286" s="507" t="s">
        <v>6109</v>
      </c>
    </row>
    <row r="1287" spans="1:5" ht="15" x14ac:dyDescent="0.3">
      <c r="A1287" s="506">
        <v>9101</v>
      </c>
      <c r="B1287" s="507" t="s">
        <v>4657</v>
      </c>
      <c r="C1287" s="506" t="s">
        <v>254</v>
      </c>
      <c r="D1287" s="508">
        <v>4488000</v>
      </c>
      <c r="E1287" s="507" t="s">
        <v>6109</v>
      </c>
    </row>
    <row r="1288" spans="1:5" ht="15" x14ac:dyDescent="0.3">
      <c r="A1288" s="506">
        <v>9102</v>
      </c>
      <c r="B1288" s="507" t="s">
        <v>4658</v>
      </c>
      <c r="C1288" s="506" t="s">
        <v>254</v>
      </c>
      <c r="D1288" s="508">
        <v>3479000</v>
      </c>
      <c r="E1288" s="507" t="s">
        <v>6109</v>
      </c>
    </row>
    <row r="1289" spans="1:5" ht="15" x14ac:dyDescent="0.3">
      <c r="A1289" s="506">
        <v>9103</v>
      </c>
      <c r="B1289" s="507" t="s">
        <v>4659</v>
      </c>
      <c r="C1289" s="506" t="s">
        <v>254</v>
      </c>
      <c r="D1289" s="508">
        <v>2481000</v>
      </c>
      <c r="E1289" s="507" t="s">
        <v>6109</v>
      </c>
    </row>
    <row r="1290" spans="1:5" ht="15" x14ac:dyDescent="0.3">
      <c r="A1290" s="506">
        <v>9104</v>
      </c>
      <c r="B1290" s="507" t="s">
        <v>4660</v>
      </c>
      <c r="C1290" s="506" t="s">
        <v>254</v>
      </c>
      <c r="D1290" s="508">
        <v>2018000</v>
      </c>
      <c r="E1290" s="507" t="s">
        <v>6109</v>
      </c>
    </row>
    <row r="1291" spans="1:5" ht="15" x14ac:dyDescent="0.3">
      <c r="A1291" s="506">
        <v>9105</v>
      </c>
      <c r="B1291" s="507" t="s">
        <v>4661</v>
      </c>
      <c r="C1291" s="506" t="s">
        <v>254</v>
      </c>
      <c r="D1291" s="508">
        <v>1750905</v>
      </c>
      <c r="E1291" s="507" t="s">
        <v>6109</v>
      </c>
    </row>
    <row r="1292" spans="1:5" ht="15" x14ac:dyDescent="0.3">
      <c r="A1292" s="506">
        <v>9107</v>
      </c>
      <c r="B1292" s="507" t="s">
        <v>4662</v>
      </c>
      <c r="C1292" s="506" t="s">
        <v>254</v>
      </c>
      <c r="D1292" s="508">
        <v>17387000</v>
      </c>
      <c r="E1292" s="507" t="s">
        <v>6109</v>
      </c>
    </row>
    <row r="1293" spans="1:5" ht="15" x14ac:dyDescent="0.3">
      <c r="A1293" s="506">
        <v>9108</v>
      </c>
      <c r="B1293" s="507" t="s">
        <v>4663</v>
      </c>
      <c r="C1293" s="506" t="s">
        <v>254</v>
      </c>
      <c r="D1293" s="508">
        <v>13251000</v>
      </c>
      <c r="E1293" s="507" t="s">
        <v>6109</v>
      </c>
    </row>
    <row r="1294" spans="1:5" ht="15" x14ac:dyDescent="0.3">
      <c r="A1294" s="506">
        <v>9109</v>
      </c>
      <c r="B1294" s="507" t="s">
        <v>4664</v>
      </c>
      <c r="C1294" s="506" t="s">
        <v>254</v>
      </c>
      <c r="D1294" s="508">
        <v>11183000</v>
      </c>
      <c r="E1294" s="507" t="s">
        <v>6109</v>
      </c>
    </row>
    <row r="1295" spans="1:5" ht="15" x14ac:dyDescent="0.3">
      <c r="A1295" s="506">
        <v>9110</v>
      </c>
      <c r="B1295" s="507" t="s">
        <v>4665</v>
      </c>
      <c r="C1295" s="506" t="s">
        <v>254</v>
      </c>
      <c r="D1295" s="508">
        <v>9522000</v>
      </c>
      <c r="E1295" s="507" t="s">
        <v>6109</v>
      </c>
    </row>
    <row r="1296" spans="1:5" ht="15" x14ac:dyDescent="0.3">
      <c r="A1296" s="506">
        <v>9111</v>
      </c>
      <c r="B1296" s="507" t="s">
        <v>4666</v>
      </c>
      <c r="C1296" s="506" t="s">
        <v>254</v>
      </c>
      <c r="D1296" s="508">
        <v>8589000</v>
      </c>
      <c r="E1296" s="507" t="s">
        <v>6109</v>
      </c>
    </row>
    <row r="1297" spans="1:5" ht="15" x14ac:dyDescent="0.3">
      <c r="A1297" s="506">
        <v>9112</v>
      </c>
      <c r="B1297" s="507" t="s">
        <v>4667</v>
      </c>
      <c r="C1297" s="506" t="s">
        <v>254</v>
      </c>
      <c r="D1297" s="508">
        <v>7659000</v>
      </c>
      <c r="E1297" s="507" t="s">
        <v>6109</v>
      </c>
    </row>
    <row r="1298" spans="1:5" ht="15" x14ac:dyDescent="0.3">
      <c r="A1298" s="506">
        <v>9113</v>
      </c>
      <c r="B1298" s="507" t="s">
        <v>4668</v>
      </c>
      <c r="C1298" s="506" t="s">
        <v>254</v>
      </c>
      <c r="D1298" s="508">
        <v>5791000</v>
      </c>
      <c r="E1298" s="507" t="s">
        <v>6109</v>
      </c>
    </row>
    <row r="1299" spans="1:5" ht="15" x14ac:dyDescent="0.3">
      <c r="A1299" s="506">
        <v>9116</v>
      </c>
      <c r="B1299" s="507" t="s">
        <v>4669</v>
      </c>
      <c r="C1299" s="506" t="s">
        <v>3582</v>
      </c>
      <c r="D1299" s="508">
        <v>268000</v>
      </c>
      <c r="E1299" s="507" t="s">
        <v>6109</v>
      </c>
    </row>
    <row r="1300" spans="1:5" ht="15" x14ac:dyDescent="0.3">
      <c r="A1300" s="506">
        <v>9117</v>
      </c>
      <c r="B1300" s="507" t="s">
        <v>4670</v>
      </c>
      <c r="C1300" s="506" t="s">
        <v>254</v>
      </c>
      <c r="D1300" s="508">
        <v>7732000</v>
      </c>
      <c r="E1300" s="507" t="s">
        <v>6109</v>
      </c>
    </row>
    <row r="1301" spans="1:5" ht="15" x14ac:dyDescent="0.3">
      <c r="A1301" s="506">
        <v>9118</v>
      </c>
      <c r="B1301" s="507" t="s">
        <v>4671</v>
      </c>
      <c r="C1301" s="506" t="s">
        <v>3582</v>
      </c>
      <c r="D1301" s="508">
        <v>461000</v>
      </c>
      <c r="E1301" s="507" t="s">
        <v>6109</v>
      </c>
    </row>
    <row r="1302" spans="1:5" ht="15" x14ac:dyDescent="0.3">
      <c r="A1302" s="506">
        <v>9119</v>
      </c>
      <c r="B1302" s="507" t="s">
        <v>4672</v>
      </c>
      <c r="C1302" s="506" t="s">
        <v>254</v>
      </c>
      <c r="D1302" s="508">
        <v>13668000</v>
      </c>
      <c r="E1302" s="507" t="s">
        <v>6109</v>
      </c>
    </row>
    <row r="1303" spans="1:5" ht="15" x14ac:dyDescent="0.3">
      <c r="A1303" s="506">
        <v>9120</v>
      </c>
      <c r="B1303" s="507" t="s">
        <v>4673</v>
      </c>
      <c r="C1303" s="506" t="s">
        <v>3582</v>
      </c>
      <c r="D1303" s="508">
        <v>329000</v>
      </c>
      <c r="E1303" s="507" t="s">
        <v>6109</v>
      </c>
    </row>
    <row r="1304" spans="1:5" ht="15" x14ac:dyDescent="0.3">
      <c r="A1304" s="506">
        <v>9121</v>
      </c>
      <c r="B1304" s="507" t="s">
        <v>4674</v>
      </c>
      <c r="C1304" s="506" t="s">
        <v>254</v>
      </c>
      <c r="D1304" s="508">
        <v>9921000</v>
      </c>
      <c r="E1304" s="507" t="s">
        <v>6109</v>
      </c>
    </row>
    <row r="1305" spans="1:5" ht="15" x14ac:dyDescent="0.3">
      <c r="A1305" s="506">
        <v>9122</v>
      </c>
      <c r="B1305" s="507" t="s">
        <v>4675</v>
      </c>
      <c r="C1305" s="506" t="s">
        <v>3582</v>
      </c>
      <c r="D1305" s="508">
        <v>50353</v>
      </c>
      <c r="E1305" s="507" t="s">
        <v>6109</v>
      </c>
    </row>
    <row r="1306" spans="1:5" ht="15" x14ac:dyDescent="0.3">
      <c r="A1306" s="506">
        <v>9123</v>
      </c>
      <c r="B1306" s="507" t="s">
        <v>4676</v>
      </c>
      <c r="C1306" s="506" t="s">
        <v>254</v>
      </c>
      <c r="D1306" s="508">
        <v>1516361</v>
      </c>
      <c r="E1306" s="507" t="s">
        <v>6109</v>
      </c>
    </row>
    <row r="1307" spans="1:5" ht="15" x14ac:dyDescent="0.3">
      <c r="A1307" s="506">
        <v>9143</v>
      </c>
      <c r="B1307" s="507" t="s">
        <v>6282</v>
      </c>
      <c r="C1307" s="506" t="s">
        <v>32</v>
      </c>
      <c r="D1307" s="508">
        <v>65142</v>
      </c>
      <c r="E1307" s="507" t="s">
        <v>6108</v>
      </c>
    </row>
    <row r="1308" spans="1:5" ht="15" x14ac:dyDescent="0.3">
      <c r="A1308" s="506">
        <v>9144</v>
      </c>
      <c r="B1308" s="507" t="s">
        <v>4677</v>
      </c>
      <c r="C1308" s="506" t="s">
        <v>32</v>
      </c>
      <c r="D1308" s="508">
        <v>690200</v>
      </c>
      <c r="E1308" s="507" t="s">
        <v>6108</v>
      </c>
    </row>
    <row r="1309" spans="1:5" ht="15" x14ac:dyDescent="0.3">
      <c r="A1309" s="506">
        <v>9145</v>
      </c>
      <c r="B1309" s="507" t="s">
        <v>4678</v>
      </c>
      <c r="C1309" s="506" t="s">
        <v>32</v>
      </c>
      <c r="D1309" s="508">
        <v>690200</v>
      </c>
      <c r="E1309" s="507" t="s">
        <v>6108</v>
      </c>
    </row>
    <row r="1310" spans="1:5" ht="15" x14ac:dyDescent="0.3">
      <c r="A1310" s="506">
        <v>9146</v>
      </c>
      <c r="B1310" s="507" t="s">
        <v>4679</v>
      </c>
      <c r="C1310" s="506" t="s">
        <v>32</v>
      </c>
      <c r="D1310" s="508">
        <v>18269861</v>
      </c>
      <c r="E1310" s="507" t="s">
        <v>6108</v>
      </c>
    </row>
    <row r="1311" spans="1:5" ht="15" x14ac:dyDescent="0.3">
      <c r="A1311" s="506">
        <v>9147</v>
      </c>
      <c r="B1311" s="507" t="s">
        <v>4680</v>
      </c>
      <c r="C1311" s="506" t="s">
        <v>32</v>
      </c>
      <c r="D1311" s="508">
        <v>2049158</v>
      </c>
      <c r="E1311" s="507" t="s">
        <v>6108</v>
      </c>
    </row>
    <row r="1312" spans="1:5" ht="15" x14ac:dyDescent="0.3">
      <c r="A1312" s="506">
        <v>9148</v>
      </c>
      <c r="B1312" s="507" t="s">
        <v>4681</v>
      </c>
      <c r="C1312" s="506" t="s">
        <v>254</v>
      </c>
      <c r="D1312" s="508">
        <v>4350413</v>
      </c>
      <c r="E1312" s="507" t="s">
        <v>331</v>
      </c>
    </row>
    <row r="1313" spans="1:5" ht="15" x14ac:dyDescent="0.3">
      <c r="A1313" s="506">
        <v>9159</v>
      </c>
      <c r="B1313" s="507" t="s">
        <v>4682</v>
      </c>
      <c r="C1313" s="506" t="s">
        <v>3528</v>
      </c>
      <c r="D1313" s="508">
        <v>228300</v>
      </c>
      <c r="E1313" s="507" t="s">
        <v>6108</v>
      </c>
    </row>
    <row r="1314" spans="1:5" ht="15" x14ac:dyDescent="0.3">
      <c r="A1314" s="506">
        <v>9164</v>
      </c>
      <c r="B1314" s="507" t="s">
        <v>6283</v>
      </c>
      <c r="C1314" s="506" t="s">
        <v>3582</v>
      </c>
      <c r="D1314" s="508">
        <v>416000</v>
      </c>
      <c r="E1314" s="507" t="s">
        <v>6109</v>
      </c>
    </row>
    <row r="1315" spans="1:5" ht="15" x14ac:dyDescent="0.3">
      <c r="A1315" s="506">
        <v>9165</v>
      </c>
      <c r="B1315" s="507" t="s">
        <v>6284</v>
      </c>
      <c r="C1315" s="506" t="s">
        <v>254</v>
      </c>
      <c r="D1315" s="508">
        <v>8778000</v>
      </c>
      <c r="E1315" s="507" t="s">
        <v>6109</v>
      </c>
    </row>
    <row r="1316" spans="1:5" ht="15" x14ac:dyDescent="0.3">
      <c r="A1316" s="506">
        <v>9166</v>
      </c>
      <c r="B1316" s="507" t="s">
        <v>6285</v>
      </c>
      <c r="C1316" s="506" t="s">
        <v>254</v>
      </c>
      <c r="D1316" s="508">
        <v>12539000</v>
      </c>
      <c r="E1316" s="507" t="s">
        <v>6109</v>
      </c>
    </row>
    <row r="1317" spans="1:5" ht="15" x14ac:dyDescent="0.3">
      <c r="A1317" s="506">
        <v>9167</v>
      </c>
      <c r="B1317" s="507" t="s">
        <v>6286</v>
      </c>
      <c r="C1317" s="506" t="s">
        <v>3582</v>
      </c>
      <c r="D1317" s="508">
        <v>570000</v>
      </c>
      <c r="E1317" s="507" t="s">
        <v>6109</v>
      </c>
    </row>
    <row r="1318" spans="1:5" ht="15" x14ac:dyDescent="0.3">
      <c r="A1318" s="506">
        <v>9168</v>
      </c>
      <c r="B1318" s="507" t="s">
        <v>6287</v>
      </c>
      <c r="C1318" s="506" t="s">
        <v>254</v>
      </c>
      <c r="D1318" s="508">
        <v>17061000</v>
      </c>
      <c r="E1318" s="507" t="s">
        <v>6109</v>
      </c>
    </row>
    <row r="1319" spans="1:5" ht="15" x14ac:dyDescent="0.3">
      <c r="A1319" s="506">
        <v>9169</v>
      </c>
      <c r="B1319" s="507" t="s">
        <v>4683</v>
      </c>
      <c r="C1319" s="506" t="s">
        <v>32</v>
      </c>
      <c r="D1319" s="508">
        <v>32503</v>
      </c>
      <c r="E1319" s="507" t="s">
        <v>6108</v>
      </c>
    </row>
    <row r="1320" spans="1:5" ht="15" x14ac:dyDescent="0.3">
      <c r="A1320" s="506">
        <v>9170</v>
      </c>
      <c r="B1320" s="507" t="s">
        <v>4684</v>
      </c>
      <c r="C1320" s="506" t="s">
        <v>670</v>
      </c>
      <c r="D1320" s="508">
        <v>10895</v>
      </c>
      <c r="E1320" s="507" t="s">
        <v>331</v>
      </c>
    </row>
    <row r="1321" spans="1:5" ht="15" x14ac:dyDescent="0.3">
      <c r="A1321" s="506">
        <v>9171</v>
      </c>
      <c r="B1321" s="507" t="s">
        <v>4685</v>
      </c>
      <c r="C1321" s="506" t="s">
        <v>670</v>
      </c>
      <c r="D1321" s="508">
        <v>9433</v>
      </c>
      <c r="E1321" s="507" t="s">
        <v>331</v>
      </c>
    </row>
    <row r="1322" spans="1:5" ht="15" x14ac:dyDescent="0.3">
      <c r="A1322" s="506">
        <v>9172</v>
      </c>
      <c r="B1322" s="507" t="s">
        <v>6288</v>
      </c>
      <c r="C1322" s="506" t="s">
        <v>1455</v>
      </c>
      <c r="D1322" s="508">
        <v>720000</v>
      </c>
      <c r="E1322" s="507" t="s">
        <v>331</v>
      </c>
    </row>
    <row r="1323" spans="1:5" ht="15" x14ac:dyDescent="0.3">
      <c r="A1323" s="506">
        <v>9176</v>
      </c>
      <c r="B1323" s="507" t="s">
        <v>4686</v>
      </c>
      <c r="C1323" s="506" t="s">
        <v>254</v>
      </c>
      <c r="D1323" s="508">
        <v>829835</v>
      </c>
      <c r="E1323" s="507" t="s">
        <v>6108</v>
      </c>
    </row>
    <row r="1324" spans="1:5" ht="15" x14ac:dyDescent="0.3">
      <c r="A1324" s="506">
        <v>9184</v>
      </c>
      <c r="B1324" s="507" t="s">
        <v>4687</v>
      </c>
      <c r="C1324" s="506" t="s">
        <v>32</v>
      </c>
      <c r="D1324" s="508">
        <v>435667</v>
      </c>
      <c r="E1324" s="507" t="s">
        <v>6108</v>
      </c>
    </row>
    <row r="1325" spans="1:5" ht="15" x14ac:dyDescent="0.3">
      <c r="A1325" s="506">
        <v>9185</v>
      </c>
      <c r="B1325" s="507" t="s">
        <v>4688</v>
      </c>
      <c r="C1325" s="506" t="s">
        <v>32</v>
      </c>
      <c r="D1325" s="508">
        <v>6131297</v>
      </c>
      <c r="E1325" s="507" t="s">
        <v>6108</v>
      </c>
    </row>
    <row r="1326" spans="1:5" ht="15" x14ac:dyDescent="0.3">
      <c r="A1326" s="506">
        <v>9186</v>
      </c>
      <c r="B1326" s="507" t="s">
        <v>4689</v>
      </c>
      <c r="C1326" s="506" t="s">
        <v>32</v>
      </c>
      <c r="D1326" s="508">
        <v>8033015</v>
      </c>
      <c r="E1326" s="507" t="s">
        <v>6108</v>
      </c>
    </row>
    <row r="1327" spans="1:5" ht="15" x14ac:dyDescent="0.3">
      <c r="A1327" s="506">
        <v>9187</v>
      </c>
      <c r="B1327" s="507" t="s">
        <v>4690</v>
      </c>
      <c r="C1327" s="506" t="s">
        <v>32</v>
      </c>
      <c r="D1327" s="508">
        <v>5420966</v>
      </c>
      <c r="E1327" s="507" t="s">
        <v>6108</v>
      </c>
    </row>
    <row r="1328" spans="1:5" ht="15" x14ac:dyDescent="0.3">
      <c r="A1328" s="506">
        <v>9188</v>
      </c>
      <c r="B1328" s="507" t="s">
        <v>4691</v>
      </c>
      <c r="C1328" s="506" t="s">
        <v>32</v>
      </c>
      <c r="D1328" s="508">
        <v>6783000</v>
      </c>
      <c r="E1328" s="507" t="s">
        <v>6108</v>
      </c>
    </row>
    <row r="1329" spans="1:5" ht="15" x14ac:dyDescent="0.3">
      <c r="A1329" s="506">
        <v>9189</v>
      </c>
      <c r="B1329" s="507" t="s">
        <v>4692</v>
      </c>
      <c r="C1329" s="506" t="s">
        <v>32</v>
      </c>
      <c r="D1329" s="508">
        <v>9382710</v>
      </c>
      <c r="E1329" s="507" t="s">
        <v>6108</v>
      </c>
    </row>
    <row r="1330" spans="1:5" ht="15" x14ac:dyDescent="0.3">
      <c r="A1330" s="506">
        <v>9190</v>
      </c>
      <c r="B1330" s="507" t="s">
        <v>4693</v>
      </c>
      <c r="C1330" s="506" t="s">
        <v>32</v>
      </c>
      <c r="D1330" s="508">
        <v>17484964</v>
      </c>
      <c r="E1330" s="507" t="s">
        <v>6108</v>
      </c>
    </row>
    <row r="1331" spans="1:5" ht="15" x14ac:dyDescent="0.3">
      <c r="A1331" s="506">
        <v>9191</v>
      </c>
      <c r="B1331" s="507" t="s">
        <v>4694</v>
      </c>
      <c r="C1331" s="506" t="s">
        <v>32</v>
      </c>
      <c r="D1331" s="508">
        <v>4815390</v>
      </c>
      <c r="E1331" s="507" t="s">
        <v>6108</v>
      </c>
    </row>
    <row r="1332" spans="1:5" ht="15" x14ac:dyDescent="0.3">
      <c r="A1332" s="506">
        <v>9192</v>
      </c>
      <c r="B1332" s="507" t="s">
        <v>4695</v>
      </c>
      <c r="C1332" s="506" t="s">
        <v>32</v>
      </c>
      <c r="D1332" s="508">
        <v>4690716</v>
      </c>
      <c r="E1332" s="507" t="s">
        <v>6108</v>
      </c>
    </row>
    <row r="1333" spans="1:5" ht="15" x14ac:dyDescent="0.3">
      <c r="A1333" s="506">
        <v>9193</v>
      </c>
      <c r="B1333" s="507" t="s">
        <v>4696</v>
      </c>
      <c r="C1333" s="506" t="s">
        <v>32</v>
      </c>
      <c r="D1333" s="508">
        <v>4345084</v>
      </c>
      <c r="E1333" s="507" t="s">
        <v>6108</v>
      </c>
    </row>
    <row r="1334" spans="1:5" ht="15" x14ac:dyDescent="0.3">
      <c r="A1334" s="506">
        <v>9194</v>
      </c>
      <c r="B1334" s="507" t="s">
        <v>4697</v>
      </c>
      <c r="C1334" s="506" t="s">
        <v>32</v>
      </c>
      <c r="D1334" s="508">
        <v>4295709</v>
      </c>
      <c r="E1334" s="507" t="s">
        <v>6108</v>
      </c>
    </row>
    <row r="1335" spans="1:5" ht="15" x14ac:dyDescent="0.3">
      <c r="A1335" s="506">
        <v>9197</v>
      </c>
      <c r="B1335" s="507" t="s">
        <v>4698</v>
      </c>
      <c r="C1335" s="506" t="s">
        <v>30</v>
      </c>
      <c r="D1335" s="508">
        <v>854462</v>
      </c>
      <c r="E1335" s="507" t="s">
        <v>331</v>
      </c>
    </row>
    <row r="1336" spans="1:5" ht="15" x14ac:dyDescent="0.3">
      <c r="A1336" s="506">
        <v>9199</v>
      </c>
      <c r="B1336" s="507" t="s">
        <v>4699</v>
      </c>
      <c r="C1336" s="506" t="s">
        <v>30</v>
      </c>
      <c r="D1336" s="508">
        <v>701412</v>
      </c>
      <c r="E1336" s="507" t="s">
        <v>331</v>
      </c>
    </row>
    <row r="1337" spans="1:5" ht="15" x14ac:dyDescent="0.3">
      <c r="A1337" s="506">
        <v>9200</v>
      </c>
      <c r="B1337" s="507" t="s">
        <v>4700</v>
      </c>
      <c r="C1337" s="506" t="s">
        <v>32</v>
      </c>
      <c r="D1337" s="508">
        <v>530431</v>
      </c>
      <c r="E1337" s="507" t="s">
        <v>6108</v>
      </c>
    </row>
    <row r="1338" spans="1:5" ht="15" x14ac:dyDescent="0.3">
      <c r="A1338" s="506">
        <v>9201</v>
      </c>
      <c r="B1338" s="507" t="s">
        <v>4701</v>
      </c>
      <c r="C1338" s="506" t="s">
        <v>32</v>
      </c>
      <c r="D1338" s="508">
        <v>509217</v>
      </c>
      <c r="E1338" s="507" t="s">
        <v>6108</v>
      </c>
    </row>
    <row r="1339" spans="1:5" ht="15" x14ac:dyDescent="0.3">
      <c r="A1339" s="506">
        <v>9202</v>
      </c>
      <c r="B1339" s="507" t="s">
        <v>4702</v>
      </c>
      <c r="C1339" s="506" t="s">
        <v>32</v>
      </c>
      <c r="D1339" s="508">
        <v>520664</v>
      </c>
      <c r="E1339" s="507" t="s">
        <v>6108</v>
      </c>
    </row>
    <row r="1340" spans="1:5" ht="15" x14ac:dyDescent="0.3">
      <c r="A1340" s="506">
        <v>9203</v>
      </c>
      <c r="B1340" s="507" t="s">
        <v>4703</v>
      </c>
      <c r="C1340" s="506" t="s">
        <v>32</v>
      </c>
      <c r="D1340" s="508">
        <v>520664</v>
      </c>
      <c r="E1340" s="507" t="s">
        <v>6108</v>
      </c>
    </row>
    <row r="1341" spans="1:5" ht="15" x14ac:dyDescent="0.3">
      <c r="A1341" s="506">
        <v>9204</v>
      </c>
      <c r="B1341" s="507" t="s">
        <v>4704</v>
      </c>
      <c r="C1341" s="506" t="s">
        <v>32</v>
      </c>
      <c r="D1341" s="508">
        <v>520664</v>
      </c>
      <c r="E1341" s="507" t="s">
        <v>6108</v>
      </c>
    </row>
    <row r="1342" spans="1:5" ht="15" x14ac:dyDescent="0.3">
      <c r="A1342" s="506">
        <v>9209</v>
      </c>
      <c r="B1342" s="507" t="s">
        <v>4705</v>
      </c>
      <c r="C1342" s="506" t="s">
        <v>32</v>
      </c>
      <c r="D1342" s="508">
        <v>421236</v>
      </c>
      <c r="E1342" s="507" t="s">
        <v>6108</v>
      </c>
    </row>
    <row r="1343" spans="1:5" ht="15" x14ac:dyDescent="0.3">
      <c r="A1343" s="506">
        <v>9210</v>
      </c>
      <c r="B1343" s="507" t="s">
        <v>4706</v>
      </c>
      <c r="C1343" s="506" t="s">
        <v>3582</v>
      </c>
      <c r="D1343" s="508">
        <v>1416474</v>
      </c>
      <c r="E1343" s="507" t="s">
        <v>331</v>
      </c>
    </row>
    <row r="1344" spans="1:5" ht="15" x14ac:dyDescent="0.3">
      <c r="A1344" s="506">
        <v>9216</v>
      </c>
      <c r="B1344" s="507" t="s">
        <v>6289</v>
      </c>
      <c r="C1344" s="506" t="s">
        <v>32</v>
      </c>
      <c r="D1344" s="508">
        <v>118643</v>
      </c>
      <c r="E1344" s="507" t="s">
        <v>6108</v>
      </c>
    </row>
    <row r="1345" spans="1:5" ht="15" x14ac:dyDescent="0.3">
      <c r="A1345" s="506">
        <v>9217</v>
      </c>
      <c r="B1345" s="507" t="s">
        <v>4707</v>
      </c>
      <c r="C1345" s="506" t="s">
        <v>32</v>
      </c>
      <c r="D1345" s="508">
        <v>271320</v>
      </c>
      <c r="E1345" s="507" t="s">
        <v>6108</v>
      </c>
    </row>
    <row r="1346" spans="1:5" ht="15" x14ac:dyDescent="0.3">
      <c r="A1346" s="506">
        <v>9219</v>
      </c>
      <c r="B1346" s="507" t="s">
        <v>4708</v>
      </c>
      <c r="C1346" s="506" t="s">
        <v>32</v>
      </c>
      <c r="D1346" s="508">
        <v>130900</v>
      </c>
      <c r="E1346" s="507" t="s">
        <v>6108</v>
      </c>
    </row>
    <row r="1347" spans="1:5" ht="15" x14ac:dyDescent="0.3">
      <c r="A1347" s="506">
        <v>9229</v>
      </c>
      <c r="B1347" s="507" t="s">
        <v>4709</v>
      </c>
      <c r="C1347" s="506" t="s">
        <v>4710</v>
      </c>
      <c r="D1347" s="508">
        <v>526696</v>
      </c>
      <c r="E1347" s="507" t="s">
        <v>331</v>
      </c>
    </row>
    <row r="1348" spans="1:5" ht="15" x14ac:dyDescent="0.3">
      <c r="A1348" s="506">
        <v>9247</v>
      </c>
      <c r="B1348" s="507" t="s">
        <v>4711</v>
      </c>
      <c r="C1348" s="506" t="s">
        <v>21</v>
      </c>
      <c r="D1348" s="508">
        <v>60529</v>
      </c>
      <c r="E1348" s="507" t="s">
        <v>6108</v>
      </c>
    </row>
    <row r="1349" spans="1:5" ht="15" x14ac:dyDescent="0.3">
      <c r="A1349" s="506">
        <v>9253</v>
      </c>
      <c r="B1349" s="507" t="s">
        <v>4712</v>
      </c>
      <c r="C1349" s="506" t="s">
        <v>32</v>
      </c>
      <c r="D1349" s="508">
        <v>244584</v>
      </c>
      <c r="E1349" s="507" t="s">
        <v>6108</v>
      </c>
    </row>
    <row r="1350" spans="1:5" ht="15" x14ac:dyDescent="0.3">
      <c r="A1350" s="506">
        <v>9254</v>
      </c>
      <c r="B1350" s="507" t="s">
        <v>4713</v>
      </c>
      <c r="C1350" s="506" t="s">
        <v>692</v>
      </c>
      <c r="D1350" s="508">
        <v>255300</v>
      </c>
      <c r="E1350" s="507" t="s">
        <v>6109</v>
      </c>
    </row>
    <row r="1351" spans="1:5" ht="15" x14ac:dyDescent="0.3">
      <c r="A1351" s="506">
        <v>9255</v>
      </c>
      <c r="B1351" s="507" t="s">
        <v>4714</v>
      </c>
      <c r="C1351" s="506" t="s">
        <v>30</v>
      </c>
      <c r="D1351" s="508">
        <v>785279</v>
      </c>
      <c r="E1351" s="507" t="s">
        <v>331</v>
      </c>
    </row>
    <row r="1352" spans="1:5" ht="15" x14ac:dyDescent="0.3">
      <c r="A1352" s="506">
        <v>9256</v>
      </c>
      <c r="B1352" s="507" t="s">
        <v>4715</v>
      </c>
      <c r="C1352" s="506" t="s">
        <v>328</v>
      </c>
      <c r="D1352" s="508">
        <v>913248</v>
      </c>
      <c r="E1352" s="507" t="s">
        <v>331</v>
      </c>
    </row>
    <row r="1353" spans="1:5" ht="15" x14ac:dyDescent="0.3">
      <c r="A1353" s="506">
        <v>9257</v>
      </c>
      <c r="B1353" s="507" t="s">
        <v>4716</v>
      </c>
      <c r="C1353" s="506" t="s">
        <v>328</v>
      </c>
      <c r="D1353" s="508">
        <v>1219000</v>
      </c>
      <c r="E1353" s="507" t="s">
        <v>331</v>
      </c>
    </row>
    <row r="1354" spans="1:5" ht="15" x14ac:dyDescent="0.3">
      <c r="A1354" s="506">
        <v>9259</v>
      </c>
      <c r="B1354" s="507" t="s">
        <v>4717</v>
      </c>
      <c r="C1354" s="506" t="s">
        <v>328</v>
      </c>
      <c r="D1354" s="508">
        <v>2397366</v>
      </c>
      <c r="E1354" s="507" t="s">
        <v>331</v>
      </c>
    </row>
    <row r="1355" spans="1:5" ht="15" x14ac:dyDescent="0.3">
      <c r="A1355" s="506">
        <v>9260</v>
      </c>
      <c r="B1355" s="507" t="s">
        <v>6290</v>
      </c>
      <c r="C1355" s="506" t="s">
        <v>32</v>
      </c>
      <c r="D1355" s="508">
        <v>2759366</v>
      </c>
      <c r="E1355" s="507" t="s">
        <v>6108</v>
      </c>
    </row>
    <row r="1356" spans="1:5" ht="15" x14ac:dyDescent="0.3">
      <c r="A1356" s="506">
        <v>9275</v>
      </c>
      <c r="B1356" s="507" t="s">
        <v>4718</v>
      </c>
      <c r="C1356" s="506" t="s">
        <v>32</v>
      </c>
      <c r="D1356" s="508">
        <v>431899</v>
      </c>
      <c r="E1356" s="507" t="s">
        <v>6108</v>
      </c>
    </row>
    <row r="1357" spans="1:5" ht="15" x14ac:dyDescent="0.3">
      <c r="A1357" s="506">
        <v>9276</v>
      </c>
      <c r="B1357" s="507" t="s">
        <v>6291</v>
      </c>
      <c r="C1357" s="506" t="s">
        <v>32</v>
      </c>
      <c r="D1357" s="508">
        <v>562095</v>
      </c>
      <c r="E1357" s="507" t="s">
        <v>6108</v>
      </c>
    </row>
    <row r="1358" spans="1:5" ht="15" x14ac:dyDescent="0.3">
      <c r="A1358" s="506">
        <v>9277</v>
      </c>
      <c r="B1358" s="507" t="s">
        <v>6292</v>
      </c>
      <c r="C1358" s="506" t="s">
        <v>32</v>
      </c>
      <c r="D1358" s="508">
        <v>625940</v>
      </c>
      <c r="E1358" s="507" t="s">
        <v>6108</v>
      </c>
    </row>
    <row r="1359" spans="1:5" ht="15" x14ac:dyDescent="0.3">
      <c r="A1359" s="506">
        <v>9278</v>
      </c>
      <c r="B1359" s="507" t="s">
        <v>4719</v>
      </c>
      <c r="C1359" s="506" t="s">
        <v>32</v>
      </c>
      <c r="D1359" s="508">
        <v>950177</v>
      </c>
      <c r="E1359" s="507" t="s">
        <v>6108</v>
      </c>
    </row>
    <row r="1360" spans="1:5" ht="15" x14ac:dyDescent="0.3">
      <c r="A1360" s="506">
        <v>9279</v>
      </c>
      <c r="B1360" s="507" t="s">
        <v>6293</v>
      </c>
      <c r="C1360" s="506" t="s">
        <v>32</v>
      </c>
      <c r="D1360" s="508">
        <v>63070</v>
      </c>
      <c r="E1360" s="507" t="s">
        <v>6108</v>
      </c>
    </row>
    <row r="1361" spans="1:5" ht="15" x14ac:dyDescent="0.3">
      <c r="A1361" s="506">
        <v>9280</v>
      </c>
      <c r="B1361" s="507" t="s">
        <v>4720</v>
      </c>
      <c r="C1361" s="506" t="s">
        <v>32</v>
      </c>
      <c r="D1361" s="508">
        <v>13475</v>
      </c>
      <c r="E1361" s="507" t="s">
        <v>6108</v>
      </c>
    </row>
    <row r="1362" spans="1:5" ht="15" x14ac:dyDescent="0.3">
      <c r="A1362" s="506">
        <v>9283</v>
      </c>
      <c r="B1362" s="507" t="s">
        <v>4721</v>
      </c>
      <c r="C1362" s="506" t="s">
        <v>4222</v>
      </c>
      <c r="D1362" s="508">
        <v>7407</v>
      </c>
      <c r="E1362" s="507" t="s">
        <v>6108</v>
      </c>
    </row>
    <row r="1363" spans="1:5" ht="15" x14ac:dyDescent="0.3">
      <c r="A1363" s="506">
        <v>9286</v>
      </c>
      <c r="B1363" s="507" t="s">
        <v>4722</v>
      </c>
      <c r="C1363" s="506" t="s">
        <v>32</v>
      </c>
      <c r="D1363" s="508">
        <v>71281</v>
      </c>
      <c r="E1363" s="507" t="s">
        <v>6108</v>
      </c>
    </row>
    <row r="1364" spans="1:5" ht="15" x14ac:dyDescent="0.3">
      <c r="A1364" s="506">
        <v>9287</v>
      </c>
      <c r="B1364" s="507" t="s">
        <v>4723</v>
      </c>
      <c r="C1364" s="506" t="s">
        <v>32</v>
      </c>
      <c r="D1364" s="508">
        <v>22046</v>
      </c>
      <c r="E1364" s="507" t="s">
        <v>6108</v>
      </c>
    </row>
    <row r="1365" spans="1:5" ht="15" x14ac:dyDescent="0.3">
      <c r="A1365" s="506">
        <v>9288</v>
      </c>
      <c r="B1365" s="507" t="s">
        <v>4724</v>
      </c>
      <c r="C1365" s="506" t="s">
        <v>32</v>
      </c>
      <c r="D1365" s="508">
        <v>155100</v>
      </c>
      <c r="E1365" s="507" t="s">
        <v>6108</v>
      </c>
    </row>
    <row r="1366" spans="1:5" ht="15" x14ac:dyDescent="0.3">
      <c r="A1366" s="506">
        <v>9289</v>
      </c>
      <c r="B1366" s="507" t="s">
        <v>6294</v>
      </c>
      <c r="C1366" s="506" t="s">
        <v>32</v>
      </c>
      <c r="D1366" s="508">
        <v>12350</v>
      </c>
      <c r="E1366" s="507" t="s">
        <v>6108</v>
      </c>
    </row>
    <row r="1367" spans="1:5" ht="15" x14ac:dyDescent="0.3">
      <c r="A1367" s="506">
        <v>9290</v>
      </c>
      <c r="B1367" s="507" t="s">
        <v>4725</v>
      </c>
      <c r="C1367" s="506" t="s">
        <v>32</v>
      </c>
      <c r="D1367" s="508">
        <v>142496</v>
      </c>
      <c r="E1367" s="507" t="s">
        <v>6108</v>
      </c>
    </row>
    <row r="1368" spans="1:5" ht="15" x14ac:dyDescent="0.3">
      <c r="A1368" s="506">
        <v>9302</v>
      </c>
      <c r="B1368" s="507" t="s">
        <v>4726</v>
      </c>
      <c r="C1368" s="506" t="s">
        <v>30</v>
      </c>
      <c r="D1368" s="508">
        <v>691063</v>
      </c>
      <c r="E1368" s="507" t="s">
        <v>331</v>
      </c>
    </row>
    <row r="1369" spans="1:5" ht="15" x14ac:dyDescent="0.3">
      <c r="A1369" s="506">
        <v>9303</v>
      </c>
      <c r="B1369" s="507" t="s">
        <v>4727</v>
      </c>
      <c r="C1369" s="506" t="s">
        <v>32</v>
      </c>
      <c r="D1369" s="508">
        <v>190400</v>
      </c>
      <c r="E1369" s="507" t="s">
        <v>6108</v>
      </c>
    </row>
    <row r="1370" spans="1:5" ht="15" x14ac:dyDescent="0.3">
      <c r="A1370" s="506">
        <v>9306</v>
      </c>
      <c r="B1370" s="507" t="s">
        <v>4728</v>
      </c>
      <c r="C1370" s="506" t="s">
        <v>4235</v>
      </c>
      <c r="D1370" s="508">
        <v>181717</v>
      </c>
      <c r="E1370" s="507" t="s">
        <v>6108</v>
      </c>
    </row>
    <row r="1371" spans="1:5" ht="15" x14ac:dyDescent="0.3">
      <c r="A1371" s="506">
        <v>9307</v>
      </c>
      <c r="B1371" s="507" t="s">
        <v>4729</v>
      </c>
      <c r="C1371" s="506" t="s">
        <v>670</v>
      </c>
      <c r="D1371" s="508">
        <v>9296</v>
      </c>
      <c r="E1371" s="507" t="s">
        <v>6108</v>
      </c>
    </row>
    <row r="1372" spans="1:5" ht="15" x14ac:dyDescent="0.3">
      <c r="A1372" s="506">
        <v>9309</v>
      </c>
      <c r="B1372" s="507" t="s">
        <v>4730</v>
      </c>
      <c r="C1372" s="506" t="s">
        <v>32</v>
      </c>
      <c r="D1372" s="508">
        <v>158157</v>
      </c>
      <c r="E1372" s="507" t="s">
        <v>6108</v>
      </c>
    </row>
    <row r="1373" spans="1:5" ht="15" x14ac:dyDescent="0.3">
      <c r="A1373" s="506">
        <v>9310</v>
      </c>
      <c r="B1373" s="507" t="s">
        <v>4731</v>
      </c>
      <c r="C1373" s="506" t="s">
        <v>3596</v>
      </c>
      <c r="D1373" s="508">
        <v>29800</v>
      </c>
      <c r="E1373" s="507" t="s">
        <v>6108</v>
      </c>
    </row>
    <row r="1374" spans="1:5" ht="15" x14ac:dyDescent="0.3">
      <c r="A1374" s="506">
        <v>9311</v>
      </c>
      <c r="B1374" s="507" t="s">
        <v>4732</v>
      </c>
      <c r="C1374" s="506" t="s">
        <v>4372</v>
      </c>
      <c r="D1374" s="508">
        <v>148</v>
      </c>
      <c r="E1374" s="507" t="s">
        <v>6108</v>
      </c>
    </row>
    <row r="1375" spans="1:5" ht="15" x14ac:dyDescent="0.3">
      <c r="A1375" s="506">
        <v>9314</v>
      </c>
      <c r="B1375" s="507" t="s">
        <v>4733</v>
      </c>
      <c r="C1375" s="506" t="s">
        <v>692</v>
      </c>
      <c r="D1375" s="508">
        <v>139262</v>
      </c>
      <c r="E1375" s="507" t="s">
        <v>6109</v>
      </c>
    </row>
    <row r="1376" spans="1:5" ht="15" x14ac:dyDescent="0.3">
      <c r="A1376" s="506">
        <v>9317</v>
      </c>
      <c r="B1376" s="507" t="s">
        <v>4734</v>
      </c>
      <c r="C1376" s="506" t="s">
        <v>692</v>
      </c>
      <c r="D1376" s="508">
        <v>157314</v>
      </c>
      <c r="E1376" s="507" t="s">
        <v>6109</v>
      </c>
    </row>
    <row r="1377" spans="1:5" ht="15" x14ac:dyDescent="0.3">
      <c r="A1377" s="506">
        <v>9318</v>
      </c>
      <c r="B1377" s="507" t="s">
        <v>4735</v>
      </c>
      <c r="C1377" s="506" t="s">
        <v>979</v>
      </c>
      <c r="D1377" s="508">
        <v>21451</v>
      </c>
      <c r="E1377" s="507" t="s">
        <v>6109</v>
      </c>
    </row>
    <row r="1378" spans="1:5" ht="15" x14ac:dyDescent="0.3">
      <c r="A1378" s="506">
        <v>9319</v>
      </c>
      <c r="B1378" s="507" t="s">
        <v>4736</v>
      </c>
      <c r="C1378" s="506" t="s">
        <v>692</v>
      </c>
      <c r="D1378" s="508">
        <v>214862</v>
      </c>
      <c r="E1378" s="507" t="s">
        <v>6109</v>
      </c>
    </row>
    <row r="1379" spans="1:5" ht="15" x14ac:dyDescent="0.3">
      <c r="A1379" s="506">
        <v>9320</v>
      </c>
      <c r="B1379" s="507" t="s">
        <v>4737</v>
      </c>
      <c r="C1379" s="506" t="s">
        <v>692</v>
      </c>
      <c r="D1379" s="508">
        <v>131010</v>
      </c>
      <c r="E1379" s="507" t="s">
        <v>6109</v>
      </c>
    </row>
    <row r="1380" spans="1:5" ht="15" x14ac:dyDescent="0.3">
      <c r="A1380" s="506">
        <v>9321</v>
      </c>
      <c r="B1380" s="507" t="s">
        <v>4738</v>
      </c>
      <c r="C1380" s="506" t="s">
        <v>692</v>
      </c>
      <c r="D1380" s="508">
        <v>144089</v>
      </c>
      <c r="E1380" s="507" t="s">
        <v>6109</v>
      </c>
    </row>
    <row r="1381" spans="1:5" ht="15" x14ac:dyDescent="0.3">
      <c r="A1381" s="506">
        <v>9323</v>
      </c>
      <c r="B1381" s="507" t="s">
        <v>4739</v>
      </c>
      <c r="C1381" s="506" t="s">
        <v>692</v>
      </c>
      <c r="D1381" s="508">
        <v>181776</v>
      </c>
      <c r="E1381" s="507" t="s">
        <v>6109</v>
      </c>
    </row>
    <row r="1382" spans="1:5" ht="15" x14ac:dyDescent="0.3">
      <c r="A1382" s="506">
        <v>9324</v>
      </c>
      <c r="B1382" s="507" t="s">
        <v>4740</v>
      </c>
      <c r="C1382" s="506" t="s">
        <v>692</v>
      </c>
      <c r="D1382" s="508">
        <v>110304</v>
      </c>
      <c r="E1382" s="507" t="s">
        <v>6109</v>
      </c>
    </row>
    <row r="1383" spans="1:5" ht="15" x14ac:dyDescent="0.3">
      <c r="A1383" s="506">
        <v>9325</v>
      </c>
      <c r="B1383" s="507" t="s">
        <v>4741</v>
      </c>
      <c r="C1383" s="506" t="s">
        <v>1455</v>
      </c>
      <c r="D1383" s="508">
        <v>300000</v>
      </c>
      <c r="E1383" s="507" t="s">
        <v>331</v>
      </c>
    </row>
    <row r="1384" spans="1:5" ht="15" x14ac:dyDescent="0.3">
      <c r="A1384" s="506">
        <v>9333</v>
      </c>
      <c r="B1384" s="507" t="s">
        <v>6295</v>
      </c>
      <c r="C1384" s="506" t="s">
        <v>32</v>
      </c>
      <c r="D1384" s="508">
        <v>322986</v>
      </c>
      <c r="E1384" s="507" t="s">
        <v>6108</v>
      </c>
    </row>
    <row r="1385" spans="1:5" ht="15" x14ac:dyDescent="0.3">
      <c r="A1385" s="506">
        <v>9334</v>
      </c>
      <c r="B1385" s="507" t="s">
        <v>4742</v>
      </c>
      <c r="C1385" s="506" t="s">
        <v>32</v>
      </c>
      <c r="D1385" s="508">
        <v>148750</v>
      </c>
      <c r="E1385" s="507" t="s">
        <v>6108</v>
      </c>
    </row>
    <row r="1386" spans="1:5" ht="15" x14ac:dyDescent="0.3">
      <c r="A1386" s="506">
        <v>9335</v>
      </c>
      <c r="B1386" s="507" t="s">
        <v>4743</v>
      </c>
      <c r="C1386" s="506" t="s">
        <v>32</v>
      </c>
      <c r="D1386" s="508">
        <v>65450</v>
      </c>
      <c r="E1386" s="507" t="s">
        <v>6108</v>
      </c>
    </row>
    <row r="1387" spans="1:5" ht="15" x14ac:dyDescent="0.3">
      <c r="A1387" s="506">
        <v>9342</v>
      </c>
      <c r="B1387" s="507" t="s">
        <v>6296</v>
      </c>
      <c r="C1387" s="506" t="s">
        <v>32</v>
      </c>
      <c r="D1387" s="508">
        <v>58429</v>
      </c>
      <c r="E1387" s="507" t="s">
        <v>6108</v>
      </c>
    </row>
    <row r="1388" spans="1:5" ht="15" x14ac:dyDescent="0.3">
      <c r="A1388" s="506">
        <v>9343</v>
      </c>
      <c r="B1388" s="507" t="s">
        <v>6297</v>
      </c>
      <c r="C1388" s="506" t="s">
        <v>32</v>
      </c>
      <c r="D1388" s="508">
        <v>38809</v>
      </c>
      <c r="E1388" s="507" t="s">
        <v>6108</v>
      </c>
    </row>
    <row r="1389" spans="1:5" ht="15" x14ac:dyDescent="0.3">
      <c r="A1389" s="506">
        <v>9344</v>
      </c>
      <c r="B1389" s="507" t="s">
        <v>4744</v>
      </c>
      <c r="C1389" s="506" t="s">
        <v>32</v>
      </c>
      <c r="D1389" s="508">
        <v>68068</v>
      </c>
      <c r="E1389" s="507" t="s">
        <v>6108</v>
      </c>
    </row>
    <row r="1390" spans="1:5" ht="15" x14ac:dyDescent="0.3">
      <c r="A1390" s="506">
        <v>9345</v>
      </c>
      <c r="B1390" s="507" t="s">
        <v>6298</v>
      </c>
      <c r="C1390" s="506" t="s">
        <v>32</v>
      </c>
      <c r="D1390" s="508">
        <v>297500</v>
      </c>
      <c r="E1390" s="507" t="s">
        <v>6108</v>
      </c>
    </row>
    <row r="1391" spans="1:5" ht="15" x14ac:dyDescent="0.3">
      <c r="A1391" s="506">
        <v>9346</v>
      </c>
      <c r="B1391" s="507" t="s">
        <v>4745</v>
      </c>
      <c r="C1391" s="506" t="s">
        <v>32</v>
      </c>
      <c r="D1391" s="508">
        <v>154224</v>
      </c>
      <c r="E1391" s="507" t="s">
        <v>6108</v>
      </c>
    </row>
    <row r="1392" spans="1:5" ht="15" x14ac:dyDescent="0.3">
      <c r="A1392" s="506">
        <v>9347</v>
      </c>
      <c r="B1392" s="507" t="s">
        <v>6299</v>
      </c>
      <c r="C1392" s="506" t="s">
        <v>32</v>
      </c>
      <c r="D1392" s="508">
        <v>90137</v>
      </c>
      <c r="E1392" s="507" t="s">
        <v>6108</v>
      </c>
    </row>
    <row r="1393" spans="1:5" ht="15" x14ac:dyDescent="0.3">
      <c r="A1393" s="506">
        <v>9348</v>
      </c>
      <c r="B1393" s="507" t="s">
        <v>6300</v>
      </c>
      <c r="C1393" s="506" t="s">
        <v>32</v>
      </c>
      <c r="D1393" s="508">
        <v>278460</v>
      </c>
      <c r="E1393" s="507" t="s">
        <v>6108</v>
      </c>
    </row>
    <row r="1394" spans="1:5" ht="15" x14ac:dyDescent="0.3">
      <c r="A1394" s="506">
        <v>9350</v>
      </c>
      <c r="B1394" s="507" t="s">
        <v>4746</v>
      </c>
      <c r="C1394" s="506" t="s">
        <v>32</v>
      </c>
      <c r="D1394" s="508">
        <v>312970</v>
      </c>
      <c r="E1394" s="507" t="s">
        <v>6108</v>
      </c>
    </row>
    <row r="1395" spans="1:5" ht="15" x14ac:dyDescent="0.3">
      <c r="A1395" s="506">
        <v>9351</v>
      </c>
      <c r="B1395" s="507" t="s">
        <v>6301</v>
      </c>
      <c r="C1395" s="506" t="s">
        <v>32</v>
      </c>
      <c r="D1395" s="508">
        <v>567035</v>
      </c>
      <c r="E1395" s="507" t="s">
        <v>6108</v>
      </c>
    </row>
    <row r="1396" spans="1:5" ht="15" x14ac:dyDescent="0.3">
      <c r="A1396" s="506">
        <v>9352</v>
      </c>
      <c r="B1396" s="507" t="s">
        <v>4747</v>
      </c>
      <c r="C1396" s="506" t="s">
        <v>32</v>
      </c>
      <c r="D1396" s="508">
        <v>72947</v>
      </c>
      <c r="E1396" s="507" t="s">
        <v>6108</v>
      </c>
    </row>
    <row r="1397" spans="1:5" ht="15" x14ac:dyDescent="0.3">
      <c r="A1397" s="506">
        <v>9353</v>
      </c>
      <c r="B1397" s="507" t="s">
        <v>4748</v>
      </c>
      <c r="C1397" s="506" t="s">
        <v>32</v>
      </c>
      <c r="D1397" s="508">
        <v>245497</v>
      </c>
      <c r="E1397" s="507" t="s">
        <v>6108</v>
      </c>
    </row>
    <row r="1398" spans="1:5" ht="15" x14ac:dyDescent="0.3">
      <c r="A1398" s="506">
        <v>9354</v>
      </c>
      <c r="B1398" s="507" t="s">
        <v>4749</v>
      </c>
      <c r="C1398" s="506" t="s">
        <v>32</v>
      </c>
      <c r="D1398" s="508">
        <v>125545</v>
      </c>
      <c r="E1398" s="507" t="s">
        <v>6108</v>
      </c>
    </row>
    <row r="1399" spans="1:5" ht="15" x14ac:dyDescent="0.3">
      <c r="A1399" s="506">
        <v>9355</v>
      </c>
      <c r="B1399" s="507" t="s">
        <v>6302</v>
      </c>
      <c r="C1399" s="506" t="s">
        <v>32</v>
      </c>
      <c r="D1399" s="508">
        <v>165249</v>
      </c>
      <c r="E1399" s="507" t="s">
        <v>6108</v>
      </c>
    </row>
    <row r="1400" spans="1:5" ht="15" x14ac:dyDescent="0.3">
      <c r="A1400" s="506">
        <v>9356</v>
      </c>
      <c r="B1400" s="507" t="s">
        <v>4750</v>
      </c>
      <c r="C1400" s="506" t="s">
        <v>32</v>
      </c>
      <c r="D1400" s="508">
        <v>1785000</v>
      </c>
      <c r="E1400" s="507" t="s">
        <v>6108</v>
      </c>
    </row>
    <row r="1401" spans="1:5" ht="15" x14ac:dyDescent="0.3">
      <c r="A1401" s="506">
        <v>9357</v>
      </c>
      <c r="B1401" s="507" t="s">
        <v>4751</v>
      </c>
      <c r="C1401" s="506" t="s">
        <v>32</v>
      </c>
      <c r="D1401" s="508">
        <v>1877701</v>
      </c>
      <c r="E1401" s="507" t="s">
        <v>6108</v>
      </c>
    </row>
    <row r="1402" spans="1:5" ht="15" x14ac:dyDescent="0.3">
      <c r="A1402" s="506">
        <v>9358</v>
      </c>
      <c r="B1402" s="507" t="s">
        <v>4752</v>
      </c>
      <c r="C1402" s="506" t="s">
        <v>32</v>
      </c>
      <c r="D1402" s="508">
        <v>2094400</v>
      </c>
      <c r="E1402" s="507" t="s">
        <v>6108</v>
      </c>
    </row>
    <row r="1403" spans="1:5" ht="15" x14ac:dyDescent="0.3">
      <c r="A1403" s="506">
        <v>9359</v>
      </c>
      <c r="B1403" s="507" t="s">
        <v>6303</v>
      </c>
      <c r="C1403" s="506" t="s">
        <v>32</v>
      </c>
      <c r="D1403" s="508">
        <v>251923</v>
      </c>
      <c r="E1403" s="507" t="s">
        <v>6108</v>
      </c>
    </row>
    <row r="1404" spans="1:5" ht="15" x14ac:dyDescent="0.3">
      <c r="A1404" s="506">
        <v>9360</v>
      </c>
      <c r="B1404" s="507" t="s">
        <v>4753</v>
      </c>
      <c r="C1404" s="506" t="s">
        <v>32</v>
      </c>
      <c r="D1404" s="508">
        <v>131971</v>
      </c>
      <c r="E1404" s="507" t="s">
        <v>6108</v>
      </c>
    </row>
    <row r="1405" spans="1:5" ht="15" x14ac:dyDescent="0.3">
      <c r="A1405" s="506">
        <v>9361</v>
      </c>
      <c r="B1405" s="507" t="s">
        <v>4754</v>
      </c>
      <c r="C1405" s="506" t="s">
        <v>32</v>
      </c>
      <c r="D1405" s="508">
        <v>422000</v>
      </c>
      <c r="E1405" s="507" t="s">
        <v>6108</v>
      </c>
    </row>
    <row r="1406" spans="1:5" ht="15" x14ac:dyDescent="0.3">
      <c r="A1406" s="506">
        <v>9363</v>
      </c>
      <c r="B1406" s="507" t="s">
        <v>6304</v>
      </c>
      <c r="C1406" s="506" t="s">
        <v>32</v>
      </c>
      <c r="D1406" s="508">
        <v>358190</v>
      </c>
      <c r="E1406" s="507" t="s">
        <v>6108</v>
      </c>
    </row>
    <row r="1407" spans="1:5" ht="15" x14ac:dyDescent="0.3">
      <c r="A1407" s="506">
        <v>9364</v>
      </c>
      <c r="B1407" s="507" t="s">
        <v>4755</v>
      </c>
      <c r="C1407" s="506" t="s">
        <v>32</v>
      </c>
      <c r="D1407" s="508">
        <v>735301</v>
      </c>
      <c r="E1407" s="507" t="s">
        <v>6108</v>
      </c>
    </row>
    <row r="1408" spans="1:5" ht="15" x14ac:dyDescent="0.3">
      <c r="A1408" s="506">
        <v>9366</v>
      </c>
      <c r="B1408" s="507" t="s">
        <v>4756</v>
      </c>
      <c r="C1408" s="506" t="s">
        <v>32</v>
      </c>
      <c r="D1408" s="508">
        <v>58548</v>
      </c>
      <c r="E1408" s="507" t="s">
        <v>6108</v>
      </c>
    </row>
    <row r="1409" spans="1:5" ht="15" x14ac:dyDescent="0.3">
      <c r="A1409" s="506">
        <v>9367</v>
      </c>
      <c r="B1409" s="507" t="s">
        <v>6305</v>
      </c>
      <c r="C1409" s="506" t="s">
        <v>32</v>
      </c>
      <c r="D1409" s="508">
        <v>128944</v>
      </c>
      <c r="E1409" s="507" t="s">
        <v>6108</v>
      </c>
    </row>
    <row r="1410" spans="1:5" ht="15" x14ac:dyDescent="0.3">
      <c r="A1410" s="506">
        <v>9368</v>
      </c>
      <c r="B1410" s="507" t="s">
        <v>6306</v>
      </c>
      <c r="C1410" s="506" t="s">
        <v>32</v>
      </c>
      <c r="D1410" s="508">
        <v>53550</v>
      </c>
      <c r="E1410" s="507" t="s">
        <v>6108</v>
      </c>
    </row>
    <row r="1411" spans="1:5" ht="15" x14ac:dyDescent="0.3">
      <c r="A1411" s="506">
        <v>9369</v>
      </c>
      <c r="B1411" s="507" t="s">
        <v>6307</v>
      </c>
      <c r="C1411" s="506" t="s">
        <v>32</v>
      </c>
      <c r="D1411" s="508">
        <v>1294601</v>
      </c>
      <c r="E1411" s="507" t="s">
        <v>6108</v>
      </c>
    </row>
    <row r="1412" spans="1:5" ht="15" x14ac:dyDescent="0.3">
      <c r="A1412" s="506">
        <v>9370</v>
      </c>
      <c r="B1412" s="507" t="s">
        <v>4757</v>
      </c>
      <c r="C1412" s="506" t="s">
        <v>32</v>
      </c>
      <c r="D1412" s="508">
        <v>1426929</v>
      </c>
      <c r="E1412" s="507" t="s">
        <v>6108</v>
      </c>
    </row>
    <row r="1413" spans="1:5" ht="15" x14ac:dyDescent="0.3">
      <c r="A1413" s="506">
        <v>9371</v>
      </c>
      <c r="B1413" s="507" t="s">
        <v>4758</v>
      </c>
      <c r="C1413" s="506" t="s">
        <v>32</v>
      </c>
      <c r="D1413" s="508">
        <v>822000</v>
      </c>
      <c r="E1413" s="507" t="s">
        <v>6108</v>
      </c>
    </row>
    <row r="1414" spans="1:5" ht="15" x14ac:dyDescent="0.3">
      <c r="A1414" s="506">
        <v>9373</v>
      </c>
      <c r="B1414" s="507" t="s">
        <v>4759</v>
      </c>
      <c r="C1414" s="506" t="s">
        <v>32</v>
      </c>
      <c r="D1414" s="508">
        <v>243950</v>
      </c>
      <c r="E1414" s="507" t="s">
        <v>6108</v>
      </c>
    </row>
    <row r="1415" spans="1:5" ht="15" x14ac:dyDescent="0.3">
      <c r="A1415" s="506">
        <v>9374</v>
      </c>
      <c r="B1415" s="507" t="s">
        <v>4760</v>
      </c>
      <c r="C1415" s="506" t="s">
        <v>32</v>
      </c>
      <c r="D1415" s="508">
        <v>76365</v>
      </c>
      <c r="E1415" s="507" t="s">
        <v>6108</v>
      </c>
    </row>
    <row r="1416" spans="1:5" ht="15" x14ac:dyDescent="0.3">
      <c r="A1416" s="506">
        <v>9375</v>
      </c>
      <c r="B1416" s="507" t="s">
        <v>4761</v>
      </c>
      <c r="C1416" s="506" t="s">
        <v>32</v>
      </c>
      <c r="D1416" s="508">
        <v>4241160</v>
      </c>
      <c r="E1416" s="507" t="s">
        <v>6108</v>
      </c>
    </row>
    <row r="1417" spans="1:5" ht="15" x14ac:dyDescent="0.3">
      <c r="A1417" s="506">
        <v>9379</v>
      </c>
      <c r="B1417" s="507" t="s">
        <v>6308</v>
      </c>
      <c r="C1417" s="506" t="s">
        <v>32</v>
      </c>
      <c r="D1417" s="508">
        <v>173145</v>
      </c>
      <c r="E1417" s="507" t="s">
        <v>6108</v>
      </c>
    </row>
    <row r="1418" spans="1:5" ht="15" x14ac:dyDescent="0.3">
      <c r="A1418" s="506">
        <v>9381</v>
      </c>
      <c r="B1418" s="507" t="s">
        <v>4762</v>
      </c>
      <c r="C1418" s="506" t="s">
        <v>32</v>
      </c>
      <c r="D1418" s="508">
        <v>84966</v>
      </c>
      <c r="E1418" s="507" t="s">
        <v>6108</v>
      </c>
    </row>
    <row r="1419" spans="1:5" ht="15" x14ac:dyDescent="0.3">
      <c r="A1419" s="506">
        <v>9383</v>
      </c>
      <c r="B1419" s="507" t="s">
        <v>4763</v>
      </c>
      <c r="C1419" s="506" t="s">
        <v>32</v>
      </c>
      <c r="D1419" s="508">
        <v>250852</v>
      </c>
      <c r="E1419" s="507" t="s">
        <v>6108</v>
      </c>
    </row>
    <row r="1420" spans="1:5" ht="15" x14ac:dyDescent="0.3">
      <c r="A1420" s="506">
        <v>9384</v>
      </c>
      <c r="B1420" s="507" t="s">
        <v>6309</v>
      </c>
      <c r="C1420" s="506" t="s">
        <v>32</v>
      </c>
      <c r="D1420" s="508">
        <v>157080</v>
      </c>
      <c r="E1420" s="507" t="s">
        <v>6108</v>
      </c>
    </row>
    <row r="1421" spans="1:5" ht="15" x14ac:dyDescent="0.3">
      <c r="A1421" s="506">
        <v>9385</v>
      </c>
      <c r="B1421" s="507" t="s">
        <v>6310</v>
      </c>
      <c r="C1421" s="506" t="s">
        <v>32</v>
      </c>
      <c r="D1421" s="508">
        <v>49909</v>
      </c>
      <c r="E1421" s="507" t="s">
        <v>6108</v>
      </c>
    </row>
    <row r="1422" spans="1:5" ht="15" x14ac:dyDescent="0.3">
      <c r="A1422" s="506">
        <v>9386</v>
      </c>
      <c r="B1422" s="507" t="s">
        <v>6311</v>
      </c>
      <c r="C1422" s="506" t="s">
        <v>32</v>
      </c>
      <c r="D1422" s="508">
        <v>52122</v>
      </c>
      <c r="E1422" s="507" t="s">
        <v>6108</v>
      </c>
    </row>
    <row r="1423" spans="1:5" ht="15" x14ac:dyDescent="0.3">
      <c r="A1423" s="506">
        <v>9387</v>
      </c>
      <c r="B1423" s="507" t="s">
        <v>4764</v>
      </c>
      <c r="C1423" s="506" t="s">
        <v>32</v>
      </c>
      <c r="D1423" s="508">
        <v>684780</v>
      </c>
      <c r="E1423" s="507" t="s">
        <v>6108</v>
      </c>
    </row>
    <row r="1424" spans="1:5" ht="15" x14ac:dyDescent="0.3">
      <c r="A1424" s="506">
        <v>9388</v>
      </c>
      <c r="B1424" s="507" t="s">
        <v>6312</v>
      </c>
      <c r="C1424" s="506" t="s">
        <v>32</v>
      </c>
      <c r="D1424" s="508">
        <v>80087</v>
      </c>
      <c r="E1424" s="507" t="s">
        <v>6108</v>
      </c>
    </row>
    <row r="1425" spans="1:5" ht="15" x14ac:dyDescent="0.3">
      <c r="A1425" s="506">
        <v>9389</v>
      </c>
      <c r="B1425" s="507" t="s">
        <v>4765</v>
      </c>
      <c r="C1425" s="506" t="s">
        <v>32</v>
      </c>
      <c r="D1425" s="508">
        <v>362950</v>
      </c>
      <c r="E1425" s="507" t="s">
        <v>6108</v>
      </c>
    </row>
    <row r="1426" spans="1:5" ht="15" x14ac:dyDescent="0.3">
      <c r="A1426" s="506">
        <v>9396</v>
      </c>
      <c r="B1426" s="507" t="s">
        <v>6313</v>
      </c>
      <c r="C1426" s="506" t="s">
        <v>32</v>
      </c>
      <c r="D1426" s="508">
        <v>52241</v>
      </c>
      <c r="E1426" s="507" t="s">
        <v>6108</v>
      </c>
    </row>
    <row r="1427" spans="1:5" ht="15" x14ac:dyDescent="0.3">
      <c r="A1427" s="506">
        <v>9397</v>
      </c>
      <c r="B1427" s="507" t="s">
        <v>4766</v>
      </c>
      <c r="C1427" s="506" t="s">
        <v>32</v>
      </c>
      <c r="D1427" s="508">
        <v>49266</v>
      </c>
      <c r="E1427" s="507" t="s">
        <v>6108</v>
      </c>
    </row>
    <row r="1428" spans="1:5" ht="15" x14ac:dyDescent="0.3">
      <c r="A1428" s="506">
        <v>9398</v>
      </c>
      <c r="B1428" s="507" t="s">
        <v>6314</v>
      </c>
      <c r="C1428" s="506" t="s">
        <v>32</v>
      </c>
      <c r="D1428" s="508">
        <v>105375</v>
      </c>
      <c r="E1428" s="507" t="s">
        <v>6108</v>
      </c>
    </row>
    <row r="1429" spans="1:5" ht="15" x14ac:dyDescent="0.3">
      <c r="A1429" s="506">
        <v>9401</v>
      </c>
      <c r="B1429" s="507" t="s">
        <v>6315</v>
      </c>
      <c r="C1429" s="506" t="s">
        <v>32</v>
      </c>
      <c r="D1429" s="508">
        <v>70091</v>
      </c>
      <c r="E1429" s="507" t="s">
        <v>6108</v>
      </c>
    </row>
    <row r="1430" spans="1:5" ht="15" x14ac:dyDescent="0.3">
      <c r="A1430" s="506">
        <v>9402</v>
      </c>
      <c r="B1430" s="507" t="s">
        <v>6316</v>
      </c>
      <c r="C1430" s="506" t="s">
        <v>32</v>
      </c>
      <c r="D1430" s="508">
        <v>47600</v>
      </c>
      <c r="E1430" s="507" t="s">
        <v>6108</v>
      </c>
    </row>
    <row r="1431" spans="1:5" ht="15" x14ac:dyDescent="0.3">
      <c r="A1431" s="506">
        <v>9404</v>
      </c>
      <c r="B1431" s="507" t="s">
        <v>6317</v>
      </c>
      <c r="C1431" s="506" t="s">
        <v>32</v>
      </c>
      <c r="D1431" s="508">
        <v>79730</v>
      </c>
      <c r="E1431" s="507" t="s">
        <v>6108</v>
      </c>
    </row>
    <row r="1432" spans="1:5" ht="15" x14ac:dyDescent="0.3">
      <c r="A1432" s="506">
        <v>9405</v>
      </c>
      <c r="B1432" s="507" t="s">
        <v>6318</v>
      </c>
      <c r="C1432" s="506" t="s">
        <v>32</v>
      </c>
      <c r="D1432" s="508">
        <v>269892</v>
      </c>
      <c r="E1432" s="507" t="s">
        <v>6108</v>
      </c>
    </row>
    <row r="1433" spans="1:5" ht="15" x14ac:dyDescent="0.3">
      <c r="A1433" s="506">
        <v>9407</v>
      </c>
      <c r="B1433" s="507" t="s">
        <v>6319</v>
      </c>
      <c r="C1433" s="506" t="s">
        <v>32</v>
      </c>
      <c r="D1433" s="508">
        <v>166600</v>
      </c>
      <c r="E1433" s="507" t="s">
        <v>6108</v>
      </c>
    </row>
    <row r="1434" spans="1:5" ht="15" x14ac:dyDescent="0.3">
      <c r="A1434" s="506">
        <v>9408</v>
      </c>
      <c r="B1434" s="507" t="s">
        <v>4767</v>
      </c>
      <c r="C1434" s="506" t="s">
        <v>32</v>
      </c>
      <c r="D1434" s="508">
        <v>211607</v>
      </c>
      <c r="E1434" s="507" t="s">
        <v>6108</v>
      </c>
    </row>
    <row r="1435" spans="1:5" ht="15" x14ac:dyDescent="0.3">
      <c r="A1435" s="506">
        <v>9409</v>
      </c>
      <c r="B1435" s="507" t="s">
        <v>4768</v>
      </c>
      <c r="C1435" s="506" t="s">
        <v>32</v>
      </c>
      <c r="D1435" s="508">
        <v>191249</v>
      </c>
      <c r="E1435" s="507" t="s">
        <v>6108</v>
      </c>
    </row>
    <row r="1436" spans="1:5" ht="15" x14ac:dyDescent="0.3">
      <c r="A1436" s="506">
        <v>9413</v>
      </c>
      <c r="B1436" s="507" t="s">
        <v>4769</v>
      </c>
      <c r="C1436" s="506" t="s">
        <v>670</v>
      </c>
      <c r="D1436" s="508">
        <v>6486</v>
      </c>
      <c r="E1436" s="507" t="s">
        <v>331</v>
      </c>
    </row>
    <row r="1437" spans="1:5" ht="15" x14ac:dyDescent="0.3">
      <c r="A1437" s="506">
        <v>9414</v>
      </c>
      <c r="B1437" s="507" t="s">
        <v>4770</v>
      </c>
      <c r="C1437" s="506" t="s">
        <v>32</v>
      </c>
      <c r="D1437" s="508">
        <v>36607</v>
      </c>
      <c r="E1437" s="507" t="s">
        <v>6108</v>
      </c>
    </row>
    <row r="1438" spans="1:5" ht="15" x14ac:dyDescent="0.3">
      <c r="A1438" s="506">
        <v>9423</v>
      </c>
      <c r="B1438" s="507" t="s">
        <v>4771</v>
      </c>
      <c r="C1438" s="506" t="s">
        <v>254</v>
      </c>
      <c r="D1438" s="508">
        <v>4177884</v>
      </c>
      <c r="E1438" s="507" t="s">
        <v>6109</v>
      </c>
    </row>
    <row r="1439" spans="1:5" ht="15" x14ac:dyDescent="0.3">
      <c r="A1439" s="506">
        <v>9424</v>
      </c>
      <c r="B1439" s="507" t="s">
        <v>4772</v>
      </c>
      <c r="C1439" s="506" t="s">
        <v>254</v>
      </c>
      <c r="D1439" s="508">
        <v>2922389</v>
      </c>
      <c r="E1439" s="507" t="s">
        <v>6109</v>
      </c>
    </row>
    <row r="1440" spans="1:5" ht="15" x14ac:dyDescent="0.3">
      <c r="A1440" s="506">
        <v>9427</v>
      </c>
      <c r="B1440" s="507" t="s">
        <v>4773</v>
      </c>
      <c r="C1440" s="506" t="s">
        <v>32</v>
      </c>
      <c r="D1440" s="508">
        <v>13231</v>
      </c>
      <c r="E1440" s="507" t="s">
        <v>6109</v>
      </c>
    </row>
    <row r="1441" spans="1:5" ht="15" x14ac:dyDescent="0.3">
      <c r="A1441" s="506">
        <v>9428</v>
      </c>
      <c r="B1441" s="507" t="s">
        <v>4774</v>
      </c>
      <c r="C1441" s="506" t="s">
        <v>32</v>
      </c>
      <c r="D1441" s="508">
        <v>21900</v>
      </c>
      <c r="E1441" s="507" t="s">
        <v>6109</v>
      </c>
    </row>
    <row r="1442" spans="1:5" ht="15" x14ac:dyDescent="0.3">
      <c r="A1442" s="506">
        <v>9433</v>
      </c>
      <c r="B1442" s="507" t="s">
        <v>6320</v>
      </c>
      <c r="C1442" s="506" t="s">
        <v>32</v>
      </c>
      <c r="D1442" s="508">
        <v>211820</v>
      </c>
      <c r="E1442" s="507" t="s">
        <v>6108</v>
      </c>
    </row>
    <row r="1443" spans="1:5" ht="15" x14ac:dyDescent="0.3">
      <c r="A1443" s="506">
        <v>9434</v>
      </c>
      <c r="B1443" s="507" t="s">
        <v>4775</v>
      </c>
      <c r="C1443" s="506" t="s">
        <v>670</v>
      </c>
      <c r="D1443" s="508">
        <v>381</v>
      </c>
      <c r="E1443" s="507" t="s">
        <v>6108</v>
      </c>
    </row>
    <row r="1444" spans="1:5" ht="15" x14ac:dyDescent="0.3">
      <c r="A1444" s="506">
        <v>9437</v>
      </c>
      <c r="B1444" s="507" t="s">
        <v>4776</v>
      </c>
      <c r="C1444" s="506" t="s">
        <v>32</v>
      </c>
      <c r="D1444" s="508">
        <v>721810</v>
      </c>
      <c r="E1444" s="507" t="s">
        <v>331</v>
      </c>
    </row>
    <row r="1445" spans="1:5" ht="15" x14ac:dyDescent="0.3">
      <c r="A1445" s="506">
        <v>9441</v>
      </c>
      <c r="B1445" s="507" t="s">
        <v>4777</v>
      </c>
      <c r="C1445" s="506" t="s">
        <v>32</v>
      </c>
      <c r="D1445" s="508">
        <v>1402996</v>
      </c>
      <c r="E1445" s="507" t="s">
        <v>6108</v>
      </c>
    </row>
    <row r="1446" spans="1:5" ht="15" x14ac:dyDescent="0.3">
      <c r="A1446" s="506">
        <v>9443</v>
      </c>
      <c r="B1446" s="507" t="s">
        <v>4778</v>
      </c>
      <c r="C1446" s="506" t="s">
        <v>32</v>
      </c>
      <c r="D1446" s="508">
        <v>1861755</v>
      </c>
      <c r="E1446" s="507" t="s">
        <v>6108</v>
      </c>
    </row>
    <row r="1447" spans="1:5" ht="15" x14ac:dyDescent="0.3">
      <c r="A1447" s="506">
        <v>9444</v>
      </c>
      <c r="B1447" s="507" t="s">
        <v>4779</v>
      </c>
      <c r="C1447" s="506" t="s">
        <v>32</v>
      </c>
      <c r="D1447" s="508">
        <v>212415</v>
      </c>
      <c r="E1447" s="507" t="s">
        <v>6108</v>
      </c>
    </row>
    <row r="1448" spans="1:5" ht="15" x14ac:dyDescent="0.3">
      <c r="A1448" s="506">
        <v>9445</v>
      </c>
      <c r="B1448" s="507" t="s">
        <v>4780</v>
      </c>
      <c r="C1448" s="506" t="s">
        <v>32</v>
      </c>
      <c r="D1448" s="508">
        <v>265370</v>
      </c>
      <c r="E1448" s="507" t="s">
        <v>6108</v>
      </c>
    </row>
    <row r="1449" spans="1:5" ht="15" x14ac:dyDescent="0.3">
      <c r="A1449" s="506">
        <v>9446</v>
      </c>
      <c r="B1449" s="507" t="s">
        <v>4781</v>
      </c>
      <c r="C1449" s="506" t="s">
        <v>32</v>
      </c>
      <c r="D1449" s="508">
        <v>81373</v>
      </c>
      <c r="E1449" s="507" t="s">
        <v>6108</v>
      </c>
    </row>
    <row r="1450" spans="1:5" ht="15" x14ac:dyDescent="0.3">
      <c r="A1450" s="506">
        <v>9447</v>
      </c>
      <c r="B1450" s="507" t="s">
        <v>6321</v>
      </c>
      <c r="C1450" s="506" t="s">
        <v>32</v>
      </c>
      <c r="D1450" s="508">
        <v>1731450</v>
      </c>
      <c r="E1450" s="507" t="s">
        <v>6108</v>
      </c>
    </row>
    <row r="1451" spans="1:5" ht="15" x14ac:dyDescent="0.3">
      <c r="A1451" s="506">
        <v>9448</v>
      </c>
      <c r="B1451" s="507" t="s">
        <v>4782</v>
      </c>
      <c r="C1451" s="506" t="s">
        <v>32</v>
      </c>
      <c r="D1451" s="508">
        <v>273819</v>
      </c>
      <c r="E1451" s="507" t="s">
        <v>6108</v>
      </c>
    </row>
    <row r="1452" spans="1:5" ht="15" x14ac:dyDescent="0.3">
      <c r="A1452" s="506">
        <v>9449</v>
      </c>
      <c r="B1452" s="507" t="s">
        <v>4783</v>
      </c>
      <c r="C1452" s="506" t="s">
        <v>32</v>
      </c>
      <c r="D1452" s="508">
        <v>68068</v>
      </c>
      <c r="E1452" s="507" t="s">
        <v>6108</v>
      </c>
    </row>
    <row r="1453" spans="1:5" ht="15" x14ac:dyDescent="0.3">
      <c r="A1453" s="506">
        <v>9450</v>
      </c>
      <c r="B1453" s="507" t="s">
        <v>4784</v>
      </c>
      <c r="C1453" s="506" t="s">
        <v>32</v>
      </c>
      <c r="D1453" s="508">
        <v>160650</v>
      </c>
      <c r="E1453" s="507" t="s">
        <v>6108</v>
      </c>
    </row>
    <row r="1454" spans="1:5" ht="15" x14ac:dyDescent="0.3">
      <c r="A1454" s="506">
        <v>9451</v>
      </c>
      <c r="B1454" s="507" t="s">
        <v>4785</v>
      </c>
      <c r="C1454" s="506" t="s">
        <v>32</v>
      </c>
      <c r="D1454" s="508">
        <v>84490</v>
      </c>
      <c r="E1454" s="507" t="s">
        <v>6108</v>
      </c>
    </row>
    <row r="1455" spans="1:5" ht="15" x14ac:dyDescent="0.3">
      <c r="A1455" s="506">
        <v>9452</v>
      </c>
      <c r="B1455" s="507" t="s">
        <v>4786</v>
      </c>
      <c r="C1455" s="506" t="s">
        <v>32</v>
      </c>
      <c r="D1455" s="508">
        <v>82110</v>
      </c>
      <c r="E1455" s="507" t="s">
        <v>6108</v>
      </c>
    </row>
    <row r="1456" spans="1:5" ht="15" x14ac:dyDescent="0.3">
      <c r="A1456" s="506">
        <v>9453</v>
      </c>
      <c r="B1456" s="507" t="s">
        <v>4787</v>
      </c>
      <c r="C1456" s="506" t="s">
        <v>32</v>
      </c>
      <c r="D1456" s="508">
        <v>302855</v>
      </c>
      <c r="E1456" s="507" t="s">
        <v>6108</v>
      </c>
    </row>
    <row r="1457" spans="1:5" ht="15" x14ac:dyDescent="0.3">
      <c r="A1457" s="506">
        <v>9454</v>
      </c>
      <c r="B1457" s="507" t="s">
        <v>4788</v>
      </c>
      <c r="C1457" s="506" t="s">
        <v>32</v>
      </c>
      <c r="D1457" s="508">
        <v>75565</v>
      </c>
      <c r="E1457" s="507" t="s">
        <v>6108</v>
      </c>
    </row>
    <row r="1458" spans="1:5" ht="15" x14ac:dyDescent="0.3">
      <c r="A1458" s="506">
        <v>9455</v>
      </c>
      <c r="B1458" s="507" t="s">
        <v>4789</v>
      </c>
      <c r="C1458" s="506" t="s">
        <v>254</v>
      </c>
      <c r="D1458" s="508">
        <v>1750905</v>
      </c>
      <c r="E1458" s="507" t="s">
        <v>6109</v>
      </c>
    </row>
    <row r="1459" spans="1:5" ht="15" x14ac:dyDescent="0.3">
      <c r="A1459" s="506">
        <v>9456</v>
      </c>
      <c r="B1459" s="507" t="s">
        <v>6322</v>
      </c>
      <c r="C1459" s="506" t="s">
        <v>254</v>
      </c>
      <c r="D1459" s="508">
        <v>6583500</v>
      </c>
      <c r="E1459" s="507" t="s">
        <v>6109</v>
      </c>
    </row>
    <row r="1460" spans="1:5" ht="15" x14ac:dyDescent="0.3">
      <c r="A1460" s="506">
        <v>9457</v>
      </c>
      <c r="B1460" s="507" t="s">
        <v>4790</v>
      </c>
      <c r="C1460" s="506" t="s">
        <v>254</v>
      </c>
      <c r="D1460" s="508">
        <v>3669300</v>
      </c>
      <c r="E1460" s="507" t="s">
        <v>6109</v>
      </c>
    </row>
    <row r="1461" spans="1:5" ht="15" x14ac:dyDescent="0.3">
      <c r="A1461" s="506">
        <v>9459</v>
      </c>
      <c r="B1461" s="507" t="s">
        <v>4791</v>
      </c>
      <c r="C1461" s="506" t="s">
        <v>254</v>
      </c>
      <c r="D1461" s="508">
        <v>2972000</v>
      </c>
      <c r="E1461" s="507" t="s">
        <v>6109</v>
      </c>
    </row>
    <row r="1462" spans="1:5" ht="15" x14ac:dyDescent="0.3">
      <c r="A1462" s="506">
        <v>9460</v>
      </c>
      <c r="B1462" s="507" t="s">
        <v>4792</v>
      </c>
      <c r="C1462" s="506" t="s">
        <v>254</v>
      </c>
      <c r="D1462" s="508">
        <v>1987000</v>
      </c>
      <c r="E1462" s="507" t="s">
        <v>6109</v>
      </c>
    </row>
    <row r="1463" spans="1:5" ht="15" x14ac:dyDescent="0.3">
      <c r="A1463" s="506">
        <v>9461</v>
      </c>
      <c r="B1463" s="507" t="s">
        <v>4793</v>
      </c>
      <c r="C1463" s="506" t="s">
        <v>254</v>
      </c>
      <c r="D1463" s="508">
        <v>2244000</v>
      </c>
      <c r="E1463" s="507" t="s">
        <v>6109</v>
      </c>
    </row>
    <row r="1464" spans="1:5" ht="15" x14ac:dyDescent="0.3">
      <c r="A1464" s="506">
        <v>9462</v>
      </c>
      <c r="B1464" s="507" t="s">
        <v>4794</v>
      </c>
      <c r="C1464" s="506" t="s">
        <v>254</v>
      </c>
      <c r="D1464" s="508">
        <v>2618000</v>
      </c>
      <c r="E1464" s="507" t="s">
        <v>6109</v>
      </c>
    </row>
    <row r="1465" spans="1:5" ht="15" x14ac:dyDescent="0.3">
      <c r="A1465" s="506">
        <v>9463</v>
      </c>
      <c r="B1465" s="507" t="s">
        <v>4795</v>
      </c>
      <c r="C1465" s="506" t="s">
        <v>254</v>
      </c>
      <c r="D1465" s="508">
        <v>2618000</v>
      </c>
      <c r="E1465" s="507" t="s">
        <v>6109</v>
      </c>
    </row>
    <row r="1466" spans="1:5" ht="15" x14ac:dyDescent="0.3">
      <c r="A1466" s="506">
        <v>9464</v>
      </c>
      <c r="B1466" s="507" t="s">
        <v>4796</v>
      </c>
      <c r="C1466" s="506" t="s">
        <v>254</v>
      </c>
      <c r="D1466" s="508">
        <v>2992000</v>
      </c>
      <c r="E1466" s="507" t="s">
        <v>6109</v>
      </c>
    </row>
    <row r="1467" spans="1:5" ht="15" x14ac:dyDescent="0.3">
      <c r="A1467" s="506">
        <v>9465</v>
      </c>
      <c r="B1467" s="507" t="s">
        <v>4797</v>
      </c>
      <c r="C1467" s="506" t="s">
        <v>254</v>
      </c>
      <c r="D1467" s="508">
        <v>25218989</v>
      </c>
      <c r="E1467" s="507" t="s">
        <v>6109</v>
      </c>
    </row>
    <row r="1468" spans="1:5" ht="15" x14ac:dyDescent="0.3">
      <c r="A1468" s="506">
        <v>9466</v>
      </c>
      <c r="B1468" s="507" t="s">
        <v>4798</v>
      </c>
      <c r="C1468" s="506" t="s">
        <v>254</v>
      </c>
      <c r="D1468" s="508">
        <v>19230337</v>
      </c>
      <c r="E1468" s="507" t="s">
        <v>6109</v>
      </c>
    </row>
    <row r="1469" spans="1:5" ht="15" x14ac:dyDescent="0.3">
      <c r="A1469" s="506">
        <v>9467</v>
      </c>
      <c r="B1469" s="507" t="s">
        <v>4799</v>
      </c>
      <c r="C1469" s="506" t="s">
        <v>254</v>
      </c>
      <c r="D1469" s="508">
        <v>16236011</v>
      </c>
      <c r="E1469" s="507" t="s">
        <v>6109</v>
      </c>
    </row>
    <row r="1470" spans="1:5" ht="15" x14ac:dyDescent="0.3">
      <c r="A1470" s="506">
        <v>9468</v>
      </c>
      <c r="B1470" s="507" t="s">
        <v>4800</v>
      </c>
      <c r="C1470" s="506" t="s">
        <v>254</v>
      </c>
      <c r="D1470" s="508">
        <v>13830994</v>
      </c>
      <c r="E1470" s="507" t="s">
        <v>6109</v>
      </c>
    </row>
    <row r="1471" spans="1:5" ht="15" x14ac:dyDescent="0.3">
      <c r="A1471" s="506">
        <v>9469</v>
      </c>
      <c r="B1471" s="507" t="s">
        <v>4801</v>
      </c>
      <c r="C1471" s="506" t="s">
        <v>254</v>
      </c>
      <c r="D1471" s="508">
        <v>12480071</v>
      </c>
      <c r="E1471" s="507" t="s">
        <v>6109</v>
      </c>
    </row>
    <row r="1472" spans="1:5" ht="15" x14ac:dyDescent="0.3">
      <c r="A1472" s="506">
        <v>9470</v>
      </c>
      <c r="B1472" s="507" t="s">
        <v>4802</v>
      </c>
      <c r="C1472" s="506" t="s">
        <v>254</v>
      </c>
      <c r="D1472" s="508">
        <v>11133493</v>
      </c>
      <c r="E1472" s="507" t="s">
        <v>6109</v>
      </c>
    </row>
    <row r="1473" spans="1:5" ht="15" x14ac:dyDescent="0.3">
      <c r="A1473" s="506">
        <v>9471</v>
      </c>
      <c r="B1473" s="507" t="s">
        <v>4803</v>
      </c>
      <c r="C1473" s="506" t="s">
        <v>254</v>
      </c>
      <c r="D1473" s="508">
        <v>8428754</v>
      </c>
      <c r="E1473" s="507" t="s">
        <v>6109</v>
      </c>
    </row>
    <row r="1474" spans="1:5" ht="15" x14ac:dyDescent="0.3">
      <c r="A1474" s="506">
        <v>9473</v>
      </c>
      <c r="B1474" s="507" t="s">
        <v>4804</v>
      </c>
      <c r="C1474" s="506" t="s">
        <v>254</v>
      </c>
      <c r="D1474" s="508">
        <v>5233165</v>
      </c>
      <c r="E1474" s="507" t="s">
        <v>6109</v>
      </c>
    </row>
    <row r="1475" spans="1:5" ht="15" x14ac:dyDescent="0.3">
      <c r="A1475" s="506">
        <v>9474</v>
      </c>
      <c r="B1475" s="507" t="s">
        <v>4805</v>
      </c>
      <c r="C1475" s="506" t="s">
        <v>254</v>
      </c>
      <c r="D1475" s="508">
        <v>4948184</v>
      </c>
      <c r="E1475" s="507" t="s">
        <v>6109</v>
      </c>
    </row>
    <row r="1476" spans="1:5" ht="15" x14ac:dyDescent="0.3">
      <c r="A1476" s="506">
        <v>9475</v>
      </c>
      <c r="B1476" s="507" t="s">
        <v>4806</v>
      </c>
      <c r="C1476" s="506" t="s">
        <v>254</v>
      </c>
      <c r="D1476" s="508">
        <v>5169718</v>
      </c>
      <c r="E1476" s="507" t="s">
        <v>6109</v>
      </c>
    </row>
    <row r="1477" spans="1:5" ht="15" x14ac:dyDescent="0.3">
      <c r="A1477" s="506">
        <v>9476</v>
      </c>
      <c r="B1477" s="507" t="s">
        <v>4807</v>
      </c>
      <c r="C1477" s="506" t="s">
        <v>254</v>
      </c>
      <c r="D1477" s="508">
        <v>4253177</v>
      </c>
      <c r="E1477" s="507" t="s">
        <v>6109</v>
      </c>
    </row>
    <row r="1478" spans="1:5" ht="15" x14ac:dyDescent="0.3">
      <c r="A1478" s="506">
        <v>9477</v>
      </c>
      <c r="B1478" s="507" t="s">
        <v>4808</v>
      </c>
      <c r="C1478" s="506" t="s">
        <v>254</v>
      </c>
      <c r="D1478" s="508">
        <v>5453251</v>
      </c>
      <c r="E1478" s="507" t="s">
        <v>6109</v>
      </c>
    </row>
    <row r="1479" spans="1:5" ht="15" x14ac:dyDescent="0.3">
      <c r="A1479" s="506">
        <v>9478</v>
      </c>
      <c r="B1479" s="507" t="s">
        <v>4809</v>
      </c>
      <c r="C1479" s="506" t="s">
        <v>254</v>
      </c>
      <c r="D1479" s="508">
        <v>4823661</v>
      </c>
      <c r="E1479" s="507" t="s">
        <v>6109</v>
      </c>
    </row>
    <row r="1480" spans="1:5" ht="15" x14ac:dyDescent="0.3">
      <c r="A1480" s="506">
        <v>9479</v>
      </c>
      <c r="B1480" s="507" t="s">
        <v>4810</v>
      </c>
      <c r="C1480" s="506" t="s">
        <v>254</v>
      </c>
      <c r="D1480" s="508">
        <v>5453251</v>
      </c>
      <c r="E1480" s="507" t="s">
        <v>6109</v>
      </c>
    </row>
    <row r="1481" spans="1:5" ht="15" x14ac:dyDescent="0.3">
      <c r="A1481" s="506">
        <v>9480</v>
      </c>
      <c r="B1481" s="507" t="s">
        <v>4811</v>
      </c>
      <c r="C1481" s="506" t="s">
        <v>254</v>
      </c>
      <c r="D1481" s="508">
        <v>4823661</v>
      </c>
      <c r="E1481" s="507" t="s">
        <v>6109</v>
      </c>
    </row>
    <row r="1482" spans="1:5" ht="15" x14ac:dyDescent="0.3">
      <c r="A1482" s="506">
        <v>9481</v>
      </c>
      <c r="B1482" s="507" t="s">
        <v>4812</v>
      </c>
      <c r="C1482" s="506" t="s">
        <v>254</v>
      </c>
      <c r="D1482" s="508">
        <v>5179853</v>
      </c>
      <c r="E1482" s="507" t="s">
        <v>6109</v>
      </c>
    </row>
    <row r="1483" spans="1:5" ht="15" x14ac:dyDescent="0.3">
      <c r="A1483" s="506">
        <v>9482</v>
      </c>
      <c r="B1483" s="507" t="s">
        <v>4813</v>
      </c>
      <c r="C1483" s="506" t="s">
        <v>254</v>
      </c>
      <c r="D1483" s="508">
        <v>3740609</v>
      </c>
      <c r="E1483" s="507" t="s">
        <v>6109</v>
      </c>
    </row>
    <row r="1484" spans="1:5" ht="15" x14ac:dyDescent="0.3">
      <c r="A1484" s="506">
        <v>9483</v>
      </c>
      <c r="B1484" s="507" t="s">
        <v>4814</v>
      </c>
      <c r="C1484" s="506" t="s">
        <v>254</v>
      </c>
      <c r="D1484" s="508">
        <v>4322677</v>
      </c>
      <c r="E1484" s="507" t="s">
        <v>6109</v>
      </c>
    </row>
    <row r="1485" spans="1:5" ht="15" x14ac:dyDescent="0.3">
      <c r="A1485" s="506">
        <v>9484</v>
      </c>
      <c r="B1485" s="507" t="s">
        <v>4815</v>
      </c>
      <c r="C1485" s="506" t="s">
        <v>254</v>
      </c>
      <c r="D1485" s="508">
        <v>3930288</v>
      </c>
      <c r="E1485" s="507" t="s">
        <v>6109</v>
      </c>
    </row>
    <row r="1486" spans="1:5" ht="15" x14ac:dyDescent="0.3">
      <c r="A1486" s="506">
        <v>9485</v>
      </c>
      <c r="B1486" s="507" t="s">
        <v>4816</v>
      </c>
      <c r="C1486" s="506" t="s">
        <v>254</v>
      </c>
      <c r="D1486" s="508">
        <v>5424555</v>
      </c>
      <c r="E1486" s="507" t="s">
        <v>6109</v>
      </c>
    </row>
    <row r="1487" spans="1:5" ht="15" x14ac:dyDescent="0.3">
      <c r="A1487" s="506">
        <v>9486</v>
      </c>
      <c r="B1487" s="507" t="s">
        <v>4817</v>
      </c>
      <c r="C1487" s="506" t="s">
        <v>254</v>
      </c>
      <c r="D1487" s="508">
        <v>3979518</v>
      </c>
      <c r="E1487" s="507" t="s">
        <v>6109</v>
      </c>
    </row>
    <row r="1488" spans="1:5" ht="15" x14ac:dyDescent="0.3">
      <c r="A1488" s="506">
        <v>9487</v>
      </c>
      <c r="B1488" s="507" t="s">
        <v>4818</v>
      </c>
      <c r="C1488" s="506" t="s">
        <v>254</v>
      </c>
      <c r="D1488" s="508">
        <v>3309125</v>
      </c>
      <c r="E1488" s="507" t="s">
        <v>6109</v>
      </c>
    </row>
    <row r="1489" spans="1:5" ht="15" x14ac:dyDescent="0.3">
      <c r="A1489" s="506">
        <v>9488</v>
      </c>
      <c r="B1489" s="507" t="s">
        <v>4819</v>
      </c>
      <c r="C1489" s="506" t="s">
        <v>254</v>
      </c>
      <c r="D1489" s="508">
        <v>2922389</v>
      </c>
      <c r="E1489" s="507" t="s">
        <v>6109</v>
      </c>
    </row>
    <row r="1490" spans="1:5" ht="15" x14ac:dyDescent="0.3">
      <c r="A1490" s="506">
        <v>9489</v>
      </c>
      <c r="B1490" s="507" t="s">
        <v>4820</v>
      </c>
      <c r="C1490" s="506" t="s">
        <v>254</v>
      </c>
      <c r="D1490" s="508">
        <v>3740609</v>
      </c>
      <c r="E1490" s="507" t="s">
        <v>6109</v>
      </c>
    </row>
    <row r="1491" spans="1:5" ht="15" x14ac:dyDescent="0.3">
      <c r="A1491" s="506">
        <v>9490</v>
      </c>
      <c r="B1491" s="507" t="s">
        <v>4821</v>
      </c>
      <c r="C1491" s="506" t="s">
        <v>254</v>
      </c>
      <c r="D1491" s="508">
        <v>3309125</v>
      </c>
      <c r="E1491" s="507" t="s">
        <v>6109</v>
      </c>
    </row>
    <row r="1492" spans="1:5" ht="15" x14ac:dyDescent="0.3">
      <c r="A1492" s="506">
        <v>9491</v>
      </c>
      <c r="B1492" s="507" t="s">
        <v>4822</v>
      </c>
      <c r="C1492" s="506" t="s">
        <v>254</v>
      </c>
      <c r="D1492" s="508">
        <v>2922389</v>
      </c>
      <c r="E1492" s="507" t="s">
        <v>6109</v>
      </c>
    </row>
    <row r="1493" spans="1:5" ht="15" x14ac:dyDescent="0.3">
      <c r="A1493" s="506">
        <v>9492</v>
      </c>
      <c r="B1493" s="507" t="s">
        <v>4823</v>
      </c>
      <c r="C1493" s="506" t="s">
        <v>254</v>
      </c>
      <c r="D1493" s="508">
        <v>6542098</v>
      </c>
      <c r="E1493" s="507" t="s">
        <v>6109</v>
      </c>
    </row>
    <row r="1494" spans="1:5" ht="15" x14ac:dyDescent="0.3">
      <c r="A1494" s="506">
        <v>9493</v>
      </c>
      <c r="B1494" s="507" t="s">
        <v>4824</v>
      </c>
      <c r="C1494" s="506" t="s">
        <v>254</v>
      </c>
      <c r="D1494" s="508">
        <v>3636357</v>
      </c>
      <c r="E1494" s="507" t="s">
        <v>6109</v>
      </c>
    </row>
    <row r="1495" spans="1:5" ht="15" x14ac:dyDescent="0.3">
      <c r="A1495" s="506">
        <v>9494</v>
      </c>
      <c r="B1495" s="507" t="s">
        <v>4825</v>
      </c>
      <c r="C1495" s="506" t="s">
        <v>254</v>
      </c>
      <c r="D1495" s="508">
        <v>4719411</v>
      </c>
      <c r="E1495" s="507" t="s">
        <v>6109</v>
      </c>
    </row>
    <row r="1496" spans="1:5" ht="15" x14ac:dyDescent="0.3">
      <c r="A1496" s="506">
        <v>9495</v>
      </c>
      <c r="B1496" s="507" t="s">
        <v>4826</v>
      </c>
      <c r="C1496" s="506" t="s">
        <v>670</v>
      </c>
      <c r="D1496" s="508">
        <v>11777</v>
      </c>
      <c r="E1496" s="507" t="s">
        <v>331</v>
      </c>
    </row>
    <row r="1497" spans="1:5" ht="15" x14ac:dyDescent="0.3">
      <c r="A1497" s="506">
        <v>9496</v>
      </c>
      <c r="B1497" s="507" t="s">
        <v>4827</v>
      </c>
      <c r="C1497" s="506" t="s">
        <v>670</v>
      </c>
      <c r="D1497" s="508">
        <v>9994</v>
      </c>
      <c r="E1497" s="507" t="s">
        <v>331</v>
      </c>
    </row>
    <row r="1498" spans="1:5" ht="15" x14ac:dyDescent="0.3">
      <c r="A1498" s="506">
        <v>9497</v>
      </c>
      <c r="B1498" s="507" t="s">
        <v>6323</v>
      </c>
      <c r="C1498" s="506" t="s">
        <v>979</v>
      </c>
      <c r="D1498" s="508">
        <v>16439</v>
      </c>
      <c r="E1498" s="507" t="s">
        <v>6109</v>
      </c>
    </row>
    <row r="1499" spans="1:5" ht="15" x14ac:dyDescent="0.3">
      <c r="A1499" s="506">
        <v>9499</v>
      </c>
      <c r="B1499" s="507" t="s">
        <v>4828</v>
      </c>
      <c r="C1499" s="506" t="s">
        <v>30</v>
      </c>
      <c r="D1499" s="508">
        <v>618688</v>
      </c>
      <c r="E1499" s="507" t="s">
        <v>331</v>
      </c>
    </row>
    <row r="1500" spans="1:5" ht="15" x14ac:dyDescent="0.3">
      <c r="A1500" s="506">
        <v>9500</v>
      </c>
      <c r="B1500" s="507" t="s">
        <v>4829</v>
      </c>
      <c r="C1500" s="506" t="s">
        <v>21</v>
      </c>
      <c r="D1500" s="508">
        <v>106505</v>
      </c>
      <c r="E1500" s="507" t="s">
        <v>331</v>
      </c>
    </row>
    <row r="1501" spans="1:5" ht="15" x14ac:dyDescent="0.3">
      <c r="A1501" s="506">
        <v>9501</v>
      </c>
      <c r="B1501" s="507" t="s">
        <v>4830</v>
      </c>
      <c r="C1501" s="506" t="s">
        <v>21</v>
      </c>
      <c r="D1501" s="508">
        <v>89250</v>
      </c>
      <c r="E1501" s="507" t="s">
        <v>331</v>
      </c>
    </row>
    <row r="1502" spans="1:5" ht="15" x14ac:dyDescent="0.3">
      <c r="A1502" s="506">
        <v>9505</v>
      </c>
      <c r="B1502" s="507" t="s">
        <v>4831</v>
      </c>
      <c r="C1502" s="506" t="s">
        <v>692</v>
      </c>
      <c r="D1502" s="508">
        <v>840633</v>
      </c>
      <c r="E1502" s="507" t="s">
        <v>6109</v>
      </c>
    </row>
    <row r="1503" spans="1:5" ht="15" x14ac:dyDescent="0.3">
      <c r="A1503" s="506">
        <v>9506</v>
      </c>
      <c r="B1503" s="507" t="s">
        <v>4832</v>
      </c>
      <c r="C1503" s="506" t="s">
        <v>692</v>
      </c>
      <c r="D1503" s="508">
        <v>641011</v>
      </c>
      <c r="E1503" s="507" t="s">
        <v>6109</v>
      </c>
    </row>
    <row r="1504" spans="1:5" ht="15" x14ac:dyDescent="0.3">
      <c r="A1504" s="506">
        <v>9507</v>
      </c>
      <c r="B1504" s="507" t="s">
        <v>4833</v>
      </c>
      <c r="C1504" s="506" t="s">
        <v>692</v>
      </c>
      <c r="D1504" s="508">
        <v>541201</v>
      </c>
      <c r="E1504" s="507" t="s">
        <v>6109</v>
      </c>
    </row>
    <row r="1505" spans="1:5" ht="15" x14ac:dyDescent="0.3">
      <c r="A1505" s="506">
        <v>9508</v>
      </c>
      <c r="B1505" s="507" t="s">
        <v>4834</v>
      </c>
      <c r="C1505" s="506" t="s">
        <v>692</v>
      </c>
      <c r="D1505" s="508">
        <v>461034</v>
      </c>
      <c r="E1505" s="507" t="s">
        <v>6109</v>
      </c>
    </row>
    <row r="1506" spans="1:5" ht="15" x14ac:dyDescent="0.3">
      <c r="A1506" s="506">
        <v>9509</v>
      </c>
      <c r="B1506" s="507" t="s">
        <v>4835</v>
      </c>
      <c r="C1506" s="506" t="s">
        <v>692</v>
      </c>
      <c r="D1506" s="508">
        <v>416003</v>
      </c>
      <c r="E1506" s="507" t="s">
        <v>6109</v>
      </c>
    </row>
    <row r="1507" spans="1:5" ht="15" x14ac:dyDescent="0.3">
      <c r="A1507" s="506">
        <v>9510</v>
      </c>
      <c r="B1507" s="507" t="s">
        <v>4836</v>
      </c>
      <c r="C1507" s="506" t="s">
        <v>692</v>
      </c>
      <c r="D1507" s="508">
        <v>371117</v>
      </c>
      <c r="E1507" s="507" t="s">
        <v>6109</v>
      </c>
    </row>
    <row r="1508" spans="1:5" ht="15" x14ac:dyDescent="0.3">
      <c r="A1508" s="506">
        <v>9511</v>
      </c>
      <c r="B1508" s="507" t="s">
        <v>4837</v>
      </c>
      <c r="C1508" s="506" t="s">
        <v>692</v>
      </c>
      <c r="D1508" s="508">
        <v>280958</v>
      </c>
      <c r="E1508" s="507" t="s">
        <v>6109</v>
      </c>
    </row>
    <row r="1509" spans="1:5" ht="15" x14ac:dyDescent="0.3">
      <c r="A1509" s="506">
        <v>9512</v>
      </c>
      <c r="B1509" s="507" t="s">
        <v>4838</v>
      </c>
      <c r="C1509" s="506" t="s">
        <v>692</v>
      </c>
      <c r="D1509" s="508">
        <v>174438</v>
      </c>
      <c r="E1509" s="507" t="s">
        <v>6109</v>
      </c>
    </row>
    <row r="1510" spans="1:5" ht="15" x14ac:dyDescent="0.3">
      <c r="A1510" s="506">
        <v>9513</v>
      </c>
      <c r="B1510" s="507" t="s">
        <v>4839</v>
      </c>
      <c r="C1510" s="506" t="s">
        <v>692</v>
      </c>
      <c r="D1510" s="508">
        <v>164940</v>
      </c>
      <c r="E1510" s="507" t="s">
        <v>6109</v>
      </c>
    </row>
    <row r="1511" spans="1:5" ht="15" x14ac:dyDescent="0.3">
      <c r="A1511" s="506">
        <v>9514</v>
      </c>
      <c r="B1511" s="507" t="s">
        <v>4840</v>
      </c>
      <c r="C1511" s="506" t="s">
        <v>692</v>
      </c>
      <c r="D1511" s="508">
        <v>172324</v>
      </c>
      <c r="E1511" s="507" t="s">
        <v>6109</v>
      </c>
    </row>
    <row r="1512" spans="1:5" ht="15" x14ac:dyDescent="0.3">
      <c r="A1512" s="506">
        <v>9515</v>
      </c>
      <c r="B1512" s="507" t="s">
        <v>4841</v>
      </c>
      <c r="C1512" s="506" t="s">
        <v>692</v>
      </c>
      <c r="D1512" s="508">
        <v>141773</v>
      </c>
      <c r="E1512" s="507" t="s">
        <v>6109</v>
      </c>
    </row>
    <row r="1513" spans="1:5" ht="15" x14ac:dyDescent="0.3">
      <c r="A1513" s="506">
        <v>9516</v>
      </c>
      <c r="B1513" s="507" t="s">
        <v>4842</v>
      </c>
      <c r="C1513" s="506" t="s">
        <v>692</v>
      </c>
      <c r="D1513" s="508">
        <v>160788</v>
      </c>
      <c r="E1513" s="507" t="s">
        <v>6109</v>
      </c>
    </row>
    <row r="1514" spans="1:5" ht="15" x14ac:dyDescent="0.3">
      <c r="A1514" s="506">
        <v>9517</v>
      </c>
      <c r="B1514" s="507" t="s">
        <v>4843</v>
      </c>
      <c r="C1514" s="506" t="s">
        <v>692</v>
      </c>
      <c r="D1514" s="508">
        <v>181776</v>
      </c>
      <c r="E1514" s="507" t="s">
        <v>6109</v>
      </c>
    </row>
    <row r="1515" spans="1:5" ht="15" x14ac:dyDescent="0.3">
      <c r="A1515" s="506">
        <v>9518</v>
      </c>
      <c r="B1515" s="507" t="s">
        <v>4844</v>
      </c>
      <c r="C1515" s="506" t="s">
        <v>692</v>
      </c>
      <c r="D1515" s="508">
        <v>160788</v>
      </c>
      <c r="E1515" s="507" t="s">
        <v>6109</v>
      </c>
    </row>
    <row r="1516" spans="1:5" ht="15" x14ac:dyDescent="0.3">
      <c r="A1516" s="506">
        <v>9519</v>
      </c>
      <c r="B1516" s="507" t="s">
        <v>4845</v>
      </c>
      <c r="C1516" s="506" t="s">
        <v>692</v>
      </c>
      <c r="D1516" s="508">
        <v>172662</v>
      </c>
      <c r="E1516" s="507" t="s">
        <v>6109</v>
      </c>
    </row>
    <row r="1517" spans="1:5" ht="15" x14ac:dyDescent="0.3">
      <c r="A1517" s="506">
        <v>9520</v>
      </c>
      <c r="B1517" s="507" t="s">
        <v>4846</v>
      </c>
      <c r="C1517" s="506" t="s">
        <v>692</v>
      </c>
      <c r="D1517" s="508">
        <v>124687</v>
      </c>
      <c r="E1517" s="507" t="s">
        <v>6109</v>
      </c>
    </row>
    <row r="1518" spans="1:5" ht="15" x14ac:dyDescent="0.3">
      <c r="A1518" s="506">
        <v>9521</v>
      </c>
      <c r="B1518" s="507" t="s">
        <v>4847</v>
      </c>
      <c r="C1518" s="506" t="s">
        <v>692</v>
      </c>
      <c r="D1518" s="508">
        <v>156349</v>
      </c>
      <c r="E1518" s="507" t="s">
        <v>6109</v>
      </c>
    </row>
    <row r="1519" spans="1:5" ht="15" x14ac:dyDescent="0.3">
      <c r="A1519" s="506">
        <v>9522</v>
      </c>
      <c r="B1519" s="507" t="s">
        <v>4848</v>
      </c>
      <c r="C1519" s="506" t="s">
        <v>692</v>
      </c>
      <c r="D1519" s="508">
        <v>108808</v>
      </c>
      <c r="E1519" s="507" t="s">
        <v>6109</v>
      </c>
    </row>
    <row r="1520" spans="1:5" ht="15" x14ac:dyDescent="0.3">
      <c r="A1520" s="506">
        <v>9523</v>
      </c>
      <c r="B1520" s="507" t="s">
        <v>4849</v>
      </c>
      <c r="C1520" s="506" t="s">
        <v>692</v>
      </c>
      <c r="D1520" s="508">
        <v>180819</v>
      </c>
      <c r="E1520" s="507" t="s">
        <v>6109</v>
      </c>
    </row>
    <row r="1521" spans="1:5" ht="15" x14ac:dyDescent="0.3">
      <c r="A1521" s="506">
        <v>9524</v>
      </c>
      <c r="B1521" s="507" t="s">
        <v>4850</v>
      </c>
      <c r="C1521" s="506" t="s">
        <v>692</v>
      </c>
      <c r="D1521" s="508">
        <v>132651</v>
      </c>
      <c r="E1521" s="507" t="s">
        <v>6109</v>
      </c>
    </row>
    <row r="1522" spans="1:5" ht="15" x14ac:dyDescent="0.3">
      <c r="A1522" s="506">
        <v>9525</v>
      </c>
      <c r="B1522" s="507" t="s">
        <v>4851</v>
      </c>
      <c r="C1522" s="506" t="s">
        <v>692</v>
      </c>
      <c r="D1522" s="508">
        <v>110304</v>
      </c>
      <c r="E1522" s="507" t="s">
        <v>6109</v>
      </c>
    </row>
    <row r="1523" spans="1:5" ht="15" x14ac:dyDescent="0.3">
      <c r="A1523" s="506">
        <v>9526</v>
      </c>
      <c r="B1523" s="507" t="s">
        <v>4852</v>
      </c>
      <c r="C1523" s="506" t="s">
        <v>692</v>
      </c>
      <c r="D1523" s="508">
        <v>97414</v>
      </c>
      <c r="E1523" s="507" t="s">
        <v>6109</v>
      </c>
    </row>
    <row r="1524" spans="1:5" ht="15" x14ac:dyDescent="0.3">
      <c r="A1524" s="506">
        <v>9527</v>
      </c>
      <c r="B1524" s="507" t="s">
        <v>4853</v>
      </c>
      <c r="C1524" s="506" t="s">
        <v>692</v>
      </c>
      <c r="D1524" s="508">
        <v>124687</v>
      </c>
      <c r="E1524" s="507" t="s">
        <v>6109</v>
      </c>
    </row>
    <row r="1525" spans="1:5" ht="15" x14ac:dyDescent="0.3">
      <c r="A1525" s="506">
        <v>9528</v>
      </c>
      <c r="B1525" s="507" t="s">
        <v>4854</v>
      </c>
      <c r="C1525" s="506" t="s">
        <v>692</v>
      </c>
      <c r="D1525" s="508">
        <v>97414</v>
      </c>
      <c r="E1525" s="507" t="s">
        <v>6109</v>
      </c>
    </row>
    <row r="1526" spans="1:5" ht="15" x14ac:dyDescent="0.3">
      <c r="A1526" s="506">
        <v>9529</v>
      </c>
      <c r="B1526" s="507" t="s">
        <v>4855</v>
      </c>
      <c r="C1526" s="506" t="s">
        <v>692</v>
      </c>
      <c r="D1526" s="508">
        <v>218070</v>
      </c>
      <c r="E1526" s="507" t="s">
        <v>6109</v>
      </c>
    </row>
    <row r="1527" spans="1:5" ht="15" x14ac:dyDescent="0.3">
      <c r="A1527" s="506">
        <v>9530</v>
      </c>
      <c r="B1527" s="507" t="s">
        <v>4856</v>
      </c>
      <c r="C1527" s="506" t="s">
        <v>254</v>
      </c>
      <c r="D1527" s="508">
        <v>4177884</v>
      </c>
      <c r="E1527" s="507" t="s">
        <v>6109</v>
      </c>
    </row>
    <row r="1528" spans="1:5" ht="15" x14ac:dyDescent="0.3">
      <c r="A1528" s="506">
        <v>9531</v>
      </c>
      <c r="B1528" s="507" t="s">
        <v>4857</v>
      </c>
      <c r="C1528" s="506" t="s">
        <v>979</v>
      </c>
      <c r="D1528" s="508">
        <v>114632</v>
      </c>
      <c r="E1528" s="507" t="s">
        <v>6109</v>
      </c>
    </row>
    <row r="1529" spans="1:5" ht="15" x14ac:dyDescent="0.3">
      <c r="A1529" s="506">
        <v>9532</v>
      </c>
      <c r="B1529" s="507" t="s">
        <v>4858</v>
      </c>
      <c r="C1529" s="506" t="s">
        <v>979</v>
      </c>
      <c r="D1529" s="508">
        <v>87410</v>
      </c>
      <c r="E1529" s="507" t="s">
        <v>6109</v>
      </c>
    </row>
    <row r="1530" spans="1:5" ht="15" x14ac:dyDescent="0.3">
      <c r="A1530" s="506">
        <v>9533</v>
      </c>
      <c r="B1530" s="507" t="s">
        <v>4859</v>
      </c>
      <c r="C1530" s="506" t="s">
        <v>979</v>
      </c>
      <c r="D1530" s="508">
        <v>73799</v>
      </c>
      <c r="E1530" s="507" t="s">
        <v>6109</v>
      </c>
    </row>
    <row r="1531" spans="1:5" ht="15" x14ac:dyDescent="0.3">
      <c r="A1531" s="506">
        <v>9534</v>
      </c>
      <c r="B1531" s="507" t="s">
        <v>4860</v>
      </c>
      <c r="C1531" s="506" t="s">
        <v>979</v>
      </c>
      <c r="D1531" s="508">
        <v>62869</v>
      </c>
      <c r="E1531" s="507" t="s">
        <v>6109</v>
      </c>
    </row>
    <row r="1532" spans="1:5" ht="15" x14ac:dyDescent="0.3">
      <c r="A1532" s="506">
        <v>9535</v>
      </c>
      <c r="B1532" s="507" t="s">
        <v>4861</v>
      </c>
      <c r="C1532" s="506" t="s">
        <v>979</v>
      </c>
      <c r="D1532" s="508">
        <v>56728</v>
      </c>
      <c r="E1532" s="507" t="s">
        <v>6109</v>
      </c>
    </row>
    <row r="1533" spans="1:5" ht="15" x14ac:dyDescent="0.3">
      <c r="A1533" s="506">
        <v>9536</v>
      </c>
      <c r="B1533" s="507" t="s">
        <v>4862</v>
      </c>
      <c r="C1533" s="506" t="s">
        <v>979</v>
      </c>
      <c r="D1533" s="508">
        <v>50607</v>
      </c>
      <c r="E1533" s="507" t="s">
        <v>6109</v>
      </c>
    </row>
    <row r="1534" spans="1:5" ht="15" x14ac:dyDescent="0.3">
      <c r="A1534" s="506">
        <v>9537</v>
      </c>
      <c r="B1534" s="507" t="s">
        <v>4863</v>
      </c>
      <c r="C1534" s="506" t="s">
        <v>979</v>
      </c>
      <c r="D1534" s="508">
        <v>38313</v>
      </c>
      <c r="E1534" s="507" t="s">
        <v>6109</v>
      </c>
    </row>
    <row r="1535" spans="1:5" ht="15" x14ac:dyDescent="0.3">
      <c r="A1535" s="506">
        <v>9539</v>
      </c>
      <c r="B1535" s="507" t="s">
        <v>4864</v>
      </c>
      <c r="C1535" s="506" t="s">
        <v>979</v>
      </c>
      <c r="D1535" s="508">
        <v>23786</v>
      </c>
      <c r="E1535" s="507" t="s">
        <v>6109</v>
      </c>
    </row>
    <row r="1536" spans="1:5" ht="15" x14ac:dyDescent="0.3">
      <c r="A1536" s="506">
        <v>9540</v>
      </c>
      <c r="B1536" s="507" t="s">
        <v>4865</v>
      </c>
      <c r="C1536" s="506" t="s">
        <v>979</v>
      </c>
      <c r="D1536" s="508">
        <v>22492</v>
      </c>
      <c r="E1536" s="507" t="s">
        <v>6109</v>
      </c>
    </row>
    <row r="1537" spans="1:5" ht="15" x14ac:dyDescent="0.3">
      <c r="A1537" s="506">
        <v>9541</v>
      </c>
      <c r="B1537" s="507" t="s">
        <v>4866</v>
      </c>
      <c r="C1537" s="506" t="s">
        <v>979</v>
      </c>
      <c r="D1537" s="508">
        <v>23498</v>
      </c>
      <c r="E1537" s="507" t="s">
        <v>6109</v>
      </c>
    </row>
    <row r="1538" spans="1:5" ht="15" x14ac:dyDescent="0.3">
      <c r="A1538" s="506">
        <v>9542</v>
      </c>
      <c r="B1538" s="507" t="s">
        <v>4867</v>
      </c>
      <c r="C1538" s="506" t="s">
        <v>979</v>
      </c>
      <c r="D1538" s="508">
        <v>19333</v>
      </c>
      <c r="E1538" s="507" t="s">
        <v>6109</v>
      </c>
    </row>
    <row r="1539" spans="1:5" ht="15" x14ac:dyDescent="0.3">
      <c r="A1539" s="506">
        <v>9543</v>
      </c>
      <c r="B1539" s="507" t="s">
        <v>4868</v>
      </c>
      <c r="C1539" s="506" t="s">
        <v>979</v>
      </c>
      <c r="D1539" s="508">
        <v>24787</v>
      </c>
      <c r="E1539" s="507" t="s">
        <v>6109</v>
      </c>
    </row>
    <row r="1540" spans="1:5" ht="15" x14ac:dyDescent="0.3">
      <c r="A1540" s="506">
        <v>9544</v>
      </c>
      <c r="B1540" s="507" t="s">
        <v>4869</v>
      </c>
      <c r="C1540" s="506" t="s">
        <v>979</v>
      </c>
      <c r="D1540" s="508">
        <v>21925</v>
      </c>
      <c r="E1540" s="507" t="s">
        <v>6109</v>
      </c>
    </row>
    <row r="1541" spans="1:5" ht="15" x14ac:dyDescent="0.3">
      <c r="A1541" s="506">
        <v>9545</v>
      </c>
      <c r="B1541" s="507" t="s">
        <v>4870</v>
      </c>
      <c r="C1541" s="506" t="s">
        <v>979</v>
      </c>
      <c r="D1541" s="508">
        <v>24787</v>
      </c>
      <c r="E1541" s="507" t="s">
        <v>6109</v>
      </c>
    </row>
    <row r="1542" spans="1:5" ht="15" x14ac:dyDescent="0.3">
      <c r="A1542" s="506">
        <v>9546</v>
      </c>
      <c r="B1542" s="507" t="s">
        <v>4871</v>
      </c>
      <c r="C1542" s="506" t="s">
        <v>979</v>
      </c>
      <c r="D1542" s="508">
        <v>21925</v>
      </c>
      <c r="E1542" s="507" t="s">
        <v>6109</v>
      </c>
    </row>
    <row r="1543" spans="1:5" ht="15" x14ac:dyDescent="0.3">
      <c r="A1543" s="506">
        <v>9547</v>
      </c>
      <c r="B1543" s="507" t="s">
        <v>4872</v>
      </c>
      <c r="C1543" s="506" t="s">
        <v>979</v>
      </c>
      <c r="D1543" s="508">
        <v>23545</v>
      </c>
      <c r="E1543" s="507" t="s">
        <v>6109</v>
      </c>
    </row>
    <row r="1544" spans="1:5" ht="15" x14ac:dyDescent="0.3">
      <c r="A1544" s="506">
        <v>9548</v>
      </c>
      <c r="B1544" s="507" t="s">
        <v>4873</v>
      </c>
      <c r="C1544" s="506" t="s">
        <v>979</v>
      </c>
      <c r="D1544" s="508">
        <v>17002</v>
      </c>
      <c r="E1544" s="507" t="s">
        <v>6109</v>
      </c>
    </row>
    <row r="1545" spans="1:5" ht="15" x14ac:dyDescent="0.3">
      <c r="A1545" s="506">
        <v>9549</v>
      </c>
      <c r="B1545" s="507" t="s">
        <v>4874</v>
      </c>
      <c r="C1545" s="506" t="s">
        <v>979</v>
      </c>
      <c r="D1545" s="508">
        <v>21320</v>
      </c>
      <c r="E1545" s="507" t="s">
        <v>6109</v>
      </c>
    </row>
    <row r="1546" spans="1:5" ht="15" x14ac:dyDescent="0.3">
      <c r="A1546" s="506">
        <v>9550</v>
      </c>
      <c r="B1546" s="507" t="s">
        <v>4875</v>
      </c>
      <c r="C1546" s="506" t="s">
        <v>979</v>
      </c>
      <c r="D1546" s="508">
        <v>14838</v>
      </c>
      <c r="E1546" s="507" t="s">
        <v>6109</v>
      </c>
    </row>
    <row r="1547" spans="1:5" ht="15" x14ac:dyDescent="0.3">
      <c r="A1547" s="506">
        <v>9551</v>
      </c>
      <c r="B1547" s="507" t="s">
        <v>4876</v>
      </c>
      <c r="C1547" s="506" t="s">
        <v>979</v>
      </c>
      <c r="D1547" s="508">
        <v>19648</v>
      </c>
      <c r="E1547" s="507" t="s">
        <v>6109</v>
      </c>
    </row>
    <row r="1548" spans="1:5" ht="15" x14ac:dyDescent="0.3">
      <c r="A1548" s="506">
        <v>9552</v>
      </c>
      <c r="B1548" s="507" t="s">
        <v>4877</v>
      </c>
      <c r="C1548" s="506" t="s">
        <v>979</v>
      </c>
      <c r="D1548" s="508">
        <v>17864</v>
      </c>
      <c r="E1548" s="507" t="s">
        <v>6109</v>
      </c>
    </row>
    <row r="1549" spans="1:5" ht="15" x14ac:dyDescent="0.3">
      <c r="A1549" s="506">
        <v>9553</v>
      </c>
      <c r="B1549" s="507" t="s">
        <v>4878</v>
      </c>
      <c r="C1549" s="506" t="s">
        <v>979</v>
      </c>
      <c r="D1549" s="508">
        <v>24657</v>
      </c>
      <c r="E1549" s="507" t="s">
        <v>6109</v>
      </c>
    </row>
    <row r="1550" spans="1:5" ht="15" x14ac:dyDescent="0.3">
      <c r="A1550" s="506">
        <v>9554</v>
      </c>
      <c r="B1550" s="507" t="s">
        <v>4879</v>
      </c>
      <c r="C1550" s="506" t="s">
        <v>979</v>
      </c>
      <c r="D1550" s="508">
        <v>18088</v>
      </c>
      <c r="E1550" s="507" t="s">
        <v>6109</v>
      </c>
    </row>
    <row r="1551" spans="1:5" ht="15" x14ac:dyDescent="0.3">
      <c r="A1551" s="506">
        <v>9555</v>
      </c>
      <c r="B1551" s="507" t="s">
        <v>4880</v>
      </c>
      <c r="C1551" s="506" t="s">
        <v>979</v>
      </c>
      <c r="D1551" s="508">
        <v>15042</v>
      </c>
      <c r="E1551" s="507" t="s">
        <v>6109</v>
      </c>
    </row>
    <row r="1552" spans="1:5" ht="15" x14ac:dyDescent="0.3">
      <c r="A1552" s="506">
        <v>9556</v>
      </c>
      <c r="B1552" s="507" t="s">
        <v>4881</v>
      </c>
      <c r="C1552" s="506" t="s">
        <v>979</v>
      </c>
      <c r="D1552" s="508">
        <v>13284</v>
      </c>
      <c r="E1552" s="507" t="s">
        <v>6109</v>
      </c>
    </row>
    <row r="1553" spans="1:5" ht="15" x14ac:dyDescent="0.3">
      <c r="A1553" s="506">
        <v>9557</v>
      </c>
      <c r="B1553" s="507" t="s">
        <v>4882</v>
      </c>
      <c r="C1553" s="506" t="s">
        <v>979</v>
      </c>
      <c r="D1553" s="508">
        <v>17002</v>
      </c>
      <c r="E1553" s="507" t="s">
        <v>6109</v>
      </c>
    </row>
    <row r="1554" spans="1:5" ht="15" x14ac:dyDescent="0.3">
      <c r="A1554" s="506">
        <v>9558</v>
      </c>
      <c r="B1554" s="507" t="s">
        <v>4883</v>
      </c>
      <c r="C1554" s="506" t="s">
        <v>979</v>
      </c>
      <c r="D1554" s="508">
        <v>15042</v>
      </c>
      <c r="E1554" s="507" t="s">
        <v>6109</v>
      </c>
    </row>
    <row r="1555" spans="1:5" ht="15" x14ac:dyDescent="0.3">
      <c r="A1555" s="506">
        <v>9559</v>
      </c>
      <c r="B1555" s="507" t="s">
        <v>4884</v>
      </c>
      <c r="C1555" s="506" t="s">
        <v>979</v>
      </c>
      <c r="D1555" s="508">
        <v>13284</v>
      </c>
      <c r="E1555" s="507" t="s">
        <v>6109</v>
      </c>
    </row>
    <row r="1556" spans="1:5" ht="15" x14ac:dyDescent="0.3">
      <c r="A1556" s="506">
        <v>9560</v>
      </c>
      <c r="B1556" s="507" t="s">
        <v>4885</v>
      </c>
      <c r="C1556" s="506" t="s">
        <v>979</v>
      </c>
      <c r="D1556" s="508">
        <v>29737</v>
      </c>
      <c r="E1556" s="507" t="s">
        <v>6109</v>
      </c>
    </row>
    <row r="1557" spans="1:5" ht="15" x14ac:dyDescent="0.3">
      <c r="A1557" s="506">
        <v>9570</v>
      </c>
      <c r="B1557" s="507" t="s">
        <v>4886</v>
      </c>
      <c r="C1557" s="506" t="s">
        <v>32</v>
      </c>
      <c r="D1557" s="508">
        <v>2206</v>
      </c>
      <c r="E1557" s="507" t="s">
        <v>6108</v>
      </c>
    </row>
    <row r="1558" spans="1:5" ht="15" x14ac:dyDescent="0.3">
      <c r="A1558" s="506">
        <v>9571</v>
      </c>
      <c r="B1558" s="507" t="s">
        <v>4887</v>
      </c>
      <c r="C1558" s="506" t="s">
        <v>32</v>
      </c>
      <c r="D1558" s="508">
        <v>11797</v>
      </c>
      <c r="E1558" s="507" t="s">
        <v>6108</v>
      </c>
    </row>
    <row r="1559" spans="1:5" ht="15" x14ac:dyDescent="0.3">
      <c r="A1559" s="506">
        <v>9572</v>
      </c>
      <c r="B1559" s="507" t="s">
        <v>4888</v>
      </c>
      <c r="C1559" s="506" t="s">
        <v>328</v>
      </c>
      <c r="D1559" s="508">
        <v>4964</v>
      </c>
      <c r="E1559" s="507" t="s">
        <v>6108</v>
      </c>
    </row>
    <row r="1560" spans="1:5" ht="15" x14ac:dyDescent="0.3">
      <c r="A1560" s="506">
        <v>9573</v>
      </c>
      <c r="B1560" s="507" t="s">
        <v>4889</v>
      </c>
      <c r="C1560" s="506" t="s">
        <v>328</v>
      </c>
      <c r="D1560" s="508">
        <v>4626</v>
      </c>
      <c r="E1560" s="507" t="s">
        <v>6108</v>
      </c>
    </row>
    <row r="1561" spans="1:5" ht="15" x14ac:dyDescent="0.3">
      <c r="A1561" s="506">
        <v>9574</v>
      </c>
      <c r="B1561" s="507" t="s">
        <v>4890</v>
      </c>
      <c r="C1561" s="506" t="s">
        <v>32</v>
      </c>
      <c r="D1561" s="508">
        <v>1445</v>
      </c>
      <c r="E1561" s="507" t="s">
        <v>6108</v>
      </c>
    </row>
    <row r="1562" spans="1:5" ht="15" x14ac:dyDescent="0.3">
      <c r="A1562" s="506">
        <v>9575</v>
      </c>
      <c r="B1562" s="507" t="s">
        <v>4891</v>
      </c>
      <c r="C1562" s="506" t="s">
        <v>254</v>
      </c>
      <c r="D1562" s="508">
        <v>18832062</v>
      </c>
      <c r="E1562" s="507" t="s">
        <v>6109</v>
      </c>
    </row>
    <row r="1563" spans="1:5" ht="15" x14ac:dyDescent="0.3">
      <c r="A1563" s="506">
        <v>9576</v>
      </c>
      <c r="B1563" s="507" t="s">
        <v>4892</v>
      </c>
      <c r="C1563" s="506" t="s">
        <v>3528</v>
      </c>
      <c r="D1563" s="508">
        <v>55270</v>
      </c>
      <c r="E1563" s="507" t="s">
        <v>6109</v>
      </c>
    </row>
    <row r="1564" spans="1:5" ht="15" x14ac:dyDescent="0.3">
      <c r="A1564" s="506">
        <v>9577</v>
      </c>
      <c r="B1564" s="507" t="s">
        <v>4893</v>
      </c>
      <c r="C1564" s="506" t="s">
        <v>3528</v>
      </c>
      <c r="D1564" s="508">
        <v>25982</v>
      </c>
      <c r="E1564" s="507" t="s">
        <v>6109</v>
      </c>
    </row>
    <row r="1565" spans="1:5" ht="15" x14ac:dyDescent="0.3">
      <c r="A1565" s="506">
        <v>9578</v>
      </c>
      <c r="B1565" s="507" t="s">
        <v>4894</v>
      </c>
      <c r="C1565" s="506" t="s">
        <v>4895</v>
      </c>
      <c r="D1565" s="508">
        <v>1260967</v>
      </c>
      <c r="E1565" s="507" t="s">
        <v>6109</v>
      </c>
    </row>
    <row r="1566" spans="1:5" ht="15" x14ac:dyDescent="0.3">
      <c r="A1566" s="506">
        <v>9635</v>
      </c>
      <c r="B1566" s="507" t="s">
        <v>4896</v>
      </c>
      <c r="C1566" s="506" t="s">
        <v>32</v>
      </c>
      <c r="D1566" s="508">
        <v>219579</v>
      </c>
      <c r="E1566" s="507" t="s">
        <v>6108</v>
      </c>
    </row>
    <row r="1567" spans="1:5" ht="15" x14ac:dyDescent="0.3">
      <c r="A1567" s="506">
        <v>9638</v>
      </c>
      <c r="B1567" s="507" t="s">
        <v>4897</v>
      </c>
      <c r="C1567" s="506" t="s">
        <v>670</v>
      </c>
      <c r="D1567" s="508">
        <v>159663</v>
      </c>
      <c r="E1567" s="507" t="s">
        <v>6108</v>
      </c>
    </row>
    <row r="1568" spans="1:5" ht="15" x14ac:dyDescent="0.3">
      <c r="A1568" s="506">
        <v>9639</v>
      </c>
      <c r="B1568" s="507" t="s">
        <v>4898</v>
      </c>
      <c r="C1568" s="506" t="s">
        <v>670</v>
      </c>
      <c r="D1568" s="508">
        <v>5833</v>
      </c>
      <c r="E1568" s="507" t="s">
        <v>6108</v>
      </c>
    </row>
    <row r="1569" spans="1:5" ht="15" x14ac:dyDescent="0.3">
      <c r="A1569" s="506">
        <v>9640</v>
      </c>
      <c r="B1569" s="507" t="s">
        <v>4899</v>
      </c>
      <c r="C1569" s="506" t="s">
        <v>670</v>
      </c>
      <c r="D1569" s="508">
        <v>18626</v>
      </c>
      <c r="E1569" s="507" t="s">
        <v>6108</v>
      </c>
    </row>
    <row r="1570" spans="1:5" ht="15" x14ac:dyDescent="0.3">
      <c r="A1570" s="506">
        <v>9642</v>
      </c>
      <c r="B1570" s="507" t="s">
        <v>4900</v>
      </c>
      <c r="C1570" s="506" t="s">
        <v>670</v>
      </c>
      <c r="D1570" s="508">
        <v>104512</v>
      </c>
      <c r="E1570" s="507" t="s">
        <v>6108</v>
      </c>
    </row>
    <row r="1571" spans="1:5" ht="15" x14ac:dyDescent="0.3">
      <c r="A1571" s="506">
        <v>9643</v>
      </c>
      <c r="B1571" s="507" t="s">
        <v>4901</v>
      </c>
      <c r="C1571" s="506" t="s">
        <v>328</v>
      </c>
      <c r="D1571" s="508">
        <v>820</v>
      </c>
      <c r="E1571" s="507" t="s">
        <v>6108</v>
      </c>
    </row>
    <row r="1572" spans="1:5" ht="15" x14ac:dyDescent="0.3">
      <c r="A1572" s="506">
        <v>9644</v>
      </c>
      <c r="B1572" s="507" t="s">
        <v>4902</v>
      </c>
      <c r="C1572" s="506" t="s">
        <v>328</v>
      </c>
      <c r="D1572" s="508">
        <v>25260</v>
      </c>
      <c r="E1572" s="507" t="s">
        <v>6108</v>
      </c>
    </row>
    <row r="1573" spans="1:5" ht="15" x14ac:dyDescent="0.3">
      <c r="A1573" s="506">
        <v>9645</v>
      </c>
      <c r="B1573" s="507" t="s">
        <v>4903</v>
      </c>
      <c r="C1573" s="506" t="s">
        <v>32</v>
      </c>
      <c r="D1573" s="508">
        <v>81223</v>
      </c>
      <c r="E1573" s="507" t="s">
        <v>6108</v>
      </c>
    </row>
    <row r="1574" spans="1:5" ht="15" x14ac:dyDescent="0.3">
      <c r="A1574" s="506">
        <v>9646</v>
      </c>
      <c r="B1574" s="507" t="s">
        <v>4904</v>
      </c>
      <c r="C1574" s="506" t="s">
        <v>32</v>
      </c>
      <c r="D1574" s="508">
        <v>285600</v>
      </c>
      <c r="E1574" s="507" t="s">
        <v>6108</v>
      </c>
    </row>
    <row r="1575" spans="1:5" ht="15" x14ac:dyDescent="0.3">
      <c r="A1575" s="506">
        <v>9647</v>
      </c>
      <c r="B1575" s="507" t="s">
        <v>4905</v>
      </c>
      <c r="C1575" s="506" t="s">
        <v>32</v>
      </c>
      <c r="D1575" s="508">
        <v>930342</v>
      </c>
      <c r="E1575" s="507" t="s">
        <v>6108</v>
      </c>
    </row>
    <row r="1576" spans="1:5" ht="15" x14ac:dyDescent="0.3">
      <c r="A1576" s="506">
        <v>9648</v>
      </c>
      <c r="B1576" s="507" t="s">
        <v>4906</v>
      </c>
      <c r="C1576" s="506" t="s">
        <v>32</v>
      </c>
      <c r="D1576" s="508">
        <v>29750</v>
      </c>
      <c r="E1576" s="507" t="s">
        <v>6108</v>
      </c>
    </row>
    <row r="1577" spans="1:5" ht="15" x14ac:dyDescent="0.3">
      <c r="A1577" s="506">
        <v>9649</v>
      </c>
      <c r="B1577" s="507" t="s">
        <v>4907</v>
      </c>
      <c r="C1577" s="506" t="s">
        <v>3579</v>
      </c>
      <c r="D1577" s="508">
        <v>421313</v>
      </c>
      <c r="E1577" s="507" t="s">
        <v>6108</v>
      </c>
    </row>
    <row r="1578" spans="1:5" ht="15" x14ac:dyDescent="0.3">
      <c r="A1578" s="506">
        <v>9650</v>
      </c>
      <c r="B1578" s="507" t="s">
        <v>4908</v>
      </c>
      <c r="C1578" s="506" t="s">
        <v>670</v>
      </c>
      <c r="D1578" s="508">
        <v>5712</v>
      </c>
      <c r="E1578" s="507" t="s">
        <v>331</v>
      </c>
    </row>
    <row r="1579" spans="1:5" ht="15" x14ac:dyDescent="0.3">
      <c r="A1579" s="506">
        <v>9651</v>
      </c>
      <c r="B1579" s="507" t="s">
        <v>6324</v>
      </c>
      <c r="C1579" s="506" t="s">
        <v>670</v>
      </c>
      <c r="D1579" s="508">
        <v>21800</v>
      </c>
      <c r="E1579" s="507" t="s">
        <v>331</v>
      </c>
    </row>
    <row r="1580" spans="1:5" ht="15" x14ac:dyDescent="0.3">
      <c r="A1580" s="506">
        <v>9652</v>
      </c>
      <c r="B1580" s="507" t="s">
        <v>6325</v>
      </c>
      <c r="C1580" s="506" t="s">
        <v>670</v>
      </c>
      <c r="D1580" s="508">
        <v>19450</v>
      </c>
      <c r="E1580" s="507" t="s">
        <v>331</v>
      </c>
    </row>
    <row r="1581" spans="1:5" ht="15" x14ac:dyDescent="0.3">
      <c r="A1581" s="506">
        <v>9653</v>
      </c>
      <c r="B1581" s="507" t="s">
        <v>6326</v>
      </c>
      <c r="C1581" s="506" t="s">
        <v>670</v>
      </c>
      <c r="D1581" s="508">
        <v>21150</v>
      </c>
      <c r="E1581" s="507" t="s">
        <v>331</v>
      </c>
    </row>
    <row r="1582" spans="1:5" ht="15" x14ac:dyDescent="0.3">
      <c r="A1582" s="506">
        <v>9654</v>
      </c>
      <c r="B1582" s="507" t="s">
        <v>6327</v>
      </c>
      <c r="C1582" s="506" t="s">
        <v>670</v>
      </c>
      <c r="D1582" s="508">
        <v>18800</v>
      </c>
      <c r="E1582" s="507" t="s">
        <v>331</v>
      </c>
    </row>
    <row r="1583" spans="1:5" ht="15" x14ac:dyDescent="0.3">
      <c r="A1583" s="506">
        <v>9655</v>
      </c>
      <c r="B1583" s="507" t="s">
        <v>6328</v>
      </c>
      <c r="C1583" s="506" t="s">
        <v>670</v>
      </c>
      <c r="D1583" s="508">
        <v>18152</v>
      </c>
      <c r="E1583" s="507" t="s">
        <v>331</v>
      </c>
    </row>
    <row r="1584" spans="1:5" ht="15" x14ac:dyDescent="0.3">
      <c r="A1584" s="506">
        <v>9656</v>
      </c>
      <c r="B1584" s="507" t="s">
        <v>4909</v>
      </c>
      <c r="C1584" s="506" t="s">
        <v>21</v>
      </c>
      <c r="D1584" s="508">
        <v>14828</v>
      </c>
      <c r="E1584" s="507" t="s">
        <v>6108</v>
      </c>
    </row>
    <row r="1585" spans="1:5" ht="15" x14ac:dyDescent="0.3">
      <c r="A1585" s="506">
        <v>9663</v>
      </c>
      <c r="B1585" s="507" t="s">
        <v>4910</v>
      </c>
      <c r="C1585" s="506" t="s">
        <v>21</v>
      </c>
      <c r="D1585" s="508">
        <v>437215</v>
      </c>
      <c r="E1585" s="507" t="s">
        <v>6108</v>
      </c>
    </row>
    <row r="1586" spans="1:5" ht="15" x14ac:dyDescent="0.3">
      <c r="A1586" s="506">
        <v>9671</v>
      </c>
      <c r="B1586" s="507" t="s">
        <v>4911</v>
      </c>
      <c r="C1586" s="506" t="s">
        <v>30</v>
      </c>
      <c r="D1586" s="508">
        <v>917091</v>
      </c>
      <c r="E1586" s="507" t="s">
        <v>331</v>
      </c>
    </row>
    <row r="1587" spans="1:5" ht="15" x14ac:dyDescent="0.3">
      <c r="A1587" s="506">
        <v>9672</v>
      </c>
      <c r="B1587" s="507" t="s">
        <v>4912</v>
      </c>
      <c r="C1587" s="506" t="s">
        <v>30</v>
      </c>
      <c r="D1587" s="508">
        <v>911607</v>
      </c>
      <c r="E1587" s="507" t="s">
        <v>331</v>
      </c>
    </row>
    <row r="1588" spans="1:5" ht="15" x14ac:dyDescent="0.3">
      <c r="A1588" s="506">
        <v>9673</v>
      </c>
      <c r="B1588" s="507" t="s">
        <v>4913</v>
      </c>
      <c r="C1588" s="506" t="s">
        <v>30</v>
      </c>
      <c r="D1588" s="508">
        <v>840629</v>
      </c>
      <c r="E1588" s="507" t="s">
        <v>331</v>
      </c>
    </row>
    <row r="1589" spans="1:5" ht="15" x14ac:dyDescent="0.3">
      <c r="A1589" s="506">
        <v>9682</v>
      </c>
      <c r="B1589" s="507" t="s">
        <v>4914</v>
      </c>
      <c r="C1589" s="506" t="s">
        <v>3579</v>
      </c>
      <c r="D1589" s="508">
        <v>121231</v>
      </c>
      <c r="E1589" s="507" t="s">
        <v>6108</v>
      </c>
    </row>
    <row r="1590" spans="1:5" ht="15" x14ac:dyDescent="0.3">
      <c r="A1590" s="506">
        <v>9685</v>
      </c>
      <c r="B1590" s="507" t="s">
        <v>4915</v>
      </c>
      <c r="C1590" s="506" t="s">
        <v>328</v>
      </c>
      <c r="D1590" s="508">
        <v>74731</v>
      </c>
      <c r="E1590" s="507" t="s">
        <v>6108</v>
      </c>
    </row>
    <row r="1591" spans="1:5" ht="15" x14ac:dyDescent="0.3">
      <c r="A1591" s="506">
        <v>9686</v>
      </c>
      <c r="B1591" s="507" t="s">
        <v>4916</v>
      </c>
      <c r="C1591" s="506" t="s">
        <v>328</v>
      </c>
      <c r="D1591" s="508">
        <v>56923</v>
      </c>
      <c r="E1591" s="507" t="s">
        <v>6108</v>
      </c>
    </row>
    <row r="1592" spans="1:5" ht="15" x14ac:dyDescent="0.3">
      <c r="A1592" s="506">
        <v>9687</v>
      </c>
      <c r="B1592" s="507" t="s">
        <v>6329</v>
      </c>
      <c r="C1592" s="506" t="s">
        <v>32</v>
      </c>
      <c r="D1592" s="508">
        <v>6151</v>
      </c>
      <c r="E1592" s="507" t="s">
        <v>6108</v>
      </c>
    </row>
    <row r="1593" spans="1:5" ht="15" x14ac:dyDescent="0.3">
      <c r="A1593" s="506">
        <v>9688</v>
      </c>
      <c r="B1593" s="507" t="s">
        <v>4917</v>
      </c>
      <c r="C1593" s="506" t="s">
        <v>328</v>
      </c>
      <c r="D1593" s="508">
        <v>20270</v>
      </c>
      <c r="E1593" s="507" t="s">
        <v>6108</v>
      </c>
    </row>
    <row r="1594" spans="1:5" ht="15" x14ac:dyDescent="0.3">
      <c r="A1594" s="506">
        <v>9689</v>
      </c>
      <c r="B1594" s="507" t="s">
        <v>6330</v>
      </c>
      <c r="C1594" s="506" t="s">
        <v>32</v>
      </c>
      <c r="D1594" s="508">
        <v>2788</v>
      </c>
      <c r="E1594" s="507" t="s">
        <v>6108</v>
      </c>
    </row>
    <row r="1595" spans="1:5" ht="15" x14ac:dyDescent="0.3">
      <c r="A1595" s="506">
        <v>9690</v>
      </c>
      <c r="B1595" s="507" t="s">
        <v>4918</v>
      </c>
      <c r="C1595" s="506" t="s">
        <v>328</v>
      </c>
      <c r="D1595" s="508">
        <v>23717</v>
      </c>
      <c r="E1595" s="507" t="s">
        <v>6108</v>
      </c>
    </row>
    <row r="1596" spans="1:5" ht="15" x14ac:dyDescent="0.3">
      <c r="A1596" s="506">
        <v>9695</v>
      </c>
      <c r="B1596" s="507" t="s">
        <v>2248</v>
      </c>
      <c r="C1596" s="506" t="s">
        <v>670</v>
      </c>
      <c r="D1596" s="508">
        <v>595</v>
      </c>
      <c r="E1596" s="507" t="s">
        <v>331</v>
      </c>
    </row>
    <row r="1597" spans="1:5" ht="15" x14ac:dyDescent="0.3">
      <c r="A1597" s="506">
        <v>9696</v>
      </c>
      <c r="B1597" s="507" t="s">
        <v>2249</v>
      </c>
      <c r="C1597" s="506" t="s">
        <v>670</v>
      </c>
      <c r="D1597" s="508">
        <v>781</v>
      </c>
      <c r="E1597" s="507" t="s">
        <v>331</v>
      </c>
    </row>
    <row r="1598" spans="1:5" ht="15" x14ac:dyDescent="0.3">
      <c r="A1598" s="506">
        <v>9697</v>
      </c>
      <c r="B1598" s="507" t="s">
        <v>2250</v>
      </c>
      <c r="C1598" s="506" t="s">
        <v>670</v>
      </c>
      <c r="D1598" s="508">
        <v>901</v>
      </c>
      <c r="E1598" s="507" t="s">
        <v>331</v>
      </c>
    </row>
    <row r="1599" spans="1:5" ht="15" x14ac:dyDescent="0.3">
      <c r="A1599" s="506">
        <v>9698</v>
      </c>
      <c r="B1599" s="507" t="s">
        <v>4919</v>
      </c>
      <c r="C1599" s="506" t="s">
        <v>670</v>
      </c>
      <c r="D1599" s="508">
        <v>1022</v>
      </c>
      <c r="E1599" s="507" t="s">
        <v>331</v>
      </c>
    </row>
    <row r="1600" spans="1:5" ht="15" x14ac:dyDescent="0.3">
      <c r="A1600" s="506">
        <v>9699</v>
      </c>
      <c r="B1600" s="507" t="s">
        <v>4920</v>
      </c>
      <c r="C1600" s="506" t="s">
        <v>670</v>
      </c>
      <c r="D1600" s="508">
        <v>1384</v>
      </c>
      <c r="E1600" s="507" t="s">
        <v>331</v>
      </c>
    </row>
    <row r="1601" spans="1:5" ht="15" x14ac:dyDescent="0.3">
      <c r="A1601" s="506">
        <v>9700</v>
      </c>
      <c r="B1601" s="507" t="s">
        <v>4921</v>
      </c>
      <c r="C1601" s="506" t="s">
        <v>670</v>
      </c>
      <c r="D1601" s="508">
        <v>1442</v>
      </c>
      <c r="E1601" s="507" t="s">
        <v>331</v>
      </c>
    </row>
    <row r="1602" spans="1:5" ht="15" x14ac:dyDescent="0.3">
      <c r="A1602" s="506">
        <v>9701</v>
      </c>
      <c r="B1602" s="507" t="s">
        <v>4922</v>
      </c>
      <c r="C1602" s="506" t="s">
        <v>670</v>
      </c>
      <c r="D1602" s="508">
        <v>1616</v>
      </c>
      <c r="E1602" s="507" t="s">
        <v>331</v>
      </c>
    </row>
    <row r="1603" spans="1:5" ht="15" x14ac:dyDescent="0.3">
      <c r="A1603" s="506">
        <v>9704</v>
      </c>
      <c r="B1603" s="507" t="s">
        <v>6331</v>
      </c>
      <c r="C1603" s="506" t="s">
        <v>1455</v>
      </c>
      <c r="D1603" s="508">
        <v>250000</v>
      </c>
      <c r="E1603" s="507" t="s">
        <v>331</v>
      </c>
    </row>
    <row r="1604" spans="1:5" ht="15" x14ac:dyDescent="0.3">
      <c r="A1604" s="506">
        <v>9705</v>
      </c>
      <c r="B1604" s="507" t="s">
        <v>6332</v>
      </c>
      <c r="C1604" s="506" t="s">
        <v>1455</v>
      </c>
      <c r="D1604" s="508">
        <v>600000</v>
      </c>
      <c r="E1604" s="507" t="s">
        <v>331</v>
      </c>
    </row>
    <row r="1605" spans="1:5" ht="15" x14ac:dyDescent="0.3">
      <c r="A1605" s="506">
        <v>9706</v>
      </c>
      <c r="B1605" s="507" t="s">
        <v>6333</v>
      </c>
      <c r="C1605" s="506" t="s">
        <v>1455</v>
      </c>
      <c r="D1605" s="508">
        <v>1000000</v>
      </c>
      <c r="E1605" s="507" t="s">
        <v>331</v>
      </c>
    </row>
    <row r="1606" spans="1:5" ht="15" x14ac:dyDescent="0.3">
      <c r="A1606" s="506">
        <v>9707</v>
      </c>
      <c r="B1606" s="507" t="s">
        <v>6334</v>
      </c>
      <c r="C1606" s="506" t="s">
        <v>1455</v>
      </c>
      <c r="D1606" s="508">
        <v>1000000</v>
      </c>
      <c r="E1606" s="507" t="s">
        <v>331</v>
      </c>
    </row>
    <row r="1607" spans="1:5" ht="15" x14ac:dyDescent="0.3">
      <c r="A1607" s="506">
        <v>9708</v>
      </c>
      <c r="B1607" s="507" t="s">
        <v>6335</v>
      </c>
      <c r="C1607" s="506" t="s">
        <v>1455</v>
      </c>
      <c r="D1607" s="508">
        <v>1300000</v>
      </c>
      <c r="E1607" s="507" t="s">
        <v>331</v>
      </c>
    </row>
    <row r="1608" spans="1:5" ht="15" x14ac:dyDescent="0.3">
      <c r="A1608" s="506">
        <v>9709</v>
      </c>
      <c r="B1608" s="507" t="s">
        <v>4923</v>
      </c>
      <c r="C1608" s="506" t="s">
        <v>254</v>
      </c>
      <c r="D1608" s="508">
        <v>5043600</v>
      </c>
      <c r="E1608" s="507" t="s">
        <v>6109</v>
      </c>
    </row>
    <row r="1609" spans="1:5" ht="15" x14ac:dyDescent="0.3">
      <c r="A1609" s="506">
        <v>9710</v>
      </c>
      <c r="B1609" s="507" t="s">
        <v>4924</v>
      </c>
      <c r="C1609" s="506" t="s">
        <v>254</v>
      </c>
      <c r="D1609" s="508">
        <v>4468500</v>
      </c>
      <c r="E1609" s="507" t="s">
        <v>6109</v>
      </c>
    </row>
    <row r="1610" spans="1:5" ht="15" x14ac:dyDescent="0.3">
      <c r="A1610" s="506">
        <v>9711</v>
      </c>
      <c r="B1610" s="507" t="s">
        <v>4925</v>
      </c>
      <c r="C1610" s="506" t="s">
        <v>254</v>
      </c>
      <c r="D1610" s="508">
        <v>3303450</v>
      </c>
      <c r="E1610" s="507" t="s">
        <v>6109</v>
      </c>
    </row>
    <row r="1611" spans="1:5" ht="15" x14ac:dyDescent="0.3">
      <c r="A1611" s="506">
        <v>9712</v>
      </c>
      <c r="B1611" s="507" t="s">
        <v>4926</v>
      </c>
      <c r="C1611" s="506" t="s">
        <v>254</v>
      </c>
      <c r="D1611" s="508">
        <v>3126600</v>
      </c>
      <c r="E1611" s="507" t="s">
        <v>6109</v>
      </c>
    </row>
    <row r="1612" spans="1:5" ht="15" x14ac:dyDescent="0.3">
      <c r="A1612" s="506">
        <v>9713</v>
      </c>
      <c r="B1612" s="507" t="s">
        <v>4927</v>
      </c>
      <c r="C1612" s="506" t="s">
        <v>254</v>
      </c>
      <c r="D1612" s="508">
        <v>2724300</v>
      </c>
      <c r="E1612" s="507" t="s">
        <v>6109</v>
      </c>
    </row>
    <row r="1613" spans="1:5" ht="15" x14ac:dyDescent="0.3">
      <c r="A1613" s="506">
        <v>9714</v>
      </c>
      <c r="B1613" s="507" t="s">
        <v>4928</v>
      </c>
      <c r="C1613" s="506" t="s">
        <v>254</v>
      </c>
      <c r="D1613" s="508">
        <v>2363722</v>
      </c>
      <c r="E1613" s="507" t="s">
        <v>6109</v>
      </c>
    </row>
    <row r="1614" spans="1:5" ht="15" x14ac:dyDescent="0.3">
      <c r="A1614" s="506">
        <v>9715</v>
      </c>
      <c r="B1614" s="507" t="s">
        <v>4929</v>
      </c>
      <c r="C1614" s="506" t="s">
        <v>254</v>
      </c>
      <c r="D1614" s="508">
        <v>6058800</v>
      </c>
      <c r="E1614" s="507" t="s">
        <v>6109</v>
      </c>
    </row>
    <row r="1615" spans="1:5" ht="15" x14ac:dyDescent="0.3">
      <c r="A1615" s="506">
        <v>9720</v>
      </c>
      <c r="B1615" s="507" t="s">
        <v>6336</v>
      </c>
      <c r="C1615" s="506" t="s">
        <v>32</v>
      </c>
      <c r="D1615" s="508">
        <v>19278</v>
      </c>
      <c r="E1615" s="507" t="s">
        <v>6108</v>
      </c>
    </row>
    <row r="1616" spans="1:5" ht="15" x14ac:dyDescent="0.3">
      <c r="A1616" s="506">
        <v>9723</v>
      </c>
      <c r="B1616" s="507" t="s">
        <v>4930</v>
      </c>
      <c r="C1616" s="506" t="s">
        <v>3596</v>
      </c>
      <c r="D1616" s="508">
        <v>31999</v>
      </c>
      <c r="E1616" s="507" t="s">
        <v>331</v>
      </c>
    </row>
    <row r="1617" spans="1:5" ht="15" x14ac:dyDescent="0.3">
      <c r="A1617" s="506">
        <v>9724</v>
      </c>
      <c r="B1617" s="507" t="s">
        <v>4931</v>
      </c>
      <c r="C1617" s="506" t="s">
        <v>307</v>
      </c>
      <c r="D1617" s="508">
        <v>124818</v>
      </c>
      <c r="E1617" s="507" t="s">
        <v>6108</v>
      </c>
    </row>
    <row r="1618" spans="1:5" ht="15" x14ac:dyDescent="0.3">
      <c r="A1618" s="506">
        <v>9725</v>
      </c>
      <c r="B1618" s="507" t="s">
        <v>4932</v>
      </c>
      <c r="C1618" s="506" t="s">
        <v>307</v>
      </c>
      <c r="D1618" s="508">
        <v>97962</v>
      </c>
      <c r="E1618" s="507" t="s">
        <v>6108</v>
      </c>
    </row>
    <row r="1619" spans="1:5" ht="15" x14ac:dyDescent="0.3">
      <c r="A1619" s="506">
        <v>9726</v>
      </c>
      <c r="B1619" s="507" t="s">
        <v>4933</v>
      </c>
      <c r="C1619" s="506" t="s">
        <v>3596</v>
      </c>
      <c r="D1619" s="508">
        <v>35000</v>
      </c>
      <c r="E1619" s="507" t="s">
        <v>6108</v>
      </c>
    </row>
    <row r="1620" spans="1:5" ht="15" x14ac:dyDescent="0.3">
      <c r="A1620" s="506">
        <v>9727</v>
      </c>
      <c r="B1620" s="507" t="s">
        <v>4934</v>
      </c>
      <c r="C1620" s="506" t="s">
        <v>3582</v>
      </c>
      <c r="D1620" s="508">
        <v>126090</v>
      </c>
      <c r="E1620" s="507" t="s">
        <v>6108</v>
      </c>
    </row>
    <row r="1621" spans="1:5" ht="15" x14ac:dyDescent="0.3">
      <c r="A1621" s="506">
        <v>9728</v>
      </c>
      <c r="B1621" s="507" t="s">
        <v>4935</v>
      </c>
      <c r="C1621" s="506" t="s">
        <v>32</v>
      </c>
      <c r="D1621" s="508">
        <v>3857504</v>
      </c>
      <c r="E1621" s="507" t="s">
        <v>6108</v>
      </c>
    </row>
    <row r="1622" spans="1:5" ht="15" x14ac:dyDescent="0.3">
      <c r="A1622" s="506">
        <v>9733</v>
      </c>
      <c r="B1622" s="507" t="s">
        <v>4936</v>
      </c>
      <c r="C1622" s="506" t="s">
        <v>32</v>
      </c>
      <c r="D1622" s="508">
        <v>117641</v>
      </c>
      <c r="E1622" s="507" t="s">
        <v>331</v>
      </c>
    </row>
    <row r="1623" spans="1:5" ht="15" x14ac:dyDescent="0.3">
      <c r="A1623" s="506">
        <v>9736</v>
      </c>
      <c r="B1623" s="507" t="s">
        <v>4937</v>
      </c>
      <c r="C1623" s="506" t="s">
        <v>328</v>
      </c>
      <c r="D1623" s="508">
        <v>733303</v>
      </c>
      <c r="E1623" s="507" t="s">
        <v>6108</v>
      </c>
    </row>
    <row r="1624" spans="1:5" ht="15" x14ac:dyDescent="0.3">
      <c r="A1624" s="506">
        <v>9743</v>
      </c>
      <c r="B1624" s="507" t="s">
        <v>4938</v>
      </c>
      <c r="C1624" s="506" t="s">
        <v>2192</v>
      </c>
      <c r="D1624" s="508">
        <v>595000</v>
      </c>
      <c r="E1624" s="507" t="s">
        <v>6108</v>
      </c>
    </row>
    <row r="1625" spans="1:5" ht="15" x14ac:dyDescent="0.3">
      <c r="A1625" s="506">
        <v>9744</v>
      </c>
      <c r="B1625" s="507" t="s">
        <v>4939</v>
      </c>
      <c r="C1625" s="506" t="s">
        <v>2192</v>
      </c>
      <c r="D1625" s="508">
        <v>714000</v>
      </c>
      <c r="E1625" s="507" t="s">
        <v>6108</v>
      </c>
    </row>
    <row r="1626" spans="1:5" ht="15" x14ac:dyDescent="0.3">
      <c r="A1626" s="506">
        <v>9745</v>
      </c>
      <c r="B1626" s="507" t="s">
        <v>2916</v>
      </c>
      <c r="C1626" s="506" t="s">
        <v>2192</v>
      </c>
      <c r="D1626" s="508">
        <v>833000</v>
      </c>
      <c r="E1626" s="507" t="s">
        <v>6108</v>
      </c>
    </row>
    <row r="1627" spans="1:5" ht="15" x14ac:dyDescent="0.3">
      <c r="A1627" s="506">
        <v>9746</v>
      </c>
      <c r="B1627" s="507" t="s">
        <v>4940</v>
      </c>
      <c r="C1627" s="506" t="s">
        <v>2192</v>
      </c>
      <c r="D1627" s="508">
        <v>952000</v>
      </c>
      <c r="E1627" s="507" t="s">
        <v>6108</v>
      </c>
    </row>
    <row r="1628" spans="1:5" ht="15" x14ac:dyDescent="0.3">
      <c r="A1628" s="506">
        <v>9747</v>
      </c>
      <c r="B1628" s="507" t="s">
        <v>4941</v>
      </c>
      <c r="C1628" s="506" t="s">
        <v>30</v>
      </c>
      <c r="D1628" s="508">
        <v>71400</v>
      </c>
      <c r="E1628" s="507" t="s">
        <v>331</v>
      </c>
    </row>
    <row r="1629" spans="1:5" ht="15" x14ac:dyDescent="0.3">
      <c r="A1629" s="506">
        <v>9752</v>
      </c>
      <c r="B1629" s="507" t="s">
        <v>4942</v>
      </c>
      <c r="C1629" s="506" t="s">
        <v>979</v>
      </c>
      <c r="D1629" s="508">
        <v>10621</v>
      </c>
      <c r="E1629" s="507" t="s">
        <v>6108</v>
      </c>
    </row>
    <row r="1630" spans="1:5" ht="15" x14ac:dyDescent="0.3">
      <c r="A1630" s="506">
        <v>9754</v>
      </c>
      <c r="B1630" s="507" t="s">
        <v>4943</v>
      </c>
      <c r="C1630" s="506" t="s">
        <v>3579</v>
      </c>
      <c r="D1630" s="508">
        <v>95000</v>
      </c>
      <c r="E1630" s="507" t="s">
        <v>6108</v>
      </c>
    </row>
    <row r="1631" spans="1:5" ht="15" x14ac:dyDescent="0.3">
      <c r="A1631" s="506">
        <v>9764</v>
      </c>
      <c r="B1631" s="507" t="s">
        <v>4944</v>
      </c>
      <c r="C1631" s="506" t="s">
        <v>328</v>
      </c>
      <c r="D1631" s="508">
        <v>121359</v>
      </c>
      <c r="E1631" s="507" t="s">
        <v>6108</v>
      </c>
    </row>
    <row r="1632" spans="1:5" ht="15" x14ac:dyDescent="0.3">
      <c r="A1632" s="506">
        <v>9765</v>
      </c>
      <c r="B1632" s="507" t="s">
        <v>4945</v>
      </c>
      <c r="C1632" s="506" t="s">
        <v>328</v>
      </c>
      <c r="D1632" s="508">
        <v>526467</v>
      </c>
      <c r="E1632" s="507" t="s">
        <v>6108</v>
      </c>
    </row>
    <row r="1633" spans="1:5" ht="15" x14ac:dyDescent="0.3">
      <c r="A1633" s="506">
        <v>9766</v>
      </c>
      <c r="B1633" s="507" t="s">
        <v>4946</v>
      </c>
      <c r="C1633" s="506" t="s">
        <v>32</v>
      </c>
      <c r="D1633" s="508">
        <v>130305</v>
      </c>
      <c r="E1633" s="507" t="s">
        <v>6108</v>
      </c>
    </row>
    <row r="1634" spans="1:5" ht="15" x14ac:dyDescent="0.3">
      <c r="A1634" s="506">
        <v>9767</v>
      </c>
      <c r="B1634" s="507" t="s">
        <v>4947</v>
      </c>
      <c r="C1634" s="506" t="s">
        <v>32</v>
      </c>
      <c r="D1634" s="508">
        <v>243850</v>
      </c>
      <c r="E1634" s="507" t="s">
        <v>6108</v>
      </c>
    </row>
    <row r="1635" spans="1:5" ht="15" x14ac:dyDescent="0.3">
      <c r="A1635" s="506">
        <v>9768</v>
      </c>
      <c r="B1635" s="507" t="s">
        <v>4948</v>
      </c>
      <c r="C1635" s="506" t="s">
        <v>32</v>
      </c>
      <c r="D1635" s="508">
        <v>103530</v>
      </c>
      <c r="E1635" s="507" t="s">
        <v>331</v>
      </c>
    </row>
    <row r="1636" spans="1:5" ht="15" x14ac:dyDescent="0.3">
      <c r="A1636" s="506">
        <v>9774</v>
      </c>
      <c r="B1636" s="507" t="s">
        <v>4949</v>
      </c>
      <c r="C1636" s="506" t="s">
        <v>32</v>
      </c>
      <c r="D1636" s="508">
        <v>366020</v>
      </c>
      <c r="E1636" s="507" t="s">
        <v>6108</v>
      </c>
    </row>
    <row r="1637" spans="1:5" ht="15" x14ac:dyDescent="0.3">
      <c r="A1637" s="506">
        <v>9775</v>
      </c>
      <c r="B1637" s="507" t="s">
        <v>4950</v>
      </c>
      <c r="C1637" s="506" t="s">
        <v>32</v>
      </c>
      <c r="D1637" s="508">
        <v>162956</v>
      </c>
      <c r="E1637" s="507" t="s">
        <v>6108</v>
      </c>
    </row>
    <row r="1638" spans="1:5" ht="15" x14ac:dyDescent="0.3">
      <c r="A1638" s="506">
        <v>9789</v>
      </c>
      <c r="B1638" s="507" t="s">
        <v>4951</v>
      </c>
      <c r="C1638" s="506" t="s">
        <v>32</v>
      </c>
      <c r="D1638" s="508">
        <v>7864390</v>
      </c>
      <c r="E1638" s="507" t="s">
        <v>6108</v>
      </c>
    </row>
    <row r="1639" spans="1:5" ht="15" x14ac:dyDescent="0.3">
      <c r="A1639" s="506">
        <v>9790</v>
      </c>
      <c r="B1639" s="507" t="s">
        <v>4952</v>
      </c>
      <c r="C1639" s="506" t="s">
        <v>32</v>
      </c>
      <c r="D1639" s="508">
        <v>1174162</v>
      </c>
      <c r="E1639" s="507" t="s">
        <v>6108</v>
      </c>
    </row>
    <row r="1640" spans="1:5" ht="15" x14ac:dyDescent="0.3">
      <c r="A1640" s="506">
        <v>9791</v>
      </c>
      <c r="B1640" s="507" t="s">
        <v>4953</v>
      </c>
      <c r="C1640" s="506" t="s">
        <v>32</v>
      </c>
      <c r="D1640" s="508">
        <v>763033</v>
      </c>
      <c r="E1640" s="507" t="s">
        <v>6108</v>
      </c>
    </row>
    <row r="1641" spans="1:5" ht="15" x14ac:dyDescent="0.3">
      <c r="A1641" s="506">
        <v>9792</v>
      </c>
      <c r="B1641" s="507" t="s">
        <v>4954</v>
      </c>
      <c r="C1641" s="506" t="s">
        <v>32</v>
      </c>
      <c r="D1641" s="508">
        <v>666599</v>
      </c>
      <c r="E1641" s="507" t="s">
        <v>6108</v>
      </c>
    </row>
    <row r="1642" spans="1:5" ht="15" x14ac:dyDescent="0.3">
      <c r="A1642" s="506">
        <v>9796</v>
      </c>
      <c r="B1642" s="507" t="s">
        <v>4955</v>
      </c>
      <c r="C1642" s="506" t="s">
        <v>32</v>
      </c>
      <c r="D1642" s="508">
        <v>7864390</v>
      </c>
      <c r="E1642" s="507" t="s">
        <v>6108</v>
      </c>
    </row>
    <row r="1643" spans="1:5" ht="15" x14ac:dyDescent="0.3">
      <c r="A1643" s="506">
        <v>9797</v>
      </c>
      <c r="B1643" s="507" t="s">
        <v>4956</v>
      </c>
      <c r="C1643" s="506" t="s">
        <v>32</v>
      </c>
      <c r="D1643" s="508">
        <v>8944501</v>
      </c>
      <c r="E1643" s="507" t="s">
        <v>6108</v>
      </c>
    </row>
    <row r="1644" spans="1:5" ht="15" x14ac:dyDescent="0.3">
      <c r="A1644" s="506">
        <v>9798</v>
      </c>
      <c r="B1644" s="507" t="s">
        <v>4957</v>
      </c>
      <c r="C1644" s="506" t="s">
        <v>32</v>
      </c>
      <c r="D1644" s="508">
        <v>4934132</v>
      </c>
      <c r="E1644" s="507" t="s">
        <v>6108</v>
      </c>
    </row>
    <row r="1645" spans="1:5" ht="15" x14ac:dyDescent="0.3">
      <c r="A1645" s="506">
        <v>9799</v>
      </c>
      <c r="B1645" s="507" t="s">
        <v>4958</v>
      </c>
      <c r="C1645" s="506" t="s">
        <v>32</v>
      </c>
      <c r="D1645" s="508">
        <v>614360</v>
      </c>
      <c r="E1645" s="507" t="s">
        <v>6108</v>
      </c>
    </row>
    <row r="1646" spans="1:5" ht="15" x14ac:dyDescent="0.3">
      <c r="A1646" s="506">
        <v>9800</v>
      </c>
      <c r="B1646" s="507" t="s">
        <v>4959</v>
      </c>
      <c r="C1646" s="506" t="s">
        <v>32</v>
      </c>
      <c r="D1646" s="508">
        <v>719958</v>
      </c>
      <c r="E1646" s="507" t="s">
        <v>6108</v>
      </c>
    </row>
    <row r="1647" spans="1:5" ht="15" x14ac:dyDescent="0.3">
      <c r="A1647" s="506">
        <v>9801</v>
      </c>
      <c r="B1647" s="507" t="s">
        <v>4960</v>
      </c>
      <c r="C1647" s="506" t="s">
        <v>32</v>
      </c>
      <c r="D1647" s="508">
        <v>752845</v>
      </c>
      <c r="E1647" s="507" t="s">
        <v>6108</v>
      </c>
    </row>
    <row r="1648" spans="1:5" ht="15" x14ac:dyDescent="0.3">
      <c r="A1648" s="506">
        <v>9802</v>
      </c>
      <c r="B1648" s="507" t="s">
        <v>4961</v>
      </c>
      <c r="C1648" s="506" t="s">
        <v>32</v>
      </c>
      <c r="D1648" s="508">
        <v>719958</v>
      </c>
      <c r="E1648" s="507" t="s">
        <v>6108</v>
      </c>
    </row>
    <row r="1649" spans="1:5" ht="15" x14ac:dyDescent="0.3">
      <c r="A1649" s="506">
        <v>9804</v>
      </c>
      <c r="B1649" s="507" t="s">
        <v>4962</v>
      </c>
      <c r="C1649" s="506" t="s">
        <v>32</v>
      </c>
      <c r="D1649" s="508">
        <v>691652</v>
      </c>
      <c r="E1649" s="507" t="s">
        <v>6108</v>
      </c>
    </row>
    <row r="1650" spans="1:5" ht="15" x14ac:dyDescent="0.3">
      <c r="A1650" s="506">
        <v>9813</v>
      </c>
      <c r="B1650" s="507" t="s">
        <v>4963</v>
      </c>
      <c r="C1650" s="506" t="s">
        <v>21</v>
      </c>
      <c r="D1650" s="508">
        <v>256474</v>
      </c>
      <c r="E1650" s="507" t="s">
        <v>6108</v>
      </c>
    </row>
    <row r="1651" spans="1:5" ht="15" x14ac:dyDescent="0.3">
      <c r="A1651" s="506">
        <v>9819</v>
      </c>
      <c r="B1651" s="507" t="s">
        <v>4964</v>
      </c>
      <c r="C1651" s="506" t="s">
        <v>32</v>
      </c>
      <c r="D1651" s="508">
        <v>1785000</v>
      </c>
      <c r="E1651" s="507" t="s">
        <v>6108</v>
      </c>
    </row>
    <row r="1652" spans="1:5" ht="15" x14ac:dyDescent="0.3">
      <c r="A1652" s="506">
        <v>9822</v>
      </c>
      <c r="B1652" s="507" t="s">
        <v>4965</v>
      </c>
      <c r="C1652" s="506" t="s">
        <v>3579</v>
      </c>
      <c r="D1652" s="508">
        <v>549900</v>
      </c>
      <c r="E1652" s="507" t="s">
        <v>6108</v>
      </c>
    </row>
    <row r="1653" spans="1:5" ht="15" x14ac:dyDescent="0.3">
      <c r="A1653" s="506">
        <v>9828</v>
      </c>
      <c r="B1653" s="507" t="s">
        <v>4966</v>
      </c>
      <c r="C1653" s="506" t="s">
        <v>30</v>
      </c>
      <c r="D1653" s="508">
        <v>1181085</v>
      </c>
      <c r="E1653" s="507" t="s">
        <v>331</v>
      </c>
    </row>
    <row r="1654" spans="1:5" ht="15" x14ac:dyDescent="0.3">
      <c r="A1654" s="506">
        <v>9832</v>
      </c>
      <c r="B1654" s="507" t="s">
        <v>4967</v>
      </c>
      <c r="C1654" s="506" t="s">
        <v>32</v>
      </c>
      <c r="D1654" s="508">
        <v>143967</v>
      </c>
      <c r="E1654" s="507" t="s">
        <v>6108</v>
      </c>
    </row>
    <row r="1655" spans="1:5" ht="15" x14ac:dyDescent="0.3">
      <c r="A1655" s="506">
        <v>9833</v>
      </c>
      <c r="B1655" s="507" t="s">
        <v>4968</v>
      </c>
      <c r="C1655" s="506" t="s">
        <v>979</v>
      </c>
      <c r="D1655" s="508">
        <v>20454</v>
      </c>
      <c r="E1655" s="507" t="s">
        <v>6109</v>
      </c>
    </row>
    <row r="1656" spans="1:5" ht="15" x14ac:dyDescent="0.3">
      <c r="A1656" s="506">
        <v>9834</v>
      </c>
      <c r="B1656" s="507" t="s">
        <v>4969</v>
      </c>
      <c r="C1656" s="506" t="s">
        <v>254</v>
      </c>
      <c r="D1656" s="508">
        <v>131990</v>
      </c>
      <c r="E1656" s="507" t="s">
        <v>6109</v>
      </c>
    </row>
    <row r="1657" spans="1:5" ht="15" x14ac:dyDescent="0.3">
      <c r="A1657" s="506">
        <v>9835</v>
      </c>
      <c r="B1657" s="507" t="s">
        <v>4970</v>
      </c>
      <c r="C1657" s="506" t="s">
        <v>254</v>
      </c>
      <c r="D1657" s="508">
        <v>131990</v>
      </c>
      <c r="E1657" s="507" t="s">
        <v>6109</v>
      </c>
    </row>
    <row r="1658" spans="1:5" ht="15" x14ac:dyDescent="0.3">
      <c r="A1658" s="506">
        <v>9836</v>
      </c>
      <c r="B1658" s="507" t="s">
        <v>4971</v>
      </c>
      <c r="C1658" s="506" t="s">
        <v>254</v>
      </c>
      <c r="D1658" s="508">
        <v>131990</v>
      </c>
      <c r="E1658" s="507" t="s">
        <v>6109</v>
      </c>
    </row>
    <row r="1659" spans="1:5" ht="15" x14ac:dyDescent="0.3">
      <c r="A1659" s="506">
        <v>9837</v>
      </c>
      <c r="B1659" s="507" t="s">
        <v>4972</v>
      </c>
      <c r="C1659" s="506" t="s">
        <v>254</v>
      </c>
      <c r="D1659" s="508">
        <v>131990</v>
      </c>
      <c r="E1659" s="507" t="s">
        <v>6109</v>
      </c>
    </row>
    <row r="1660" spans="1:5" ht="15" x14ac:dyDescent="0.3">
      <c r="A1660" s="506">
        <v>9838</v>
      </c>
      <c r="B1660" s="507" t="s">
        <v>4973</v>
      </c>
      <c r="C1660" s="506" t="s">
        <v>254</v>
      </c>
      <c r="D1660" s="508">
        <v>131990</v>
      </c>
      <c r="E1660" s="507" t="s">
        <v>6109</v>
      </c>
    </row>
    <row r="1661" spans="1:5" ht="15" x14ac:dyDescent="0.3">
      <c r="A1661" s="506">
        <v>9839</v>
      </c>
      <c r="B1661" s="507" t="s">
        <v>4974</v>
      </c>
      <c r="C1661" s="506" t="s">
        <v>32</v>
      </c>
      <c r="D1661" s="508">
        <v>13531</v>
      </c>
      <c r="E1661" s="507" t="s">
        <v>6109</v>
      </c>
    </row>
    <row r="1662" spans="1:5" ht="15" x14ac:dyDescent="0.3">
      <c r="A1662" s="506">
        <v>9840</v>
      </c>
      <c r="B1662" s="507" t="s">
        <v>4975</v>
      </c>
      <c r="C1662" s="506" t="s">
        <v>307</v>
      </c>
      <c r="D1662" s="508">
        <v>264000</v>
      </c>
      <c r="E1662" s="507" t="s">
        <v>6109</v>
      </c>
    </row>
    <row r="1663" spans="1:5" ht="15" x14ac:dyDescent="0.3">
      <c r="A1663" s="506">
        <v>9842</v>
      </c>
      <c r="B1663" s="507" t="s">
        <v>4976</v>
      </c>
      <c r="C1663" s="506" t="s">
        <v>21</v>
      </c>
      <c r="D1663" s="508">
        <v>344300</v>
      </c>
      <c r="E1663" s="507" t="s">
        <v>6108</v>
      </c>
    </row>
    <row r="1664" spans="1:5" ht="15" x14ac:dyDescent="0.3">
      <c r="A1664" s="506">
        <v>9845</v>
      </c>
      <c r="B1664" s="507" t="s">
        <v>4977</v>
      </c>
      <c r="C1664" s="506" t="s">
        <v>32</v>
      </c>
      <c r="D1664" s="508">
        <v>198487</v>
      </c>
      <c r="E1664" s="507" t="s">
        <v>6108</v>
      </c>
    </row>
    <row r="1665" spans="1:5" ht="15" x14ac:dyDescent="0.3">
      <c r="A1665" s="506">
        <v>9846</v>
      </c>
      <c r="B1665" s="507" t="s">
        <v>4978</v>
      </c>
      <c r="C1665" s="506" t="s">
        <v>32</v>
      </c>
      <c r="D1665" s="508">
        <v>59500</v>
      </c>
      <c r="E1665" s="507" t="s">
        <v>6108</v>
      </c>
    </row>
    <row r="1666" spans="1:5" ht="15" x14ac:dyDescent="0.3">
      <c r="A1666" s="506">
        <v>9847</v>
      </c>
      <c r="B1666" s="507" t="s">
        <v>4979</v>
      </c>
      <c r="C1666" s="506" t="s">
        <v>32</v>
      </c>
      <c r="D1666" s="508">
        <v>59500</v>
      </c>
      <c r="E1666" s="507" t="s">
        <v>6108</v>
      </c>
    </row>
    <row r="1667" spans="1:5" ht="15" x14ac:dyDescent="0.3">
      <c r="A1667" s="506">
        <v>9848</v>
      </c>
      <c r="B1667" s="507" t="s">
        <v>4980</v>
      </c>
      <c r="C1667" s="506" t="s">
        <v>32</v>
      </c>
      <c r="D1667" s="508">
        <v>57239</v>
      </c>
      <c r="E1667" s="507" t="s">
        <v>6108</v>
      </c>
    </row>
    <row r="1668" spans="1:5" ht="15" x14ac:dyDescent="0.3">
      <c r="A1668" s="506">
        <v>9849</v>
      </c>
      <c r="B1668" s="507" t="s">
        <v>4981</v>
      </c>
      <c r="C1668" s="506" t="s">
        <v>32</v>
      </c>
      <c r="D1668" s="508">
        <v>57239</v>
      </c>
      <c r="E1668" s="507" t="s">
        <v>6108</v>
      </c>
    </row>
    <row r="1669" spans="1:5" ht="15" x14ac:dyDescent="0.3">
      <c r="A1669" s="506">
        <v>9850</v>
      </c>
      <c r="B1669" s="507" t="s">
        <v>4982</v>
      </c>
      <c r="C1669" s="506" t="s">
        <v>32</v>
      </c>
      <c r="D1669" s="508">
        <v>59500</v>
      </c>
      <c r="E1669" s="507" t="s">
        <v>6108</v>
      </c>
    </row>
    <row r="1670" spans="1:5" ht="15" x14ac:dyDescent="0.3">
      <c r="A1670" s="506">
        <v>9851</v>
      </c>
      <c r="B1670" s="507" t="s">
        <v>4983</v>
      </c>
      <c r="C1670" s="506" t="s">
        <v>32</v>
      </c>
      <c r="D1670" s="508">
        <v>59500</v>
      </c>
      <c r="E1670" s="507" t="s">
        <v>6108</v>
      </c>
    </row>
    <row r="1671" spans="1:5" ht="15" x14ac:dyDescent="0.3">
      <c r="A1671" s="506">
        <v>9852</v>
      </c>
      <c r="B1671" s="507" t="s">
        <v>4984</v>
      </c>
      <c r="C1671" s="506" t="s">
        <v>32</v>
      </c>
      <c r="D1671" s="508">
        <v>59500</v>
      </c>
      <c r="E1671" s="507" t="s">
        <v>6108</v>
      </c>
    </row>
    <row r="1672" spans="1:5" ht="15" x14ac:dyDescent="0.3">
      <c r="A1672" s="506">
        <v>9853</v>
      </c>
      <c r="B1672" s="507" t="s">
        <v>4985</v>
      </c>
      <c r="C1672" s="506" t="s">
        <v>32</v>
      </c>
      <c r="D1672" s="508">
        <v>57239</v>
      </c>
      <c r="E1672" s="507" t="s">
        <v>6108</v>
      </c>
    </row>
    <row r="1673" spans="1:5" ht="15" x14ac:dyDescent="0.3">
      <c r="A1673" s="506">
        <v>9854</v>
      </c>
      <c r="B1673" s="507" t="s">
        <v>4986</v>
      </c>
      <c r="C1673" s="506" t="s">
        <v>32</v>
      </c>
      <c r="D1673" s="508">
        <v>59500</v>
      </c>
      <c r="E1673" s="507" t="s">
        <v>6108</v>
      </c>
    </row>
    <row r="1674" spans="1:5" ht="15" x14ac:dyDescent="0.3">
      <c r="A1674" s="506">
        <v>9855</v>
      </c>
      <c r="B1674" s="507" t="s">
        <v>4987</v>
      </c>
      <c r="C1674" s="506" t="s">
        <v>32</v>
      </c>
      <c r="D1674" s="508">
        <v>57239</v>
      </c>
      <c r="E1674" s="507" t="s">
        <v>6108</v>
      </c>
    </row>
    <row r="1675" spans="1:5" ht="15" x14ac:dyDescent="0.3">
      <c r="A1675" s="506">
        <v>9856</v>
      </c>
      <c r="B1675" s="507" t="s">
        <v>4988</v>
      </c>
      <c r="C1675" s="506" t="s">
        <v>32</v>
      </c>
      <c r="D1675" s="508">
        <v>59500</v>
      </c>
      <c r="E1675" s="507" t="s">
        <v>6108</v>
      </c>
    </row>
    <row r="1676" spans="1:5" ht="15" x14ac:dyDescent="0.3">
      <c r="A1676" s="506">
        <v>9857</v>
      </c>
      <c r="B1676" s="507" t="s">
        <v>4989</v>
      </c>
      <c r="C1676" s="506" t="s">
        <v>32</v>
      </c>
      <c r="D1676" s="508">
        <v>71554</v>
      </c>
      <c r="E1676" s="507" t="s">
        <v>6108</v>
      </c>
    </row>
    <row r="1677" spans="1:5" ht="15" x14ac:dyDescent="0.3">
      <c r="A1677" s="506">
        <v>9860</v>
      </c>
      <c r="B1677" s="507" t="s">
        <v>4990</v>
      </c>
      <c r="C1677" s="506" t="s">
        <v>32</v>
      </c>
      <c r="D1677" s="508">
        <v>364030</v>
      </c>
      <c r="E1677" s="507" t="s">
        <v>6108</v>
      </c>
    </row>
    <row r="1678" spans="1:5" ht="15" x14ac:dyDescent="0.3">
      <c r="A1678" s="506">
        <v>9861</v>
      </c>
      <c r="B1678" s="507" t="s">
        <v>4991</v>
      </c>
      <c r="C1678" s="506" t="s">
        <v>32</v>
      </c>
      <c r="D1678" s="508">
        <v>385479</v>
      </c>
      <c r="E1678" s="507" t="s">
        <v>6108</v>
      </c>
    </row>
    <row r="1679" spans="1:5" ht="15" x14ac:dyDescent="0.3">
      <c r="A1679" s="506">
        <v>9862</v>
      </c>
      <c r="B1679" s="507" t="s">
        <v>4992</v>
      </c>
      <c r="C1679" s="506" t="s">
        <v>32</v>
      </c>
      <c r="D1679" s="508">
        <v>328440</v>
      </c>
      <c r="E1679" s="507" t="s">
        <v>6108</v>
      </c>
    </row>
    <row r="1680" spans="1:5" ht="15" x14ac:dyDescent="0.3">
      <c r="A1680" s="506">
        <v>9864</v>
      </c>
      <c r="B1680" s="507" t="s">
        <v>4993</v>
      </c>
      <c r="C1680" s="506" t="s">
        <v>32</v>
      </c>
      <c r="D1680" s="508">
        <v>474000</v>
      </c>
      <c r="E1680" s="507" t="s">
        <v>6108</v>
      </c>
    </row>
    <row r="1681" spans="1:5" ht="15" x14ac:dyDescent="0.3">
      <c r="A1681" s="506">
        <v>9869</v>
      </c>
      <c r="B1681" s="507" t="s">
        <v>4994</v>
      </c>
      <c r="C1681" s="506" t="s">
        <v>32</v>
      </c>
      <c r="D1681" s="508">
        <v>1130500</v>
      </c>
      <c r="E1681" s="507" t="s">
        <v>6108</v>
      </c>
    </row>
    <row r="1682" spans="1:5" ht="15" x14ac:dyDescent="0.3">
      <c r="A1682" s="506">
        <v>9873</v>
      </c>
      <c r="B1682" s="507" t="s">
        <v>4995</v>
      </c>
      <c r="C1682" s="506" t="s">
        <v>32</v>
      </c>
      <c r="D1682" s="508">
        <v>452914</v>
      </c>
      <c r="E1682" s="507" t="s">
        <v>6108</v>
      </c>
    </row>
    <row r="1683" spans="1:5" ht="15" x14ac:dyDescent="0.3">
      <c r="A1683" s="506">
        <v>9879</v>
      </c>
      <c r="B1683" s="507" t="s">
        <v>4996</v>
      </c>
      <c r="C1683" s="506" t="s">
        <v>32</v>
      </c>
      <c r="D1683" s="508">
        <v>9747</v>
      </c>
      <c r="E1683" s="507" t="s">
        <v>6108</v>
      </c>
    </row>
    <row r="1684" spans="1:5" ht="15" x14ac:dyDescent="0.3">
      <c r="A1684" s="506">
        <v>9880</v>
      </c>
      <c r="B1684" s="507" t="s">
        <v>4997</v>
      </c>
      <c r="C1684" s="506" t="s">
        <v>32</v>
      </c>
      <c r="D1684" s="508">
        <v>4695</v>
      </c>
      <c r="E1684" s="507" t="s">
        <v>6108</v>
      </c>
    </row>
    <row r="1685" spans="1:5" ht="15" x14ac:dyDescent="0.3">
      <c r="A1685" s="506">
        <v>9881</v>
      </c>
      <c r="B1685" s="507" t="s">
        <v>4998</v>
      </c>
      <c r="C1685" s="506" t="s">
        <v>32</v>
      </c>
      <c r="D1685" s="508">
        <v>50126</v>
      </c>
      <c r="E1685" s="507" t="s">
        <v>6108</v>
      </c>
    </row>
    <row r="1686" spans="1:5" ht="15" x14ac:dyDescent="0.3">
      <c r="A1686" s="506">
        <v>9882</v>
      </c>
      <c r="B1686" s="507" t="s">
        <v>4999</v>
      </c>
      <c r="C1686" s="506" t="s">
        <v>32</v>
      </c>
      <c r="D1686" s="508">
        <v>50126</v>
      </c>
      <c r="E1686" s="507" t="s">
        <v>6108</v>
      </c>
    </row>
    <row r="1687" spans="1:5" ht="15" x14ac:dyDescent="0.3">
      <c r="A1687" s="506">
        <v>9883</v>
      </c>
      <c r="B1687" s="507" t="s">
        <v>5000</v>
      </c>
      <c r="C1687" s="506" t="s">
        <v>32</v>
      </c>
      <c r="D1687" s="508">
        <v>64260</v>
      </c>
      <c r="E1687" s="507" t="s">
        <v>6108</v>
      </c>
    </row>
    <row r="1688" spans="1:5" ht="15" x14ac:dyDescent="0.3">
      <c r="A1688" s="506">
        <v>9884</v>
      </c>
      <c r="B1688" s="507" t="s">
        <v>5001</v>
      </c>
      <c r="C1688" s="506" t="s">
        <v>32</v>
      </c>
      <c r="D1688" s="508">
        <v>47704</v>
      </c>
      <c r="E1688" s="507" t="s">
        <v>6108</v>
      </c>
    </row>
    <row r="1689" spans="1:5" ht="15" x14ac:dyDescent="0.3">
      <c r="A1689" s="506">
        <v>9885</v>
      </c>
      <c r="B1689" s="507" t="s">
        <v>5002</v>
      </c>
      <c r="C1689" s="506" t="s">
        <v>32</v>
      </c>
      <c r="D1689" s="508">
        <v>48266</v>
      </c>
      <c r="E1689" s="507" t="s">
        <v>6108</v>
      </c>
    </row>
    <row r="1690" spans="1:5" ht="15" x14ac:dyDescent="0.3">
      <c r="A1690" s="506">
        <v>9886</v>
      </c>
      <c r="B1690" s="507" t="s">
        <v>5003</v>
      </c>
      <c r="C1690" s="506" t="s">
        <v>32</v>
      </c>
      <c r="D1690" s="508">
        <v>35700</v>
      </c>
      <c r="E1690" s="507" t="s">
        <v>6108</v>
      </c>
    </row>
    <row r="1691" spans="1:5" ht="15" x14ac:dyDescent="0.3">
      <c r="A1691" s="506">
        <v>9887</v>
      </c>
      <c r="B1691" s="507" t="s">
        <v>5004</v>
      </c>
      <c r="C1691" s="506" t="s">
        <v>32</v>
      </c>
      <c r="D1691" s="508">
        <v>14280</v>
      </c>
      <c r="E1691" s="507" t="s">
        <v>6108</v>
      </c>
    </row>
    <row r="1692" spans="1:5" ht="15" x14ac:dyDescent="0.3">
      <c r="A1692" s="506">
        <v>9888</v>
      </c>
      <c r="B1692" s="507" t="s">
        <v>5005</v>
      </c>
      <c r="C1692" s="506" t="s">
        <v>32</v>
      </c>
      <c r="D1692" s="508">
        <v>29750</v>
      </c>
      <c r="E1692" s="507" t="s">
        <v>6108</v>
      </c>
    </row>
    <row r="1693" spans="1:5" ht="15" x14ac:dyDescent="0.3">
      <c r="A1693" s="506">
        <v>9896</v>
      </c>
      <c r="B1693" s="507" t="s">
        <v>5006</v>
      </c>
      <c r="C1693" s="506" t="s">
        <v>32</v>
      </c>
      <c r="D1693" s="508">
        <v>102966</v>
      </c>
      <c r="E1693" s="507" t="s">
        <v>6108</v>
      </c>
    </row>
    <row r="1694" spans="1:5" ht="15" x14ac:dyDescent="0.3">
      <c r="A1694" s="506">
        <v>9901</v>
      </c>
      <c r="B1694" s="507" t="s">
        <v>5007</v>
      </c>
      <c r="C1694" s="506" t="s">
        <v>328</v>
      </c>
      <c r="D1694" s="508">
        <v>23776</v>
      </c>
      <c r="E1694" s="507" t="s">
        <v>6108</v>
      </c>
    </row>
    <row r="1695" spans="1:5" ht="15" x14ac:dyDescent="0.3">
      <c r="A1695" s="506">
        <v>9902</v>
      </c>
      <c r="B1695" s="507" t="s">
        <v>5008</v>
      </c>
      <c r="C1695" s="506" t="s">
        <v>32</v>
      </c>
      <c r="D1695" s="508">
        <v>26312</v>
      </c>
      <c r="E1695" s="507" t="s">
        <v>6108</v>
      </c>
    </row>
    <row r="1696" spans="1:5" ht="15" x14ac:dyDescent="0.3">
      <c r="A1696" s="506">
        <v>9905</v>
      </c>
      <c r="B1696" s="507" t="s">
        <v>5009</v>
      </c>
      <c r="C1696" s="506" t="s">
        <v>328</v>
      </c>
      <c r="D1696" s="508">
        <v>4213</v>
      </c>
      <c r="E1696" s="507" t="s">
        <v>6108</v>
      </c>
    </row>
    <row r="1697" spans="1:5" ht="15" x14ac:dyDescent="0.3">
      <c r="A1697" s="506">
        <v>9906</v>
      </c>
      <c r="B1697" s="507" t="s">
        <v>5010</v>
      </c>
      <c r="C1697" s="506" t="s">
        <v>32</v>
      </c>
      <c r="D1697" s="508">
        <v>18088</v>
      </c>
      <c r="E1697" s="507" t="s">
        <v>6108</v>
      </c>
    </row>
    <row r="1698" spans="1:5" ht="15" x14ac:dyDescent="0.3">
      <c r="A1698" s="506">
        <v>9907</v>
      </c>
      <c r="B1698" s="507" t="s">
        <v>5011</v>
      </c>
      <c r="C1698" s="506" t="s">
        <v>32</v>
      </c>
      <c r="D1698" s="508">
        <v>59262</v>
      </c>
      <c r="E1698" s="507" t="s">
        <v>6108</v>
      </c>
    </row>
    <row r="1699" spans="1:5" ht="15" x14ac:dyDescent="0.3">
      <c r="A1699" s="506">
        <v>9908</v>
      </c>
      <c r="B1699" s="507" t="s">
        <v>5012</v>
      </c>
      <c r="C1699" s="506" t="s">
        <v>328</v>
      </c>
      <c r="D1699" s="508">
        <v>6850</v>
      </c>
      <c r="E1699" s="507" t="s">
        <v>6108</v>
      </c>
    </row>
    <row r="1700" spans="1:5" ht="15" x14ac:dyDescent="0.3">
      <c r="A1700" s="506">
        <v>9909</v>
      </c>
      <c r="B1700" s="507" t="s">
        <v>5013</v>
      </c>
      <c r="C1700" s="506" t="s">
        <v>328</v>
      </c>
      <c r="D1700" s="508">
        <v>7800</v>
      </c>
      <c r="E1700" s="507" t="s">
        <v>6108</v>
      </c>
    </row>
    <row r="1701" spans="1:5" ht="15" x14ac:dyDescent="0.3">
      <c r="A1701" s="506">
        <v>9922</v>
      </c>
      <c r="B1701" s="507" t="s">
        <v>5014</v>
      </c>
      <c r="C1701" s="506" t="s">
        <v>21</v>
      </c>
      <c r="D1701" s="508">
        <v>163026</v>
      </c>
      <c r="E1701" s="507" t="s">
        <v>6108</v>
      </c>
    </row>
    <row r="1702" spans="1:5" ht="15" x14ac:dyDescent="0.3">
      <c r="A1702" s="506">
        <v>9925</v>
      </c>
      <c r="B1702" s="507" t="s">
        <v>5015</v>
      </c>
      <c r="C1702" s="506" t="s">
        <v>32</v>
      </c>
      <c r="D1702" s="508">
        <v>5212</v>
      </c>
      <c r="E1702" s="507" t="s">
        <v>6108</v>
      </c>
    </row>
    <row r="1703" spans="1:5" ht="15" x14ac:dyDescent="0.3">
      <c r="A1703" s="506">
        <v>9926</v>
      </c>
      <c r="B1703" s="507" t="s">
        <v>5016</v>
      </c>
      <c r="C1703" s="506" t="s">
        <v>328</v>
      </c>
      <c r="D1703" s="508">
        <v>4018</v>
      </c>
      <c r="E1703" s="507" t="s">
        <v>331</v>
      </c>
    </row>
    <row r="1704" spans="1:5" ht="15" x14ac:dyDescent="0.3">
      <c r="A1704" s="506">
        <v>9928</v>
      </c>
      <c r="B1704" s="507" t="s">
        <v>5017</v>
      </c>
      <c r="C1704" s="506" t="s">
        <v>670</v>
      </c>
      <c r="D1704" s="508">
        <v>10173</v>
      </c>
      <c r="E1704" s="507" t="s">
        <v>331</v>
      </c>
    </row>
    <row r="1705" spans="1:5" ht="15" x14ac:dyDescent="0.3">
      <c r="A1705" s="506">
        <v>9930</v>
      </c>
      <c r="B1705" s="507" t="s">
        <v>5018</v>
      </c>
      <c r="C1705" s="506" t="s">
        <v>32</v>
      </c>
      <c r="D1705" s="508">
        <v>84221</v>
      </c>
      <c r="E1705" s="507" t="s">
        <v>6108</v>
      </c>
    </row>
    <row r="1706" spans="1:5" ht="15" x14ac:dyDescent="0.3">
      <c r="A1706" s="506">
        <v>9931</v>
      </c>
      <c r="B1706" s="507" t="s">
        <v>5019</v>
      </c>
      <c r="C1706" s="506" t="s">
        <v>32</v>
      </c>
      <c r="D1706" s="508">
        <v>7207</v>
      </c>
      <c r="E1706" s="507" t="s">
        <v>6108</v>
      </c>
    </row>
    <row r="1707" spans="1:5" ht="15" x14ac:dyDescent="0.3">
      <c r="A1707" s="506">
        <v>9933</v>
      </c>
      <c r="B1707" s="507" t="s">
        <v>5020</v>
      </c>
      <c r="C1707" s="506" t="s">
        <v>32</v>
      </c>
      <c r="D1707" s="508">
        <v>166279</v>
      </c>
      <c r="E1707" s="507" t="s">
        <v>331</v>
      </c>
    </row>
    <row r="1708" spans="1:5" ht="15" x14ac:dyDescent="0.3">
      <c r="A1708" s="506">
        <v>9934</v>
      </c>
      <c r="B1708" s="507" t="s">
        <v>5021</v>
      </c>
      <c r="C1708" s="506" t="s">
        <v>328</v>
      </c>
      <c r="D1708" s="508">
        <v>236133</v>
      </c>
      <c r="E1708" s="507" t="s">
        <v>331</v>
      </c>
    </row>
    <row r="1709" spans="1:5" ht="15" x14ac:dyDescent="0.3">
      <c r="A1709" s="506">
        <v>9935</v>
      </c>
      <c r="B1709" s="507" t="s">
        <v>5022</v>
      </c>
      <c r="C1709" s="506" t="s">
        <v>32</v>
      </c>
      <c r="D1709" s="508">
        <v>12264</v>
      </c>
      <c r="E1709" s="507" t="s">
        <v>6108</v>
      </c>
    </row>
    <row r="1710" spans="1:5" ht="15" x14ac:dyDescent="0.3">
      <c r="A1710" s="506">
        <v>9936</v>
      </c>
      <c r="B1710" s="507" t="s">
        <v>5023</v>
      </c>
      <c r="C1710" s="506" t="s">
        <v>32</v>
      </c>
      <c r="D1710" s="508">
        <v>24873</v>
      </c>
      <c r="E1710" s="507" t="s">
        <v>6108</v>
      </c>
    </row>
    <row r="1711" spans="1:5" ht="15" x14ac:dyDescent="0.3">
      <c r="A1711" s="506">
        <v>9937</v>
      </c>
      <c r="B1711" s="507" t="s">
        <v>5024</v>
      </c>
      <c r="C1711" s="506" t="s">
        <v>32</v>
      </c>
      <c r="D1711" s="508">
        <v>6170</v>
      </c>
      <c r="E1711" s="507" t="s">
        <v>331</v>
      </c>
    </row>
    <row r="1712" spans="1:5" ht="15" x14ac:dyDescent="0.3">
      <c r="A1712" s="506">
        <v>9939</v>
      </c>
      <c r="B1712" s="507" t="s">
        <v>5025</v>
      </c>
      <c r="C1712" s="506" t="s">
        <v>32</v>
      </c>
      <c r="D1712" s="508">
        <v>14122</v>
      </c>
      <c r="E1712" s="507" t="s">
        <v>331</v>
      </c>
    </row>
    <row r="1713" spans="1:5" ht="15" x14ac:dyDescent="0.3">
      <c r="A1713" s="506">
        <v>9940</v>
      </c>
      <c r="B1713" s="507" t="s">
        <v>5026</v>
      </c>
      <c r="C1713" s="506" t="s">
        <v>32</v>
      </c>
      <c r="D1713" s="508">
        <v>62983</v>
      </c>
      <c r="E1713" s="507" t="s">
        <v>6108</v>
      </c>
    </row>
    <row r="1714" spans="1:5" ht="15" x14ac:dyDescent="0.3">
      <c r="A1714" s="506">
        <v>9941</v>
      </c>
      <c r="B1714" s="507" t="s">
        <v>6337</v>
      </c>
      <c r="C1714" s="506" t="s">
        <v>32</v>
      </c>
      <c r="D1714" s="508">
        <v>195900</v>
      </c>
      <c r="E1714" s="507" t="s">
        <v>6108</v>
      </c>
    </row>
    <row r="1715" spans="1:5" ht="15" x14ac:dyDescent="0.3">
      <c r="A1715" s="506">
        <v>9943</v>
      </c>
      <c r="B1715" s="507" t="s">
        <v>5027</v>
      </c>
      <c r="C1715" s="506" t="s">
        <v>32</v>
      </c>
      <c r="D1715" s="508">
        <v>671300</v>
      </c>
      <c r="E1715" s="507" t="s">
        <v>6108</v>
      </c>
    </row>
    <row r="1716" spans="1:5" ht="15" x14ac:dyDescent="0.3">
      <c r="A1716" s="506">
        <v>9944</v>
      </c>
      <c r="B1716" s="507" t="s">
        <v>5028</v>
      </c>
      <c r="C1716" s="506" t="s">
        <v>32</v>
      </c>
      <c r="D1716" s="508">
        <v>97000</v>
      </c>
      <c r="E1716" s="507" t="s">
        <v>6108</v>
      </c>
    </row>
    <row r="1717" spans="1:5" ht="15" x14ac:dyDescent="0.3">
      <c r="A1717" s="506">
        <v>9945</v>
      </c>
      <c r="B1717" s="507" t="s">
        <v>5029</v>
      </c>
      <c r="C1717" s="506" t="s">
        <v>32</v>
      </c>
      <c r="D1717" s="508">
        <v>287750</v>
      </c>
      <c r="E1717" s="507" t="s">
        <v>6108</v>
      </c>
    </row>
    <row r="1718" spans="1:5" ht="15" x14ac:dyDescent="0.3">
      <c r="A1718" s="506">
        <v>9948</v>
      </c>
      <c r="B1718" s="507" t="s">
        <v>5030</v>
      </c>
      <c r="C1718" s="506" t="s">
        <v>32</v>
      </c>
      <c r="D1718" s="508">
        <v>2497</v>
      </c>
      <c r="E1718" s="507" t="s">
        <v>331</v>
      </c>
    </row>
    <row r="1719" spans="1:5" ht="15" x14ac:dyDescent="0.3">
      <c r="A1719" s="506">
        <v>9949</v>
      </c>
      <c r="B1719" s="507" t="s">
        <v>5031</v>
      </c>
      <c r="C1719" s="506" t="s">
        <v>32</v>
      </c>
      <c r="D1719" s="508">
        <v>1037</v>
      </c>
      <c r="E1719" s="507" t="s">
        <v>6108</v>
      </c>
    </row>
    <row r="1720" spans="1:5" ht="15" x14ac:dyDescent="0.3">
      <c r="A1720" s="506">
        <v>9950</v>
      </c>
      <c r="B1720" s="507" t="s">
        <v>5032</v>
      </c>
      <c r="C1720" s="506" t="s">
        <v>21</v>
      </c>
      <c r="D1720" s="508">
        <v>186500</v>
      </c>
      <c r="E1720" s="507" t="s">
        <v>6108</v>
      </c>
    </row>
    <row r="1721" spans="1:5" ht="15" x14ac:dyDescent="0.3">
      <c r="A1721" s="506">
        <v>9951</v>
      </c>
      <c r="B1721" s="507" t="s">
        <v>5033</v>
      </c>
      <c r="C1721" s="506" t="s">
        <v>32</v>
      </c>
      <c r="D1721" s="508">
        <v>19450</v>
      </c>
      <c r="E1721" s="507" t="s">
        <v>6108</v>
      </c>
    </row>
    <row r="1722" spans="1:5" ht="15" x14ac:dyDescent="0.3">
      <c r="A1722" s="506">
        <v>9952</v>
      </c>
      <c r="B1722" s="507" t="s">
        <v>5034</v>
      </c>
      <c r="C1722" s="506" t="s">
        <v>32</v>
      </c>
      <c r="D1722" s="508">
        <v>222700</v>
      </c>
      <c r="E1722" s="507" t="s">
        <v>6108</v>
      </c>
    </row>
    <row r="1723" spans="1:5" ht="15" x14ac:dyDescent="0.3">
      <c r="A1723" s="506">
        <v>9953</v>
      </c>
      <c r="B1723" s="507" t="s">
        <v>5035</v>
      </c>
      <c r="C1723" s="506" t="s">
        <v>328</v>
      </c>
      <c r="D1723" s="508">
        <v>53147</v>
      </c>
      <c r="E1723" s="507" t="s">
        <v>6108</v>
      </c>
    </row>
    <row r="1724" spans="1:5" ht="15" x14ac:dyDescent="0.3">
      <c r="A1724" s="506">
        <v>9961</v>
      </c>
      <c r="B1724" s="507" t="s">
        <v>5036</v>
      </c>
      <c r="C1724" s="506" t="s">
        <v>21</v>
      </c>
      <c r="D1724" s="508">
        <v>61880</v>
      </c>
      <c r="E1724" s="507" t="s">
        <v>331</v>
      </c>
    </row>
    <row r="1725" spans="1:5" ht="15" x14ac:dyDescent="0.3">
      <c r="A1725" s="506">
        <v>9962</v>
      </c>
      <c r="B1725" s="507" t="s">
        <v>5037</v>
      </c>
      <c r="C1725" s="506" t="s">
        <v>21</v>
      </c>
      <c r="D1725" s="508">
        <v>17133</v>
      </c>
      <c r="E1725" s="507" t="s">
        <v>6108</v>
      </c>
    </row>
    <row r="1726" spans="1:5" ht="15" x14ac:dyDescent="0.3">
      <c r="A1726" s="506">
        <v>9963</v>
      </c>
      <c r="B1726" s="507" t="s">
        <v>5038</v>
      </c>
      <c r="C1726" s="506" t="s">
        <v>32</v>
      </c>
      <c r="D1726" s="508">
        <v>80364</v>
      </c>
      <c r="E1726" s="507" t="s">
        <v>331</v>
      </c>
    </row>
    <row r="1727" spans="1:5" ht="15" x14ac:dyDescent="0.3">
      <c r="A1727" s="506">
        <v>9964</v>
      </c>
      <c r="B1727" s="507" t="s">
        <v>5039</v>
      </c>
      <c r="C1727" s="506" t="s">
        <v>32</v>
      </c>
      <c r="D1727" s="508">
        <v>945</v>
      </c>
      <c r="E1727" s="507" t="s">
        <v>331</v>
      </c>
    </row>
    <row r="1728" spans="1:5" ht="15" x14ac:dyDescent="0.3">
      <c r="A1728" s="506">
        <v>9966</v>
      </c>
      <c r="B1728" s="507" t="s">
        <v>5040</v>
      </c>
      <c r="C1728" s="506" t="s">
        <v>32</v>
      </c>
      <c r="D1728" s="508">
        <v>44349</v>
      </c>
      <c r="E1728" s="507" t="s">
        <v>6108</v>
      </c>
    </row>
    <row r="1729" spans="1:5" ht="15" x14ac:dyDescent="0.3">
      <c r="A1729" s="506">
        <v>9968</v>
      </c>
      <c r="B1729" s="507" t="s">
        <v>5041</v>
      </c>
      <c r="C1729" s="506" t="s">
        <v>32</v>
      </c>
      <c r="D1729" s="508">
        <v>79360</v>
      </c>
      <c r="E1729" s="507" t="s">
        <v>6108</v>
      </c>
    </row>
    <row r="1730" spans="1:5" ht="15" x14ac:dyDescent="0.3">
      <c r="A1730" s="506">
        <v>9972</v>
      </c>
      <c r="B1730" s="507" t="s">
        <v>5042</v>
      </c>
      <c r="C1730" s="506" t="s">
        <v>328</v>
      </c>
      <c r="D1730" s="508">
        <v>4284</v>
      </c>
      <c r="E1730" s="507" t="s">
        <v>6108</v>
      </c>
    </row>
    <row r="1731" spans="1:5" ht="15" x14ac:dyDescent="0.3">
      <c r="A1731" s="506">
        <v>9975</v>
      </c>
      <c r="B1731" s="507" t="s">
        <v>5043</v>
      </c>
      <c r="C1731" s="506" t="s">
        <v>32</v>
      </c>
      <c r="D1731" s="508">
        <v>20468</v>
      </c>
      <c r="E1731" s="507" t="s">
        <v>331</v>
      </c>
    </row>
    <row r="1732" spans="1:5" ht="15" x14ac:dyDescent="0.3">
      <c r="A1732" s="506">
        <v>9976</v>
      </c>
      <c r="B1732" s="507" t="s">
        <v>5044</v>
      </c>
      <c r="C1732" s="506" t="s">
        <v>32</v>
      </c>
      <c r="D1732" s="508">
        <v>1829</v>
      </c>
      <c r="E1732" s="507" t="s">
        <v>331</v>
      </c>
    </row>
    <row r="1733" spans="1:5" ht="15" x14ac:dyDescent="0.3">
      <c r="A1733" s="506">
        <v>9977</v>
      </c>
      <c r="B1733" s="507" t="s">
        <v>5045</v>
      </c>
      <c r="C1733" s="506" t="s">
        <v>32</v>
      </c>
      <c r="D1733" s="508">
        <v>79879</v>
      </c>
      <c r="E1733" s="507" t="s">
        <v>6108</v>
      </c>
    </row>
    <row r="1734" spans="1:5" ht="15" x14ac:dyDescent="0.3">
      <c r="A1734" s="506">
        <v>9978</v>
      </c>
      <c r="B1734" s="507" t="s">
        <v>5046</v>
      </c>
      <c r="C1734" s="506" t="s">
        <v>32</v>
      </c>
      <c r="D1734" s="508">
        <v>49743000</v>
      </c>
      <c r="E1734" s="507" t="s">
        <v>6108</v>
      </c>
    </row>
    <row r="1735" spans="1:5" ht="15" x14ac:dyDescent="0.3">
      <c r="A1735" s="506">
        <v>9980</v>
      </c>
      <c r="B1735" s="507" t="s">
        <v>5047</v>
      </c>
      <c r="C1735" s="506" t="s">
        <v>32</v>
      </c>
      <c r="D1735" s="508">
        <v>350</v>
      </c>
      <c r="E1735" s="507" t="s">
        <v>6108</v>
      </c>
    </row>
    <row r="1736" spans="1:5" ht="15" x14ac:dyDescent="0.3">
      <c r="A1736" s="506">
        <v>9981</v>
      </c>
      <c r="B1736" s="507" t="s">
        <v>5048</v>
      </c>
      <c r="C1736" s="506" t="s">
        <v>32</v>
      </c>
      <c r="D1736" s="508">
        <v>79900</v>
      </c>
      <c r="E1736" s="507" t="s">
        <v>6108</v>
      </c>
    </row>
    <row r="1737" spans="1:5" ht="15" x14ac:dyDescent="0.3">
      <c r="A1737" s="506">
        <v>9982</v>
      </c>
      <c r="B1737" s="507" t="s">
        <v>5049</v>
      </c>
      <c r="C1737" s="506" t="s">
        <v>32</v>
      </c>
      <c r="D1737" s="508">
        <v>4601</v>
      </c>
      <c r="E1737" s="507" t="s">
        <v>6108</v>
      </c>
    </row>
    <row r="1738" spans="1:5" ht="15" x14ac:dyDescent="0.3">
      <c r="A1738" s="506">
        <v>9984</v>
      </c>
      <c r="B1738" s="507" t="s">
        <v>5050</v>
      </c>
      <c r="C1738" s="506" t="s">
        <v>328</v>
      </c>
      <c r="D1738" s="508">
        <v>41761</v>
      </c>
      <c r="E1738" s="507" t="s">
        <v>6108</v>
      </c>
    </row>
    <row r="1739" spans="1:5" ht="15" x14ac:dyDescent="0.3">
      <c r="A1739" s="506">
        <v>9985</v>
      </c>
      <c r="B1739" s="507" t="s">
        <v>5051</v>
      </c>
      <c r="C1739" s="506" t="s">
        <v>32</v>
      </c>
      <c r="D1739" s="508">
        <v>70765</v>
      </c>
      <c r="E1739" s="507" t="s">
        <v>6108</v>
      </c>
    </row>
    <row r="1740" spans="1:5" ht="15" x14ac:dyDescent="0.3">
      <c r="A1740" s="506">
        <v>9986</v>
      </c>
      <c r="B1740" s="507" t="s">
        <v>5052</v>
      </c>
      <c r="C1740" s="506" t="s">
        <v>32</v>
      </c>
      <c r="D1740" s="508">
        <v>93902</v>
      </c>
      <c r="E1740" s="507" t="s">
        <v>6108</v>
      </c>
    </row>
    <row r="1741" spans="1:5" ht="15" x14ac:dyDescent="0.3">
      <c r="A1741" s="506">
        <v>9987</v>
      </c>
      <c r="B1741" s="507" t="s">
        <v>5053</v>
      </c>
      <c r="C1741" s="506" t="s">
        <v>670</v>
      </c>
      <c r="D1741" s="508">
        <v>5117</v>
      </c>
      <c r="E1741" s="507" t="s">
        <v>331</v>
      </c>
    </row>
    <row r="1742" spans="1:5" ht="15" x14ac:dyDescent="0.3">
      <c r="A1742" s="506">
        <v>9988</v>
      </c>
      <c r="B1742" s="507" t="s">
        <v>5054</v>
      </c>
      <c r="C1742" s="506" t="s">
        <v>32</v>
      </c>
      <c r="D1742" s="508">
        <v>1657097</v>
      </c>
      <c r="E1742" s="507" t="s">
        <v>6108</v>
      </c>
    </row>
    <row r="1743" spans="1:5" ht="15" x14ac:dyDescent="0.3">
      <c r="A1743" s="506">
        <v>9989</v>
      </c>
      <c r="B1743" s="507" t="s">
        <v>5055</v>
      </c>
      <c r="C1743" s="506" t="s">
        <v>32</v>
      </c>
      <c r="D1743" s="508">
        <v>23920</v>
      </c>
      <c r="E1743" s="507" t="s">
        <v>6108</v>
      </c>
    </row>
    <row r="1744" spans="1:5" ht="15" x14ac:dyDescent="0.3">
      <c r="A1744" s="506">
        <v>9990</v>
      </c>
      <c r="B1744" s="507" t="s">
        <v>5056</v>
      </c>
      <c r="C1744" s="506" t="s">
        <v>32</v>
      </c>
      <c r="D1744" s="508">
        <v>36455</v>
      </c>
      <c r="E1744" s="507" t="s">
        <v>6108</v>
      </c>
    </row>
    <row r="1745" spans="1:5" ht="15" x14ac:dyDescent="0.3">
      <c r="A1745" s="506">
        <v>9991</v>
      </c>
      <c r="B1745" s="507" t="s">
        <v>5057</v>
      </c>
      <c r="C1745" s="506" t="s">
        <v>32</v>
      </c>
      <c r="D1745" s="508">
        <v>387940</v>
      </c>
      <c r="E1745" s="507" t="s">
        <v>6108</v>
      </c>
    </row>
    <row r="1746" spans="1:5" ht="15" x14ac:dyDescent="0.3">
      <c r="A1746" s="506">
        <v>9992</v>
      </c>
      <c r="B1746" s="507" t="s">
        <v>6338</v>
      </c>
      <c r="C1746" s="506" t="s">
        <v>328</v>
      </c>
      <c r="D1746" s="508">
        <v>104273</v>
      </c>
      <c r="E1746" s="507" t="s">
        <v>6108</v>
      </c>
    </row>
    <row r="1747" spans="1:5" ht="15" x14ac:dyDescent="0.3">
      <c r="A1747" s="506">
        <v>9994</v>
      </c>
      <c r="B1747" s="507" t="s">
        <v>5058</v>
      </c>
      <c r="C1747" s="506" t="s">
        <v>670</v>
      </c>
      <c r="D1747" s="508">
        <v>20617</v>
      </c>
      <c r="E1747" s="507" t="s">
        <v>6108</v>
      </c>
    </row>
    <row r="1748" spans="1:5" ht="15" x14ac:dyDescent="0.3">
      <c r="A1748" s="506">
        <v>9995</v>
      </c>
      <c r="B1748" s="507" t="s">
        <v>5059</v>
      </c>
      <c r="C1748" s="506" t="s">
        <v>979</v>
      </c>
      <c r="D1748" s="508">
        <v>91048</v>
      </c>
      <c r="E1748" s="507" t="s">
        <v>6108</v>
      </c>
    </row>
    <row r="1749" spans="1:5" ht="15" x14ac:dyDescent="0.3">
      <c r="A1749" s="506">
        <v>9997</v>
      </c>
      <c r="B1749" s="507" t="s">
        <v>5060</v>
      </c>
      <c r="C1749" s="506" t="s">
        <v>328</v>
      </c>
      <c r="D1749" s="508">
        <v>17462</v>
      </c>
      <c r="E1749" s="507" t="s">
        <v>6108</v>
      </c>
    </row>
    <row r="1750" spans="1:5" ht="15" x14ac:dyDescent="0.3">
      <c r="A1750" s="506">
        <v>9999</v>
      </c>
      <c r="B1750" s="507" t="s">
        <v>5061</v>
      </c>
      <c r="C1750" s="506" t="s">
        <v>328</v>
      </c>
      <c r="D1750" s="508">
        <v>19474</v>
      </c>
      <c r="E1750" s="507" t="s">
        <v>6108</v>
      </c>
    </row>
    <row r="1751" spans="1:5" ht="15" x14ac:dyDescent="0.3">
      <c r="A1751" s="506">
        <v>10000</v>
      </c>
      <c r="B1751" s="507" t="s">
        <v>5062</v>
      </c>
      <c r="C1751" s="506" t="s">
        <v>328</v>
      </c>
      <c r="D1751" s="508">
        <v>330498</v>
      </c>
      <c r="E1751" s="507" t="s">
        <v>6108</v>
      </c>
    </row>
    <row r="1752" spans="1:5" ht="15" x14ac:dyDescent="0.3">
      <c r="A1752" s="506">
        <v>10009</v>
      </c>
      <c r="B1752" s="507" t="s">
        <v>5063</v>
      </c>
      <c r="C1752" s="506" t="s">
        <v>21</v>
      </c>
      <c r="D1752" s="508">
        <v>40822</v>
      </c>
      <c r="E1752" s="507" t="s">
        <v>6108</v>
      </c>
    </row>
    <row r="1753" spans="1:5" ht="15" x14ac:dyDescent="0.3">
      <c r="A1753" s="506">
        <v>10010</v>
      </c>
      <c r="B1753" s="507" t="s">
        <v>5064</v>
      </c>
      <c r="C1753" s="506" t="s">
        <v>328</v>
      </c>
      <c r="D1753" s="508">
        <v>7107</v>
      </c>
      <c r="E1753" s="507" t="s">
        <v>6108</v>
      </c>
    </row>
    <row r="1754" spans="1:5" ht="15" x14ac:dyDescent="0.3">
      <c r="A1754" s="506">
        <v>10011</v>
      </c>
      <c r="B1754" s="507" t="s">
        <v>5065</v>
      </c>
      <c r="C1754" s="506" t="s">
        <v>328</v>
      </c>
      <c r="D1754" s="508">
        <v>1693</v>
      </c>
      <c r="E1754" s="507" t="s">
        <v>6108</v>
      </c>
    </row>
    <row r="1755" spans="1:5" ht="15" x14ac:dyDescent="0.3">
      <c r="A1755" s="506">
        <v>10012</v>
      </c>
      <c r="B1755" s="507" t="s">
        <v>5066</v>
      </c>
      <c r="C1755" s="506" t="s">
        <v>21</v>
      </c>
      <c r="D1755" s="508">
        <v>26586</v>
      </c>
      <c r="E1755" s="507" t="s">
        <v>6108</v>
      </c>
    </row>
    <row r="1756" spans="1:5" ht="15" x14ac:dyDescent="0.3">
      <c r="A1756" s="506">
        <v>10013</v>
      </c>
      <c r="B1756" s="507" t="s">
        <v>5067</v>
      </c>
      <c r="C1756" s="506" t="s">
        <v>32</v>
      </c>
      <c r="D1756" s="508">
        <v>52360</v>
      </c>
      <c r="E1756" s="507" t="s">
        <v>6108</v>
      </c>
    </row>
    <row r="1757" spans="1:5" ht="15" x14ac:dyDescent="0.3">
      <c r="A1757" s="506">
        <v>10014</v>
      </c>
      <c r="B1757" s="507" t="s">
        <v>6339</v>
      </c>
      <c r="C1757" s="506" t="s">
        <v>32</v>
      </c>
      <c r="D1757" s="508">
        <v>59500</v>
      </c>
      <c r="E1757" s="507" t="s">
        <v>6108</v>
      </c>
    </row>
    <row r="1758" spans="1:5" ht="15" x14ac:dyDescent="0.3">
      <c r="A1758" s="506">
        <v>10015</v>
      </c>
      <c r="B1758" s="507" t="s">
        <v>5068</v>
      </c>
      <c r="C1758" s="506" t="s">
        <v>32</v>
      </c>
      <c r="D1758" s="508">
        <v>82467</v>
      </c>
      <c r="E1758" s="507" t="s">
        <v>6108</v>
      </c>
    </row>
    <row r="1759" spans="1:5" ht="15" x14ac:dyDescent="0.3">
      <c r="A1759" s="506">
        <v>10016</v>
      </c>
      <c r="B1759" s="507" t="s">
        <v>5069</v>
      </c>
      <c r="C1759" s="506" t="s">
        <v>32</v>
      </c>
      <c r="D1759" s="508">
        <v>226100</v>
      </c>
      <c r="E1759" s="507" t="s">
        <v>6108</v>
      </c>
    </row>
    <row r="1760" spans="1:5" ht="15" x14ac:dyDescent="0.3">
      <c r="A1760" s="506">
        <v>10017</v>
      </c>
      <c r="B1760" s="507" t="s">
        <v>6340</v>
      </c>
      <c r="C1760" s="506" t="s">
        <v>32</v>
      </c>
      <c r="D1760" s="508">
        <v>101150</v>
      </c>
      <c r="E1760" s="507" t="s">
        <v>6108</v>
      </c>
    </row>
    <row r="1761" spans="1:5" ht="15" x14ac:dyDescent="0.3">
      <c r="A1761" s="506">
        <v>10018</v>
      </c>
      <c r="B1761" s="507" t="s">
        <v>6341</v>
      </c>
      <c r="C1761" s="506" t="s">
        <v>32</v>
      </c>
      <c r="D1761" s="508">
        <v>236215</v>
      </c>
      <c r="E1761" s="507" t="s">
        <v>6108</v>
      </c>
    </row>
    <row r="1762" spans="1:5" ht="15" x14ac:dyDescent="0.3">
      <c r="A1762" s="506">
        <v>10019</v>
      </c>
      <c r="B1762" s="507" t="s">
        <v>5070</v>
      </c>
      <c r="C1762" s="506" t="s">
        <v>32</v>
      </c>
      <c r="D1762" s="508">
        <v>69020</v>
      </c>
      <c r="E1762" s="507" t="s">
        <v>6108</v>
      </c>
    </row>
    <row r="1763" spans="1:5" ht="15" x14ac:dyDescent="0.3">
      <c r="A1763" s="506">
        <v>10020</v>
      </c>
      <c r="B1763" s="507" t="s">
        <v>5071</v>
      </c>
      <c r="C1763" s="506" t="s">
        <v>32</v>
      </c>
      <c r="D1763" s="508">
        <v>54383</v>
      </c>
      <c r="E1763" s="507" t="s">
        <v>6108</v>
      </c>
    </row>
    <row r="1764" spans="1:5" ht="15" x14ac:dyDescent="0.3">
      <c r="A1764" s="506">
        <v>10021</v>
      </c>
      <c r="B1764" s="507" t="s">
        <v>5072</v>
      </c>
      <c r="C1764" s="506" t="s">
        <v>32</v>
      </c>
      <c r="D1764" s="508">
        <v>199049</v>
      </c>
      <c r="E1764" s="507" t="s">
        <v>6108</v>
      </c>
    </row>
    <row r="1765" spans="1:5" ht="15" x14ac:dyDescent="0.3">
      <c r="A1765" s="506">
        <v>10022</v>
      </c>
      <c r="B1765" s="507" t="s">
        <v>6342</v>
      </c>
      <c r="C1765" s="506" t="s">
        <v>32</v>
      </c>
      <c r="D1765" s="508">
        <v>741370</v>
      </c>
      <c r="E1765" s="507" t="s">
        <v>6108</v>
      </c>
    </row>
    <row r="1766" spans="1:5" ht="15" x14ac:dyDescent="0.3">
      <c r="A1766" s="506">
        <v>10023</v>
      </c>
      <c r="B1766" s="507" t="s">
        <v>6343</v>
      </c>
      <c r="C1766" s="506" t="s">
        <v>32</v>
      </c>
      <c r="D1766" s="508">
        <v>23205</v>
      </c>
      <c r="E1766" s="507" t="s">
        <v>6108</v>
      </c>
    </row>
    <row r="1767" spans="1:5" ht="15" x14ac:dyDescent="0.3">
      <c r="A1767" s="506">
        <v>10024</v>
      </c>
      <c r="B1767" s="507" t="s">
        <v>5073</v>
      </c>
      <c r="C1767" s="506" t="s">
        <v>32</v>
      </c>
      <c r="D1767" s="508">
        <v>263228</v>
      </c>
      <c r="E1767" s="507" t="s">
        <v>6108</v>
      </c>
    </row>
    <row r="1768" spans="1:5" ht="15" x14ac:dyDescent="0.3">
      <c r="A1768" s="506">
        <v>10025</v>
      </c>
      <c r="B1768" s="507" t="s">
        <v>5074</v>
      </c>
      <c r="C1768" s="506" t="s">
        <v>32</v>
      </c>
      <c r="D1768" s="508">
        <v>331653</v>
      </c>
      <c r="E1768" s="507" t="s">
        <v>6108</v>
      </c>
    </row>
    <row r="1769" spans="1:5" ht="15" x14ac:dyDescent="0.3">
      <c r="A1769" s="506">
        <v>10026</v>
      </c>
      <c r="B1769" s="507" t="s">
        <v>5075</v>
      </c>
      <c r="C1769" s="506" t="s">
        <v>32</v>
      </c>
      <c r="D1769" s="508">
        <v>392700</v>
      </c>
      <c r="E1769" s="507" t="s">
        <v>6108</v>
      </c>
    </row>
    <row r="1770" spans="1:5" ht="15" x14ac:dyDescent="0.3">
      <c r="A1770" s="506">
        <v>10027</v>
      </c>
      <c r="B1770" s="507" t="s">
        <v>5076</v>
      </c>
      <c r="C1770" s="506" t="s">
        <v>32</v>
      </c>
      <c r="D1770" s="508">
        <v>474929</v>
      </c>
      <c r="E1770" s="507" t="s">
        <v>6108</v>
      </c>
    </row>
    <row r="1771" spans="1:5" ht="15" x14ac:dyDescent="0.3">
      <c r="A1771" s="506">
        <v>10028</v>
      </c>
      <c r="B1771" s="507" t="s">
        <v>5077</v>
      </c>
      <c r="C1771" s="506" t="s">
        <v>32</v>
      </c>
      <c r="D1771" s="508">
        <v>280364</v>
      </c>
      <c r="E1771" s="507" t="s">
        <v>6108</v>
      </c>
    </row>
    <row r="1772" spans="1:5" ht="15" x14ac:dyDescent="0.3">
      <c r="A1772" s="506">
        <v>10032</v>
      </c>
      <c r="B1772" s="507" t="s">
        <v>5078</v>
      </c>
      <c r="C1772" s="506" t="s">
        <v>32</v>
      </c>
      <c r="D1772" s="508">
        <v>28577850</v>
      </c>
      <c r="E1772" s="507" t="s">
        <v>6108</v>
      </c>
    </row>
    <row r="1773" spans="1:5" ht="15" x14ac:dyDescent="0.3">
      <c r="A1773" s="506">
        <v>10035</v>
      </c>
      <c r="B1773" s="507" t="s">
        <v>5079</v>
      </c>
      <c r="C1773" s="506" t="s">
        <v>32</v>
      </c>
      <c r="D1773" s="508">
        <v>5421</v>
      </c>
      <c r="E1773" s="507" t="s">
        <v>331</v>
      </c>
    </row>
    <row r="1774" spans="1:5" ht="15" x14ac:dyDescent="0.3">
      <c r="A1774" s="506">
        <v>10066</v>
      </c>
      <c r="B1774" s="507" t="s">
        <v>6344</v>
      </c>
      <c r="C1774" s="506" t="s">
        <v>32</v>
      </c>
      <c r="D1774" s="508">
        <v>192780</v>
      </c>
      <c r="E1774" s="507" t="s">
        <v>6108</v>
      </c>
    </row>
    <row r="1775" spans="1:5" ht="15" x14ac:dyDescent="0.3">
      <c r="A1775" s="506">
        <v>10072</v>
      </c>
      <c r="B1775" s="507" t="s">
        <v>5080</v>
      </c>
      <c r="C1775" s="506" t="s">
        <v>32</v>
      </c>
      <c r="D1775" s="508">
        <v>25233</v>
      </c>
      <c r="E1775" s="507" t="s">
        <v>6108</v>
      </c>
    </row>
    <row r="1776" spans="1:5" ht="15" x14ac:dyDescent="0.3">
      <c r="A1776" s="506">
        <v>10079</v>
      </c>
      <c r="B1776" s="507" t="s">
        <v>5081</v>
      </c>
      <c r="C1776" s="506" t="s">
        <v>32</v>
      </c>
      <c r="D1776" s="508">
        <v>157900</v>
      </c>
      <c r="E1776" s="507" t="s">
        <v>6108</v>
      </c>
    </row>
    <row r="1777" spans="1:5" ht="15" x14ac:dyDescent="0.3">
      <c r="A1777" s="506">
        <v>10085</v>
      </c>
      <c r="B1777" s="507" t="s">
        <v>5082</v>
      </c>
      <c r="C1777" s="506" t="s">
        <v>32</v>
      </c>
      <c r="D1777" s="508">
        <v>155463</v>
      </c>
      <c r="E1777" s="507" t="s">
        <v>6108</v>
      </c>
    </row>
    <row r="1778" spans="1:5" ht="15" x14ac:dyDescent="0.3">
      <c r="A1778" s="506">
        <v>10089</v>
      </c>
      <c r="B1778" s="507" t="s">
        <v>5083</v>
      </c>
      <c r="C1778" s="506" t="s">
        <v>670</v>
      </c>
      <c r="D1778" s="508">
        <v>6069</v>
      </c>
      <c r="E1778" s="507" t="s">
        <v>331</v>
      </c>
    </row>
    <row r="1779" spans="1:5" ht="15" x14ac:dyDescent="0.3">
      <c r="A1779" s="506">
        <v>10090</v>
      </c>
      <c r="B1779" s="507" t="s">
        <v>5084</v>
      </c>
      <c r="C1779" s="506" t="s">
        <v>670</v>
      </c>
      <c r="D1779" s="508">
        <v>6069</v>
      </c>
      <c r="E1779" s="507" t="s">
        <v>331</v>
      </c>
    </row>
    <row r="1780" spans="1:5" ht="15" x14ac:dyDescent="0.3">
      <c r="A1780" s="506">
        <v>10094</v>
      </c>
      <c r="B1780" s="507" t="s">
        <v>5085</v>
      </c>
      <c r="C1780" s="506" t="s">
        <v>32</v>
      </c>
      <c r="D1780" s="508">
        <v>3808</v>
      </c>
      <c r="E1780" s="507" t="s">
        <v>6108</v>
      </c>
    </row>
    <row r="1781" spans="1:5" ht="15" x14ac:dyDescent="0.3">
      <c r="A1781" s="506">
        <v>10096</v>
      </c>
      <c r="B1781" s="507" t="s">
        <v>5086</v>
      </c>
      <c r="C1781" s="506" t="s">
        <v>32</v>
      </c>
      <c r="D1781" s="508">
        <v>155463</v>
      </c>
      <c r="E1781" s="507" t="s">
        <v>6108</v>
      </c>
    </row>
    <row r="1782" spans="1:5" ht="15" x14ac:dyDescent="0.3">
      <c r="A1782" s="506">
        <v>10101</v>
      </c>
      <c r="B1782" s="507" t="s">
        <v>5087</v>
      </c>
      <c r="C1782" s="506" t="s">
        <v>32</v>
      </c>
      <c r="D1782" s="508">
        <v>1514</v>
      </c>
      <c r="E1782" s="507" t="s">
        <v>331</v>
      </c>
    </row>
    <row r="1783" spans="1:5" ht="15" x14ac:dyDescent="0.3">
      <c r="A1783" s="506">
        <v>10136</v>
      </c>
      <c r="B1783" s="507" t="s">
        <v>5088</v>
      </c>
      <c r="C1783" s="506" t="s">
        <v>32</v>
      </c>
      <c r="D1783" s="508">
        <v>22318</v>
      </c>
      <c r="E1783" s="507" t="s">
        <v>331</v>
      </c>
    </row>
    <row r="1784" spans="1:5" ht="15" x14ac:dyDescent="0.3">
      <c r="A1784" s="506">
        <v>10145</v>
      </c>
      <c r="B1784" s="507" t="s">
        <v>6345</v>
      </c>
      <c r="C1784" s="506" t="s">
        <v>32</v>
      </c>
      <c r="D1784" s="508">
        <v>449820</v>
      </c>
      <c r="E1784" s="507" t="s">
        <v>6108</v>
      </c>
    </row>
    <row r="1785" spans="1:5" ht="15" x14ac:dyDescent="0.3">
      <c r="A1785" s="506">
        <v>10147</v>
      </c>
      <c r="B1785" s="507" t="s">
        <v>5089</v>
      </c>
      <c r="C1785" s="506" t="s">
        <v>32</v>
      </c>
      <c r="D1785" s="508">
        <v>2409</v>
      </c>
      <c r="E1785" s="507" t="s">
        <v>331</v>
      </c>
    </row>
    <row r="1786" spans="1:5" ht="15" x14ac:dyDescent="0.3">
      <c r="A1786" s="506">
        <v>10154</v>
      </c>
      <c r="B1786" s="507" t="s">
        <v>5090</v>
      </c>
      <c r="C1786" s="506" t="s">
        <v>32</v>
      </c>
      <c r="D1786" s="508">
        <v>1535113</v>
      </c>
      <c r="E1786" s="507" t="s">
        <v>6108</v>
      </c>
    </row>
    <row r="1787" spans="1:5" ht="15" x14ac:dyDescent="0.3">
      <c r="A1787" s="506">
        <v>10158</v>
      </c>
      <c r="B1787" s="507" t="s">
        <v>6346</v>
      </c>
      <c r="C1787" s="506" t="s">
        <v>32</v>
      </c>
      <c r="D1787" s="508">
        <v>708734</v>
      </c>
      <c r="E1787" s="507" t="s">
        <v>6108</v>
      </c>
    </row>
    <row r="1788" spans="1:5" ht="15" x14ac:dyDescent="0.3">
      <c r="A1788" s="506">
        <v>10163</v>
      </c>
      <c r="B1788" s="507" t="s">
        <v>5091</v>
      </c>
      <c r="C1788" s="506" t="s">
        <v>32</v>
      </c>
      <c r="D1788" s="508">
        <v>336665</v>
      </c>
      <c r="E1788" s="507" t="s">
        <v>6108</v>
      </c>
    </row>
    <row r="1789" spans="1:5" ht="15" x14ac:dyDescent="0.3">
      <c r="A1789" s="506">
        <v>10167</v>
      </c>
      <c r="B1789" s="507" t="s">
        <v>5092</v>
      </c>
      <c r="C1789" s="506" t="s">
        <v>32</v>
      </c>
      <c r="D1789" s="508">
        <v>62668</v>
      </c>
      <c r="E1789" s="507" t="s">
        <v>6108</v>
      </c>
    </row>
    <row r="1790" spans="1:5" ht="15" x14ac:dyDescent="0.3">
      <c r="A1790" s="506">
        <v>10181</v>
      </c>
      <c r="B1790" s="507" t="s">
        <v>5093</v>
      </c>
      <c r="C1790" s="506" t="s">
        <v>32</v>
      </c>
      <c r="D1790" s="508">
        <v>1570</v>
      </c>
      <c r="E1790" s="507" t="s">
        <v>331</v>
      </c>
    </row>
    <row r="1791" spans="1:5" ht="15" x14ac:dyDescent="0.3">
      <c r="A1791" s="506">
        <v>10211</v>
      </c>
      <c r="B1791" s="507" t="s">
        <v>5094</v>
      </c>
      <c r="C1791" s="506" t="s">
        <v>32</v>
      </c>
      <c r="D1791" s="508">
        <v>146044</v>
      </c>
      <c r="E1791" s="507" t="s">
        <v>6108</v>
      </c>
    </row>
    <row r="1792" spans="1:5" ht="15" x14ac:dyDescent="0.3">
      <c r="A1792" s="506">
        <v>10212</v>
      </c>
      <c r="B1792" s="507" t="s">
        <v>5095</v>
      </c>
      <c r="C1792" s="506" t="s">
        <v>32</v>
      </c>
      <c r="D1792" s="508">
        <v>152681</v>
      </c>
      <c r="E1792" s="507" t="s">
        <v>6108</v>
      </c>
    </row>
    <row r="1793" spans="1:5" ht="15" x14ac:dyDescent="0.3">
      <c r="A1793" s="506">
        <v>10251</v>
      </c>
      <c r="B1793" s="507" t="s">
        <v>5096</v>
      </c>
      <c r="C1793" s="506" t="s">
        <v>32</v>
      </c>
      <c r="D1793" s="508">
        <v>2111</v>
      </c>
      <c r="E1793" s="507" t="s">
        <v>331</v>
      </c>
    </row>
    <row r="1794" spans="1:5" ht="15" x14ac:dyDescent="0.3">
      <c r="A1794" s="506">
        <v>10262</v>
      </c>
      <c r="B1794" s="507" t="s">
        <v>6347</v>
      </c>
      <c r="C1794" s="506" t="s">
        <v>32</v>
      </c>
      <c r="D1794" s="508">
        <v>251090</v>
      </c>
      <c r="E1794" s="507" t="s">
        <v>6108</v>
      </c>
    </row>
    <row r="1795" spans="1:5" ht="15" x14ac:dyDescent="0.3">
      <c r="A1795" s="506">
        <v>10282</v>
      </c>
      <c r="B1795" s="507" t="s">
        <v>5097</v>
      </c>
      <c r="C1795" s="506" t="s">
        <v>3579</v>
      </c>
      <c r="D1795" s="508">
        <v>11328</v>
      </c>
      <c r="E1795" s="507" t="s">
        <v>6108</v>
      </c>
    </row>
    <row r="1796" spans="1:5" ht="15" x14ac:dyDescent="0.3">
      <c r="A1796" s="506">
        <v>10283</v>
      </c>
      <c r="B1796" s="507" t="s">
        <v>5098</v>
      </c>
      <c r="C1796" s="506" t="s">
        <v>328</v>
      </c>
      <c r="D1796" s="508">
        <v>138</v>
      </c>
      <c r="E1796" s="507" t="s">
        <v>6108</v>
      </c>
    </row>
    <row r="1797" spans="1:5" ht="15" x14ac:dyDescent="0.3">
      <c r="A1797" s="506">
        <v>10288</v>
      </c>
      <c r="B1797" s="507" t="s">
        <v>5099</v>
      </c>
      <c r="C1797" s="506" t="s">
        <v>32</v>
      </c>
      <c r="D1797" s="508">
        <v>240986</v>
      </c>
      <c r="E1797" s="507" t="s">
        <v>6108</v>
      </c>
    </row>
    <row r="1798" spans="1:5" ht="15" x14ac:dyDescent="0.3">
      <c r="A1798" s="506">
        <v>10299</v>
      </c>
      <c r="B1798" s="507" t="s">
        <v>5100</v>
      </c>
      <c r="C1798" s="506" t="s">
        <v>328</v>
      </c>
      <c r="D1798" s="508">
        <v>5059</v>
      </c>
      <c r="E1798" s="507" t="s">
        <v>331</v>
      </c>
    </row>
    <row r="1799" spans="1:5" ht="15" x14ac:dyDescent="0.3">
      <c r="A1799" s="506">
        <v>10348</v>
      </c>
      <c r="B1799" s="507" t="s">
        <v>6348</v>
      </c>
      <c r="C1799" s="506" t="s">
        <v>32</v>
      </c>
      <c r="D1799" s="508">
        <v>153612</v>
      </c>
      <c r="E1799" s="507" t="s">
        <v>6108</v>
      </c>
    </row>
    <row r="1800" spans="1:5" ht="15" x14ac:dyDescent="0.3">
      <c r="A1800" s="506">
        <v>10355</v>
      </c>
      <c r="B1800" s="507" t="s">
        <v>5101</v>
      </c>
      <c r="C1800" s="506" t="s">
        <v>32</v>
      </c>
      <c r="D1800" s="508">
        <v>1200</v>
      </c>
      <c r="E1800" s="507" t="s">
        <v>331</v>
      </c>
    </row>
    <row r="1801" spans="1:5" ht="15" x14ac:dyDescent="0.3">
      <c r="A1801" s="506">
        <v>10357</v>
      </c>
      <c r="B1801" s="507" t="s">
        <v>5102</v>
      </c>
      <c r="C1801" s="506" t="s">
        <v>21</v>
      </c>
      <c r="D1801" s="508">
        <v>100000</v>
      </c>
      <c r="E1801" s="507" t="s">
        <v>6108</v>
      </c>
    </row>
    <row r="1802" spans="1:5" ht="15" x14ac:dyDescent="0.3">
      <c r="A1802" s="506">
        <v>10359</v>
      </c>
      <c r="B1802" s="507" t="s">
        <v>5103</v>
      </c>
      <c r="C1802" s="506" t="s">
        <v>32</v>
      </c>
      <c r="D1802" s="508">
        <v>34500</v>
      </c>
      <c r="E1802" s="507" t="s">
        <v>331</v>
      </c>
    </row>
    <row r="1803" spans="1:5" ht="15" x14ac:dyDescent="0.3">
      <c r="A1803" s="506">
        <v>10375</v>
      </c>
      <c r="B1803" s="507" t="s">
        <v>5104</v>
      </c>
      <c r="C1803" s="506" t="s">
        <v>32</v>
      </c>
      <c r="D1803" s="508">
        <v>239099</v>
      </c>
      <c r="E1803" s="507" t="s">
        <v>6108</v>
      </c>
    </row>
    <row r="1804" spans="1:5" ht="15" x14ac:dyDescent="0.3">
      <c r="A1804" s="506">
        <v>10381</v>
      </c>
      <c r="B1804" s="507" t="s">
        <v>5105</v>
      </c>
      <c r="C1804" s="506" t="s">
        <v>32</v>
      </c>
      <c r="D1804" s="508">
        <v>504764</v>
      </c>
      <c r="E1804" s="507" t="s">
        <v>6108</v>
      </c>
    </row>
    <row r="1805" spans="1:5" ht="15" x14ac:dyDescent="0.3">
      <c r="A1805" s="506">
        <v>10401</v>
      </c>
      <c r="B1805" s="507" t="s">
        <v>5106</v>
      </c>
      <c r="C1805" s="506" t="s">
        <v>32</v>
      </c>
      <c r="D1805" s="508">
        <v>2705</v>
      </c>
      <c r="E1805" s="507" t="s">
        <v>6108</v>
      </c>
    </row>
    <row r="1806" spans="1:5" ht="15" x14ac:dyDescent="0.3">
      <c r="A1806" s="506">
        <v>10421</v>
      </c>
      <c r="B1806" s="507" t="s">
        <v>5107</v>
      </c>
      <c r="C1806" s="506" t="s">
        <v>21</v>
      </c>
      <c r="D1806" s="508">
        <v>55297</v>
      </c>
      <c r="E1806" s="507" t="s">
        <v>6108</v>
      </c>
    </row>
    <row r="1807" spans="1:5" ht="15" x14ac:dyDescent="0.3">
      <c r="A1807" s="506">
        <v>10441</v>
      </c>
      <c r="B1807" s="507" t="s">
        <v>5108</v>
      </c>
      <c r="C1807" s="506" t="s">
        <v>328</v>
      </c>
      <c r="D1807" s="508">
        <v>4736</v>
      </c>
      <c r="E1807" s="507" t="s">
        <v>6108</v>
      </c>
    </row>
    <row r="1808" spans="1:5" ht="15" x14ac:dyDescent="0.3">
      <c r="A1808" s="506">
        <v>10442</v>
      </c>
      <c r="B1808" s="507" t="s">
        <v>5109</v>
      </c>
      <c r="C1808" s="506" t="s">
        <v>328</v>
      </c>
      <c r="D1808" s="508">
        <v>6527</v>
      </c>
      <c r="E1808" s="507" t="s">
        <v>6108</v>
      </c>
    </row>
    <row r="1809" spans="1:5" ht="15" x14ac:dyDescent="0.3">
      <c r="A1809" s="506">
        <v>10506</v>
      </c>
      <c r="B1809" s="507" t="s">
        <v>5110</v>
      </c>
      <c r="C1809" s="506" t="s">
        <v>32</v>
      </c>
      <c r="D1809" s="508">
        <v>120018</v>
      </c>
      <c r="E1809" s="507" t="s">
        <v>6108</v>
      </c>
    </row>
    <row r="1810" spans="1:5" ht="15" x14ac:dyDescent="0.3">
      <c r="A1810" s="506">
        <v>10510</v>
      </c>
      <c r="B1810" s="507" t="s">
        <v>5111</v>
      </c>
      <c r="C1810" s="506" t="s">
        <v>32</v>
      </c>
      <c r="D1810" s="508">
        <v>331882</v>
      </c>
      <c r="E1810" s="507" t="s">
        <v>6108</v>
      </c>
    </row>
    <row r="1811" spans="1:5" ht="15" x14ac:dyDescent="0.3">
      <c r="A1811" s="506">
        <v>10511</v>
      </c>
      <c r="B1811" s="507" t="s">
        <v>5112</v>
      </c>
      <c r="C1811" s="506" t="s">
        <v>32</v>
      </c>
      <c r="D1811" s="508">
        <v>180601</v>
      </c>
      <c r="E1811" s="507" t="s">
        <v>6108</v>
      </c>
    </row>
    <row r="1812" spans="1:5" ht="15" x14ac:dyDescent="0.3">
      <c r="A1812" s="506">
        <v>10517</v>
      </c>
      <c r="B1812" s="507" t="s">
        <v>5113</v>
      </c>
      <c r="C1812" s="506" t="s">
        <v>670</v>
      </c>
      <c r="D1812" s="508">
        <v>5117</v>
      </c>
      <c r="E1812" s="507" t="s">
        <v>331</v>
      </c>
    </row>
    <row r="1813" spans="1:5" ht="15" x14ac:dyDescent="0.3">
      <c r="A1813" s="506">
        <v>10521</v>
      </c>
      <c r="B1813" s="507" t="s">
        <v>5114</v>
      </c>
      <c r="C1813" s="506" t="s">
        <v>670</v>
      </c>
      <c r="D1813" s="508">
        <v>3470</v>
      </c>
      <c r="E1813" s="507" t="s">
        <v>6108</v>
      </c>
    </row>
    <row r="1814" spans="1:5" ht="15" x14ac:dyDescent="0.3">
      <c r="A1814" s="506">
        <v>10547</v>
      </c>
      <c r="B1814" s="507" t="s">
        <v>5115</v>
      </c>
      <c r="C1814" s="506" t="s">
        <v>21</v>
      </c>
      <c r="D1814" s="508">
        <v>209194</v>
      </c>
      <c r="E1814" s="507" t="s">
        <v>6108</v>
      </c>
    </row>
    <row r="1815" spans="1:5" ht="15" x14ac:dyDescent="0.3">
      <c r="A1815" s="506">
        <v>10548</v>
      </c>
      <c r="B1815" s="507" t="s">
        <v>5116</v>
      </c>
      <c r="C1815" s="506" t="s">
        <v>4235</v>
      </c>
      <c r="D1815" s="508">
        <v>22875</v>
      </c>
      <c r="E1815" s="507" t="s">
        <v>6108</v>
      </c>
    </row>
    <row r="1816" spans="1:5" ht="15" x14ac:dyDescent="0.3">
      <c r="A1816" s="506">
        <v>10591</v>
      </c>
      <c r="B1816" s="507" t="s">
        <v>6349</v>
      </c>
      <c r="C1816" s="506" t="s">
        <v>32</v>
      </c>
      <c r="D1816" s="508">
        <v>5595412</v>
      </c>
      <c r="E1816" s="507" t="s">
        <v>6108</v>
      </c>
    </row>
    <row r="1817" spans="1:5" ht="15" x14ac:dyDescent="0.3">
      <c r="A1817" s="506">
        <v>10593</v>
      </c>
      <c r="B1817" s="507" t="s">
        <v>6350</v>
      </c>
      <c r="C1817" s="506" t="s">
        <v>328</v>
      </c>
      <c r="D1817" s="508">
        <v>989802</v>
      </c>
      <c r="E1817" s="507" t="s">
        <v>6108</v>
      </c>
    </row>
    <row r="1818" spans="1:5" ht="15" x14ac:dyDescent="0.3">
      <c r="A1818" s="506">
        <v>10594</v>
      </c>
      <c r="B1818" s="507" t="s">
        <v>5117</v>
      </c>
      <c r="C1818" s="506" t="s">
        <v>32</v>
      </c>
      <c r="D1818" s="508">
        <v>455908</v>
      </c>
      <c r="E1818" s="507" t="s">
        <v>331</v>
      </c>
    </row>
    <row r="1819" spans="1:5" ht="15" x14ac:dyDescent="0.3">
      <c r="A1819" s="506">
        <v>10596</v>
      </c>
      <c r="B1819" s="507" t="s">
        <v>5118</v>
      </c>
      <c r="C1819" s="506" t="s">
        <v>32</v>
      </c>
      <c r="D1819" s="508">
        <v>698305</v>
      </c>
      <c r="E1819" s="507" t="s">
        <v>331</v>
      </c>
    </row>
    <row r="1820" spans="1:5" ht="15" x14ac:dyDescent="0.3">
      <c r="A1820" s="506">
        <v>10597</v>
      </c>
      <c r="B1820" s="507" t="s">
        <v>5119</v>
      </c>
      <c r="C1820" s="506" t="s">
        <v>32</v>
      </c>
      <c r="D1820" s="508">
        <v>2284787</v>
      </c>
      <c r="E1820" s="507" t="s">
        <v>331</v>
      </c>
    </row>
    <row r="1821" spans="1:5" ht="15" x14ac:dyDescent="0.3">
      <c r="A1821" s="506">
        <v>10599</v>
      </c>
      <c r="B1821" s="507" t="s">
        <v>6351</v>
      </c>
      <c r="C1821" s="506" t="s">
        <v>32</v>
      </c>
      <c r="D1821" s="508">
        <v>1553581</v>
      </c>
      <c r="E1821" s="507" t="s">
        <v>6108</v>
      </c>
    </row>
    <row r="1822" spans="1:5" ht="15" x14ac:dyDescent="0.3">
      <c r="A1822" s="506">
        <v>10600</v>
      </c>
      <c r="B1822" s="507" t="s">
        <v>6352</v>
      </c>
      <c r="C1822" s="506" t="s">
        <v>328</v>
      </c>
      <c r="D1822" s="508">
        <v>1038156</v>
      </c>
      <c r="E1822" s="507" t="s">
        <v>6108</v>
      </c>
    </row>
    <row r="1823" spans="1:5" ht="15" x14ac:dyDescent="0.3">
      <c r="A1823" s="506">
        <v>10601</v>
      </c>
      <c r="B1823" s="507" t="s">
        <v>6353</v>
      </c>
      <c r="C1823" s="506" t="s">
        <v>328</v>
      </c>
      <c r="D1823" s="508">
        <v>130662</v>
      </c>
      <c r="E1823" s="507" t="s">
        <v>6108</v>
      </c>
    </row>
    <row r="1824" spans="1:5" ht="15" x14ac:dyDescent="0.3">
      <c r="A1824" s="506">
        <v>10603</v>
      </c>
      <c r="B1824" s="507" t="s">
        <v>5120</v>
      </c>
      <c r="C1824" s="506" t="s">
        <v>32</v>
      </c>
      <c r="D1824" s="508">
        <v>1074786</v>
      </c>
      <c r="E1824" s="507" t="s">
        <v>6108</v>
      </c>
    </row>
    <row r="1825" spans="1:5" ht="15" x14ac:dyDescent="0.3">
      <c r="A1825" s="506">
        <v>10605</v>
      </c>
      <c r="B1825" s="507" t="s">
        <v>6354</v>
      </c>
      <c r="C1825" s="506" t="s">
        <v>328</v>
      </c>
      <c r="D1825" s="508">
        <v>1626849</v>
      </c>
      <c r="E1825" s="507" t="s">
        <v>6108</v>
      </c>
    </row>
    <row r="1826" spans="1:5" ht="15" x14ac:dyDescent="0.3">
      <c r="A1826" s="506">
        <v>10609</v>
      </c>
      <c r="B1826" s="507" t="s">
        <v>6355</v>
      </c>
      <c r="C1826" s="506" t="s">
        <v>32</v>
      </c>
      <c r="D1826" s="508">
        <v>881685</v>
      </c>
      <c r="E1826" s="507" t="s">
        <v>6108</v>
      </c>
    </row>
    <row r="1827" spans="1:5" ht="15" x14ac:dyDescent="0.3">
      <c r="A1827" s="506">
        <v>10613</v>
      </c>
      <c r="B1827" s="507" t="s">
        <v>6356</v>
      </c>
      <c r="C1827" s="506" t="s">
        <v>32</v>
      </c>
      <c r="D1827" s="508">
        <v>185336</v>
      </c>
      <c r="E1827" s="507" t="s">
        <v>6108</v>
      </c>
    </row>
    <row r="1828" spans="1:5" ht="15" x14ac:dyDescent="0.3">
      <c r="A1828" s="506">
        <v>10614</v>
      </c>
      <c r="B1828" s="507" t="s">
        <v>5121</v>
      </c>
      <c r="C1828" s="506" t="s">
        <v>32</v>
      </c>
      <c r="D1828" s="508">
        <v>327356</v>
      </c>
      <c r="E1828" s="507" t="s">
        <v>6108</v>
      </c>
    </row>
    <row r="1829" spans="1:5" ht="15" x14ac:dyDescent="0.3">
      <c r="A1829" s="506">
        <v>10617</v>
      </c>
      <c r="B1829" s="507" t="s">
        <v>5122</v>
      </c>
      <c r="C1829" s="506" t="s">
        <v>32</v>
      </c>
      <c r="D1829" s="508">
        <v>421313</v>
      </c>
      <c r="E1829" s="507" t="s">
        <v>6108</v>
      </c>
    </row>
    <row r="1830" spans="1:5" ht="15" x14ac:dyDescent="0.3">
      <c r="A1830" s="506">
        <v>10618</v>
      </c>
      <c r="B1830" s="507" t="s">
        <v>5123</v>
      </c>
      <c r="C1830" s="506" t="s">
        <v>328</v>
      </c>
      <c r="D1830" s="508">
        <v>4485035</v>
      </c>
      <c r="E1830" s="507" t="s">
        <v>6108</v>
      </c>
    </row>
    <row r="1831" spans="1:5" ht="15" x14ac:dyDescent="0.3">
      <c r="A1831" s="506">
        <v>10619</v>
      </c>
      <c r="B1831" s="507" t="s">
        <v>5124</v>
      </c>
      <c r="C1831" s="506" t="s">
        <v>328</v>
      </c>
      <c r="D1831" s="508">
        <v>6727552</v>
      </c>
      <c r="E1831" s="507" t="s">
        <v>6108</v>
      </c>
    </row>
    <row r="1832" spans="1:5" ht="15" x14ac:dyDescent="0.3">
      <c r="A1832" s="506">
        <v>10620</v>
      </c>
      <c r="B1832" s="507" t="s">
        <v>5125</v>
      </c>
      <c r="C1832" s="506" t="s">
        <v>32</v>
      </c>
      <c r="D1832" s="508">
        <v>6064607</v>
      </c>
      <c r="E1832" s="507" t="s">
        <v>6108</v>
      </c>
    </row>
    <row r="1833" spans="1:5" ht="15" x14ac:dyDescent="0.3">
      <c r="A1833" s="506">
        <v>10621</v>
      </c>
      <c r="B1833" s="507" t="s">
        <v>6357</v>
      </c>
      <c r="C1833" s="506" t="s">
        <v>32</v>
      </c>
      <c r="D1833" s="508">
        <v>1908760</v>
      </c>
      <c r="E1833" s="507" t="s">
        <v>6108</v>
      </c>
    </row>
    <row r="1834" spans="1:5" ht="15" x14ac:dyDescent="0.3">
      <c r="A1834" s="506">
        <v>10624</v>
      </c>
      <c r="B1834" s="507" t="s">
        <v>5126</v>
      </c>
      <c r="C1834" s="506" t="s">
        <v>670</v>
      </c>
      <c r="D1834" s="508">
        <v>7140</v>
      </c>
      <c r="E1834" s="507" t="s">
        <v>331</v>
      </c>
    </row>
    <row r="1835" spans="1:5" ht="15" x14ac:dyDescent="0.3">
      <c r="A1835" s="506">
        <v>10625</v>
      </c>
      <c r="B1835" s="507" t="s">
        <v>2450</v>
      </c>
      <c r="C1835" s="506" t="s">
        <v>32</v>
      </c>
      <c r="D1835" s="508">
        <v>427411</v>
      </c>
      <c r="E1835" s="507" t="s">
        <v>6108</v>
      </c>
    </row>
    <row r="1836" spans="1:5" ht="15" x14ac:dyDescent="0.3">
      <c r="A1836" s="506">
        <v>10626</v>
      </c>
      <c r="B1836" s="507" t="s">
        <v>2451</v>
      </c>
      <c r="C1836" s="506" t="s">
        <v>32</v>
      </c>
      <c r="D1836" s="508">
        <v>535354</v>
      </c>
      <c r="E1836" s="507" t="s">
        <v>6108</v>
      </c>
    </row>
    <row r="1837" spans="1:5" ht="15" x14ac:dyDescent="0.3">
      <c r="A1837" s="506">
        <v>10627</v>
      </c>
      <c r="B1837" s="507" t="s">
        <v>5127</v>
      </c>
      <c r="C1837" s="506" t="s">
        <v>32</v>
      </c>
      <c r="D1837" s="508">
        <v>465521</v>
      </c>
      <c r="E1837" s="507" t="s">
        <v>6108</v>
      </c>
    </row>
    <row r="1838" spans="1:5" ht="15" x14ac:dyDescent="0.3">
      <c r="A1838" s="506">
        <v>10628</v>
      </c>
      <c r="B1838" s="507" t="s">
        <v>2453</v>
      </c>
      <c r="C1838" s="506" t="s">
        <v>32</v>
      </c>
      <c r="D1838" s="508">
        <v>465521</v>
      </c>
      <c r="E1838" s="507" t="s">
        <v>6108</v>
      </c>
    </row>
    <row r="1839" spans="1:5" ht="15" x14ac:dyDescent="0.3">
      <c r="A1839" s="506">
        <v>10629</v>
      </c>
      <c r="B1839" s="507" t="s">
        <v>5128</v>
      </c>
      <c r="C1839" s="506" t="s">
        <v>32</v>
      </c>
      <c r="D1839" s="508">
        <v>465521</v>
      </c>
      <c r="E1839" s="507" t="s">
        <v>6108</v>
      </c>
    </row>
    <row r="1840" spans="1:5" ht="15" x14ac:dyDescent="0.3">
      <c r="A1840" s="506">
        <v>10634</v>
      </c>
      <c r="B1840" s="507" t="s">
        <v>5129</v>
      </c>
      <c r="C1840" s="506" t="s">
        <v>32</v>
      </c>
      <c r="D1840" s="508">
        <v>468040</v>
      </c>
      <c r="E1840" s="507" t="s">
        <v>6108</v>
      </c>
    </row>
    <row r="1841" spans="1:5" ht="15" x14ac:dyDescent="0.3">
      <c r="A1841" s="506">
        <v>10635</v>
      </c>
      <c r="B1841" s="507" t="s">
        <v>5130</v>
      </c>
      <c r="C1841" s="506" t="s">
        <v>32</v>
      </c>
      <c r="D1841" s="508">
        <v>440667</v>
      </c>
      <c r="E1841" s="507" t="s">
        <v>6108</v>
      </c>
    </row>
    <row r="1842" spans="1:5" ht="15" x14ac:dyDescent="0.3">
      <c r="A1842" s="506">
        <v>10636</v>
      </c>
      <c r="B1842" s="507" t="s">
        <v>5131</v>
      </c>
      <c r="C1842" s="506" t="s">
        <v>32</v>
      </c>
      <c r="D1842" s="508">
        <v>559968</v>
      </c>
      <c r="E1842" s="507" t="s">
        <v>6108</v>
      </c>
    </row>
    <row r="1843" spans="1:5" ht="15" x14ac:dyDescent="0.3">
      <c r="A1843" s="506">
        <v>10639</v>
      </c>
      <c r="B1843" s="507" t="s">
        <v>5132</v>
      </c>
      <c r="C1843" s="506" t="s">
        <v>32</v>
      </c>
      <c r="D1843" s="508">
        <v>262920</v>
      </c>
      <c r="E1843" s="507" t="s">
        <v>331</v>
      </c>
    </row>
    <row r="1844" spans="1:5" ht="15" x14ac:dyDescent="0.3">
      <c r="A1844" s="506">
        <v>10640</v>
      </c>
      <c r="B1844" s="507" t="s">
        <v>5133</v>
      </c>
      <c r="C1844" s="506" t="s">
        <v>32</v>
      </c>
      <c r="D1844" s="508">
        <v>1901033</v>
      </c>
      <c r="E1844" s="507" t="s">
        <v>331</v>
      </c>
    </row>
    <row r="1845" spans="1:5" ht="15" x14ac:dyDescent="0.3">
      <c r="A1845" s="506">
        <v>10641</v>
      </c>
      <c r="B1845" s="507" t="s">
        <v>5134</v>
      </c>
      <c r="C1845" s="506" t="s">
        <v>32</v>
      </c>
      <c r="D1845" s="508">
        <v>1901033</v>
      </c>
      <c r="E1845" s="507" t="s">
        <v>331</v>
      </c>
    </row>
    <row r="1846" spans="1:5" ht="15" x14ac:dyDescent="0.3">
      <c r="A1846" s="506">
        <v>10642</v>
      </c>
      <c r="B1846" s="507" t="s">
        <v>5135</v>
      </c>
      <c r="C1846" s="506" t="s">
        <v>32</v>
      </c>
      <c r="D1846" s="508">
        <v>726863</v>
      </c>
      <c r="E1846" s="507" t="s">
        <v>331</v>
      </c>
    </row>
    <row r="1847" spans="1:5" ht="15" x14ac:dyDescent="0.3">
      <c r="A1847" s="506">
        <v>10643</v>
      </c>
      <c r="B1847" s="507" t="s">
        <v>5136</v>
      </c>
      <c r="C1847" s="506" t="s">
        <v>32</v>
      </c>
      <c r="D1847" s="508">
        <v>3283968</v>
      </c>
      <c r="E1847" s="507" t="s">
        <v>331</v>
      </c>
    </row>
    <row r="1848" spans="1:5" ht="15" x14ac:dyDescent="0.3">
      <c r="A1848" s="506">
        <v>10644</v>
      </c>
      <c r="B1848" s="507" t="s">
        <v>5137</v>
      </c>
      <c r="C1848" s="506" t="s">
        <v>32</v>
      </c>
      <c r="D1848" s="508">
        <v>3359067</v>
      </c>
      <c r="E1848" s="507" t="s">
        <v>331</v>
      </c>
    </row>
    <row r="1849" spans="1:5" ht="15" x14ac:dyDescent="0.3">
      <c r="A1849" s="506">
        <v>10645</v>
      </c>
      <c r="B1849" s="507" t="s">
        <v>5138</v>
      </c>
      <c r="C1849" s="506" t="s">
        <v>328</v>
      </c>
      <c r="D1849" s="508">
        <v>658308</v>
      </c>
      <c r="E1849" s="507" t="s">
        <v>331</v>
      </c>
    </row>
    <row r="1850" spans="1:5" ht="15" x14ac:dyDescent="0.3">
      <c r="A1850" s="506">
        <v>10646</v>
      </c>
      <c r="B1850" s="507" t="s">
        <v>5139</v>
      </c>
      <c r="C1850" s="506" t="s">
        <v>328</v>
      </c>
      <c r="D1850" s="508">
        <v>793692</v>
      </c>
      <c r="E1850" s="507" t="s">
        <v>331</v>
      </c>
    </row>
    <row r="1851" spans="1:5" ht="15" x14ac:dyDescent="0.3">
      <c r="A1851" s="506">
        <v>10647</v>
      </c>
      <c r="B1851" s="507" t="s">
        <v>5140</v>
      </c>
      <c r="C1851" s="506" t="s">
        <v>328</v>
      </c>
      <c r="D1851" s="508">
        <v>979846</v>
      </c>
      <c r="E1851" s="507" t="s">
        <v>331</v>
      </c>
    </row>
    <row r="1852" spans="1:5" ht="15" x14ac:dyDescent="0.3">
      <c r="A1852" s="506">
        <v>10648</v>
      </c>
      <c r="B1852" s="507" t="s">
        <v>5141</v>
      </c>
      <c r="C1852" s="506" t="s">
        <v>328</v>
      </c>
      <c r="D1852" s="508">
        <v>1818385</v>
      </c>
      <c r="E1852" s="507" t="s">
        <v>331</v>
      </c>
    </row>
    <row r="1853" spans="1:5" ht="15" x14ac:dyDescent="0.3">
      <c r="A1853" s="506">
        <v>10649</v>
      </c>
      <c r="B1853" s="507" t="s">
        <v>5142</v>
      </c>
      <c r="C1853" s="506" t="s">
        <v>328</v>
      </c>
      <c r="D1853" s="508">
        <v>2435231</v>
      </c>
      <c r="E1853" s="507" t="s">
        <v>331</v>
      </c>
    </row>
    <row r="1854" spans="1:5" ht="15" x14ac:dyDescent="0.3">
      <c r="A1854" s="506">
        <v>10650</v>
      </c>
      <c r="B1854" s="507" t="s">
        <v>5143</v>
      </c>
      <c r="C1854" s="506" t="s">
        <v>328</v>
      </c>
      <c r="D1854" s="508">
        <v>3756923</v>
      </c>
      <c r="E1854" s="507" t="s">
        <v>331</v>
      </c>
    </row>
    <row r="1855" spans="1:5" ht="15" x14ac:dyDescent="0.3">
      <c r="A1855" s="506">
        <v>10651</v>
      </c>
      <c r="B1855" s="507" t="s">
        <v>6358</v>
      </c>
      <c r="C1855" s="506" t="s">
        <v>32</v>
      </c>
      <c r="D1855" s="508">
        <v>534310</v>
      </c>
      <c r="E1855" s="507" t="s">
        <v>6108</v>
      </c>
    </row>
    <row r="1856" spans="1:5" ht="15" x14ac:dyDescent="0.3">
      <c r="A1856" s="506">
        <v>10653</v>
      </c>
      <c r="B1856" s="507" t="s">
        <v>5144</v>
      </c>
      <c r="C1856" s="506" t="s">
        <v>32</v>
      </c>
      <c r="D1856" s="508">
        <v>116822</v>
      </c>
      <c r="E1856" s="507" t="s">
        <v>6108</v>
      </c>
    </row>
    <row r="1857" spans="1:5" ht="15" x14ac:dyDescent="0.3">
      <c r="A1857" s="506">
        <v>10655</v>
      </c>
      <c r="B1857" s="507" t="s">
        <v>6359</v>
      </c>
      <c r="C1857" s="506" t="s">
        <v>328</v>
      </c>
      <c r="D1857" s="508">
        <v>34028</v>
      </c>
      <c r="E1857" s="507" t="s">
        <v>6108</v>
      </c>
    </row>
    <row r="1858" spans="1:5" ht="15" x14ac:dyDescent="0.3">
      <c r="A1858" s="506">
        <v>10656</v>
      </c>
      <c r="B1858" s="507" t="s">
        <v>6360</v>
      </c>
      <c r="C1858" s="506" t="s">
        <v>32</v>
      </c>
      <c r="D1858" s="508">
        <v>1455370</v>
      </c>
      <c r="E1858" s="507" t="s">
        <v>6108</v>
      </c>
    </row>
    <row r="1859" spans="1:5" ht="15" x14ac:dyDescent="0.3">
      <c r="A1859" s="506">
        <v>10657</v>
      </c>
      <c r="B1859" s="507" t="s">
        <v>5145</v>
      </c>
      <c r="C1859" s="506" t="s">
        <v>32</v>
      </c>
      <c r="D1859" s="508">
        <v>2706453</v>
      </c>
      <c r="E1859" s="507" t="s">
        <v>6108</v>
      </c>
    </row>
    <row r="1860" spans="1:5" ht="15" x14ac:dyDescent="0.3">
      <c r="A1860" s="506">
        <v>10658</v>
      </c>
      <c r="B1860" s="507" t="s">
        <v>5146</v>
      </c>
      <c r="C1860" s="506" t="s">
        <v>32</v>
      </c>
      <c r="D1860" s="508">
        <v>97223</v>
      </c>
      <c r="E1860" s="507" t="s">
        <v>6108</v>
      </c>
    </row>
    <row r="1861" spans="1:5" ht="15" x14ac:dyDescent="0.3">
      <c r="A1861" s="506">
        <v>10659</v>
      </c>
      <c r="B1861" s="507" t="s">
        <v>6361</v>
      </c>
      <c r="C1861" s="506" t="s">
        <v>32</v>
      </c>
      <c r="D1861" s="508">
        <v>10939538</v>
      </c>
      <c r="E1861" s="507" t="s">
        <v>6108</v>
      </c>
    </row>
    <row r="1862" spans="1:5" ht="15" x14ac:dyDescent="0.3">
      <c r="A1862" s="506">
        <v>10662</v>
      </c>
      <c r="B1862" s="507" t="s">
        <v>5147</v>
      </c>
      <c r="C1862" s="506" t="s">
        <v>32</v>
      </c>
      <c r="D1862" s="508">
        <v>38627</v>
      </c>
      <c r="E1862" s="507" t="s">
        <v>331</v>
      </c>
    </row>
    <row r="1863" spans="1:5" ht="15" x14ac:dyDescent="0.3">
      <c r="A1863" s="506">
        <v>10669</v>
      </c>
      <c r="B1863" s="507" t="s">
        <v>5148</v>
      </c>
      <c r="C1863" s="506" t="s">
        <v>32</v>
      </c>
      <c r="D1863" s="508">
        <v>421433</v>
      </c>
      <c r="E1863" s="507" t="s">
        <v>6108</v>
      </c>
    </row>
    <row r="1864" spans="1:5" ht="15" x14ac:dyDescent="0.3">
      <c r="A1864" s="506">
        <v>10670</v>
      </c>
      <c r="B1864" s="507" t="s">
        <v>5149</v>
      </c>
      <c r="C1864" s="506" t="s">
        <v>32</v>
      </c>
      <c r="D1864" s="508">
        <v>328408</v>
      </c>
      <c r="E1864" s="507" t="s">
        <v>6108</v>
      </c>
    </row>
    <row r="1865" spans="1:5" ht="15" x14ac:dyDescent="0.3">
      <c r="A1865" s="506">
        <v>10673</v>
      </c>
      <c r="B1865" s="507" t="s">
        <v>5150</v>
      </c>
      <c r="C1865" s="506" t="s">
        <v>328</v>
      </c>
      <c r="D1865" s="508">
        <v>1345385</v>
      </c>
      <c r="E1865" s="507" t="s">
        <v>331</v>
      </c>
    </row>
    <row r="1866" spans="1:5" ht="15" x14ac:dyDescent="0.3">
      <c r="A1866" s="506">
        <v>10674</v>
      </c>
      <c r="B1866" s="507" t="s">
        <v>5151</v>
      </c>
      <c r="C1866" s="506" t="s">
        <v>328</v>
      </c>
      <c r="D1866" s="508">
        <v>2855769</v>
      </c>
      <c r="E1866" s="507" t="s">
        <v>331</v>
      </c>
    </row>
    <row r="1867" spans="1:5" ht="15" x14ac:dyDescent="0.3">
      <c r="A1867" s="506">
        <v>10676</v>
      </c>
      <c r="B1867" s="507" t="s">
        <v>6362</v>
      </c>
      <c r="C1867" s="506" t="s">
        <v>328</v>
      </c>
      <c r="D1867" s="508">
        <v>21420</v>
      </c>
      <c r="E1867" s="507" t="s">
        <v>6108</v>
      </c>
    </row>
    <row r="1868" spans="1:5" ht="15" x14ac:dyDescent="0.3">
      <c r="A1868" s="506">
        <v>10677</v>
      </c>
      <c r="B1868" s="507" t="s">
        <v>6363</v>
      </c>
      <c r="C1868" s="506" t="s">
        <v>328</v>
      </c>
      <c r="D1868" s="508">
        <v>32725</v>
      </c>
      <c r="E1868" s="507" t="s">
        <v>6108</v>
      </c>
    </row>
    <row r="1869" spans="1:5" ht="15" x14ac:dyDescent="0.3">
      <c r="A1869" s="506">
        <v>10678</v>
      </c>
      <c r="B1869" s="507" t="s">
        <v>6364</v>
      </c>
      <c r="C1869" s="506" t="s">
        <v>32</v>
      </c>
      <c r="D1869" s="508">
        <v>4515969</v>
      </c>
      <c r="E1869" s="507" t="s">
        <v>6108</v>
      </c>
    </row>
    <row r="1870" spans="1:5" ht="15" x14ac:dyDescent="0.3">
      <c r="A1870" s="506">
        <v>10680</v>
      </c>
      <c r="B1870" s="507" t="s">
        <v>6365</v>
      </c>
      <c r="C1870" s="506" t="s">
        <v>32</v>
      </c>
      <c r="D1870" s="508">
        <v>4156670</v>
      </c>
      <c r="E1870" s="507" t="s">
        <v>6108</v>
      </c>
    </row>
    <row r="1871" spans="1:5" ht="15" x14ac:dyDescent="0.3">
      <c r="A1871" s="506">
        <v>10681</v>
      </c>
      <c r="B1871" s="507" t="s">
        <v>6366</v>
      </c>
      <c r="C1871" s="506" t="s">
        <v>32</v>
      </c>
      <c r="D1871" s="508">
        <v>9881288</v>
      </c>
      <c r="E1871" s="507" t="s">
        <v>6108</v>
      </c>
    </row>
    <row r="1872" spans="1:5" ht="15" x14ac:dyDescent="0.3">
      <c r="A1872" s="506">
        <v>10682</v>
      </c>
      <c r="B1872" s="507" t="s">
        <v>5152</v>
      </c>
      <c r="C1872" s="506" t="s">
        <v>32</v>
      </c>
      <c r="D1872" s="508">
        <v>3015210</v>
      </c>
      <c r="E1872" s="507" t="s">
        <v>6108</v>
      </c>
    </row>
    <row r="1873" spans="1:5" ht="15" x14ac:dyDescent="0.3">
      <c r="A1873" s="506">
        <v>10684</v>
      </c>
      <c r="B1873" s="507" t="s">
        <v>6367</v>
      </c>
      <c r="C1873" s="506" t="s">
        <v>32</v>
      </c>
      <c r="D1873" s="508">
        <v>783020</v>
      </c>
      <c r="E1873" s="507" t="s">
        <v>6108</v>
      </c>
    </row>
    <row r="1874" spans="1:5" ht="15" x14ac:dyDescent="0.3">
      <c r="A1874" s="506">
        <v>10687</v>
      </c>
      <c r="B1874" s="507" t="s">
        <v>6368</v>
      </c>
      <c r="C1874" s="506" t="s">
        <v>32</v>
      </c>
      <c r="D1874" s="508">
        <v>6386223</v>
      </c>
      <c r="E1874" s="507" t="s">
        <v>6108</v>
      </c>
    </row>
    <row r="1875" spans="1:5" ht="15" x14ac:dyDescent="0.3">
      <c r="A1875" s="506">
        <v>10689</v>
      </c>
      <c r="B1875" s="507" t="s">
        <v>5153</v>
      </c>
      <c r="C1875" s="506" t="s">
        <v>32</v>
      </c>
      <c r="D1875" s="508">
        <v>596889</v>
      </c>
      <c r="E1875" s="507" t="s">
        <v>6108</v>
      </c>
    </row>
    <row r="1876" spans="1:5" ht="15" x14ac:dyDescent="0.3">
      <c r="A1876" s="506">
        <v>10690</v>
      </c>
      <c r="B1876" s="507" t="s">
        <v>6369</v>
      </c>
      <c r="C1876" s="506" t="s">
        <v>32</v>
      </c>
      <c r="D1876" s="508">
        <v>5212503</v>
      </c>
      <c r="E1876" s="507" t="s">
        <v>6108</v>
      </c>
    </row>
    <row r="1877" spans="1:5" ht="15" x14ac:dyDescent="0.3">
      <c r="A1877" s="506">
        <v>10692</v>
      </c>
      <c r="B1877" s="507" t="s">
        <v>5154</v>
      </c>
      <c r="C1877" s="506" t="s">
        <v>32</v>
      </c>
      <c r="D1877" s="508">
        <v>575926</v>
      </c>
      <c r="E1877" s="507" t="s">
        <v>6108</v>
      </c>
    </row>
    <row r="1878" spans="1:5" ht="15" x14ac:dyDescent="0.3">
      <c r="A1878" s="506">
        <v>10694</v>
      </c>
      <c r="B1878" s="507" t="s">
        <v>5155</v>
      </c>
      <c r="C1878" s="506" t="s">
        <v>32</v>
      </c>
      <c r="D1878" s="508">
        <v>510740</v>
      </c>
      <c r="E1878" s="507" t="s">
        <v>6108</v>
      </c>
    </row>
    <row r="1879" spans="1:5" ht="15" x14ac:dyDescent="0.3">
      <c r="A1879" s="506">
        <v>10695</v>
      </c>
      <c r="B1879" s="507" t="s">
        <v>6370</v>
      </c>
      <c r="C1879" s="506" t="s">
        <v>328</v>
      </c>
      <c r="D1879" s="508">
        <v>49843</v>
      </c>
      <c r="E1879" s="507" t="s">
        <v>6108</v>
      </c>
    </row>
    <row r="1880" spans="1:5" ht="15" x14ac:dyDescent="0.3">
      <c r="A1880" s="506">
        <v>10696</v>
      </c>
      <c r="B1880" s="507" t="s">
        <v>6371</v>
      </c>
      <c r="C1880" s="506" t="s">
        <v>328</v>
      </c>
      <c r="D1880" s="508">
        <v>85150</v>
      </c>
      <c r="E1880" s="507" t="s">
        <v>6108</v>
      </c>
    </row>
    <row r="1881" spans="1:5" ht="15" x14ac:dyDescent="0.3">
      <c r="A1881" s="506">
        <v>10697</v>
      </c>
      <c r="B1881" s="507" t="s">
        <v>5156</v>
      </c>
      <c r="C1881" s="506" t="s">
        <v>32</v>
      </c>
      <c r="D1881" s="508">
        <v>539545</v>
      </c>
      <c r="E1881" s="507" t="s">
        <v>6108</v>
      </c>
    </row>
    <row r="1882" spans="1:5" ht="15" x14ac:dyDescent="0.3">
      <c r="A1882" s="506">
        <v>10698</v>
      </c>
      <c r="B1882" s="507" t="s">
        <v>5157</v>
      </c>
      <c r="C1882" s="506" t="s">
        <v>32</v>
      </c>
      <c r="D1882" s="508">
        <v>468040</v>
      </c>
      <c r="E1882" s="507" t="s">
        <v>6108</v>
      </c>
    </row>
    <row r="1883" spans="1:5" ht="15" x14ac:dyDescent="0.3">
      <c r="A1883" s="506">
        <v>10699</v>
      </c>
      <c r="B1883" s="507" t="s">
        <v>5158</v>
      </c>
      <c r="C1883" s="506" t="s">
        <v>32</v>
      </c>
      <c r="D1883" s="508">
        <v>512690</v>
      </c>
      <c r="E1883" s="507" t="s">
        <v>6108</v>
      </c>
    </row>
    <row r="1884" spans="1:5" ht="15" x14ac:dyDescent="0.3">
      <c r="A1884" s="506">
        <v>10700</v>
      </c>
      <c r="B1884" s="507" t="s">
        <v>5159</v>
      </c>
      <c r="C1884" s="506" t="s">
        <v>32</v>
      </c>
      <c r="D1884" s="508">
        <v>238403</v>
      </c>
      <c r="E1884" s="507" t="s">
        <v>331</v>
      </c>
    </row>
    <row r="1885" spans="1:5" ht="15" x14ac:dyDescent="0.3">
      <c r="A1885" s="506">
        <v>10710</v>
      </c>
      <c r="B1885" s="507" t="s">
        <v>5160</v>
      </c>
      <c r="C1885" s="506" t="s">
        <v>32</v>
      </c>
      <c r="D1885" s="508">
        <v>4608042</v>
      </c>
      <c r="E1885" s="507" t="s">
        <v>6108</v>
      </c>
    </row>
    <row r="1886" spans="1:5" ht="15" x14ac:dyDescent="0.3">
      <c r="A1886" s="506">
        <v>10712</v>
      </c>
      <c r="B1886" s="507" t="s">
        <v>6372</v>
      </c>
      <c r="C1886" s="506" t="s">
        <v>32</v>
      </c>
      <c r="D1886" s="508">
        <v>567414</v>
      </c>
      <c r="E1886" s="507" t="s">
        <v>6108</v>
      </c>
    </row>
    <row r="1887" spans="1:5" ht="15" x14ac:dyDescent="0.3">
      <c r="A1887" s="506">
        <v>10723</v>
      </c>
      <c r="B1887" s="507" t="s">
        <v>5161</v>
      </c>
      <c r="C1887" s="506" t="s">
        <v>5162</v>
      </c>
      <c r="D1887" s="508">
        <v>59500</v>
      </c>
      <c r="E1887" s="507" t="s">
        <v>6108</v>
      </c>
    </row>
    <row r="1888" spans="1:5" ht="15" x14ac:dyDescent="0.3">
      <c r="A1888" s="506">
        <v>10728</v>
      </c>
      <c r="B1888" s="507" t="s">
        <v>5163</v>
      </c>
      <c r="C1888" s="506" t="s">
        <v>5162</v>
      </c>
      <c r="D1888" s="508">
        <v>17574</v>
      </c>
      <c r="E1888" s="507" t="s">
        <v>6108</v>
      </c>
    </row>
    <row r="1889" spans="1:5" ht="15" x14ac:dyDescent="0.3">
      <c r="A1889" s="506">
        <v>10754</v>
      </c>
      <c r="B1889" s="507" t="s">
        <v>5164</v>
      </c>
      <c r="C1889" s="506" t="s">
        <v>32</v>
      </c>
      <c r="D1889" s="508">
        <v>11350443</v>
      </c>
      <c r="E1889" s="507" t="s">
        <v>6108</v>
      </c>
    </row>
    <row r="1890" spans="1:5" ht="15" x14ac:dyDescent="0.3">
      <c r="A1890" s="506">
        <v>10756</v>
      </c>
      <c r="B1890" s="507" t="s">
        <v>6373</v>
      </c>
      <c r="C1890" s="506" t="s">
        <v>32</v>
      </c>
      <c r="D1890" s="508">
        <v>1333594</v>
      </c>
      <c r="E1890" s="507" t="s">
        <v>6108</v>
      </c>
    </row>
    <row r="1891" spans="1:5" ht="15" x14ac:dyDescent="0.3">
      <c r="A1891" s="506">
        <v>10757</v>
      </c>
      <c r="B1891" s="507" t="s">
        <v>6374</v>
      </c>
      <c r="C1891" s="506" t="s">
        <v>32</v>
      </c>
      <c r="D1891" s="508">
        <v>1571053</v>
      </c>
      <c r="E1891" s="507" t="s">
        <v>6108</v>
      </c>
    </row>
    <row r="1892" spans="1:5" ht="15" x14ac:dyDescent="0.3">
      <c r="A1892" s="506">
        <v>10758</v>
      </c>
      <c r="B1892" s="507" t="s">
        <v>6375</v>
      </c>
      <c r="C1892" s="506" t="s">
        <v>32</v>
      </c>
      <c r="D1892" s="508">
        <v>1113377</v>
      </c>
      <c r="E1892" s="507" t="s">
        <v>6108</v>
      </c>
    </row>
    <row r="1893" spans="1:5" ht="15" x14ac:dyDescent="0.3">
      <c r="A1893" s="506">
        <v>10767</v>
      </c>
      <c r="B1893" s="507" t="s">
        <v>5165</v>
      </c>
      <c r="C1893" s="506" t="s">
        <v>21</v>
      </c>
      <c r="D1893" s="508">
        <v>150203</v>
      </c>
      <c r="E1893" s="507" t="s">
        <v>6108</v>
      </c>
    </row>
    <row r="1894" spans="1:5" ht="15" x14ac:dyDescent="0.3">
      <c r="A1894" s="506">
        <v>10768</v>
      </c>
      <c r="B1894" s="507" t="s">
        <v>5166</v>
      </c>
      <c r="C1894" s="506" t="s">
        <v>32</v>
      </c>
      <c r="D1894" s="508">
        <v>215290</v>
      </c>
      <c r="E1894" s="507" t="s">
        <v>6108</v>
      </c>
    </row>
    <row r="1895" spans="1:5" ht="15" x14ac:dyDescent="0.3">
      <c r="A1895" s="506">
        <v>10770</v>
      </c>
      <c r="B1895" s="507" t="s">
        <v>5167</v>
      </c>
      <c r="C1895" s="506" t="s">
        <v>32</v>
      </c>
      <c r="D1895" s="508">
        <v>94873</v>
      </c>
      <c r="E1895" s="507" t="s">
        <v>6108</v>
      </c>
    </row>
    <row r="1896" spans="1:5" ht="15" x14ac:dyDescent="0.3">
      <c r="A1896" s="506">
        <v>10774</v>
      </c>
      <c r="B1896" s="507" t="s">
        <v>5168</v>
      </c>
      <c r="C1896" s="506" t="s">
        <v>32</v>
      </c>
      <c r="D1896" s="508">
        <v>83184</v>
      </c>
      <c r="E1896" s="507" t="s">
        <v>6108</v>
      </c>
    </row>
    <row r="1897" spans="1:5" ht="15" x14ac:dyDescent="0.3">
      <c r="A1897" s="506">
        <v>10776</v>
      </c>
      <c r="B1897" s="507" t="s">
        <v>2554</v>
      </c>
      <c r="C1897" s="506" t="s">
        <v>32</v>
      </c>
      <c r="D1897" s="508">
        <v>100679</v>
      </c>
      <c r="E1897" s="507" t="s">
        <v>6108</v>
      </c>
    </row>
    <row r="1898" spans="1:5" ht="15" x14ac:dyDescent="0.3">
      <c r="A1898" s="506">
        <v>10777</v>
      </c>
      <c r="B1898" s="507" t="s">
        <v>5169</v>
      </c>
      <c r="C1898" s="506" t="s">
        <v>32</v>
      </c>
      <c r="D1898" s="508">
        <v>34330</v>
      </c>
      <c r="E1898" s="507" t="s">
        <v>331</v>
      </c>
    </row>
    <row r="1899" spans="1:5" ht="15" x14ac:dyDescent="0.3">
      <c r="A1899" s="506">
        <v>10787</v>
      </c>
      <c r="B1899" s="507" t="s">
        <v>5170</v>
      </c>
      <c r="C1899" s="506" t="s">
        <v>32</v>
      </c>
      <c r="D1899" s="508">
        <v>16279</v>
      </c>
      <c r="E1899" s="507" t="s">
        <v>331</v>
      </c>
    </row>
    <row r="1900" spans="1:5" ht="15" x14ac:dyDescent="0.3">
      <c r="A1900" s="506">
        <v>10788</v>
      </c>
      <c r="B1900" s="507" t="s">
        <v>2559</v>
      </c>
      <c r="C1900" s="506" t="s">
        <v>32</v>
      </c>
      <c r="D1900" s="508">
        <v>304537</v>
      </c>
      <c r="E1900" s="507" t="s">
        <v>6108</v>
      </c>
    </row>
    <row r="1901" spans="1:5" ht="15" x14ac:dyDescent="0.3">
      <c r="A1901" s="506">
        <v>10790</v>
      </c>
      <c r="B1901" s="507" t="s">
        <v>5171</v>
      </c>
      <c r="C1901" s="506" t="s">
        <v>21</v>
      </c>
      <c r="D1901" s="508">
        <v>465570</v>
      </c>
      <c r="E1901" s="507" t="s">
        <v>6108</v>
      </c>
    </row>
    <row r="1902" spans="1:5" ht="15" x14ac:dyDescent="0.3">
      <c r="A1902" s="506">
        <v>10794</v>
      </c>
      <c r="B1902" s="507" t="s">
        <v>5172</v>
      </c>
      <c r="C1902" s="506" t="s">
        <v>32</v>
      </c>
      <c r="D1902" s="508">
        <v>35593</v>
      </c>
      <c r="E1902" s="507" t="s">
        <v>331</v>
      </c>
    </row>
    <row r="1903" spans="1:5" ht="15" x14ac:dyDescent="0.3">
      <c r="A1903" s="506">
        <v>10808</v>
      </c>
      <c r="B1903" s="507" t="s">
        <v>5173</v>
      </c>
      <c r="C1903" s="506" t="s">
        <v>32</v>
      </c>
      <c r="D1903" s="508">
        <v>65359</v>
      </c>
      <c r="E1903" s="507" t="s">
        <v>6108</v>
      </c>
    </row>
    <row r="1904" spans="1:5" ht="15" x14ac:dyDescent="0.3">
      <c r="A1904" s="506">
        <v>10813</v>
      </c>
      <c r="B1904" s="507" t="s">
        <v>5174</v>
      </c>
      <c r="C1904" s="506" t="s">
        <v>32</v>
      </c>
      <c r="D1904" s="508">
        <v>17453</v>
      </c>
      <c r="E1904" s="507" t="s">
        <v>331</v>
      </c>
    </row>
    <row r="1905" spans="1:5" ht="15" x14ac:dyDescent="0.3">
      <c r="A1905" s="506">
        <v>10824</v>
      </c>
      <c r="B1905" s="507" t="s">
        <v>5175</v>
      </c>
      <c r="C1905" s="506" t="s">
        <v>32</v>
      </c>
      <c r="D1905" s="508">
        <v>1815000</v>
      </c>
      <c r="E1905" s="507" t="s">
        <v>6108</v>
      </c>
    </row>
    <row r="1906" spans="1:5" ht="15" x14ac:dyDescent="0.3">
      <c r="A1906" s="506">
        <v>10825</v>
      </c>
      <c r="B1906" s="507" t="s">
        <v>5176</v>
      </c>
      <c r="C1906" s="506" t="s">
        <v>21</v>
      </c>
      <c r="D1906" s="508">
        <v>77021</v>
      </c>
      <c r="E1906" s="507" t="s">
        <v>6108</v>
      </c>
    </row>
    <row r="1907" spans="1:5" ht="15" x14ac:dyDescent="0.3">
      <c r="A1907" s="506">
        <v>10830</v>
      </c>
      <c r="B1907" s="507" t="s">
        <v>5177</v>
      </c>
      <c r="C1907" s="506" t="s">
        <v>21</v>
      </c>
      <c r="D1907" s="508">
        <v>85579</v>
      </c>
      <c r="E1907" s="507" t="s">
        <v>6108</v>
      </c>
    </row>
    <row r="1908" spans="1:5" ht="15" x14ac:dyDescent="0.3">
      <c r="A1908" s="506">
        <v>10836</v>
      </c>
      <c r="B1908" s="507" t="s">
        <v>5178</v>
      </c>
      <c r="C1908" s="506" t="s">
        <v>32</v>
      </c>
      <c r="D1908" s="508">
        <v>5292942</v>
      </c>
      <c r="E1908" s="507" t="s">
        <v>6108</v>
      </c>
    </row>
    <row r="1909" spans="1:5" ht="15" x14ac:dyDescent="0.3">
      <c r="A1909" s="506">
        <v>10842</v>
      </c>
      <c r="B1909" s="507" t="s">
        <v>5179</v>
      </c>
      <c r="C1909" s="506" t="s">
        <v>32</v>
      </c>
      <c r="D1909" s="508">
        <v>17788</v>
      </c>
      <c r="E1909" s="507" t="s">
        <v>6108</v>
      </c>
    </row>
    <row r="1910" spans="1:5" ht="15" x14ac:dyDescent="0.3">
      <c r="A1910" s="506">
        <v>10847</v>
      </c>
      <c r="B1910" s="507" t="s">
        <v>5180</v>
      </c>
      <c r="C1910" s="506" t="s">
        <v>32</v>
      </c>
      <c r="D1910" s="508">
        <v>5439371</v>
      </c>
      <c r="E1910" s="507" t="s">
        <v>6108</v>
      </c>
    </row>
    <row r="1911" spans="1:5" ht="15" x14ac:dyDescent="0.3">
      <c r="A1911" s="506">
        <v>10852</v>
      </c>
      <c r="B1911" s="507" t="s">
        <v>5181</v>
      </c>
      <c r="C1911" s="506" t="s">
        <v>32</v>
      </c>
      <c r="D1911" s="508">
        <v>1446627</v>
      </c>
      <c r="E1911" s="507" t="s">
        <v>6108</v>
      </c>
    </row>
    <row r="1912" spans="1:5" ht="15" x14ac:dyDescent="0.3">
      <c r="A1912" s="506">
        <v>10855</v>
      </c>
      <c r="B1912" s="507" t="s">
        <v>5182</v>
      </c>
      <c r="C1912" s="506" t="s">
        <v>32</v>
      </c>
      <c r="D1912" s="508">
        <v>57120</v>
      </c>
      <c r="E1912" s="507" t="s">
        <v>6108</v>
      </c>
    </row>
    <row r="1913" spans="1:5" ht="15" x14ac:dyDescent="0.3">
      <c r="A1913" s="506">
        <v>10872</v>
      </c>
      <c r="B1913" s="507" t="s">
        <v>5183</v>
      </c>
      <c r="C1913" s="506" t="s">
        <v>32</v>
      </c>
      <c r="D1913" s="508">
        <v>490280</v>
      </c>
      <c r="E1913" s="507" t="s">
        <v>6108</v>
      </c>
    </row>
    <row r="1914" spans="1:5" ht="15" x14ac:dyDescent="0.3">
      <c r="A1914" s="506">
        <v>10877</v>
      </c>
      <c r="B1914" s="507" t="s">
        <v>5184</v>
      </c>
      <c r="C1914" s="506" t="s">
        <v>32</v>
      </c>
      <c r="D1914" s="508">
        <v>5593106</v>
      </c>
      <c r="E1914" s="507" t="s">
        <v>6108</v>
      </c>
    </row>
    <row r="1915" spans="1:5" ht="15" x14ac:dyDescent="0.3">
      <c r="A1915" s="506">
        <v>10878</v>
      </c>
      <c r="B1915" s="507" t="s">
        <v>5185</v>
      </c>
      <c r="C1915" s="506" t="s">
        <v>32</v>
      </c>
      <c r="D1915" s="508">
        <v>6588</v>
      </c>
      <c r="E1915" s="507" t="s">
        <v>6108</v>
      </c>
    </row>
    <row r="1916" spans="1:5" ht="15" x14ac:dyDescent="0.3">
      <c r="A1916" s="506">
        <v>10880</v>
      </c>
      <c r="B1916" s="507" t="s">
        <v>5186</v>
      </c>
      <c r="C1916" s="506" t="s">
        <v>30</v>
      </c>
      <c r="D1916" s="508">
        <v>28739</v>
      </c>
      <c r="E1916" s="507" t="s">
        <v>331</v>
      </c>
    </row>
    <row r="1917" spans="1:5" ht="15" x14ac:dyDescent="0.3">
      <c r="A1917" s="506">
        <v>10890</v>
      </c>
      <c r="B1917" s="507" t="s">
        <v>5187</v>
      </c>
      <c r="C1917" s="506" t="s">
        <v>328</v>
      </c>
      <c r="D1917" s="508">
        <v>44495</v>
      </c>
      <c r="E1917" s="507" t="s">
        <v>6108</v>
      </c>
    </row>
    <row r="1918" spans="1:5" ht="15" x14ac:dyDescent="0.3">
      <c r="A1918" s="506">
        <v>10920</v>
      </c>
      <c r="B1918" s="507" t="s">
        <v>6376</v>
      </c>
      <c r="C1918" s="506" t="s">
        <v>32</v>
      </c>
      <c r="D1918" s="508">
        <v>1261400</v>
      </c>
      <c r="E1918" s="507" t="s">
        <v>6108</v>
      </c>
    </row>
    <row r="1919" spans="1:5" ht="15" x14ac:dyDescent="0.3">
      <c r="A1919" s="506">
        <v>10936</v>
      </c>
      <c r="B1919" s="507" t="s">
        <v>6377</v>
      </c>
      <c r="C1919" s="506" t="s">
        <v>32</v>
      </c>
      <c r="D1919" s="508">
        <v>125809</v>
      </c>
      <c r="E1919" s="507" t="s">
        <v>6108</v>
      </c>
    </row>
    <row r="1920" spans="1:5" ht="15" x14ac:dyDescent="0.3">
      <c r="A1920" s="506">
        <v>10937</v>
      </c>
      <c r="B1920" s="507" t="s">
        <v>6378</v>
      </c>
      <c r="C1920" s="506" t="s">
        <v>32</v>
      </c>
      <c r="D1920" s="508">
        <v>249635</v>
      </c>
      <c r="E1920" s="507" t="s">
        <v>6108</v>
      </c>
    </row>
    <row r="1921" spans="1:5" ht="15" x14ac:dyDescent="0.3">
      <c r="A1921" s="506">
        <v>10947</v>
      </c>
      <c r="B1921" s="507" t="s">
        <v>5188</v>
      </c>
      <c r="C1921" s="506" t="s">
        <v>670</v>
      </c>
      <c r="D1921" s="508">
        <v>7140</v>
      </c>
      <c r="E1921" s="507" t="s">
        <v>331</v>
      </c>
    </row>
    <row r="1922" spans="1:5" ht="15" x14ac:dyDescent="0.3">
      <c r="A1922" s="506">
        <v>10948</v>
      </c>
      <c r="B1922" s="507" t="s">
        <v>5189</v>
      </c>
      <c r="C1922" s="506" t="s">
        <v>670</v>
      </c>
      <c r="D1922" s="508">
        <v>7140</v>
      </c>
      <c r="E1922" s="507" t="s">
        <v>331</v>
      </c>
    </row>
    <row r="1923" spans="1:5" ht="15" x14ac:dyDescent="0.3">
      <c r="A1923" s="506">
        <v>10955</v>
      </c>
      <c r="B1923" s="507" t="s">
        <v>5190</v>
      </c>
      <c r="C1923" s="506" t="s">
        <v>3582</v>
      </c>
      <c r="D1923" s="508">
        <v>4907108</v>
      </c>
      <c r="E1923" s="507" t="s">
        <v>6108</v>
      </c>
    </row>
    <row r="1924" spans="1:5" ht="15" x14ac:dyDescent="0.3">
      <c r="A1924" s="506">
        <v>10957</v>
      </c>
      <c r="B1924" s="507" t="s">
        <v>6379</v>
      </c>
      <c r="C1924" s="506" t="s">
        <v>32</v>
      </c>
      <c r="D1924" s="508">
        <v>73957</v>
      </c>
      <c r="E1924" s="507" t="s">
        <v>6108</v>
      </c>
    </row>
    <row r="1925" spans="1:5" ht="15" x14ac:dyDescent="0.3">
      <c r="A1925" s="506">
        <v>10958</v>
      </c>
      <c r="B1925" s="507" t="s">
        <v>6380</v>
      </c>
      <c r="C1925" s="506" t="s">
        <v>32</v>
      </c>
      <c r="D1925" s="508">
        <v>46201</v>
      </c>
      <c r="E1925" s="507" t="s">
        <v>6108</v>
      </c>
    </row>
    <row r="1926" spans="1:5" ht="15" x14ac:dyDescent="0.3">
      <c r="A1926" s="506">
        <v>10959</v>
      </c>
      <c r="B1926" s="507" t="s">
        <v>6381</v>
      </c>
      <c r="C1926" s="506" t="s">
        <v>32</v>
      </c>
      <c r="D1926" s="508">
        <v>41650</v>
      </c>
      <c r="E1926" s="507" t="s">
        <v>6108</v>
      </c>
    </row>
    <row r="1927" spans="1:5" ht="15" x14ac:dyDescent="0.3">
      <c r="A1927" s="506">
        <v>10960</v>
      </c>
      <c r="B1927" s="507" t="s">
        <v>6382</v>
      </c>
      <c r="C1927" s="506" t="s">
        <v>32</v>
      </c>
      <c r="D1927" s="508">
        <v>38080</v>
      </c>
      <c r="E1927" s="507" t="s">
        <v>6108</v>
      </c>
    </row>
    <row r="1928" spans="1:5" ht="15" x14ac:dyDescent="0.3">
      <c r="A1928" s="506">
        <v>10961</v>
      </c>
      <c r="B1928" s="507" t="s">
        <v>6383</v>
      </c>
      <c r="C1928" s="506" t="s">
        <v>32</v>
      </c>
      <c r="D1928" s="508">
        <v>26180</v>
      </c>
      <c r="E1928" s="507" t="s">
        <v>6108</v>
      </c>
    </row>
    <row r="1929" spans="1:5" ht="15" x14ac:dyDescent="0.3">
      <c r="A1929" s="506">
        <v>10962</v>
      </c>
      <c r="B1929" s="507" t="s">
        <v>6384</v>
      </c>
      <c r="C1929" s="506" t="s">
        <v>32</v>
      </c>
      <c r="D1929" s="508">
        <v>43554</v>
      </c>
      <c r="E1929" s="507" t="s">
        <v>6108</v>
      </c>
    </row>
    <row r="1930" spans="1:5" ht="15" x14ac:dyDescent="0.3">
      <c r="A1930" s="506">
        <v>10963</v>
      </c>
      <c r="B1930" s="507" t="s">
        <v>6385</v>
      </c>
      <c r="C1930" s="506" t="s">
        <v>32</v>
      </c>
      <c r="D1930" s="508">
        <v>43816</v>
      </c>
      <c r="E1930" s="507" t="s">
        <v>6108</v>
      </c>
    </row>
    <row r="1931" spans="1:5" ht="15" x14ac:dyDescent="0.3">
      <c r="A1931" s="506">
        <v>10964</v>
      </c>
      <c r="B1931" s="507" t="s">
        <v>6386</v>
      </c>
      <c r="C1931" s="506" t="s">
        <v>32</v>
      </c>
      <c r="D1931" s="508">
        <v>43316</v>
      </c>
      <c r="E1931" s="507" t="s">
        <v>6108</v>
      </c>
    </row>
    <row r="1932" spans="1:5" ht="15" x14ac:dyDescent="0.3">
      <c r="A1932" s="506">
        <v>10965</v>
      </c>
      <c r="B1932" s="507" t="s">
        <v>5191</v>
      </c>
      <c r="C1932" s="506" t="s">
        <v>32</v>
      </c>
      <c r="D1932" s="508">
        <v>261800</v>
      </c>
      <c r="E1932" s="507" t="s">
        <v>6108</v>
      </c>
    </row>
    <row r="1933" spans="1:5" ht="15" x14ac:dyDescent="0.3">
      <c r="A1933" s="506">
        <v>10966</v>
      </c>
      <c r="B1933" s="507" t="s">
        <v>5192</v>
      </c>
      <c r="C1933" s="506" t="s">
        <v>32</v>
      </c>
      <c r="D1933" s="508">
        <v>194291</v>
      </c>
      <c r="E1933" s="507" t="s">
        <v>6108</v>
      </c>
    </row>
    <row r="1934" spans="1:5" ht="15" x14ac:dyDescent="0.3">
      <c r="A1934" s="506">
        <v>10967</v>
      </c>
      <c r="B1934" s="507" t="s">
        <v>5193</v>
      </c>
      <c r="C1934" s="506" t="s">
        <v>32</v>
      </c>
      <c r="D1934" s="508">
        <v>1148350</v>
      </c>
      <c r="E1934" s="507" t="s">
        <v>6108</v>
      </c>
    </row>
    <row r="1935" spans="1:5" ht="15" x14ac:dyDescent="0.3">
      <c r="A1935" s="506">
        <v>10968</v>
      </c>
      <c r="B1935" s="507" t="s">
        <v>5194</v>
      </c>
      <c r="C1935" s="506" t="s">
        <v>32</v>
      </c>
      <c r="D1935" s="508">
        <v>131449</v>
      </c>
      <c r="E1935" s="507" t="s">
        <v>6108</v>
      </c>
    </row>
    <row r="1936" spans="1:5" ht="15" x14ac:dyDescent="0.3">
      <c r="A1936" s="506">
        <v>10969</v>
      </c>
      <c r="B1936" s="507" t="s">
        <v>6387</v>
      </c>
      <c r="C1936" s="506" t="s">
        <v>32</v>
      </c>
      <c r="D1936" s="508">
        <v>816340</v>
      </c>
      <c r="E1936" s="507" t="s">
        <v>6108</v>
      </c>
    </row>
    <row r="1937" spans="1:5" ht="15" x14ac:dyDescent="0.3">
      <c r="A1937" s="506">
        <v>10971</v>
      </c>
      <c r="B1937" s="507" t="s">
        <v>5195</v>
      </c>
      <c r="C1937" s="506" t="s">
        <v>32</v>
      </c>
      <c r="D1937" s="508">
        <v>773500</v>
      </c>
      <c r="E1937" s="507" t="s">
        <v>6108</v>
      </c>
    </row>
    <row r="1938" spans="1:5" ht="15" x14ac:dyDescent="0.3">
      <c r="A1938" s="506">
        <v>10972</v>
      </c>
      <c r="B1938" s="507" t="s">
        <v>5196</v>
      </c>
      <c r="C1938" s="506" t="s">
        <v>32</v>
      </c>
      <c r="D1938" s="508">
        <v>2501975</v>
      </c>
      <c r="E1938" s="507" t="s">
        <v>6108</v>
      </c>
    </row>
    <row r="1939" spans="1:5" ht="15" x14ac:dyDescent="0.3">
      <c r="A1939" s="506">
        <v>10973</v>
      </c>
      <c r="B1939" s="507" t="s">
        <v>5197</v>
      </c>
      <c r="C1939" s="506" t="s">
        <v>32</v>
      </c>
      <c r="D1939" s="508">
        <v>259000</v>
      </c>
      <c r="E1939" s="507" t="s">
        <v>6108</v>
      </c>
    </row>
    <row r="1940" spans="1:5" ht="15" x14ac:dyDescent="0.3">
      <c r="A1940" s="506">
        <v>10974</v>
      </c>
      <c r="B1940" s="507" t="s">
        <v>6388</v>
      </c>
      <c r="C1940" s="506" t="s">
        <v>32</v>
      </c>
      <c r="D1940" s="508">
        <v>142800</v>
      </c>
      <c r="E1940" s="507" t="s">
        <v>6108</v>
      </c>
    </row>
    <row r="1941" spans="1:5" ht="15" x14ac:dyDescent="0.3">
      <c r="A1941" s="506">
        <v>10975</v>
      </c>
      <c r="B1941" s="507" t="s">
        <v>6389</v>
      </c>
      <c r="C1941" s="506" t="s">
        <v>32</v>
      </c>
      <c r="D1941" s="508">
        <v>83300</v>
      </c>
      <c r="E1941" s="507" t="s">
        <v>6108</v>
      </c>
    </row>
    <row r="1942" spans="1:5" ht="15" x14ac:dyDescent="0.3">
      <c r="A1942" s="506">
        <v>10976</v>
      </c>
      <c r="B1942" s="507" t="s">
        <v>6390</v>
      </c>
      <c r="C1942" s="506" t="s">
        <v>32</v>
      </c>
      <c r="D1942" s="508">
        <v>2171152</v>
      </c>
      <c r="E1942" s="507" t="s">
        <v>6108</v>
      </c>
    </row>
    <row r="1943" spans="1:5" ht="15" x14ac:dyDescent="0.3">
      <c r="A1943" s="506">
        <v>10977</v>
      </c>
      <c r="B1943" s="507" t="s">
        <v>5198</v>
      </c>
      <c r="C1943" s="506" t="s">
        <v>32</v>
      </c>
      <c r="D1943" s="508">
        <v>3208524</v>
      </c>
      <c r="E1943" s="507" t="s">
        <v>331</v>
      </c>
    </row>
    <row r="1944" spans="1:5" ht="15" x14ac:dyDescent="0.3">
      <c r="A1944" s="506">
        <v>10987</v>
      </c>
      <c r="B1944" s="507" t="s">
        <v>6391</v>
      </c>
      <c r="C1944" s="506" t="s">
        <v>32</v>
      </c>
      <c r="D1944" s="508">
        <v>88060</v>
      </c>
      <c r="E1944" s="507" t="s">
        <v>6108</v>
      </c>
    </row>
    <row r="1945" spans="1:5" ht="15" x14ac:dyDescent="0.3">
      <c r="A1945" s="506">
        <v>10988</v>
      </c>
      <c r="B1945" s="507" t="s">
        <v>6392</v>
      </c>
      <c r="C1945" s="506" t="s">
        <v>32</v>
      </c>
      <c r="D1945" s="508">
        <v>210630</v>
      </c>
      <c r="E1945" s="507" t="s">
        <v>6108</v>
      </c>
    </row>
    <row r="1946" spans="1:5" ht="15" x14ac:dyDescent="0.3">
      <c r="A1946" s="506">
        <v>10989</v>
      </c>
      <c r="B1946" s="507" t="s">
        <v>6393</v>
      </c>
      <c r="C1946" s="506" t="s">
        <v>32</v>
      </c>
      <c r="D1946" s="508">
        <v>1449420</v>
      </c>
      <c r="E1946" s="507" t="s">
        <v>6108</v>
      </c>
    </row>
    <row r="1947" spans="1:5" ht="15" x14ac:dyDescent="0.3">
      <c r="A1947" s="506">
        <v>10992</v>
      </c>
      <c r="B1947" s="507" t="s">
        <v>6394</v>
      </c>
      <c r="C1947" s="506" t="s">
        <v>32</v>
      </c>
      <c r="D1947" s="508">
        <v>116745</v>
      </c>
      <c r="E1947" s="507" t="s">
        <v>6108</v>
      </c>
    </row>
    <row r="1948" spans="1:5" ht="15" x14ac:dyDescent="0.3">
      <c r="A1948" s="506">
        <v>10996</v>
      </c>
      <c r="B1948" s="507" t="s">
        <v>2780</v>
      </c>
      <c r="C1948" s="506" t="s">
        <v>32</v>
      </c>
      <c r="D1948" s="508">
        <v>325822</v>
      </c>
      <c r="E1948" s="507" t="s">
        <v>6108</v>
      </c>
    </row>
    <row r="1949" spans="1:5" ht="15" x14ac:dyDescent="0.3">
      <c r="A1949" s="506">
        <v>11007</v>
      </c>
      <c r="B1949" s="507" t="s">
        <v>6395</v>
      </c>
      <c r="C1949" s="506" t="s">
        <v>328</v>
      </c>
      <c r="D1949" s="508">
        <v>46398</v>
      </c>
      <c r="E1949" s="507" t="s">
        <v>6108</v>
      </c>
    </row>
    <row r="1950" spans="1:5" ht="15" x14ac:dyDescent="0.3">
      <c r="A1950" s="506">
        <v>11008</v>
      </c>
      <c r="B1950" s="507" t="s">
        <v>5199</v>
      </c>
      <c r="C1950" s="506" t="s">
        <v>30</v>
      </c>
      <c r="D1950" s="508">
        <v>126198</v>
      </c>
      <c r="E1950" s="507" t="s">
        <v>6108</v>
      </c>
    </row>
    <row r="1951" spans="1:5" ht="15" x14ac:dyDescent="0.3">
      <c r="A1951" s="506">
        <v>11026</v>
      </c>
      <c r="B1951" s="507" t="s">
        <v>5200</v>
      </c>
      <c r="C1951" s="506" t="s">
        <v>30</v>
      </c>
      <c r="D1951" s="508">
        <v>83062</v>
      </c>
      <c r="E1951" s="507" t="s">
        <v>331</v>
      </c>
    </row>
    <row r="1952" spans="1:5" ht="15" x14ac:dyDescent="0.3">
      <c r="A1952" s="506">
        <v>11027</v>
      </c>
      <c r="B1952" s="507" t="s">
        <v>5201</v>
      </c>
      <c r="C1952" s="506" t="s">
        <v>30</v>
      </c>
      <c r="D1952" s="508">
        <v>83062</v>
      </c>
      <c r="E1952" s="507" t="s">
        <v>331</v>
      </c>
    </row>
    <row r="1953" spans="1:5" ht="15" x14ac:dyDescent="0.3">
      <c r="A1953" s="506">
        <v>11028</v>
      </c>
      <c r="B1953" s="507" t="s">
        <v>5202</v>
      </c>
      <c r="C1953" s="506" t="s">
        <v>30</v>
      </c>
      <c r="D1953" s="508">
        <v>90135</v>
      </c>
      <c r="E1953" s="507" t="s">
        <v>331</v>
      </c>
    </row>
    <row r="1954" spans="1:5" ht="15" x14ac:dyDescent="0.3">
      <c r="A1954" s="506">
        <v>11029</v>
      </c>
      <c r="B1954" s="507" t="s">
        <v>5203</v>
      </c>
      <c r="C1954" s="506" t="s">
        <v>30</v>
      </c>
      <c r="D1954" s="508">
        <v>90135</v>
      </c>
      <c r="E1954" s="507" t="s">
        <v>331</v>
      </c>
    </row>
    <row r="1955" spans="1:5" ht="15" x14ac:dyDescent="0.3">
      <c r="A1955" s="506">
        <v>11030</v>
      </c>
      <c r="B1955" s="507" t="s">
        <v>5204</v>
      </c>
      <c r="C1955" s="506" t="s">
        <v>30</v>
      </c>
      <c r="D1955" s="508">
        <v>93265</v>
      </c>
      <c r="E1955" s="507" t="s">
        <v>331</v>
      </c>
    </row>
    <row r="1956" spans="1:5" ht="15" x14ac:dyDescent="0.3">
      <c r="A1956" s="506">
        <v>11031</v>
      </c>
      <c r="B1956" s="507" t="s">
        <v>5205</v>
      </c>
      <c r="C1956" s="506" t="s">
        <v>30</v>
      </c>
      <c r="D1956" s="508">
        <v>93265</v>
      </c>
      <c r="E1956" s="507" t="s">
        <v>331</v>
      </c>
    </row>
    <row r="1957" spans="1:5" ht="15" x14ac:dyDescent="0.3">
      <c r="A1957" s="506">
        <v>11032</v>
      </c>
      <c r="B1957" s="507" t="s">
        <v>5206</v>
      </c>
      <c r="C1957" s="506" t="s">
        <v>30</v>
      </c>
      <c r="D1957" s="508">
        <v>74137</v>
      </c>
      <c r="E1957" s="507" t="s">
        <v>331</v>
      </c>
    </row>
    <row r="1958" spans="1:5" ht="15" x14ac:dyDescent="0.3">
      <c r="A1958" s="506">
        <v>11033</v>
      </c>
      <c r="B1958" s="507" t="s">
        <v>5207</v>
      </c>
      <c r="C1958" s="506" t="s">
        <v>30</v>
      </c>
      <c r="D1958" s="508">
        <v>74137</v>
      </c>
      <c r="E1958" s="507" t="s">
        <v>331</v>
      </c>
    </row>
    <row r="1959" spans="1:5" ht="15" x14ac:dyDescent="0.3">
      <c r="A1959" s="506">
        <v>11034</v>
      </c>
      <c r="B1959" s="507" t="s">
        <v>5208</v>
      </c>
      <c r="C1959" s="506" t="s">
        <v>30</v>
      </c>
      <c r="D1959" s="508">
        <v>76517</v>
      </c>
      <c r="E1959" s="507" t="s">
        <v>331</v>
      </c>
    </row>
    <row r="1960" spans="1:5" ht="15" x14ac:dyDescent="0.3">
      <c r="A1960" s="506">
        <v>11035</v>
      </c>
      <c r="B1960" s="507" t="s">
        <v>5209</v>
      </c>
      <c r="C1960" s="506" t="s">
        <v>30</v>
      </c>
      <c r="D1960" s="508">
        <v>76517</v>
      </c>
      <c r="E1960" s="507" t="s">
        <v>331</v>
      </c>
    </row>
    <row r="1961" spans="1:5" ht="15" x14ac:dyDescent="0.3">
      <c r="A1961" s="506">
        <v>11036</v>
      </c>
      <c r="B1961" s="507" t="s">
        <v>5210</v>
      </c>
      <c r="C1961" s="506" t="s">
        <v>30</v>
      </c>
      <c r="D1961" s="508">
        <v>80920</v>
      </c>
      <c r="E1961" s="507" t="s">
        <v>331</v>
      </c>
    </row>
    <row r="1962" spans="1:5" ht="15" x14ac:dyDescent="0.3">
      <c r="A1962" s="506">
        <v>11037</v>
      </c>
      <c r="B1962" s="507" t="s">
        <v>5211</v>
      </c>
      <c r="C1962" s="506" t="s">
        <v>30</v>
      </c>
      <c r="D1962" s="508">
        <v>80920</v>
      </c>
      <c r="E1962" s="507" t="s">
        <v>331</v>
      </c>
    </row>
    <row r="1963" spans="1:5" ht="15" x14ac:dyDescent="0.3">
      <c r="A1963" s="506">
        <v>11038</v>
      </c>
      <c r="B1963" s="507" t="s">
        <v>5212</v>
      </c>
      <c r="C1963" s="506" t="s">
        <v>30</v>
      </c>
      <c r="D1963" s="508">
        <v>24059</v>
      </c>
      <c r="E1963" s="507" t="s">
        <v>331</v>
      </c>
    </row>
    <row r="1964" spans="1:5" ht="15" x14ac:dyDescent="0.3">
      <c r="A1964" s="506">
        <v>11039</v>
      </c>
      <c r="B1964" s="507" t="s">
        <v>5213</v>
      </c>
      <c r="C1964" s="506" t="s">
        <v>30</v>
      </c>
      <c r="D1964" s="508">
        <v>20988</v>
      </c>
      <c r="E1964" s="507" t="s">
        <v>331</v>
      </c>
    </row>
    <row r="1965" spans="1:5" ht="15" x14ac:dyDescent="0.3">
      <c r="A1965" s="506">
        <v>11057</v>
      </c>
      <c r="B1965" s="507" t="s">
        <v>5214</v>
      </c>
      <c r="C1965" s="506" t="s">
        <v>21</v>
      </c>
      <c r="D1965" s="508">
        <v>55145</v>
      </c>
      <c r="E1965" s="507" t="s">
        <v>6108</v>
      </c>
    </row>
    <row r="1966" spans="1:5" ht="15" x14ac:dyDescent="0.3">
      <c r="A1966" s="506">
        <v>11080</v>
      </c>
      <c r="B1966" s="507" t="s">
        <v>5215</v>
      </c>
      <c r="C1966" s="506" t="s">
        <v>30</v>
      </c>
      <c r="D1966" s="508">
        <v>1305125</v>
      </c>
      <c r="E1966" s="507" t="s">
        <v>331</v>
      </c>
    </row>
    <row r="1967" spans="1:5" ht="15" x14ac:dyDescent="0.3">
      <c r="A1967" s="506">
        <v>11081</v>
      </c>
      <c r="B1967" s="507" t="s">
        <v>5216</v>
      </c>
      <c r="C1967" s="506" t="s">
        <v>30</v>
      </c>
      <c r="D1967" s="508">
        <v>1185129</v>
      </c>
      <c r="E1967" s="507" t="s">
        <v>331</v>
      </c>
    </row>
    <row r="1968" spans="1:5" ht="15" x14ac:dyDescent="0.3">
      <c r="A1968" s="506">
        <v>11082</v>
      </c>
      <c r="B1968" s="507" t="s">
        <v>5217</v>
      </c>
      <c r="C1968" s="506" t="s">
        <v>30</v>
      </c>
      <c r="D1968" s="508">
        <v>1106930</v>
      </c>
      <c r="E1968" s="507" t="s">
        <v>331</v>
      </c>
    </row>
    <row r="1969" spans="1:5" ht="15" x14ac:dyDescent="0.3">
      <c r="A1969" s="506">
        <v>11083</v>
      </c>
      <c r="B1969" s="507" t="s">
        <v>5218</v>
      </c>
      <c r="C1969" s="506" t="s">
        <v>32</v>
      </c>
      <c r="D1969" s="508">
        <v>54379</v>
      </c>
      <c r="E1969" s="507" t="s">
        <v>6108</v>
      </c>
    </row>
    <row r="1970" spans="1:5" ht="15" x14ac:dyDescent="0.3">
      <c r="A1970" s="506">
        <v>11084</v>
      </c>
      <c r="B1970" s="507" t="s">
        <v>6396</v>
      </c>
      <c r="C1970" s="506" t="s">
        <v>32</v>
      </c>
      <c r="D1970" s="508">
        <v>158000</v>
      </c>
      <c r="E1970" s="507" t="s">
        <v>6108</v>
      </c>
    </row>
    <row r="1971" spans="1:5" ht="15" x14ac:dyDescent="0.3">
      <c r="A1971" s="506">
        <v>11085</v>
      </c>
      <c r="B1971" s="507" t="s">
        <v>5219</v>
      </c>
      <c r="C1971" s="506" t="s">
        <v>32</v>
      </c>
      <c r="D1971" s="508">
        <v>6942537</v>
      </c>
      <c r="E1971" s="507" t="s">
        <v>6108</v>
      </c>
    </row>
    <row r="1972" spans="1:5" ht="15" x14ac:dyDescent="0.3">
      <c r="A1972" s="506">
        <v>11086</v>
      </c>
      <c r="B1972" s="507" t="s">
        <v>5220</v>
      </c>
      <c r="C1972" s="506" t="s">
        <v>32</v>
      </c>
      <c r="D1972" s="508">
        <v>674690</v>
      </c>
      <c r="E1972" s="507" t="s">
        <v>6108</v>
      </c>
    </row>
    <row r="1973" spans="1:5" ht="15" x14ac:dyDescent="0.3">
      <c r="A1973" s="506">
        <v>11089</v>
      </c>
      <c r="B1973" s="507" t="s">
        <v>5221</v>
      </c>
      <c r="C1973" s="506" t="s">
        <v>32</v>
      </c>
      <c r="D1973" s="508">
        <v>28654</v>
      </c>
      <c r="E1973" s="507" t="s">
        <v>6108</v>
      </c>
    </row>
    <row r="1974" spans="1:5" ht="15" x14ac:dyDescent="0.3">
      <c r="A1974" s="506">
        <v>11091</v>
      </c>
      <c r="B1974" s="507" t="s">
        <v>5222</v>
      </c>
      <c r="C1974" s="506" t="s">
        <v>670</v>
      </c>
      <c r="D1974" s="508">
        <v>4451</v>
      </c>
      <c r="E1974" s="507" t="s">
        <v>6108</v>
      </c>
    </row>
    <row r="1975" spans="1:5" ht="15" x14ac:dyDescent="0.3">
      <c r="A1975" s="506">
        <v>11092</v>
      </c>
      <c r="B1975" s="507" t="s">
        <v>5223</v>
      </c>
      <c r="C1975" s="506" t="s">
        <v>670</v>
      </c>
      <c r="D1975" s="508">
        <v>8053</v>
      </c>
      <c r="E1975" s="507" t="s">
        <v>6108</v>
      </c>
    </row>
    <row r="1976" spans="1:5" ht="15" x14ac:dyDescent="0.3">
      <c r="A1976" s="506">
        <v>11093</v>
      </c>
      <c r="B1976" s="507" t="s">
        <v>5224</v>
      </c>
      <c r="C1976" s="506" t="s">
        <v>670</v>
      </c>
      <c r="D1976" s="508">
        <v>8693</v>
      </c>
      <c r="E1976" s="507" t="s">
        <v>6108</v>
      </c>
    </row>
    <row r="1977" spans="1:5" ht="15" x14ac:dyDescent="0.3">
      <c r="A1977" s="506">
        <v>11094</v>
      </c>
      <c r="B1977" s="507" t="s">
        <v>5225</v>
      </c>
      <c r="C1977" s="506" t="s">
        <v>670</v>
      </c>
      <c r="D1977" s="508">
        <v>6815</v>
      </c>
      <c r="E1977" s="507" t="s">
        <v>6108</v>
      </c>
    </row>
    <row r="1978" spans="1:5" ht="15" x14ac:dyDescent="0.3">
      <c r="A1978" s="506">
        <v>11096</v>
      </c>
      <c r="B1978" s="507" t="s">
        <v>5226</v>
      </c>
      <c r="C1978" s="506" t="s">
        <v>670</v>
      </c>
      <c r="D1978" s="508">
        <v>12553</v>
      </c>
      <c r="E1978" s="507" t="s">
        <v>6108</v>
      </c>
    </row>
    <row r="1979" spans="1:5" ht="15" x14ac:dyDescent="0.3">
      <c r="A1979" s="506">
        <v>11097</v>
      </c>
      <c r="B1979" s="507" t="s">
        <v>5227</v>
      </c>
      <c r="C1979" s="506" t="s">
        <v>670</v>
      </c>
      <c r="D1979" s="508">
        <v>12609</v>
      </c>
      <c r="E1979" s="507" t="s">
        <v>6108</v>
      </c>
    </row>
    <row r="1980" spans="1:5" ht="15" x14ac:dyDescent="0.3">
      <c r="A1980" s="506">
        <v>11098</v>
      </c>
      <c r="B1980" s="507" t="s">
        <v>5228</v>
      </c>
      <c r="C1980" s="506" t="s">
        <v>670</v>
      </c>
      <c r="D1980" s="508">
        <v>13345</v>
      </c>
      <c r="E1980" s="507" t="s">
        <v>6108</v>
      </c>
    </row>
    <row r="1981" spans="1:5" ht="15" x14ac:dyDescent="0.3">
      <c r="A1981" s="506">
        <v>11101</v>
      </c>
      <c r="B1981" s="507" t="s">
        <v>6397</v>
      </c>
      <c r="C1981" s="506" t="s">
        <v>328</v>
      </c>
      <c r="D1981" s="508">
        <v>97964</v>
      </c>
      <c r="E1981" s="507" t="s">
        <v>6108</v>
      </c>
    </row>
    <row r="1982" spans="1:5" ht="15" x14ac:dyDescent="0.3">
      <c r="A1982" s="506">
        <v>11102</v>
      </c>
      <c r="B1982" s="507" t="s">
        <v>6398</v>
      </c>
      <c r="C1982" s="506" t="s">
        <v>328</v>
      </c>
      <c r="D1982" s="508">
        <v>344595</v>
      </c>
      <c r="E1982" s="507" t="s">
        <v>6108</v>
      </c>
    </row>
    <row r="1983" spans="1:5" ht="15" x14ac:dyDescent="0.3">
      <c r="A1983" s="506">
        <v>11103</v>
      </c>
      <c r="B1983" s="507" t="s">
        <v>6399</v>
      </c>
      <c r="C1983" s="506" t="s">
        <v>328</v>
      </c>
      <c r="D1983" s="508">
        <v>430744</v>
      </c>
      <c r="E1983" s="507" t="s">
        <v>6108</v>
      </c>
    </row>
    <row r="1984" spans="1:5" ht="15" x14ac:dyDescent="0.3">
      <c r="A1984" s="506">
        <v>11106</v>
      </c>
      <c r="B1984" s="507" t="s">
        <v>6400</v>
      </c>
      <c r="C1984" s="506" t="s">
        <v>328</v>
      </c>
      <c r="D1984" s="508">
        <v>455358</v>
      </c>
      <c r="E1984" s="507" t="s">
        <v>6108</v>
      </c>
    </row>
    <row r="1985" spans="1:5" ht="15" x14ac:dyDescent="0.3">
      <c r="A1985" s="506">
        <v>11107</v>
      </c>
      <c r="B1985" s="507" t="s">
        <v>6401</v>
      </c>
      <c r="C1985" s="506" t="s">
        <v>328</v>
      </c>
      <c r="D1985" s="508">
        <v>639963</v>
      </c>
      <c r="E1985" s="507" t="s">
        <v>6108</v>
      </c>
    </row>
    <row r="1986" spans="1:5" ht="15" x14ac:dyDescent="0.3">
      <c r="A1986" s="506">
        <v>11110</v>
      </c>
      <c r="B1986" s="507" t="s">
        <v>6402</v>
      </c>
      <c r="C1986" s="506" t="s">
        <v>328</v>
      </c>
      <c r="D1986" s="508">
        <v>479972</v>
      </c>
      <c r="E1986" s="507" t="s">
        <v>6108</v>
      </c>
    </row>
    <row r="1987" spans="1:5" ht="15" x14ac:dyDescent="0.3">
      <c r="A1987" s="506">
        <v>11114</v>
      </c>
      <c r="B1987" s="507" t="s">
        <v>6403</v>
      </c>
      <c r="C1987" s="506" t="s">
        <v>328</v>
      </c>
      <c r="D1987" s="508">
        <v>504586</v>
      </c>
      <c r="E1987" s="507" t="s">
        <v>6108</v>
      </c>
    </row>
    <row r="1988" spans="1:5" ht="15" x14ac:dyDescent="0.3">
      <c r="A1988" s="506">
        <v>11116</v>
      </c>
      <c r="B1988" s="507" t="s">
        <v>5229</v>
      </c>
      <c r="C1988" s="506" t="s">
        <v>328</v>
      </c>
      <c r="D1988" s="508">
        <v>309400</v>
      </c>
      <c r="E1988" s="507" t="s">
        <v>6108</v>
      </c>
    </row>
    <row r="1989" spans="1:5" ht="15" x14ac:dyDescent="0.3">
      <c r="A1989" s="506">
        <v>11117</v>
      </c>
      <c r="B1989" s="507" t="s">
        <v>5230</v>
      </c>
      <c r="C1989" s="506" t="s">
        <v>328</v>
      </c>
      <c r="D1989" s="508">
        <v>333200</v>
      </c>
      <c r="E1989" s="507" t="s">
        <v>6108</v>
      </c>
    </row>
    <row r="1990" spans="1:5" ht="15" x14ac:dyDescent="0.3">
      <c r="A1990" s="506">
        <v>11118</v>
      </c>
      <c r="B1990" s="507" t="s">
        <v>5231</v>
      </c>
      <c r="C1990" s="506" t="s">
        <v>328</v>
      </c>
      <c r="D1990" s="508">
        <v>376849</v>
      </c>
      <c r="E1990" s="507" t="s">
        <v>6108</v>
      </c>
    </row>
    <row r="1991" spans="1:5" ht="15" x14ac:dyDescent="0.3">
      <c r="A1991" s="506">
        <v>11119</v>
      </c>
      <c r="B1991" s="507" t="s">
        <v>5232</v>
      </c>
      <c r="C1991" s="506" t="s">
        <v>328</v>
      </c>
      <c r="D1991" s="508">
        <v>537880</v>
      </c>
      <c r="E1991" s="507" t="s">
        <v>6108</v>
      </c>
    </row>
    <row r="1992" spans="1:5" ht="15" x14ac:dyDescent="0.3">
      <c r="A1992" s="506">
        <v>11120</v>
      </c>
      <c r="B1992" s="507" t="s">
        <v>5233</v>
      </c>
      <c r="C1992" s="506" t="s">
        <v>32</v>
      </c>
      <c r="D1992" s="508">
        <v>2215256</v>
      </c>
      <c r="E1992" s="507" t="s">
        <v>6108</v>
      </c>
    </row>
    <row r="1993" spans="1:5" ht="15" x14ac:dyDescent="0.3">
      <c r="A1993" s="506">
        <v>11121</v>
      </c>
      <c r="B1993" s="507" t="s">
        <v>5234</v>
      </c>
      <c r="C1993" s="506" t="s">
        <v>32</v>
      </c>
      <c r="D1993" s="508">
        <v>2953675</v>
      </c>
      <c r="E1993" s="507" t="s">
        <v>6108</v>
      </c>
    </row>
    <row r="1994" spans="1:5" ht="15" x14ac:dyDescent="0.3">
      <c r="A1994" s="506">
        <v>11125</v>
      </c>
      <c r="B1994" s="507" t="s">
        <v>5235</v>
      </c>
      <c r="C1994" s="506" t="s">
        <v>670</v>
      </c>
      <c r="D1994" s="508">
        <v>4356</v>
      </c>
      <c r="E1994" s="507" t="s">
        <v>331</v>
      </c>
    </row>
    <row r="1995" spans="1:5" ht="15" x14ac:dyDescent="0.3">
      <c r="A1995" s="506">
        <v>11127</v>
      </c>
      <c r="B1995" s="507" t="s">
        <v>5236</v>
      </c>
      <c r="C1995" s="506" t="s">
        <v>670</v>
      </c>
      <c r="D1995" s="508">
        <v>4414</v>
      </c>
      <c r="E1995" s="507" t="s">
        <v>331</v>
      </c>
    </row>
    <row r="1996" spans="1:5" ht="15" x14ac:dyDescent="0.3">
      <c r="A1996" s="506">
        <v>11136</v>
      </c>
      <c r="B1996" s="507" t="s">
        <v>5237</v>
      </c>
      <c r="C1996" s="506" t="s">
        <v>328</v>
      </c>
      <c r="D1996" s="508">
        <v>319007</v>
      </c>
      <c r="E1996" s="507" t="s">
        <v>6108</v>
      </c>
    </row>
    <row r="1997" spans="1:5" ht="15" x14ac:dyDescent="0.3">
      <c r="A1997" s="506">
        <v>11156</v>
      </c>
      <c r="B1997" s="507" t="s">
        <v>5238</v>
      </c>
      <c r="C1997" s="506" t="s">
        <v>3582</v>
      </c>
      <c r="D1997" s="508">
        <v>93298</v>
      </c>
      <c r="E1997" s="507" t="s">
        <v>331</v>
      </c>
    </row>
    <row r="1998" spans="1:5" ht="15" x14ac:dyDescent="0.3">
      <c r="A1998" s="506">
        <v>11161</v>
      </c>
      <c r="B1998" s="507" t="s">
        <v>5239</v>
      </c>
      <c r="C1998" s="506" t="s">
        <v>670</v>
      </c>
      <c r="D1998" s="508">
        <v>1314</v>
      </c>
      <c r="E1998" s="507" t="s">
        <v>6108</v>
      </c>
    </row>
    <row r="1999" spans="1:5" ht="15" x14ac:dyDescent="0.3">
      <c r="A1999" s="506">
        <v>11164</v>
      </c>
      <c r="B1999" s="507" t="s">
        <v>5240</v>
      </c>
      <c r="C1999" s="506" t="s">
        <v>32</v>
      </c>
      <c r="D1999" s="508">
        <v>42386</v>
      </c>
      <c r="E1999" s="507" t="s">
        <v>6108</v>
      </c>
    </row>
    <row r="2000" spans="1:5" ht="15" x14ac:dyDescent="0.3">
      <c r="A2000" s="506">
        <v>11165</v>
      </c>
      <c r="B2000" s="507" t="s">
        <v>2672</v>
      </c>
      <c r="C2000" s="506" t="s">
        <v>32</v>
      </c>
      <c r="D2000" s="508">
        <v>6583</v>
      </c>
      <c r="E2000" s="507" t="s">
        <v>6108</v>
      </c>
    </row>
    <row r="2001" spans="1:5" ht="15" x14ac:dyDescent="0.3">
      <c r="A2001" s="506">
        <v>11167</v>
      </c>
      <c r="B2001" s="507" t="s">
        <v>5241</v>
      </c>
      <c r="C2001" s="506" t="s">
        <v>979</v>
      </c>
      <c r="D2001" s="508">
        <v>5207</v>
      </c>
      <c r="E2001" s="507" t="s">
        <v>6108</v>
      </c>
    </row>
    <row r="2002" spans="1:5" ht="15" x14ac:dyDescent="0.3">
      <c r="A2002" s="506">
        <v>11169</v>
      </c>
      <c r="B2002" s="507" t="s">
        <v>5242</v>
      </c>
      <c r="C2002" s="506" t="s">
        <v>328</v>
      </c>
      <c r="D2002" s="508">
        <v>104323</v>
      </c>
      <c r="E2002" s="507" t="s">
        <v>331</v>
      </c>
    </row>
    <row r="2003" spans="1:5" ht="15" x14ac:dyDescent="0.3">
      <c r="A2003" s="506">
        <v>11171</v>
      </c>
      <c r="B2003" s="507" t="s">
        <v>5243</v>
      </c>
      <c r="C2003" s="506" t="s">
        <v>30</v>
      </c>
      <c r="D2003" s="508">
        <v>792600</v>
      </c>
      <c r="E2003" s="507" t="s">
        <v>331</v>
      </c>
    </row>
    <row r="2004" spans="1:5" ht="15" x14ac:dyDescent="0.3">
      <c r="A2004" s="506">
        <v>11172</v>
      </c>
      <c r="B2004" s="507" t="s">
        <v>5244</v>
      </c>
      <c r="C2004" s="506" t="s">
        <v>30</v>
      </c>
      <c r="D2004" s="508">
        <v>859928</v>
      </c>
      <c r="E2004" s="507" t="s">
        <v>331</v>
      </c>
    </row>
    <row r="2005" spans="1:5" ht="15" x14ac:dyDescent="0.3">
      <c r="A2005" s="506">
        <v>11173</v>
      </c>
      <c r="B2005" s="507" t="s">
        <v>5245</v>
      </c>
      <c r="C2005" s="506" t="s">
        <v>32</v>
      </c>
      <c r="D2005" s="508">
        <v>101150</v>
      </c>
      <c r="E2005" s="507" t="s">
        <v>6108</v>
      </c>
    </row>
    <row r="2006" spans="1:5" ht="15" x14ac:dyDescent="0.3">
      <c r="A2006" s="506">
        <v>11175</v>
      </c>
      <c r="B2006" s="507" t="s">
        <v>5246</v>
      </c>
      <c r="C2006" s="506" t="s">
        <v>32</v>
      </c>
      <c r="D2006" s="508">
        <v>59814</v>
      </c>
      <c r="E2006" s="507" t="s">
        <v>6108</v>
      </c>
    </row>
    <row r="2007" spans="1:5" ht="15" x14ac:dyDescent="0.3">
      <c r="A2007" s="506">
        <v>11277</v>
      </c>
      <c r="B2007" s="507" t="s">
        <v>5247</v>
      </c>
      <c r="C2007" s="506" t="s">
        <v>32</v>
      </c>
      <c r="D2007" s="508">
        <v>12188</v>
      </c>
      <c r="E2007" s="507" t="s">
        <v>6108</v>
      </c>
    </row>
    <row r="2008" spans="1:5" ht="15" x14ac:dyDescent="0.3">
      <c r="A2008" s="506">
        <v>11278</v>
      </c>
      <c r="B2008" s="507" t="s">
        <v>5248</v>
      </c>
      <c r="C2008" s="506" t="s">
        <v>32</v>
      </c>
      <c r="D2008" s="508">
        <v>643554</v>
      </c>
      <c r="E2008" s="507" t="s">
        <v>6108</v>
      </c>
    </row>
    <row r="2009" spans="1:5" ht="15" x14ac:dyDescent="0.3">
      <c r="A2009" s="506">
        <v>11279</v>
      </c>
      <c r="B2009" s="507" t="s">
        <v>2711</v>
      </c>
      <c r="C2009" s="506" t="s">
        <v>32</v>
      </c>
      <c r="D2009" s="508">
        <v>643554</v>
      </c>
      <c r="E2009" s="507" t="s">
        <v>6108</v>
      </c>
    </row>
    <row r="2010" spans="1:5" ht="15" x14ac:dyDescent="0.3">
      <c r="A2010" s="506">
        <v>11280</v>
      </c>
      <c r="B2010" s="507" t="s">
        <v>5249</v>
      </c>
      <c r="C2010" s="506" t="s">
        <v>32</v>
      </c>
      <c r="D2010" s="508">
        <v>5414500</v>
      </c>
      <c r="E2010" s="507" t="s">
        <v>6108</v>
      </c>
    </row>
    <row r="2011" spans="1:5" ht="15" x14ac:dyDescent="0.3">
      <c r="A2011" s="506">
        <v>11292</v>
      </c>
      <c r="B2011" s="507" t="s">
        <v>5250</v>
      </c>
      <c r="C2011" s="506" t="s">
        <v>32</v>
      </c>
      <c r="D2011" s="508">
        <v>29200</v>
      </c>
      <c r="E2011" s="507" t="s">
        <v>331</v>
      </c>
    </row>
    <row r="2012" spans="1:5" ht="15" x14ac:dyDescent="0.3">
      <c r="A2012" s="506">
        <v>11305</v>
      </c>
      <c r="B2012" s="507" t="s">
        <v>6404</v>
      </c>
      <c r="C2012" s="506" t="s">
        <v>2721</v>
      </c>
      <c r="D2012" s="508">
        <v>155678</v>
      </c>
      <c r="E2012" s="507" t="s">
        <v>6108</v>
      </c>
    </row>
    <row r="2013" spans="1:5" ht="15" x14ac:dyDescent="0.3">
      <c r="A2013" s="506">
        <v>11308</v>
      </c>
      <c r="B2013" s="507" t="s">
        <v>5251</v>
      </c>
      <c r="C2013" s="506" t="s">
        <v>3582</v>
      </c>
      <c r="D2013" s="508">
        <v>5412</v>
      </c>
      <c r="E2013" s="507" t="s">
        <v>6108</v>
      </c>
    </row>
    <row r="2014" spans="1:5" ht="15" x14ac:dyDescent="0.3">
      <c r="A2014" s="506">
        <v>11328</v>
      </c>
      <c r="B2014" s="507" t="s">
        <v>5252</v>
      </c>
      <c r="C2014" s="506" t="s">
        <v>3579</v>
      </c>
      <c r="D2014" s="508">
        <v>191408</v>
      </c>
      <c r="E2014" s="507" t="s">
        <v>6108</v>
      </c>
    </row>
    <row r="2015" spans="1:5" ht="15" x14ac:dyDescent="0.3">
      <c r="A2015" s="506">
        <v>11329</v>
      </c>
      <c r="B2015" s="507" t="s">
        <v>5253</v>
      </c>
      <c r="C2015" s="506" t="s">
        <v>3579</v>
      </c>
      <c r="D2015" s="508">
        <v>320000</v>
      </c>
      <c r="E2015" s="507" t="s">
        <v>6108</v>
      </c>
    </row>
    <row r="2016" spans="1:5" ht="15" x14ac:dyDescent="0.3">
      <c r="A2016" s="506">
        <v>11330</v>
      </c>
      <c r="B2016" s="507" t="s">
        <v>5254</v>
      </c>
      <c r="C2016" s="506" t="s">
        <v>3579</v>
      </c>
      <c r="D2016" s="508">
        <v>290000</v>
      </c>
      <c r="E2016" s="507" t="s">
        <v>6108</v>
      </c>
    </row>
    <row r="2017" spans="1:5" ht="15" x14ac:dyDescent="0.3">
      <c r="A2017" s="506">
        <v>11331</v>
      </c>
      <c r="B2017" s="507" t="s">
        <v>5255</v>
      </c>
      <c r="C2017" s="506" t="s">
        <v>3579</v>
      </c>
      <c r="D2017" s="508">
        <v>290000</v>
      </c>
      <c r="E2017" s="507" t="s">
        <v>6108</v>
      </c>
    </row>
    <row r="2018" spans="1:5" ht="15" x14ac:dyDescent="0.3">
      <c r="A2018" s="506">
        <v>11332</v>
      </c>
      <c r="B2018" s="507" t="s">
        <v>5256</v>
      </c>
      <c r="C2018" s="506" t="s">
        <v>328</v>
      </c>
      <c r="D2018" s="508">
        <v>392700</v>
      </c>
      <c r="E2018" s="507" t="s">
        <v>6108</v>
      </c>
    </row>
    <row r="2019" spans="1:5" ht="15" x14ac:dyDescent="0.3">
      <c r="A2019" s="506">
        <v>11337</v>
      </c>
      <c r="B2019" s="507" t="s">
        <v>5257</v>
      </c>
      <c r="C2019" s="506" t="s">
        <v>670</v>
      </c>
      <c r="D2019" s="508">
        <v>25981</v>
      </c>
      <c r="E2019" s="507" t="s">
        <v>6108</v>
      </c>
    </row>
    <row r="2020" spans="1:5" ht="15" x14ac:dyDescent="0.3">
      <c r="A2020" s="506">
        <v>11338</v>
      </c>
      <c r="B2020" s="507" t="s">
        <v>5258</v>
      </c>
      <c r="C2020" s="506" t="s">
        <v>30</v>
      </c>
      <c r="D2020" s="508">
        <v>986934</v>
      </c>
      <c r="E2020" s="507" t="s">
        <v>331</v>
      </c>
    </row>
    <row r="2021" spans="1:5" ht="15" x14ac:dyDescent="0.3">
      <c r="A2021" s="506">
        <v>11342</v>
      </c>
      <c r="B2021" s="507" t="s">
        <v>5259</v>
      </c>
      <c r="C2021" s="506" t="s">
        <v>30</v>
      </c>
      <c r="D2021" s="508">
        <v>792302</v>
      </c>
      <c r="E2021" s="507" t="s">
        <v>331</v>
      </c>
    </row>
    <row r="2022" spans="1:5" ht="15" x14ac:dyDescent="0.3">
      <c r="A2022" s="506">
        <v>11343</v>
      </c>
      <c r="B2022" s="507" t="s">
        <v>5260</v>
      </c>
      <c r="C2022" s="506" t="s">
        <v>30</v>
      </c>
      <c r="D2022" s="508">
        <v>860251</v>
      </c>
      <c r="E2022" s="507" t="s">
        <v>331</v>
      </c>
    </row>
    <row r="2023" spans="1:5" ht="15" x14ac:dyDescent="0.3">
      <c r="A2023" s="506">
        <v>11344</v>
      </c>
      <c r="B2023" s="507" t="s">
        <v>5261</v>
      </c>
      <c r="C2023" s="506" t="s">
        <v>670</v>
      </c>
      <c r="D2023" s="508">
        <v>54839</v>
      </c>
      <c r="E2023" s="507" t="s">
        <v>6108</v>
      </c>
    </row>
    <row r="2024" spans="1:5" ht="15" x14ac:dyDescent="0.3">
      <c r="A2024" s="506">
        <v>11346</v>
      </c>
      <c r="B2024" s="507" t="s">
        <v>5262</v>
      </c>
      <c r="C2024" s="506" t="s">
        <v>328</v>
      </c>
      <c r="D2024" s="508">
        <v>10674</v>
      </c>
      <c r="E2024" s="507" t="s">
        <v>6108</v>
      </c>
    </row>
    <row r="2025" spans="1:5" ht="15" x14ac:dyDescent="0.3">
      <c r="A2025" s="506">
        <v>11349</v>
      </c>
      <c r="B2025" s="507" t="s">
        <v>5263</v>
      </c>
      <c r="C2025" s="506" t="s">
        <v>328</v>
      </c>
      <c r="D2025" s="508">
        <v>1725500</v>
      </c>
      <c r="E2025" s="507" t="s">
        <v>331</v>
      </c>
    </row>
    <row r="2026" spans="1:5" ht="15" x14ac:dyDescent="0.3">
      <c r="A2026" s="506">
        <v>11350</v>
      </c>
      <c r="B2026" s="507" t="s">
        <v>5264</v>
      </c>
      <c r="C2026" s="506" t="s">
        <v>328</v>
      </c>
      <c r="D2026" s="508">
        <v>1892100</v>
      </c>
      <c r="E2026" s="507" t="s">
        <v>331</v>
      </c>
    </row>
    <row r="2027" spans="1:5" ht="15" x14ac:dyDescent="0.3">
      <c r="A2027" s="506">
        <v>11351</v>
      </c>
      <c r="B2027" s="507" t="s">
        <v>5265</v>
      </c>
      <c r="C2027" s="506" t="s">
        <v>328</v>
      </c>
      <c r="D2027" s="508">
        <v>2082500</v>
      </c>
      <c r="E2027" s="507" t="s">
        <v>331</v>
      </c>
    </row>
    <row r="2028" spans="1:5" ht="15" x14ac:dyDescent="0.3">
      <c r="A2028" s="506">
        <v>11352</v>
      </c>
      <c r="B2028" s="507" t="s">
        <v>5266</v>
      </c>
      <c r="C2028" s="506" t="s">
        <v>328</v>
      </c>
      <c r="D2028" s="508">
        <v>2475200</v>
      </c>
      <c r="E2028" s="507" t="s">
        <v>331</v>
      </c>
    </row>
    <row r="2029" spans="1:5" ht="15" x14ac:dyDescent="0.3">
      <c r="A2029" s="506">
        <v>11353</v>
      </c>
      <c r="B2029" s="507" t="s">
        <v>5267</v>
      </c>
      <c r="C2029" s="506" t="s">
        <v>328</v>
      </c>
      <c r="D2029" s="508">
        <v>2826250</v>
      </c>
      <c r="E2029" s="507" t="s">
        <v>331</v>
      </c>
    </row>
    <row r="2030" spans="1:5" ht="15" x14ac:dyDescent="0.3">
      <c r="A2030" s="506">
        <v>11354</v>
      </c>
      <c r="B2030" s="507" t="s">
        <v>5268</v>
      </c>
      <c r="C2030" s="506" t="s">
        <v>328</v>
      </c>
      <c r="D2030" s="508">
        <v>3088050</v>
      </c>
      <c r="E2030" s="507" t="s">
        <v>331</v>
      </c>
    </row>
    <row r="2031" spans="1:5" ht="15" x14ac:dyDescent="0.3">
      <c r="A2031" s="506">
        <v>11355</v>
      </c>
      <c r="B2031" s="507" t="s">
        <v>5269</v>
      </c>
      <c r="C2031" s="506" t="s">
        <v>328</v>
      </c>
      <c r="D2031" s="508">
        <v>3790150</v>
      </c>
      <c r="E2031" s="507" t="s">
        <v>331</v>
      </c>
    </row>
    <row r="2032" spans="1:5" ht="15" x14ac:dyDescent="0.3">
      <c r="A2032" s="506">
        <v>11356</v>
      </c>
      <c r="B2032" s="507" t="s">
        <v>5270</v>
      </c>
      <c r="C2032" s="506" t="s">
        <v>328</v>
      </c>
      <c r="D2032" s="508">
        <v>4237152</v>
      </c>
      <c r="E2032" s="507" t="s">
        <v>331</v>
      </c>
    </row>
    <row r="2033" spans="1:5" ht="15" x14ac:dyDescent="0.3">
      <c r="A2033" s="506">
        <v>11357</v>
      </c>
      <c r="B2033" s="507" t="s">
        <v>5271</v>
      </c>
      <c r="C2033" s="506" t="s">
        <v>328</v>
      </c>
      <c r="D2033" s="508">
        <v>5033700</v>
      </c>
      <c r="E2033" s="507" t="s">
        <v>331</v>
      </c>
    </row>
    <row r="2034" spans="1:5" ht="15" x14ac:dyDescent="0.3">
      <c r="A2034" s="506">
        <v>11358</v>
      </c>
      <c r="B2034" s="507" t="s">
        <v>5272</v>
      </c>
      <c r="C2034" s="506" t="s">
        <v>328</v>
      </c>
      <c r="D2034" s="508">
        <v>6012016</v>
      </c>
      <c r="E2034" s="507" t="s">
        <v>331</v>
      </c>
    </row>
    <row r="2035" spans="1:5" ht="15" x14ac:dyDescent="0.3">
      <c r="A2035" s="506">
        <v>11359</v>
      </c>
      <c r="B2035" s="507" t="s">
        <v>5273</v>
      </c>
      <c r="C2035" s="506" t="s">
        <v>328</v>
      </c>
      <c r="D2035" s="508">
        <v>7610050</v>
      </c>
      <c r="E2035" s="507" t="s">
        <v>331</v>
      </c>
    </row>
    <row r="2036" spans="1:5" ht="15" x14ac:dyDescent="0.3">
      <c r="A2036" s="506">
        <v>11360</v>
      </c>
      <c r="B2036" s="507" t="s">
        <v>5274</v>
      </c>
      <c r="C2036" s="506" t="s">
        <v>328</v>
      </c>
      <c r="D2036" s="508">
        <v>9686600</v>
      </c>
      <c r="E2036" s="507" t="s">
        <v>331</v>
      </c>
    </row>
    <row r="2037" spans="1:5" ht="15" x14ac:dyDescent="0.3">
      <c r="A2037" s="506">
        <v>11361</v>
      </c>
      <c r="B2037" s="507" t="s">
        <v>5275</v>
      </c>
      <c r="C2037" s="506" t="s">
        <v>328</v>
      </c>
      <c r="D2037" s="508">
        <v>10642406</v>
      </c>
      <c r="E2037" s="507" t="s">
        <v>331</v>
      </c>
    </row>
    <row r="2038" spans="1:5" ht="15" x14ac:dyDescent="0.3">
      <c r="A2038" s="506">
        <v>11362</v>
      </c>
      <c r="B2038" s="507" t="s">
        <v>5276</v>
      </c>
      <c r="C2038" s="506" t="s">
        <v>32</v>
      </c>
      <c r="D2038" s="508">
        <v>5421</v>
      </c>
      <c r="E2038" s="507" t="s">
        <v>331</v>
      </c>
    </row>
    <row r="2039" spans="1:5" ht="15" x14ac:dyDescent="0.3">
      <c r="A2039" s="506">
        <v>11363</v>
      </c>
      <c r="B2039" s="507" t="s">
        <v>5277</v>
      </c>
      <c r="C2039" s="506" t="s">
        <v>32</v>
      </c>
      <c r="D2039" s="508">
        <v>89202</v>
      </c>
      <c r="E2039" s="507" t="s">
        <v>6108</v>
      </c>
    </row>
    <row r="2040" spans="1:5" ht="15" x14ac:dyDescent="0.3">
      <c r="A2040" s="506">
        <v>11366</v>
      </c>
      <c r="B2040" s="507" t="s">
        <v>5278</v>
      </c>
      <c r="C2040" s="506" t="s">
        <v>30</v>
      </c>
      <c r="D2040" s="508">
        <v>904392</v>
      </c>
      <c r="E2040" s="507" t="s">
        <v>331</v>
      </c>
    </row>
    <row r="2041" spans="1:5" ht="15" x14ac:dyDescent="0.3">
      <c r="A2041" s="506">
        <v>11367</v>
      </c>
      <c r="B2041" s="507" t="s">
        <v>5279</v>
      </c>
      <c r="C2041" s="506" t="s">
        <v>3579</v>
      </c>
      <c r="D2041" s="508">
        <v>192493</v>
      </c>
      <c r="E2041" s="507" t="s">
        <v>6108</v>
      </c>
    </row>
    <row r="2042" spans="1:5" ht="15" x14ac:dyDescent="0.3">
      <c r="A2042" s="506">
        <v>11368</v>
      </c>
      <c r="B2042" s="507" t="s">
        <v>5280</v>
      </c>
      <c r="C2042" s="506" t="s">
        <v>3579</v>
      </c>
      <c r="D2042" s="508">
        <v>192493</v>
      </c>
      <c r="E2042" s="507" t="s">
        <v>6108</v>
      </c>
    </row>
    <row r="2043" spans="1:5" ht="15" x14ac:dyDescent="0.3">
      <c r="A2043" s="506">
        <v>11370</v>
      </c>
      <c r="B2043" s="507" t="s">
        <v>5281</v>
      </c>
      <c r="C2043" s="506" t="s">
        <v>3579</v>
      </c>
      <c r="D2043" s="508">
        <v>365104</v>
      </c>
      <c r="E2043" s="507" t="s">
        <v>6108</v>
      </c>
    </row>
    <row r="2044" spans="1:5" ht="15" x14ac:dyDescent="0.3">
      <c r="A2044" s="506">
        <v>11381</v>
      </c>
      <c r="B2044" s="507" t="s">
        <v>6405</v>
      </c>
      <c r="C2044" s="506" t="s">
        <v>32</v>
      </c>
      <c r="D2044" s="508">
        <v>665128</v>
      </c>
      <c r="E2044" s="507" t="s">
        <v>6108</v>
      </c>
    </row>
    <row r="2045" spans="1:5" ht="15" x14ac:dyDescent="0.3">
      <c r="A2045" s="506">
        <v>11382</v>
      </c>
      <c r="B2045" s="507" t="s">
        <v>6406</v>
      </c>
      <c r="C2045" s="506" t="s">
        <v>32</v>
      </c>
      <c r="D2045" s="508">
        <v>930176</v>
      </c>
      <c r="E2045" s="507" t="s">
        <v>6108</v>
      </c>
    </row>
    <row r="2046" spans="1:5" ht="15" x14ac:dyDescent="0.3">
      <c r="A2046" s="506">
        <v>11384</v>
      </c>
      <c r="B2046" s="507" t="s">
        <v>6407</v>
      </c>
      <c r="C2046" s="506" t="s">
        <v>32</v>
      </c>
      <c r="D2046" s="508">
        <v>482257</v>
      </c>
      <c r="E2046" s="507" t="s">
        <v>6108</v>
      </c>
    </row>
    <row r="2047" spans="1:5" ht="15" x14ac:dyDescent="0.3">
      <c r="A2047" s="506">
        <v>11385</v>
      </c>
      <c r="B2047" s="507" t="s">
        <v>6408</v>
      </c>
      <c r="C2047" s="506" t="s">
        <v>32</v>
      </c>
      <c r="D2047" s="508">
        <v>783185</v>
      </c>
      <c r="E2047" s="507" t="s">
        <v>6108</v>
      </c>
    </row>
    <row r="2048" spans="1:5" ht="15" x14ac:dyDescent="0.3">
      <c r="A2048" s="506">
        <v>11408</v>
      </c>
      <c r="B2048" s="507" t="s">
        <v>5282</v>
      </c>
      <c r="C2048" s="506" t="s">
        <v>328</v>
      </c>
      <c r="D2048" s="508">
        <v>43911</v>
      </c>
      <c r="E2048" s="507" t="s">
        <v>6108</v>
      </c>
    </row>
    <row r="2049" spans="1:5" ht="15" x14ac:dyDescent="0.3">
      <c r="A2049" s="506">
        <v>11409</v>
      </c>
      <c r="B2049" s="507" t="s">
        <v>6409</v>
      </c>
      <c r="C2049" s="506" t="s">
        <v>32</v>
      </c>
      <c r="D2049" s="508">
        <v>1457750</v>
      </c>
      <c r="E2049" s="507" t="s">
        <v>6108</v>
      </c>
    </row>
    <row r="2050" spans="1:5" ht="15" x14ac:dyDescent="0.3">
      <c r="A2050" s="506">
        <v>11424</v>
      </c>
      <c r="B2050" s="507" t="s">
        <v>6410</v>
      </c>
      <c r="C2050" s="506" t="s">
        <v>32</v>
      </c>
      <c r="D2050" s="508">
        <v>3844460</v>
      </c>
      <c r="E2050" s="507" t="s">
        <v>6108</v>
      </c>
    </row>
    <row r="2051" spans="1:5" ht="15" x14ac:dyDescent="0.3">
      <c r="A2051" s="506">
        <v>11425</v>
      </c>
      <c r="B2051" s="507" t="s">
        <v>6411</v>
      </c>
      <c r="C2051" s="506" t="s">
        <v>32</v>
      </c>
      <c r="D2051" s="508">
        <v>4739025</v>
      </c>
      <c r="E2051" s="507" t="s">
        <v>6108</v>
      </c>
    </row>
    <row r="2052" spans="1:5" ht="15" x14ac:dyDescent="0.3">
      <c r="A2052" s="506">
        <v>11426</v>
      </c>
      <c r="B2052" s="507" t="s">
        <v>6412</v>
      </c>
      <c r="C2052" s="506" t="s">
        <v>32</v>
      </c>
      <c r="D2052" s="508">
        <v>5898972</v>
      </c>
      <c r="E2052" s="507" t="s">
        <v>6108</v>
      </c>
    </row>
    <row r="2053" spans="1:5" ht="15" x14ac:dyDescent="0.3">
      <c r="A2053" s="506">
        <v>11427</v>
      </c>
      <c r="B2053" s="507" t="s">
        <v>6413</v>
      </c>
      <c r="C2053" s="506" t="s">
        <v>32</v>
      </c>
      <c r="D2053" s="508">
        <v>7456992</v>
      </c>
      <c r="E2053" s="507" t="s">
        <v>6108</v>
      </c>
    </row>
    <row r="2054" spans="1:5" ht="15" x14ac:dyDescent="0.3">
      <c r="A2054" s="506">
        <v>11429</v>
      </c>
      <c r="B2054" s="507" t="s">
        <v>6414</v>
      </c>
      <c r="C2054" s="506" t="s">
        <v>32</v>
      </c>
      <c r="D2054" s="508">
        <v>4217083</v>
      </c>
      <c r="E2054" s="507" t="s">
        <v>6108</v>
      </c>
    </row>
    <row r="2055" spans="1:5" ht="15" x14ac:dyDescent="0.3">
      <c r="A2055" s="506">
        <v>11430</v>
      </c>
      <c r="B2055" s="507" t="s">
        <v>6415</v>
      </c>
      <c r="C2055" s="506" t="s">
        <v>32</v>
      </c>
      <c r="D2055" s="508">
        <v>5339674</v>
      </c>
      <c r="E2055" s="507" t="s">
        <v>6108</v>
      </c>
    </row>
    <row r="2056" spans="1:5" ht="15" x14ac:dyDescent="0.3">
      <c r="A2056" s="506">
        <v>11432</v>
      </c>
      <c r="B2056" s="507" t="s">
        <v>6416</v>
      </c>
      <c r="C2056" s="506" t="s">
        <v>32</v>
      </c>
      <c r="D2056" s="508">
        <v>4657453</v>
      </c>
      <c r="E2056" s="507" t="s">
        <v>6108</v>
      </c>
    </row>
    <row r="2057" spans="1:5" ht="15" x14ac:dyDescent="0.3">
      <c r="A2057" s="506">
        <v>11433</v>
      </c>
      <c r="B2057" s="507" t="s">
        <v>6417</v>
      </c>
      <c r="C2057" s="506" t="s">
        <v>32</v>
      </c>
      <c r="D2057" s="508">
        <v>7136172</v>
      </c>
      <c r="E2057" s="507" t="s">
        <v>6108</v>
      </c>
    </row>
    <row r="2058" spans="1:5" ht="15" x14ac:dyDescent="0.3">
      <c r="A2058" s="506">
        <v>11434</v>
      </c>
      <c r="B2058" s="507" t="s">
        <v>6418</v>
      </c>
      <c r="C2058" s="506" t="s">
        <v>32</v>
      </c>
      <c r="D2058" s="508">
        <v>9268560</v>
      </c>
      <c r="E2058" s="507" t="s">
        <v>6108</v>
      </c>
    </row>
    <row r="2059" spans="1:5" ht="15" x14ac:dyDescent="0.3">
      <c r="A2059" s="506">
        <v>11435</v>
      </c>
      <c r="B2059" s="507" t="s">
        <v>5283</v>
      </c>
      <c r="C2059" s="506" t="s">
        <v>328</v>
      </c>
      <c r="D2059" s="508">
        <v>718105</v>
      </c>
      <c r="E2059" s="507" t="s">
        <v>6108</v>
      </c>
    </row>
    <row r="2060" spans="1:5" ht="15" x14ac:dyDescent="0.3">
      <c r="A2060" s="506">
        <v>11436</v>
      </c>
      <c r="B2060" s="507" t="s">
        <v>5284</v>
      </c>
      <c r="C2060" s="506" t="s">
        <v>32</v>
      </c>
      <c r="D2060" s="508">
        <v>936558</v>
      </c>
      <c r="E2060" s="507" t="s">
        <v>6108</v>
      </c>
    </row>
    <row r="2061" spans="1:5" ht="15" x14ac:dyDescent="0.3">
      <c r="A2061" s="506">
        <v>11437</v>
      </c>
      <c r="B2061" s="507" t="s">
        <v>5285</v>
      </c>
      <c r="C2061" s="506" t="s">
        <v>32</v>
      </c>
      <c r="D2061" s="508">
        <v>1404837</v>
      </c>
      <c r="E2061" s="507" t="s">
        <v>6108</v>
      </c>
    </row>
    <row r="2062" spans="1:5" ht="15" x14ac:dyDescent="0.3">
      <c r="A2062" s="506">
        <v>11438</v>
      </c>
      <c r="B2062" s="507" t="s">
        <v>5286</v>
      </c>
      <c r="C2062" s="506" t="s">
        <v>328</v>
      </c>
      <c r="D2062" s="508">
        <v>1533200</v>
      </c>
      <c r="E2062" s="507" t="s">
        <v>6108</v>
      </c>
    </row>
    <row r="2063" spans="1:5" ht="15" x14ac:dyDescent="0.3">
      <c r="A2063" s="506">
        <v>11439</v>
      </c>
      <c r="B2063" s="507" t="s">
        <v>5287</v>
      </c>
      <c r="C2063" s="506" t="s">
        <v>32</v>
      </c>
      <c r="D2063" s="508">
        <v>1987700</v>
      </c>
      <c r="E2063" s="507" t="s">
        <v>6108</v>
      </c>
    </row>
    <row r="2064" spans="1:5" ht="15" x14ac:dyDescent="0.3">
      <c r="A2064" s="506">
        <v>11442</v>
      </c>
      <c r="B2064" s="507" t="s">
        <v>5288</v>
      </c>
      <c r="C2064" s="506" t="s">
        <v>21</v>
      </c>
      <c r="D2064" s="508">
        <v>94796</v>
      </c>
      <c r="E2064" s="507" t="s">
        <v>6108</v>
      </c>
    </row>
    <row r="2065" spans="1:5" ht="15" x14ac:dyDescent="0.3">
      <c r="A2065" s="506">
        <v>11443</v>
      </c>
      <c r="B2065" s="507" t="s">
        <v>5289</v>
      </c>
      <c r="C2065" s="506" t="s">
        <v>21</v>
      </c>
      <c r="D2065" s="508">
        <v>72413</v>
      </c>
      <c r="E2065" s="507" t="s">
        <v>6108</v>
      </c>
    </row>
    <row r="2066" spans="1:5" ht="15" x14ac:dyDescent="0.3">
      <c r="A2066" s="506">
        <v>11444</v>
      </c>
      <c r="B2066" s="507" t="s">
        <v>5290</v>
      </c>
      <c r="C2066" s="506" t="s">
        <v>21</v>
      </c>
      <c r="D2066" s="508">
        <v>46081</v>
      </c>
      <c r="E2066" s="507" t="s">
        <v>6108</v>
      </c>
    </row>
    <row r="2067" spans="1:5" ht="15" x14ac:dyDescent="0.3">
      <c r="A2067" s="506">
        <v>11447</v>
      </c>
      <c r="B2067" s="507" t="s">
        <v>5291</v>
      </c>
      <c r="C2067" s="506" t="s">
        <v>21</v>
      </c>
      <c r="D2067" s="508">
        <v>69900</v>
      </c>
      <c r="E2067" s="507" t="s">
        <v>6108</v>
      </c>
    </row>
    <row r="2068" spans="1:5" ht="15" x14ac:dyDescent="0.3">
      <c r="A2068" s="506">
        <v>11448</v>
      </c>
      <c r="B2068" s="507" t="s">
        <v>5292</v>
      </c>
      <c r="C2068" s="506" t="s">
        <v>32</v>
      </c>
      <c r="D2068" s="508">
        <v>146044</v>
      </c>
      <c r="E2068" s="507" t="s">
        <v>6108</v>
      </c>
    </row>
    <row r="2069" spans="1:5" ht="15" x14ac:dyDescent="0.3">
      <c r="A2069" s="506">
        <v>11449</v>
      </c>
      <c r="B2069" s="507" t="s">
        <v>5293</v>
      </c>
      <c r="C2069" s="506" t="s">
        <v>32</v>
      </c>
      <c r="D2069" s="508">
        <v>42993</v>
      </c>
      <c r="E2069" s="507" t="s">
        <v>6108</v>
      </c>
    </row>
    <row r="2070" spans="1:5" ht="15" x14ac:dyDescent="0.3">
      <c r="A2070" s="506">
        <v>11450</v>
      </c>
      <c r="B2070" s="507" t="s">
        <v>5294</v>
      </c>
      <c r="C2070" s="506" t="s">
        <v>32</v>
      </c>
      <c r="D2070" s="508">
        <v>27965</v>
      </c>
      <c r="E2070" s="507" t="s">
        <v>6108</v>
      </c>
    </row>
    <row r="2071" spans="1:5" ht="15" x14ac:dyDescent="0.3">
      <c r="A2071" s="506">
        <v>11451</v>
      </c>
      <c r="B2071" s="507" t="s">
        <v>5295</v>
      </c>
      <c r="C2071" s="506" t="s">
        <v>32</v>
      </c>
      <c r="D2071" s="508">
        <v>54740</v>
      </c>
      <c r="E2071" s="507" t="s">
        <v>6108</v>
      </c>
    </row>
    <row r="2072" spans="1:5" ht="15" x14ac:dyDescent="0.3">
      <c r="A2072" s="506">
        <v>11452</v>
      </c>
      <c r="B2072" s="507" t="s">
        <v>5296</v>
      </c>
      <c r="C2072" s="506" t="s">
        <v>4222</v>
      </c>
      <c r="D2072" s="508">
        <v>42840</v>
      </c>
      <c r="E2072" s="507" t="s">
        <v>6108</v>
      </c>
    </row>
    <row r="2073" spans="1:5" ht="15" x14ac:dyDescent="0.3">
      <c r="A2073" s="506">
        <v>11453</v>
      </c>
      <c r="B2073" s="507" t="s">
        <v>5297</v>
      </c>
      <c r="C2073" s="506" t="s">
        <v>4222</v>
      </c>
      <c r="D2073" s="508">
        <v>852494</v>
      </c>
      <c r="E2073" s="507" t="s">
        <v>6108</v>
      </c>
    </row>
    <row r="2074" spans="1:5" ht="15" x14ac:dyDescent="0.3">
      <c r="A2074" s="506">
        <v>11454</v>
      </c>
      <c r="B2074" s="507" t="s">
        <v>5298</v>
      </c>
      <c r="C2074" s="506" t="s">
        <v>32</v>
      </c>
      <c r="D2074" s="508">
        <v>99000</v>
      </c>
      <c r="E2074" s="507" t="s">
        <v>6108</v>
      </c>
    </row>
    <row r="2075" spans="1:5" ht="15" x14ac:dyDescent="0.3">
      <c r="A2075" s="506">
        <v>11455</v>
      </c>
      <c r="B2075" s="507" t="s">
        <v>6419</v>
      </c>
      <c r="C2075" s="506" t="s">
        <v>5299</v>
      </c>
      <c r="D2075" s="508">
        <v>37691</v>
      </c>
      <c r="E2075" s="507" t="s">
        <v>6108</v>
      </c>
    </row>
    <row r="2076" spans="1:5" ht="15" x14ac:dyDescent="0.3">
      <c r="A2076" s="506">
        <v>11456</v>
      </c>
      <c r="B2076" s="507" t="s">
        <v>6420</v>
      </c>
      <c r="C2076" s="506" t="s">
        <v>5299</v>
      </c>
      <c r="D2076" s="508">
        <v>46704</v>
      </c>
      <c r="E2076" s="507" t="s">
        <v>6108</v>
      </c>
    </row>
    <row r="2077" spans="1:5" ht="15" x14ac:dyDescent="0.3">
      <c r="A2077" s="506">
        <v>11457</v>
      </c>
      <c r="B2077" s="507" t="s">
        <v>6421</v>
      </c>
      <c r="C2077" s="506" t="s">
        <v>4440</v>
      </c>
      <c r="D2077" s="508">
        <v>59813</v>
      </c>
      <c r="E2077" s="507" t="s">
        <v>6108</v>
      </c>
    </row>
    <row r="2078" spans="1:5" ht="15" x14ac:dyDescent="0.3">
      <c r="A2078" s="506">
        <v>11458</v>
      </c>
      <c r="B2078" s="507" t="s">
        <v>6422</v>
      </c>
      <c r="C2078" s="506" t="s">
        <v>2721</v>
      </c>
      <c r="D2078" s="508">
        <v>98618</v>
      </c>
      <c r="E2078" s="507" t="s">
        <v>6108</v>
      </c>
    </row>
    <row r="2079" spans="1:5" ht="15" x14ac:dyDescent="0.3">
      <c r="A2079" s="506">
        <v>11459</v>
      </c>
      <c r="B2079" s="507" t="s">
        <v>6423</v>
      </c>
      <c r="C2079" s="506" t="s">
        <v>2721</v>
      </c>
      <c r="D2079" s="508">
        <v>90555</v>
      </c>
      <c r="E2079" s="507" t="s">
        <v>6108</v>
      </c>
    </row>
    <row r="2080" spans="1:5" ht="15" x14ac:dyDescent="0.3">
      <c r="A2080" s="506">
        <v>11461</v>
      </c>
      <c r="B2080" s="507" t="s">
        <v>6424</v>
      </c>
      <c r="C2080" s="506" t="s">
        <v>2721</v>
      </c>
      <c r="D2080" s="508">
        <v>245806</v>
      </c>
      <c r="E2080" s="507" t="s">
        <v>6108</v>
      </c>
    </row>
    <row r="2081" spans="1:5" ht="15" x14ac:dyDescent="0.3">
      <c r="A2081" s="506">
        <v>11463</v>
      </c>
      <c r="B2081" s="507" t="s">
        <v>6425</v>
      </c>
      <c r="C2081" s="506" t="s">
        <v>2721</v>
      </c>
      <c r="D2081" s="508">
        <v>283025</v>
      </c>
      <c r="E2081" s="507" t="s">
        <v>6108</v>
      </c>
    </row>
    <row r="2082" spans="1:5" ht="15" x14ac:dyDescent="0.3">
      <c r="A2082" s="506">
        <v>11464</v>
      </c>
      <c r="B2082" s="507" t="s">
        <v>6426</v>
      </c>
      <c r="C2082" s="506" t="s">
        <v>2721</v>
      </c>
      <c r="D2082" s="508">
        <v>356584</v>
      </c>
      <c r="E2082" s="507" t="s">
        <v>6108</v>
      </c>
    </row>
    <row r="2083" spans="1:5" ht="15" x14ac:dyDescent="0.3">
      <c r="A2083" s="506">
        <v>11466</v>
      </c>
      <c r="B2083" s="507" t="s">
        <v>6427</v>
      </c>
      <c r="C2083" s="506" t="s">
        <v>2721</v>
      </c>
      <c r="D2083" s="508">
        <v>226813</v>
      </c>
      <c r="E2083" s="507" t="s">
        <v>6108</v>
      </c>
    </row>
    <row r="2084" spans="1:5" ht="15" x14ac:dyDescent="0.3">
      <c r="A2084" s="506">
        <v>11467</v>
      </c>
      <c r="B2084" s="507" t="s">
        <v>6428</v>
      </c>
      <c r="C2084" s="506" t="s">
        <v>2721</v>
      </c>
      <c r="D2084" s="508">
        <v>260987</v>
      </c>
      <c r="E2084" s="507" t="s">
        <v>6108</v>
      </c>
    </row>
    <row r="2085" spans="1:5" ht="15" x14ac:dyDescent="0.3">
      <c r="A2085" s="506">
        <v>11470</v>
      </c>
      <c r="B2085" s="507" t="s">
        <v>6429</v>
      </c>
      <c r="C2085" s="506" t="s">
        <v>2721</v>
      </c>
      <c r="D2085" s="508">
        <v>105399</v>
      </c>
      <c r="E2085" s="507" t="s">
        <v>6108</v>
      </c>
    </row>
    <row r="2086" spans="1:5" ht="15" x14ac:dyDescent="0.3">
      <c r="A2086" s="506">
        <v>11471</v>
      </c>
      <c r="B2086" s="507" t="s">
        <v>6430</v>
      </c>
      <c r="C2086" s="506" t="s">
        <v>2721</v>
      </c>
      <c r="D2086" s="508">
        <v>139409</v>
      </c>
      <c r="E2086" s="507" t="s">
        <v>6108</v>
      </c>
    </row>
    <row r="2087" spans="1:5" ht="15" x14ac:dyDescent="0.3">
      <c r="A2087" s="506">
        <v>11472</v>
      </c>
      <c r="B2087" s="507" t="s">
        <v>6431</v>
      </c>
      <c r="C2087" s="506" t="s">
        <v>2721</v>
      </c>
      <c r="D2087" s="508">
        <v>155678</v>
      </c>
      <c r="E2087" s="507" t="s">
        <v>6108</v>
      </c>
    </row>
    <row r="2088" spans="1:5" ht="15" x14ac:dyDescent="0.3">
      <c r="A2088" s="506">
        <v>11477</v>
      </c>
      <c r="B2088" s="507" t="s">
        <v>5300</v>
      </c>
      <c r="C2088" s="506" t="s">
        <v>3582</v>
      </c>
      <c r="D2088" s="508">
        <v>1383280</v>
      </c>
      <c r="E2088" s="507" t="s">
        <v>6108</v>
      </c>
    </row>
    <row r="2089" spans="1:5" ht="15" x14ac:dyDescent="0.3">
      <c r="A2089" s="506">
        <v>11481</v>
      </c>
      <c r="B2089" s="507" t="s">
        <v>5301</v>
      </c>
      <c r="C2089" s="506" t="s">
        <v>3582</v>
      </c>
      <c r="D2089" s="508">
        <v>1029988</v>
      </c>
      <c r="E2089" s="507" t="s">
        <v>6108</v>
      </c>
    </row>
    <row r="2090" spans="1:5" ht="15" x14ac:dyDescent="0.3">
      <c r="A2090" s="506">
        <v>11482</v>
      </c>
      <c r="B2090" s="507" t="s">
        <v>5302</v>
      </c>
      <c r="C2090" s="506" t="s">
        <v>3582</v>
      </c>
      <c r="D2090" s="508">
        <v>1029988</v>
      </c>
      <c r="E2090" s="507" t="s">
        <v>6108</v>
      </c>
    </row>
    <row r="2091" spans="1:5" ht="15" x14ac:dyDescent="0.3">
      <c r="A2091" s="506">
        <v>11483</v>
      </c>
      <c r="B2091" s="507" t="s">
        <v>5303</v>
      </c>
      <c r="C2091" s="506" t="s">
        <v>3582</v>
      </c>
      <c r="D2091" s="508">
        <v>1029988</v>
      </c>
      <c r="E2091" s="507" t="s">
        <v>6108</v>
      </c>
    </row>
    <row r="2092" spans="1:5" ht="15" x14ac:dyDescent="0.3">
      <c r="A2092" s="506">
        <v>11484</v>
      </c>
      <c r="B2092" s="507" t="s">
        <v>5304</v>
      </c>
      <c r="C2092" s="506" t="s">
        <v>3582</v>
      </c>
      <c r="D2092" s="508">
        <v>1029988</v>
      </c>
      <c r="E2092" s="507" t="s">
        <v>6108</v>
      </c>
    </row>
    <row r="2093" spans="1:5" ht="15" x14ac:dyDescent="0.3">
      <c r="A2093" s="506">
        <v>11485</v>
      </c>
      <c r="B2093" s="507" t="s">
        <v>6432</v>
      </c>
      <c r="C2093" s="506" t="s">
        <v>3582</v>
      </c>
      <c r="D2093" s="508">
        <v>1029988</v>
      </c>
      <c r="E2093" s="507" t="s">
        <v>6108</v>
      </c>
    </row>
    <row r="2094" spans="1:5" ht="15" x14ac:dyDescent="0.3">
      <c r="A2094" s="506">
        <v>11489</v>
      </c>
      <c r="B2094" s="507" t="s">
        <v>6433</v>
      </c>
      <c r="C2094" s="506" t="s">
        <v>3582</v>
      </c>
      <c r="D2094" s="508">
        <v>1029988</v>
      </c>
      <c r="E2094" s="507" t="s">
        <v>6108</v>
      </c>
    </row>
    <row r="2095" spans="1:5" ht="15" x14ac:dyDescent="0.3">
      <c r="A2095" s="506">
        <v>11498</v>
      </c>
      <c r="B2095" s="507" t="s">
        <v>6434</v>
      </c>
      <c r="C2095" s="506" t="s">
        <v>32</v>
      </c>
      <c r="D2095" s="508">
        <v>193000</v>
      </c>
      <c r="E2095" s="507" t="s">
        <v>6108</v>
      </c>
    </row>
    <row r="2096" spans="1:5" ht="15" x14ac:dyDescent="0.3">
      <c r="A2096" s="506">
        <v>11499</v>
      </c>
      <c r="B2096" s="507" t="s">
        <v>6435</v>
      </c>
      <c r="C2096" s="506" t="s">
        <v>32</v>
      </c>
      <c r="D2096" s="508">
        <v>175050</v>
      </c>
      <c r="E2096" s="507" t="s">
        <v>6108</v>
      </c>
    </row>
    <row r="2097" spans="1:5" ht="15" x14ac:dyDescent="0.3">
      <c r="A2097" s="506">
        <v>11500</v>
      </c>
      <c r="B2097" s="507" t="s">
        <v>6436</v>
      </c>
      <c r="C2097" s="506" t="s">
        <v>32</v>
      </c>
      <c r="D2097" s="508">
        <v>229670</v>
      </c>
      <c r="E2097" s="507" t="s">
        <v>6108</v>
      </c>
    </row>
    <row r="2098" spans="1:5" ht="15" x14ac:dyDescent="0.3">
      <c r="A2098" s="506">
        <v>11501</v>
      </c>
      <c r="B2098" s="507" t="s">
        <v>6437</v>
      </c>
      <c r="C2098" s="506" t="s">
        <v>32</v>
      </c>
      <c r="D2098" s="508">
        <v>120000</v>
      </c>
      <c r="E2098" s="507" t="s">
        <v>6108</v>
      </c>
    </row>
    <row r="2099" spans="1:5" ht="15" x14ac:dyDescent="0.3">
      <c r="A2099" s="506">
        <v>11502</v>
      </c>
      <c r="B2099" s="507" t="s">
        <v>5305</v>
      </c>
      <c r="C2099" s="506" t="s">
        <v>32</v>
      </c>
      <c r="D2099" s="508">
        <v>816340</v>
      </c>
      <c r="E2099" s="507" t="s">
        <v>6108</v>
      </c>
    </row>
    <row r="2100" spans="1:5" ht="15" x14ac:dyDescent="0.3">
      <c r="A2100" s="506">
        <v>11503</v>
      </c>
      <c r="B2100" s="507" t="s">
        <v>5306</v>
      </c>
      <c r="C2100" s="506" t="s">
        <v>32</v>
      </c>
      <c r="D2100" s="508">
        <v>907864</v>
      </c>
      <c r="E2100" s="507" t="s">
        <v>6108</v>
      </c>
    </row>
    <row r="2101" spans="1:5" ht="15" x14ac:dyDescent="0.3">
      <c r="A2101" s="506">
        <v>11504</v>
      </c>
      <c r="B2101" s="507" t="s">
        <v>6438</v>
      </c>
      <c r="C2101" s="506" t="s">
        <v>32</v>
      </c>
      <c r="D2101" s="508">
        <v>357000</v>
      </c>
      <c r="E2101" s="507" t="s">
        <v>6108</v>
      </c>
    </row>
    <row r="2102" spans="1:5" ht="15" x14ac:dyDescent="0.3">
      <c r="A2102" s="506">
        <v>11505</v>
      </c>
      <c r="B2102" s="507" t="s">
        <v>6439</v>
      </c>
      <c r="C2102" s="506" t="s">
        <v>32</v>
      </c>
      <c r="D2102" s="508">
        <v>490000</v>
      </c>
      <c r="E2102" s="507" t="s">
        <v>6108</v>
      </c>
    </row>
    <row r="2103" spans="1:5" ht="15" x14ac:dyDescent="0.3">
      <c r="A2103" s="506">
        <v>11506</v>
      </c>
      <c r="B2103" s="507" t="s">
        <v>5307</v>
      </c>
      <c r="C2103" s="506" t="s">
        <v>32</v>
      </c>
      <c r="D2103" s="508">
        <v>664000</v>
      </c>
      <c r="E2103" s="507" t="s">
        <v>6108</v>
      </c>
    </row>
    <row r="2104" spans="1:5" ht="15" x14ac:dyDescent="0.3">
      <c r="A2104" s="506">
        <v>11507</v>
      </c>
      <c r="B2104" s="507" t="s">
        <v>5308</v>
      </c>
      <c r="C2104" s="506" t="s">
        <v>32</v>
      </c>
      <c r="D2104" s="508">
        <v>93415</v>
      </c>
      <c r="E2104" s="507" t="s">
        <v>6108</v>
      </c>
    </row>
    <row r="2105" spans="1:5" ht="15" x14ac:dyDescent="0.3">
      <c r="A2105" s="506">
        <v>11508</v>
      </c>
      <c r="B2105" s="507" t="s">
        <v>5309</v>
      </c>
      <c r="C2105" s="506" t="s">
        <v>32</v>
      </c>
      <c r="D2105" s="508">
        <v>113050</v>
      </c>
      <c r="E2105" s="507" t="s">
        <v>6108</v>
      </c>
    </row>
    <row r="2106" spans="1:5" ht="15" x14ac:dyDescent="0.3">
      <c r="A2106" s="506">
        <v>11509</v>
      </c>
      <c r="B2106" s="507" t="s">
        <v>6440</v>
      </c>
      <c r="C2106" s="506" t="s">
        <v>32</v>
      </c>
      <c r="D2106" s="508">
        <v>141015</v>
      </c>
      <c r="E2106" s="507" t="s">
        <v>6108</v>
      </c>
    </row>
    <row r="2107" spans="1:5" ht="15" x14ac:dyDescent="0.3">
      <c r="A2107" s="506">
        <v>11510</v>
      </c>
      <c r="B2107" s="507" t="s">
        <v>5310</v>
      </c>
      <c r="C2107" s="506" t="s">
        <v>32</v>
      </c>
      <c r="D2107" s="508">
        <v>235620</v>
      </c>
      <c r="E2107" s="507" t="s">
        <v>6108</v>
      </c>
    </row>
    <row r="2108" spans="1:5" ht="15" x14ac:dyDescent="0.3">
      <c r="A2108" s="506">
        <v>11511</v>
      </c>
      <c r="B2108" s="507" t="s">
        <v>5311</v>
      </c>
      <c r="C2108" s="506" t="s">
        <v>5312</v>
      </c>
      <c r="D2108" s="508">
        <v>152915</v>
      </c>
      <c r="E2108" s="507" t="s">
        <v>6108</v>
      </c>
    </row>
    <row r="2109" spans="1:5" ht="15" x14ac:dyDescent="0.3">
      <c r="A2109" s="506">
        <v>11512</v>
      </c>
      <c r="B2109" s="507" t="s">
        <v>5313</v>
      </c>
      <c r="C2109" s="506" t="s">
        <v>32</v>
      </c>
      <c r="D2109" s="508">
        <v>351288</v>
      </c>
      <c r="E2109" s="507" t="s">
        <v>6108</v>
      </c>
    </row>
    <row r="2110" spans="1:5" ht="15" x14ac:dyDescent="0.3">
      <c r="A2110" s="506">
        <v>11513</v>
      </c>
      <c r="B2110" s="507" t="s">
        <v>5314</v>
      </c>
      <c r="C2110" s="506" t="s">
        <v>32</v>
      </c>
      <c r="D2110" s="508">
        <v>227290</v>
      </c>
      <c r="E2110" s="507" t="s">
        <v>6108</v>
      </c>
    </row>
    <row r="2111" spans="1:5" ht="15" x14ac:dyDescent="0.3">
      <c r="A2111" s="506">
        <v>11514</v>
      </c>
      <c r="B2111" s="507" t="s">
        <v>6441</v>
      </c>
      <c r="C2111" s="506" t="s">
        <v>979</v>
      </c>
      <c r="D2111" s="508">
        <v>23800</v>
      </c>
      <c r="E2111" s="507" t="s">
        <v>6108</v>
      </c>
    </row>
    <row r="2112" spans="1:5" ht="15" x14ac:dyDescent="0.3">
      <c r="A2112" s="506">
        <v>11515</v>
      </c>
      <c r="B2112" s="507" t="s">
        <v>5315</v>
      </c>
      <c r="C2112" s="506" t="s">
        <v>32</v>
      </c>
      <c r="D2112" s="508">
        <v>333200</v>
      </c>
      <c r="E2112" s="507" t="s">
        <v>6108</v>
      </c>
    </row>
    <row r="2113" spans="1:5" ht="15" x14ac:dyDescent="0.3">
      <c r="A2113" s="506">
        <v>11516</v>
      </c>
      <c r="B2113" s="507" t="s">
        <v>5316</v>
      </c>
      <c r="C2113" s="506" t="s">
        <v>32</v>
      </c>
      <c r="D2113" s="508">
        <v>142800</v>
      </c>
      <c r="E2113" s="507" t="s">
        <v>6108</v>
      </c>
    </row>
    <row r="2114" spans="1:5" ht="15" x14ac:dyDescent="0.3">
      <c r="A2114" s="506">
        <v>11517</v>
      </c>
      <c r="B2114" s="507" t="s">
        <v>5317</v>
      </c>
      <c r="C2114" s="506" t="s">
        <v>32</v>
      </c>
      <c r="D2114" s="508">
        <v>125000</v>
      </c>
      <c r="E2114" s="507" t="s">
        <v>6108</v>
      </c>
    </row>
    <row r="2115" spans="1:5" ht="15" x14ac:dyDescent="0.3">
      <c r="A2115" s="506">
        <v>11518</v>
      </c>
      <c r="B2115" s="507" t="s">
        <v>6442</v>
      </c>
      <c r="C2115" s="506" t="s">
        <v>32</v>
      </c>
      <c r="D2115" s="508">
        <v>382714</v>
      </c>
      <c r="E2115" s="507" t="s">
        <v>6108</v>
      </c>
    </row>
    <row r="2116" spans="1:5" ht="15" x14ac:dyDescent="0.3">
      <c r="A2116" s="506">
        <v>11519</v>
      </c>
      <c r="B2116" s="507" t="s">
        <v>6443</v>
      </c>
      <c r="C2116" s="506" t="s">
        <v>32</v>
      </c>
      <c r="D2116" s="508">
        <v>189210</v>
      </c>
      <c r="E2116" s="507" t="s">
        <v>6108</v>
      </c>
    </row>
    <row r="2117" spans="1:5" ht="15" x14ac:dyDescent="0.3">
      <c r="A2117" s="506">
        <v>11520</v>
      </c>
      <c r="B2117" s="507" t="s">
        <v>6444</v>
      </c>
      <c r="C2117" s="506" t="s">
        <v>32</v>
      </c>
      <c r="D2117" s="508">
        <v>214200</v>
      </c>
      <c r="E2117" s="507" t="s">
        <v>6108</v>
      </c>
    </row>
    <row r="2118" spans="1:5" ht="15" x14ac:dyDescent="0.3">
      <c r="A2118" s="506">
        <v>11521</v>
      </c>
      <c r="B2118" s="507" t="s">
        <v>6445</v>
      </c>
      <c r="C2118" s="506" t="s">
        <v>32</v>
      </c>
      <c r="D2118" s="508">
        <v>1011500</v>
      </c>
      <c r="E2118" s="507" t="s">
        <v>6108</v>
      </c>
    </row>
    <row r="2119" spans="1:5" ht="15" x14ac:dyDescent="0.3">
      <c r="A2119" s="506">
        <v>11522</v>
      </c>
      <c r="B2119" s="507" t="s">
        <v>5318</v>
      </c>
      <c r="C2119" s="506" t="s">
        <v>32</v>
      </c>
      <c r="D2119" s="508">
        <v>214200</v>
      </c>
      <c r="E2119" s="507" t="s">
        <v>6108</v>
      </c>
    </row>
    <row r="2120" spans="1:5" ht="15" x14ac:dyDescent="0.3">
      <c r="A2120" s="506">
        <v>11523</v>
      </c>
      <c r="B2120" s="507" t="s">
        <v>5319</v>
      </c>
      <c r="C2120" s="506" t="s">
        <v>32</v>
      </c>
      <c r="D2120" s="508">
        <v>511700</v>
      </c>
      <c r="E2120" s="507" t="s">
        <v>6108</v>
      </c>
    </row>
    <row r="2121" spans="1:5" ht="15" x14ac:dyDescent="0.3">
      <c r="A2121" s="506">
        <v>11524</v>
      </c>
      <c r="B2121" s="507" t="s">
        <v>6446</v>
      </c>
      <c r="C2121" s="506" t="s">
        <v>32</v>
      </c>
      <c r="D2121" s="508">
        <v>205025</v>
      </c>
      <c r="E2121" s="507" t="s">
        <v>6108</v>
      </c>
    </row>
    <row r="2122" spans="1:5" ht="15" x14ac:dyDescent="0.3">
      <c r="A2122" s="506">
        <v>11525</v>
      </c>
      <c r="B2122" s="507" t="s">
        <v>6447</v>
      </c>
      <c r="C2122" s="506" t="s">
        <v>32</v>
      </c>
      <c r="D2122" s="508">
        <v>173588</v>
      </c>
      <c r="E2122" s="507" t="s">
        <v>6108</v>
      </c>
    </row>
    <row r="2123" spans="1:5" ht="15" x14ac:dyDescent="0.3">
      <c r="A2123" s="506">
        <v>11526</v>
      </c>
      <c r="B2123" s="507" t="s">
        <v>6448</v>
      </c>
      <c r="C2123" s="506" t="s">
        <v>32</v>
      </c>
      <c r="D2123" s="508">
        <v>714000</v>
      </c>
      <c r="E2123" s="507" t="s">
        <v>6108</v>
      </c>
    </row>
    <row r="2124" spans="1:5" ht="15" x14ac:dyDescent="0.3">
      <c r="A2124" s="506">
        <v>11528</v>
      </c>
      <c r="B2124" s="507" t="s">
        <v>6449</v>
      </c>
      <c r="C2124" s="506" t="s">
        <v>32</v>
      </c>
      <c r="D2124" s="508">
        <v>249900</v>
      </c>
      <c r="E2124" s="507" t="s">
        <v>6108</v>
      </c>
    </row>
    <row r="2125" spans="1:5" ht="15" x14ac:dyDescent="0.3">
      <c r="A2125" s="506">
        <v>11529</v>
      </c>
      <c r="B2125" s="507" t="s">
        <v>5320</v>
      </c>
      <c r="C2125" s="506" t="s">
        <v>32</v>
      </c>
      <c r="D2125" s="508">
        <v>273819</v>
      </c>
      <c r="E2125" s="507" t="s">
        <v>6108</v>
      </c>
    </row>
    <row r="2126" spans="1:5" ht="15" x14ac:dyDescent="0.3">
      <c r="A2126" s="506">
        <v>11531</v>
      </c>
      <c r="B2126" s="507" t="s">
        <v>6450</v>
      </c>
      <c r="C2126" s="506" t="s">
        <v>32</v>
      </c>
      <c r="D2126" s="508">
        <v>225701</v>
      </c>
      <c r="E2126" s="507" t="s">
        <v>6108</v>
      </c>
    </row>
    <row r="2127" spans="1:5" ht="15" x14ac:dyDescent="0.3">
      <c r="A2127" s="506">
        <v>11532</v>
      </c>
      <c r="B2127" s="507" t="s">
        <v>6451</v>
      </c>
      <c r="C2127" s="506" t="s">
        <v>32</v>
      </c>
      <c r="D2127" s="508">
        <v>225701</v>
      </c>
      <c r="E2127" s="507" t="s">
        <v>6108</v>
      </c>
    </row>
    <row r="2128" spans="1:5" ht="15" x14ac:dyDescent="0.3">
      <c r="A2128" s="506">
        <v>11533</v>
      </c>
      <c r="B2128" s="507" t="s">
        <v>6452</v>
      </c>
      <c r="C2128" s="506" t="s">
        <v>32</v>
      </c>
      <c r="D2128" s="508">
        <v>571200</v>
      </c>
      <c r="E2128" s="507" t="s">
        <v>6108</v>
      </c>
    </row>
    <row r="2129" spans="1:5" ht="15" x14ac:dyDescent="0.3">
      <c r="A2129" s="506">
        <v>11534</v>
      </c>
      <c r="B2129" s="507" t="s">
        <v>5321</v>
      </c>
      <c r="C2129" s="506" t="s">
        <v>32</v>
      </c>
      <c r="D2129" s="508">
        <v>1428000</v>
      </c>
      <c r="E2129" s="507" t="s">
        <v>6108</v>
      </c>
    </row>
    <row r="2130" spans="1:5" ht="15" x14ac:dyDescent="0.3">
      <c r="A2130" s="506">
        <v>11535</v>
      </c>
      <c r="B2130" s="507" t="s">
        <v>6453</v>
      </c>
      <c r="C2130" s="506" t="s">
        <v>32</v>
      </c>
      <c r="D2130" s="508">
        <v>357000</v>
      </c>
      <c r="E2130" s="507" t="s">
        <v>6108</v>
      </c>
    </row>
    <row r="2131" spans="1:5" ht="15" x14ac:dyDescent="0.3">
      <c r="A2131" s="506">
        <v>11536</v>
      </c>
      <c r="B2131" s="507" t="s">
        <v>5322</v>
      </c>
      <c r="C2131" s="506" t="s">
        <v>32</v>
      </c>
      <c r="D2131" s="508">
        <v>169630</v>
      </c>
      <c r="E2131" s="507" t="s">
        <v>6108</v>
      </c>
    </row>
    <row r="2132" spans="1:5" ht="15" x14ac:dyDescent="0.3">
      <c r="A2132" s="506">
        <v>11537</v>
      </c>
      <c r="B2132" s="507" t="s">
        <v>6454</v>
      </c>
      <c r="C2132" s="506" t="s">
        <v>32</v>
      </c>
      <c r="D2132" s="508">
        <v>142800</v>
      </c>
      <c r="E2132" s="507" t="s">
        <v>6108</v>
      </c>
    </row>
    <row r="2133" spans="1:5" ht="15" x14ac:dyDescent="0.3">
      <c r="A2133" s="506">
        <v>11538</v>
      </c>
      <c r="B2133" s="507" t="s">
        <v>5323</v>
      </c>
      <c r="C2133" s="506" t="s">
        <v>32</v>
      </c>
      <c r="D2133" s="508">
        <v>717570</v>
      </c>
      <c r="E2133" s="507" t="s">
        <v>6108</v>
      </c>
    </row>
    <row r="2134" spans="1:5" ht="15" x14ac:dyDescent="0.3">
      <c r="A2134" s="506">
        <v>11543</v>
      </c>
      <c r="B2134" s="507" t="s">
        <v>6455</v>
      </c>
      <c r="C2134" s="506" t="s">
        <v>32</v>
      </c>
      <c r="D2134" s="508">
        <v>574330</v>
      </c>
      <c r="E2134" s="507" t="s">
        <v>6108</v>
      </c>
    </row>
    <row r="2135" spans="1:5" ht="15" x14ac:dyDescent="0.3">
      <c r="A2135" s="506">
        <v>11544</v>
      </c>
      <c r="B2135" s="507" t="s">
        <v>6456</v>
      </c>
      <c r="C2135" s="506" t="s">
        <v>32</v>
      </c>
      <c r="D2135" s="508">
        <v>476000</v>
      </c>
      <c r="E2135" s="507" t="s">
        <v>6108</v>
      </c>
    </row>
    <row r="2136" spans="1:5" ht="15" x14ac:dyDescent="0.3">
      <c r="A2136" s="506">
        <v>11546</v>
      </c>
      <c r="B2136" s="507" t="s">
        <v>6457</v>
      </c>
      <c r="C2136" s="506" t="s">
        <v>32</v>
      </c>
      <c r="D2136" s="508">
        <v>172074</v>
      </c>
      <c r="E2136" s="507" t="s">
        <v>6108</v>
      </c>
    </row>
    <row r="2137" spans="1:5" ht="15" x14ac:dyDescent="0.3">
      <c r="A2137" s="506">
        <v>11547</v>
      </c>
      <c r="B2137" s="507" t="s">
        <v>6458</v>
      </c>
      <c r="C2137" s="506" t="s">
        <v>32</v>
      </c>
      <c r="D2137" s="508">
        <v>330000</v>
      </c>
      <c r="E2137" s="507" t="s">
        <v>6108</v>
      </c>
    </row>
    <row r="2138" spans="1:5" ht="15" x14ac:dyDescent="0.3">
      <c r="A2138" s="506">
        <v>11549</v>
      </c>
      <c r="B2138" s="507" t="s">
        <v>5324</v>
      </c>
      <c r="C2138" s="506" t="s">
        <v>32</v>
      </c>
      <c r="D2138" s="508">
        <v>492279</v>
      </c>
      <c r="E2138" s="507" t="s">
        <v>6108</v>
      </c>
    </row>
    <row r="2139" spans="1:5" ht="15" x14ac:dyDescent="0.3">
      <c r="A2139" s="506">
        <v>11550</v>
      </c>
      <c r="B2139" s="507" t="s">
        <v>6459</v>
      </c>
      <c r="C2139" s="506" t="s">
        <v>32</v>
      </c>
      <c r="D2139" s="508">
        <v>237141</v>
      </c>
      <c r="E2139" s="507" t="s">
        <v>6108</v>
      </c>
    </row>
    <row r="2140" spans="1:5" ht="15" x14ac:dyDescent="0.3">
      <c r="A2140" s="506">
        <v>11551</v>
      </c>
      <c r="B2140" s="507" t="s">
        <v>6460</v>
      </c>
      <c r="C2140" s="506" t="s">
        <v>32</v>
      </c>
      <c r="D2140" s="508">
        <v>452200</v>
      </c>
      <c r="E2140" s="507" t="s">
        <v>6108</v>
      </c>
    </row>
    <row r="2141" spans="1:5" ht="15" x14ac:dyDescent="0.3">
      <c r="A2141" s="506">
        <v>11554</v>
      </c>
      <c r="B2141" s="507" t="s">
        <v>5325</v>
      </c>
      <c r="C2141" s="506" t="s">
        <v>670</v>
      </c>
      <c r="D2141" s="508">
        <v>8211</v>
      </c>
      <c r="E2141" s="507" t="s">
        <v>331</v>
      </c>
    </row>
    <row r="2142" spans="1:5" ht="15" x14ac:dyDescent="0.3">
      <c r="A2142" s="506">
        <v>11561</v>
      </c>
      <c r="B2142" s="507" t="s">
        <v>5326</v>
      </c>
      <c r="C2142" s="506" t="s">
        <v>32</v>
      </c>
      <c r="D2142" s="508">
        <v>234548</v>
      </c>
      <c r="E2142" s="507" t="s">
        <v>331</v>
      </c>
    </row>
    <row r="2143" spans="1:5" ht="15" x14ac:dyDescent="0.3">
      <c r="A2143" s="506">
        <v>11562</v>
      </c>
      <c r="B2143" s="507" t="s">
        <v>5327</v>
      </c>
      <c r="C2143" s="506" t="s">
        <v>32</v>
      </c>
      <c r="D2143" s="508">
        <v>166038</v>
      </c>
      <c r="E2143" s="507" t="s">
        <v>6108</v>
      </c>
    </row>
    <row r="2144" spans="1:5" ht="15" x14ac:dyDescent="0.3">
      <c r="A2144" s="506">
        <v>11563</v>
      </c>
      <c r="B2144" s="507" t="s">
        <v>5328</v>
      </c>
      <c r="C2144" s="506" t="s">
        <v>32</v>
      </c>
      <c r="D2144" s="508">
        <v>623449</v>
      </c>
      <c r="E2144" s="507" t="s">
        <v>6108</v>
      </c>
    </row>
    <row r="2145" spans="1:5" ht="15" x14ac:dyDescent="0.3">
      <c r="A2145" s="506">
        <v>11569</v>
      </c>
      <c r="B2145" s="507" t="s">
        <v>5329</v>
      </c>
      <c r="C2145" s="506" t="s">
        <v>21</v>
      </c>
      <c r="D2145" s="508">
        <v>75000</v>
      </c>
      <c r="E2145" s="507" t="s">
        <v>331</v>
      </c>
    </row>
    <row r="2146" spans="1:5" ht="15" x14ac:dyDescent="0.3">
      <c r="A2146" s="506">
        <v>11572</v>
      </c>
      <c r="B2146" s="507" t="s">
        <v>5330</v>
      </c>
      <c r="C2146" s="506" t="s">
        <v>328</v>
      </c>
      <c r="D2146" s="508">
        <v>107613</v>
      </c>
      <c r="E2146" s="507" t="s">
        <v>6108</v>
      </c>
    </row>
    <row r="2147" spans="1:5" ht="15" x14ac:dyDescent="0.3">
      <c r="A2147" s="506">
        <v>11574</v>
      </c>
      <c r="B2147" s="507" t="s">
        <v>5331</v>
      </c>
      <c r="C2147" s="506" t="s">
        <v>670</v>
      </c>
      <c r="D2147" s="508">
        <v>138183</v>
      </c>
      <c r="E2147" s="507" t="s">
        <v>6108</v>
      </c>
    </row>
    <row r="2148" spans="1:5" ht="15" x14ac:dyDescent="0.3">
      <c r="A2148" s="506">
        <v>11575</v>
      </c>
      <c r="B2148" s="507" t="s">
        <v>5332</v>
      </c>
      <c r="C2148" s="506" t="s">
        <v>670</v>
      </c>
      <c r="D2148" s="508">
        <v>57352</v>
      </c>
      <c r="E2148" s="507" t="s">
        <v>6108</v>
      </c>
    </row>
    <row r="2149" spans="1:5" ht="15" x14ac:dyDescent="0.3">
      <c r="A2149" s="506">
        <v>11576</v>
      </c>
      <c r="B2149" s="507" t="s">
        <v>6461</v>
      </c>
      <c r="C2149" s="506" t="s">
        <v>3579</v>
      </c>
      <c r="D2149" s="508">
        <v>151184</v>
      </c>
      <c r="E2149" s="507" t="s">
        <v>6108</v>
      </c>
    </row>
    <row r="2150" spans="1:5" ht="15" x14ac:dyDescent="0.3">
      <c r="A2150" s="506">
        <v>11577</v>
      </c>
      <c r="B2150" s="507" t="s">
        <v>5333</v>
      </c>
      <c r="C2150" s="506" t="s">
        <v>32</v>
      </c>
      <c r="D2150" s="508">
        <v>1646</v>
      </c>
      <c r="E2150" s="507" t="s">
        <v>331</v>
      </c>
    </row>
    <row r="2151" spans="1:5" ht="15" x14ac:dyDescent="0.3">
      <c r="A2151" s="506">
        <v>11580</v>
      </c>
      <c r="B2151" s="507" t="s">
        <v>5334</v>
      </c>
      <c r="C2151" s="506" t="s">
        <v>32</v>
      </c>
      <c r="D2151" s="508">
        <v>3000</v>
      </c>
      <c r="E2151" s="507" t="s">
        <v>331</v>
      </c>
    </row>
    <row r="2152" spans="1:5" ht="15" x14ac:dyDescent="0.3">
      <c r="A2152" s="506">
        <v>11581</v>
      </c>
      <c r="B2152" s="507" t="s">
        <v>5335</v>
      </c>
      <c r="C2152" s="506" t="s">
        <v>32</v>
      </c>
      <c r="D2152" s="508">
        <v>3000</v>
      </c>
      <c r="E2152" s="507" t="s">
        <v>331</v>
      </c>
    </row>
    <row r="2153" spans="1:5" ht="15" x14ac:dyDescent="0.3">
      <c r="A2153" s="506">
        <v>11586</v>
      </c>
      <c r="B2153" s="507" t="s">
        <v>5336</v>
      </c>
      <c r="C2153" s="506" t="s">
        <v>328</v>
      </c>
      <c r="D2153" s="508">
        <v>51328</v>
      </c>
      <c r="E2153" s="507" t="s">
        <v>6108</v>
      </c>
    </row>
    <row r="2154" spans="1:5" ht="15" x14ac:dyDescent="0.3">
      <c r="A2154" s="506">
        <v>11587</v>
      </c>
      <c r="B2154" s="507" t="s">
        <v>5337</v>
      </c>
      <c r="C2154" s="506" t="s">
        <v>328</v>
      </c>
      <c r="D2154" s="508">
        <v>519055</v>
      </c>
      <c r="E2154" s="507" t="s">
        <v>6108</v>
      </c>
    </row>
    <row r="2155" spans="1:5" ht="15" x14ac:dyDescent="0.3">
      <c r="A2155" s="506">
        <v>11588</v>
      </c>
      <c r="B2155" s="507" t="s">
        <v>5338</v>
      </c>
      <c r="C2155" s="506" t="s">
        <v>328</v>
      </c>
      <c r="D2155" s="508">
        <v>201092</v>
      </c>
      <c r="E2155" s="507" t="s">
        <v>6108</v>
      </c>
    </row>
    <row r="2156" spans="1:5" ht="15" x14ac:dyDescent="0.3">
      <c r="A2156" s="506">
        <v>11589</v>
      </c>
      <c r="B2156" s="507" t="s">
        <v>5339</v>
      </c>
      <c r="C2156" s="506" t="s">
        <v>328</v>
      </c>
      <c r="D2156" s="508">
        <v>335581</v>
      </c>
      <c r="E2156" s="507" t="s">
        <v>6108</v>
      </c>
    </row>
    <row r="2157" spans="1:5" ht="15" x14ac:dyDescent="0.3">
      <c r="A2157" s="506">
        <v>11590</v>
      </c>
      <c r="B2157" s="507" t="s">
        <v>5340</v>
      </c>
      <c r="C2157" s="506" t="s">
        <v>32</v>
      </c>
      <c r="D2157" s="508">
        <v>1071000</v>
      </c>
      <c r="E2157" s="507" t="s">
        <v>6108</v>
      </c>
    </row>
    <row r="2158" spans="1:5" ht="15" x14ac:dyDescent="0.3">
      <c r="A2158" s="506">
        <v>11591</v>
      </c>
      <c r="B2158" s="507" t="s">
        <v>5341</v>
      </c>
      <c r="C2158" s="506" t="s">
        <v>32</v>
      </c>
      <c r="D2158" s="508">
        <v>1024122</v>
      </c>
      <c r="E2158" s="507" t="s">
        <v>6108</v>
      </c>
    </row>
    <row r="2159" spans="1:5" ht="15" x14ac:dyDescent="0.3">
      <c r="A2159" s="506">
        <v>11592</v>
      </c>
      <c r="B2159" s="507" t="s">
        <v>5342</v>
      </c>
      <c r="C2159" s="506" t="s">
        <v>32</v>
      </c>
      <c r="D2159" s="508">
        <v>1303429</v>
      </c>
      <c r="E2159" s="507" t="s">
        <v>6108</v>
      </c>
    </row>
    <row r="2160" spans="1:5" ht="15" x14ac:dyDescent="0.3">
      <c r="A2160" s="506">
        <v>11593</v>
      </c>
      <c r="B2160" s="507" t="s">
        <v>5343</v>
      </c>
      <c r="C2160" s="506" t="s">
        <v>328</v>
      </c>
      <c r="D2160" s="508">
        <v>4597</v>
      </c>
      <c r="E2160" s="507" t="s">
        <v>6108</v>
      </c>
    </row>
    <row r="2161" spans="1:5" ht="15" x14ac:dyDescent="0.3">
      <c r="A2161" s="506">
        <v>11595</v>
      </c>
      <c r="B2161" s="507" t="s">
        <v>5344</v>
      </c>
      <c r="C2161" s="506" t="s">
        <v>32</v>
      </c>
      <c r="D2161" s="508">
        <v>29195988</v>
      </c>
      <c r="E2161" s="507" t="s">
        <v>6108</v>
      </c>
    </row>
    <row r="2162" spans="1:5" ht="15" x14ac:dyDescent="0.3">
      <c r="A2162" s="506">
        <v>11596</v>
      </c>
      <c r="B2162" s="507" t="s">
        <v>5345</v>
      </c>
      <c r="C2162" s="506" t="s">
        <v>32</v>
      </c>
      <c r="D2162" s="508">
        <v>23683357</v>
      </c>
      <c r="E2162" s="507" t="s">
        <v>6108</v>
      </c>
    </row>
    <row r="2163" spans="1:5" ht="15" x14ac:dyDescent="0.3">
      <c r="A2163" s="506">
        <v>11597</v>
      </c>
      <c r="B2163" s="507" t="s">
        <v>5346</v>
      </c>
      <c r="C2163" s="506" t="s">
        <v>32</v>
      </c>
      <c r="D2163" s="508">
        <v>61199772</v>
      </c>
      <c r="E2163" s="507" t="s">
        <v>6108</v>
      </c>
    </row>
    <row r="2164" spans="1:5" ht="15" x14ac:dyDescent="0.3">
      <c r="A2164" s="506">
        <v>11600</v>
      </c>
      <c r="B2164" s="507" t="s">
        <v>5347</v>
      </c>
      <c r="C2164" s="506" t="s">
        <v>32</v>
      </c>
      <c r="D2164" s="508">
        <v>41703</v>
      </c>
      <c r="E2164" s="507" t="s">
        <v>331</v>
      </c>
    </row>
    <row r="2165" spans="1:5" ht="15" x14ac:dyDescent="0.3">
      <c r="A2165" s="506">
        <v>11601</v>
      </c>
      <c r="B2165" s="507" t="s">
        <v>5348</v>
      </c>
      <c r="C2165" s="506" t="s">
        <v>21</v>
      </c>
      <c r="D2165" s="508">
        <v>68464</v>
      </c>
      <c r="E2165" s="507" t="s">
        <v>6108</v>
      </c>
    </row>
    <row r="2166" spans="1:5" ht="15" x14ac:dyDescent="0.3">
      <c r="A2166" s="506">
        <v>11602</v>
      </c>
      <c r="B2166" s="507" t="s">
        <v>5349</v>
      </c>
      <c r="C2166" s="506" t="s">
        <v>32</v>
      </c>
      <c r="D2166" s="508">
        <v>4789468</v>
      </c>
      <c r="E2166" s="507" t="s">
        <v>6108</v>
      </c>
    </row>
    <row r="2167" spans="1:5" ht="15" x14ac:dyDescent="0.3">
      <c r="A2167" s="506">
        <v>11603</v>
      </c>
      <c r="B2167" s="507" t="s">
        <v>5350</v>
      </c>
      <c r="C2167" s="506" t="s">
        <v>32</v>
      </c>
      <c r="D2167" s="508">
        <v>4690716</v>
      </c>
      <c r="E2167" s="507" t="s">
        <v>6108</v>
      </c>
    </row>
    <row r="2168" spans="1:5" ht="15" x14ac:dyDescent="0.3">
      <c r="A2168" s="506">
        <v>11605</v>
      </c>
      <c r="B2168" s="507" t="s">
        <v>5351</v>
      </c>
      <c r="C2168" s="506" t="s">
        <v>30</v>
      </c>
      <c r="D2168" s="508">
        <v>724076</v>
      </c>
      <c r="E2168" s="507" t="s">
        <v>331</v>
      </c>
    </row>
    <row r="2169" spans="1:5" ht="15" x14ac:dyDescent="0.3">
      <c r="A2169" s="506">
        <v>11617</v>
      </c>
      <c r="B2169" s="507" t="s">
        <v>5352</v>
      </c>
      <c r="C2169" s="506" t="s">
        <v>32</v>
      </c>
      <c r="D2169" s="508">
        <v>1844</v>
      </c>
      <c r="E2169" s="507" t="s">
        <v>331</v>
      </c>
    </row>
    <row r="2170" spans="1:5" ht="15" x14ac:dyDescent="0.3">
      <c r="A2170" s="506">
        <v>11618</v>
      </c>
      <c r="B2170" s="507" t="s">
        <v>5353</v>
      </c>
      <c r="C2170" s="506" t="s">
        <v>32</v>
      </c>
      <c r="D2170" s="508">
        <v>1844</v>
      </c>
      <c r="E2170" s="507" t="s">
        <v>331</v>
      </c>
    </row>
    <row r="2171" spans="1:5" ht="15" x14ac:dyDescent="0.3">
      <c r="A2171" s="506">
        <v>11619</v>
      </c>
      <c r="B2171" s="507" t="s">
        <v>5354</v>
      </c>
      <c r="C2171" s="506" t="s">
        <v>670</v>
      </c>
      <c r="D2171" s="508">
        <v>19100</v>
      </c>
      <c r="E2171" s="507" t="s">
        <v>331</v>
      </c>
    </row>
    <row r="2172" spans="1:5" ht="15" x14ac:dyDescent="0.3">
      <c r="A2172" s="506">
        <v>11620</v>
      </c>
      <c r="B2172" s="507" t="s">
        <v>5355</v>
      </c>
      <c r="C2172" s="506" t="s">
        <v>32</v>
      </c>
      <c r="D2172" s="508">
        <v>1844</v>
      </c>
      <c r="E2172" s="507" t="s">
        <v>331</v>
      </c>
    </row>
    <row r="2173" spans="1:5" ht="15" x14ac:dyDescent="0.3">
      <c r="A2173" s="506">
        <v>11624</v>
      </c>
      <c r="B2173" s="507" t="s">
        <v>5356</v>
      </c>
      <c r="C2173" s="506" t="s">
        <v>32</v>
      </c>
      <c r="D2173" s="508">
        <v>4412237</v>
      </c>
      <c r="E2173" s="507" t="s">
        <v>6108</v>
      </c>
    </row>
    <row r="2174" spans="1:5" ht="15" x14ac:dyDescent="0.3">
      <c r="A2174" s="506">
        <v>11625</v>
      </c>
      <c r="B2174" s="507" t="s">
        <v>5357</v>
      </c>
      <c r="C2174" s="506" t="s">
        <v>32</v>
      </c>
      <c r="D2174" s="508">
        <v>9536125</v>
      </c>
      <c r="E2174" s="507" t="s">
        <v>6108</v>
      </c>
    </row>
    <row r="2175" spans="1:5" ht="15" x14ac:dyDescent="0.3">
      <c r="A2175" s="506">
        <v>11629</v>
      </c>
      <c r="B2175" s="507" t="s">
        <v>6462</v>
      </c>
      <c r="C2175" s="506" t="s">
        <v>328</v>
      </c>
      <c r="D2175" s="508">
        <v>3628682</v>
      </c>
      <c r="E2175" s="507" t="s">
        <v>6108</v>
      </c>
    </row>
    <row r="2176" spans="1:5" ht="15" x14ac:dyDescent="0.3">
      <c r="A2176" s="506">
        <v>11630</v>
      </c>
      <c r="B2176" s="507" t="s">
        <v>6463</v>
      </c>
      <c r="C2176" s="506" t="s">
        <v>32</v>
      </c>
      <c r="D2176" s="508">
        <v>8297659</v>
      </c>
      <c r="E2176" s="507" t="s">
        <v>6108</v>
      </c>
    </row>
    <row r="2177" spans="1:5" ht="15" x14ac:dyDescent="0.3">
      <c r="A2177" s="506">
        <v>11631</v>
      </c>
      <c r="B2177" s="507" t="s">
        <v>6464</v>
      </c>
      <c r="C2177" s="506" t="s">
        <v>32</v>
      </c>
      <c r="D2177" s="508">
        <v>11802008</v>
      </c>
      <c r="E2177" s="507" t="s">
        <v>6108</v>
      </c>
    </row>
    <row r="2178" spans="1:5" ht="15" x14ac:dyDescent="0.3">
      <c r="A2178" s="506">
        <v>11632</v>
      </c>
      <c r="B2178" s="507" t="s">
        <v>6465</v>
      </c>
      <c r="C2178" s="506" t="s">
        <v>32</v>
      </c>
      <c r="D2178" s="508">
        <v>15239620</v>
      </c>
      <c r="E2178" s="507" t="s">
        <v>6108</v>
      </c>
    </row>
    <row r="2179" spans="1:5" ht="15" x14ac:dyDescent="0.3">
      <c r="A2179" s="506">
        <v>11633</v>
      </c>
      <c r="B2179" s="507" t="s">
        <v>6466</v>
      </c>
      <c r="C2179" s="506" t="s">
        <v>32</v>
      </c>
      <c r="D2179" s="508">
        <v>18994173</v>
      </c>
      <c r="E2179" s="507" t="s">
        <v>6108</v>
      </c>
    </row>
    <row r="2180" spans="1:5" ht="15" x14ac:dyDescent="0.3">
      <c r="A2180" s="506">
        <v>11634</v>
      </c>
      <c r="B2180" s="507" t="s">
        <v>6467</v>
      </c>
      <c r="C2180" s="506" t="s">
        <v>32</v>
      </c>
      <c r="D2180" s="508">
        <v>8287726</v>
      </c>
      <c r="E2180" s="507" t="s">
        <v>6108</v>
      </c>
    </row>
    <row r="2181" spans="1:5" ht="15" x14ac:dyDescent="0.3">
      <c r="A2181" s="506">
        <v>11635</v>
      </c>
      <c r="B2181" s="507" t="s">
        <v>6468</v>
      </c>
      <c r="C2181" s="506" t="s">
        <v>32</v>
      </c>
      <c r="D2181" s="508">
        <v>11550975</v>
      </c>
      <c r="E2181" s="507" t="s">
        <v>6108</v>
      </c>
    </row>
    <row r="2182" spans="1:5" ht="15" x14ac:dyDescent="0.3">
      <c r="A2182" s="506">
        <v>11641</v>
      </c>
      <c r="B2182" s="507" t="s">
        <v>6469</v>
      </c>
      <c r="C2182" s="506" t="s">
        <v>32</v>
      </c>
      <c r="D2182" s="508">
        <v>4607938</v>
      </c>
      <c r="E2182" s="507" t="s">
        <v>6108</v>
      </c>
    </row>
    <row r="2183" spans="1:5" ht="15" x14ac:dyDescent="0.3">
      <c r="A2183" s="506">
        <v>11642</v>
      </c>
      <c r="B2183" s="507" t="s">
        <v>6470</v>
      </c>
      <c r="C2183" s="506" t="s">
        <v>32</v>
      </c>
      <c r="D2183" s="508">
        <v>9734760</v>
      </c>
      <c r="E2183" s="507" t="s">
        <v>6108</v>
      </c>
    </row>
    <row r="2184" spans="1:5" ht="15" x14ac:dyDescent="0.3">
      <c r="A2184" s="506">
        <v>11644</v>
      </c>
      <c r="B2184" s="507" t="s">
        <v>6471</v>
      </c>
      <c r="C2184" s="506" t="s">
        <v>32</v>
      </c>
      <c r="D2184" s="508">
        <v>790440</v>
      </c>
      <c r="E2184" s="507" t="s">
        <v>6108</v>
      </c>
    </row>
    <row r="2185" spans="1:5" ht="15" x14ac:dyDescent="0.3">
      <c r="A2185" s="506">
        <v>11646</v>
      </c>
      <c r="B2185" s="507" t="s">
        <v>6472</v>
      </c>
      <c r="C2185" s="506" t="s">
        <v>32</v>
      </c>
      <c r="D2185" s="508">
        <v>11800403</v>
      </c>
      <c r="E2185" s="507" t="s">
        <v>6108</v>
      </c>
    </row>
    <row r="2186" spans="1:5" ht="15" x14ac:dyDescent="0.3">
      <c r="A2186" s="506">
        <v>11647</v>
      </c>
      <c r="B2186" s="507" t="s">
        <v>6473</v>
      </c>
      <c r="C2186" s="506" t="s">
        <v>32</v>
      </c>
      <c r="D2186" s="508">
        <v>5561859</v>
      </c>
      <c r="E2186" s="507" t="s">
        <v>6108</v>
      </c>
    </row>
    <row r="2187" spans="1:5" ht="15" x14ac:dyDescent="0.3">
      <c r="A2187" s="506">
        <v>11648</v>
      </c>
      <c r="B2187" s="507" t="s">
        <v>5358</v>
      </c>
      <c r="C2187" s="506" t="s">
        <v>32</v>
      </c>
      <c r="D2187" s="508">
        <v>2019466</v>
      </c>
      <c r="E2187" s="507" t="s">
        <v>6108</v>
      </c>
    </row>
    <row r="2188" spans="1:5" ht="15" x14ac:dyDescent="0.3">
      <c r="A2188" s="506">
        <v>11649</v>
      </c>
      <c r="B2188" s="507" t="s">
        <v>6474</v>
      </c>
      <c r="C2188" s="506" t="s">
        <v>32</v>
      </c>
      <c r="D2188" s="508">
        <v>5083914</v>
      </c>
      <c r="E2188" s="507" t="s">
        <v>6108</v>
      </c>
    </row>
    <row r="2189" spans="1:5" ht="15" x14ac:dyDescent="0.3">
      <c r="A2189" s="506">
        <v>11652</v>
      </c>
      <c r="B2189" s="507" t="s">
        <v>6475</v>
      </c>
      <c r="C2189" s="506" t="s">
        <v>32</v>
      </c>
      <c r="D2189" s="508">
        <v>14930922</v>
      </c>
      <c r="E2189" s="507" t="s">
        <v>6108</v>
      </c>
    </row>
    <row r="2190" spans="1:5" ht="15" x14ac:dyDescent="0.3">
      <c r="A2190" s="506">
        <v>11653</v>
      </c>
      <c r="B2190" s="507" t="s">
        <v>6476</v>
      </c>
      <c r="C2190" s="506" t="s">
        <v>32</v>
      </c>
      <c r="D2190" s="508">
        <v>16239110</v>
      </c>
      <c r="E2190" s="507" t="s">
        <v>6108</v>
      </c>
    </row>
    <row r="2191" spans="1:5" ht="15" x14ac:dyDescent="0.3">
      <c r="A2191" s="506">
        <v>11655</v>
      </c>
      <c r="B2191" s="507" t="s">
        <v>6477</v>
      </c>
      <c r="C2191" s="506" t="s">
        <v>32</v>
      </c>
      <c r="D2191" s="508">
        <v>560468</v>
      </c>
      <c r="E2191" s="507" t="s">
        <v>6108</v>
      </c>
    </row>
    <row r="2192" spans="1:5" ht="15" x14ac:dyDescent="0.3">
      <c r="A2192" s="506">
        <v>11657</v>
      </c>
      <c r="B2192" s="507" t="s">
        <v>6478</v>
      </c>
      <c r="C2192" s="506" t="s">
        <v>32</v>
      </c>
      <c r="D2192" s="508">
        <v>2137240</v>
      </c>
      <c r="E2192" s="507" t="s">
        <v>6108</v>
      </c>
    </row>
    <row r="2193" spans="1:5" ht="15" x14ac:dyDescent="0.3">
      <c r="A2193" s="506">
        <v>11659</v>
      </c>
      <c r="B2193" s="507" t="s">
        <v>5359</v>
      </c>
      <c r="C2193" s="506" t="s">
        <v>32</v>
      </c>
      <c r="D2193" s="508">
        <v>9028106</v>
      </c>
      <c r="E2193" s="507" t="s">
        <v>6108</v>
      </c>
    </row>
    <row r="2194" spans="1:5" ht="15" x14ac:dyDescent="0.3">
      <c r="A2194" s="506">
        <v>11665</v>
      </c>
      <c r="B2194" s="507" t="s">
        <v>6479</v>
      </c>
      <c r="C2194" s="506" t="s">
        <v>32</v>
      </c>
      <c r="D2194" s="508">
        <v>1858674</v>
      </c>
      <c r="E2194" s="507" t="s">
        <v>6108</v>
      </c>
    </row>
    <row r="2195" spans="1:5" ht="15" x14ac:dyDescent="0.3">
      <c r="A2195" s="506">
        <v>11666</v>
      </c>
      <c r="B2195" s="507" t="s">
        <v>6480</v>
      </c>
      <c r="C2195" s="506" t="s">
        <v>32</v>
      </c>
      <c r="D2195" s="508">
        <v>23178145</v>
      </c>
      <c r="E2195" s="507" t="s">
        <v>6108</v>
      </c>
    </row>
    <row r="2196" spans="1:5" ht="15" x14ac:dyDescent="0.3">
      <c r="A2196" s="506">
        <v>11668</v>
      </c>
      <c r="B2196" s="507" t="s">
        <v>6481</v>
      </c>
      <c r="C2196" s="506" t="s">
        <v>32</v>
      </c>
      <c r="D2196" s="508">
        <v>357768</v>
      </c>
      <c r="E2196" s="507" t="s">
        <v>6108</v>
      </c>
    </row>
    <row r="2197" spans="1:5" ht="15" x14ac:dyDescent="0.3">
      <c r="A2197" s="506">
        <v>11670</v>
      </c>
      <c r="B2197" s="507" t="s">
        <v>5360</v>
      </c>
      <c r="C2197" s="506" t="s">
        <v>32</v>
      </c>
      <c r="D2197" s="508">
        <v>1178147</v>
      </c>
      <c r="E2197" s="507" t="s">
        <v>6108</v>
      </c>
    </row>
    <row r="2198" spans="1:5" ht="15" x14ac:dyDescent="0.3">
      <c r="A2198" s="506">
        <v>11672</v>
      </c>
      <c r="B2198" s="507" t="s">
        <v>6482</v>
      </c>
      <c r="C2198" s="506" t="s">
        <v>32</v>
      </c>
      <c r="D2198" s="508">
        <v>6751231</v>
      </c>
      <c r="E2198" s="507" t="s">
        <v>6108</v>
      </c>
    </row>
    <row r="2199" spans="1:5" ht="15" x14ac:dyDescent="0.3">
      <c r="A2199" s="506">
        <v>11708</v>
      </c>
      <c r="B2199" s="507" t="s">
        <v>5361</v>
      </c>
      <c r="C2199" s="506" t="s">
        <v>32</v>
      </c>
      <c r="D2199" s="508">
        <v>331491</v>
      </c>
      <c r="E2199" s="507" t="s">
        <v>6108</v>
      </c>
    </row>
    <row r="2200" spans="1:5" ht="15" x14ac:dyDescent="0.3">
      <c r="A2200" s="506">
        <v>11711</v>
      </c>
      <c r="B2200" s="507" t="s">
        <v>5362</v>
      </c>
      <c r="C2200" s="506" t="s">
        <v>328</v>
      </c>
      <c r="D2200" s="508">
        <v>3926856</v>
      </c>
      <c r="E2200" s="507" t="s">
        <v>6108</v>
      </c>
    </row>
    <row r="2201" spans="1:5" ht="15" x14ac:dyDescent="0.3">
      <c r="A2201" s="506">
        <v>11712</v>
      </c>
      <c r="B2201" s="507" t="s">
        <v>5363</v>
      </c>
      <c r="C2201" s="506" t="s">
        <v>328</v>
      </c>
      <c r="D2201" s="508">
        <v>4286590</v>
      </c>
      <c r="E2201" s="507" t="s">
        <v>6108</v>
      </c>
    </row>
    <row r="2202" spans="1:5" ht="15" x14ac:dyDescent="0.3">
      <c r="A2202" s="506">
        <v>11713</v>
      </c>
      <c r="B2202" s="507" t="s">
        <v>5364</v>
      </c>
      <c r="C2202" s="506" t="s">
        <v>328</v>
      </c>
      <c r="D2202" s="508">
        <v>4845489</v>
      </c>
      <c r="E2202" s="507" t="s">
        <v>6108</v>
      </c>
    </row>
    <row r="2203" spans="1:5" ht="15" x14ac:dyDescent="0.3">
      <c r="A2203" s="506">
        <v>11714</v>
      </c>
      <c r="B2203" s="507" t="s">
        <v>5365</v>
      </c>
      <c r="C2203" s="506" t="s">
        <v>32</v>
      </c>
      <c r="D2203" s="508">
        <v>820936</v>
      </c>
      <c r="E2203" s="507" t="s">
        <v>6108</v>
      </c>
    </row>
    <row r="2204" spans="1:5" ht="15" x14ac:dyDescent="0.3">
      <c r="A2204" s="506">
        <v>11715</v>
      </c>
      <c r="B2204" s="507" t="s">
        <v>5366</v>
      </c>
      <c r="C2204" s="506" t="s">
        <v>328</v>
      </c>
      <c r="D2204" s="508">
        <v>5442428</v>
      </c>
      <c r="E2204" s="507" t="s">
        <v>6108</v>
      </c>
    </row>
    <row r="2205" spans="1:5" ht="15" x14ac:dyDescent="0.3">
      <c r="A2205" s="506">
        <v>11716</v>
      </c>
      <c r="B2205" s="507" t="s">
        <v>5367</v>
      </c>
      <c r="C2205" s="506" t="s">
        <v>328</v>
      </c>
      <c r="D2205" s="508">
        <v>6939753</v>
      </c>
      <c r="E2205" s="507" t="s">
        <v>6108</v>
      </c>
    </row>
    <row r="2206" spans="1:5" ht="15" x14ac:dyDescent="0.3">
      <c r="A2206" s="506">
        <v>11717</v>
      </c>
      <c r="B2206" s="507" t="s">
        <v>5368</v>
      </c>
      <c r="C2206" s="506" t="s">
        <v>328</v>
      </c>
      <c r="D2206" s="508">
        <v>8452555</v>
      </c>
      <c r="E2206" s="507" t="s">
        <v>6108</v>
      </c>
    </row>
    <row r="2207" spans="1:5" ht="15" x14ac:dyDescent="0.3">
      <c r="A2207" s="506">
        <v>11718</v>
      </c>
      <c r="B2207" s="507" t="s">
        <v>5369</v>
      </c>
      <c r="C2207" s="506" t="s">
        <v>328</v>
      </c>
      <c r="D2207" s="508">
        <v>40684</v>
      </c>
      <c r="E2207" s="507" t="s">
        <v>6108</v>
      </c>
    </row>
    <row r="2208" spans="1:5" ht="15" x14ac:dyDescent="0.3">
      <c r="A2208" s="506">
        <v>11719</v>
      </c>
      <c r="B2208" s="507" t="s">
        <v>5370</v>
      </c>
      <c r="C2208" s="506" t="s">
        <v>328</v>
      </c>
      <c r="D2208" s="508">
        <v>60659</v>
      </c>
      <c r="E2208" s="507" t="s">
        <v>6108</v>
      </c>
    </row>
    <row r="2209" spans="1:5" ht="15" x14ac:dyDescent="0.3">
      <c r="A2209" s="506">
        <v>11720</v>
      </c>
      <c r="B2209" s="507" t="s">
        <v>5371</v>
      </c>
      <c r="C2209" s="506" t="s">
        <v>328</v>
      </c>
      <c r="D2209" s="508">
        <v>81000</v>
      </c>
      <c r="E2209" s="507" t="s">
        <v>6108</v>
      </c>
    </row>
    <row r="2210" spans="1:5" ht="15" x14ac:dyDescent="0.3">
      <c r="A2210" s="506">
        <v>11721</v>
      </c>
      <c r="B2210" s="507" t="s">
        <v>5372</v>
      </c>
      <c r="C2210" s="506" t="s">
        <v>32</v>
      </c>
      <c r="D2210" s="508">
        <v>157571</v>
      </c>
      <c r="E2210" s="507" t="s">
        <v>6108</v>
      </c>
    </row>
    <row r="2211" spans="1:5" ht="15" x14ac:dyDescent="0.3">
      <c r="A2211" s="506">
        <v>11722</v>
      </c>
      <c r="B2211" s="507" t="s">
        <v>5373</v>
      </c>
      <c r="C2211" s="506" t="s">
        <v>32</v>
      </c>
      <c r="D2211" s="508">
        <v>312177</v>
      </c>
      <c r="E2211" s="507" t="s">
        <v>6108</v>
      </c>
    </row>
    <row r="2212" spans="1:5" ht="15" x14ac:dyDescent="0.3">
      <c r="A2212" s="506">
        <v>11723</v>
      </c>
      <c r="B2212" s="507" t="s">
        <v>5374</v>
      </c>
      <c r="C2212" s="506" t="s">
        <v>32</v>
      </c>
      <c r="D2212" s="508">
        <v>373427</v>
      </c>
      <c r="E2212" s="507" t="s">
        <v>6108</v>
      </c>
    </row>
    <row r="2213" spans="1:5" ht="15" x14ac:dyDescent="0.3">
      <c r="A2213" s="506">
        <v>11724</v>
      </c>
      <c r="B2213" s="507" t="s">
        <v>5375</v>
      </c>
      <c r="C2213" s="506" t="s">
        <v>32</v>
      </c>
      <c r="D2213" s="508">
        <v>551738</v>
      </c>
      <c r="E2213" s="507" t="s">
        <v>6108</v>
      </c>
    </row>
    <row r="2214" spans="1:5" ht="15" x14ac:dyDescent="0.3">
      <c r="A2214" s="506">
        <v>11728</v>
      </c>
      <c r="B2214" s="507" t="s">
        <v>5376</v>
      </c>
      <c r="C2214" s="506" t="s">
        <v>32</v>
      </c>
      <c r="D2214" s="508">
        <v>104712</v>
      </c>
      <c r="E2214" s="507" t="s">
        <v>6108</v>
      </c>
    </row>
    <row r="2215" spans="1:5" ht="15" x14ac:dyDescent="0.3">
      <c r="A2215" s="506">
        <v>11729</v>
      </c>
      <c r="B2215" s="507" t="s">
        <v>5377</v>
      </c>
      <c r="C2215" s="506" t="s">
        <v>32</v>
      </c>
      <c r="D2215" s="508">
        <v>145457</v>
      </c>
      <c r="E2215" s="507" t="s">
        <v>6108</v>
      </c>
    </row>
    <row r="2216" spans="1:5" ht="15" x14ac:dyDescent="0.3">
      <c r="A2216" s="506">
        <v>11735</v>
      </c>
      <c r="B2216" s="507" t="s">
        <v>5378</v>
      </c>
      <c r="C2216" s="506" t="s">
        <v>32</v>
      </c>
      <c r="D2216" s="508">
        <v>255627</v>
      </c>
      <c r="E2216" s="507" t="s">
        <v>6108</v>
      </c>
    </row>
    <row r="2217" spans="1:5" ht="15" x14ac:dyDescent="0.3">
      <c r="A2217" s="506">
        <v>11736</v>
      </c>
      <c r="B2217" s="507" t="s">
        <v>5379</v>
      </c>
      <c r="C2217" s="506" t="s">
        <v>32</v>
      </c>
      <c r="D2217" s="508">
        <v>221715</v>
      </c>
      <c r="E2217" s="507" t="s">
        <v>6108</v>
      </c>
    </row>
    <row r="2218" spans="1:5" ht="15" x14ac:dyDescent="0.3">
      <c r="A2218" s="506">
        <v>11737</v>
      </c>
      <c r="B2218" s="507" t="s">
        <v>5380</v>
      </c>
      <c r="C2218" s="506" t="s">
        <v>32</v>
      </c>
      <c r="D2218" s="508">
        <v>262169</v>
      </c>
      <c r="E2218" s="507" t="s">
        <v>6108</v>
      </c>
    </row>
    <row r="2219" spans="1:5" ht="15" x14ac:dyDescent="0.3">
      <c r="A2219" s="506">
        <v>11738</v>
      </c>
      <c r="B2219" s="507" t="s">
        <v>5381</v>
      </c>
      <c r="C2219" s="506" t="s">
        <v>32</v>
      </c>
      <c r="D2219" s="508">
        <v>105486</v>
      </c>
      <c r="E2219" s="507" t="s">
        <v>6108</v>
      </c>
    </row>
    <row r="2220" spans="1:5" ht="15" x14ac:dyDescent="0.3">
      <c r="A2220" s="506">
        <v>11739</v>
      </c>
      <c r="B2220" s="507" t="s">
        <v>5382</v>
      </c>
      <c r="C2220" s="506" t="s">
        <v>32</v>
      </c>
      <c r="D2220" s="508">
        <v>53305</v>
      </c>
      <c r="E2220" s="507" t="s">
        <v>6108</v>
      </c>
    </row>
    <row r="2221" spans="1:5" ht="15" x14ac:dyDescent="0.3">
      <c r="A2221" s="506">
        <v>11743</v>
      </c>
      <c r="B2221" s="507" t="s">
        <v>6483</v>
      </c>
      <c r="C2221" s="506" t="s">
        <v>32</v>
      </c>
      <c r="D2221" s="508">
        <v>28957503</v>
      </c>
      <c r="E2221" s="507" t="s">
        <v>6108</v>
      </c>
    </row>
    <row r="2222" spans="1:5" ht="15" x14ac:dyDescent="0.3">
      <c r="A2222" s="506">
        <v>11744</v>
      </c>
      <c r="B2222" s="507" t="s">
        <v>5383</v>
      </c>
      <c r="C2222" s="506" t="s">
        <v>328</v>
      </c>
      <c r="D2222" s="508">
        <v>104525</v>
      </c>
      <c r="E2222" s="507" t="s">
        <v>6108</v>
      </c>
    </row>
    <row r="2223" spans="1:5" ht="15" x14ac:dyDescent="0.3">
      <c r="A2223" s="506">
        <v>11745</v>
      </c>
      <c r="B2223" s="507" t="s">
        <v>5384</v>
      </c>
      <c r="C2223" s="506" t="s">
        <v>328</v>
      </c>
      <c r="D2223" s="508">
        <v>162027</v>
      </c>
      <c r="E2223" s="507" t="s">
        <v>6108</v>
      </c>
    </row>
    <row r="2224" spans="1:5" ht="15" x14ac:dyDescent="0.3">
      <c r="A2224" s="506">
        <v>11746</v>
      </c>
      <c r="B2224" s="507" t="s">
        <v>5385</v>
      </c>
      <c r="C2224" s="506" t="s">
        <v>328</v>
      </c>
      <c r="D2224" s="508">
        <v>257336</v>
      </c>
      <c r="E2224" s="507" t="s">
        <v>6108</v>
      </c>
    </row>
    <row r="2225" spans="1:5" ht="15" x14ac:dyDescent="0.3">
      <c r="A2225" s="506">
        <v>11747</v>
      </c>
      <c r="B2225" s="507" t="s">
        <v>5386</v>
      </c>
      <c r="C2225" s="506" t="s">
        <v>328</v>
      </c>
      <c r="D2225" s="508">
        <v>402939</v>
      </c>
      <c r="E2225" s="507" t="s">
        <v>6108</v>
      </c>
    </row>
    <row r="2226" spans="1:5" ht="15" x14ac:dyDescent="0.3">
      <c r="A2226" s="506">
        <v>11748</v>
      </c>
      <c r="B2226" s="507" t="s">
        <v>5387</v>
      </c>
      <c r="C2226" s="506" t="s">
        <v>328</v>
      </c>
      <c r="D2226" s="508">
        <v>510010</v>
      </c>
      <c r="E2226" s="507" t="s">
        <v>6108</v>
      </c>
    </row>
    <row r="2227" spans="1:5" ht="15" x14ac:dyDescent="0.3">
      <c r="A2227" s="506">
        <v>11764</v>
      </c>
      <c r="B2227" s="507" t="s">
        <v>5388</v>
      </c>
      <c r="C2227" s="506" t="s">
        <v>32</v>
      </c>
      <c r="D2227" s="508">
        <v>499589</v>
      </c>
      <c r="E2227" s="507" t="s">
        <v>6108</v>
      </c>
    </row>
    <row r="2228" spans="1:5" ht="15" x14ac:dyDescent="0.3">
      <c r="A2228" s="506">
        <v>11765</v>
      </c>
      <c r="B2228" s="507" t="s">
        <v>5389</v>
      </c>
      <c r="C2228" s="506" t="s">
        <v>32</v>
      </c>
      <c r="D2228" s="508">
        <v>20976</v>
      </c>
      <c r="E2228" s="507" t="s">
        <v>331</v>
      </c>
    </row>
    <row r="2229" spans="1:5" ht="15" x14ac:dyDescent="0.3">
      <c r="A2229" s="506">
        <v>11766</v>
      </c>
      <c r="B2229" s="507" t="s">
        <v>5390</v>
      </c>
      <c r="C2229" s="506" t="s">
        <v>32</v>
      </c>
      <c r="D2229" s="508">
        <v>858523</v>
      </c>
      <c r="E2229" s="507" t="s">
        <v>6108</v>
      </c>
    </row>
    <row r="2230" spans="1:5" ht="15" x14ac:dyDescent="0.3">
      <c r="A2230" s="506">
        <v>11770</v>
      </c>
      <c r="B2230" s="507" t="s">
        <v>5391</v>
      </c>
      <c r="C2230" s="506" t="s">
        <v>32</v>
      </c>
      <c r="D2230" s="508">
        <v>81008</v>
      </c>
      <c r="E2230" s="507" t="s">
        <v>6108</v>
      </c>
    </row>
    <row r="2231" spans="1:5" ht="15" x14ac:dyDescent="0.3">
      <c r="A2231" s="506">
        <v>11771</v>
      </c>
      <c r="B2231" s="507" t="s">
        <v>5392</v>
      </c>
      <c r="C2231" s="506" t="s">
        <v>32</v>
      </c>
      <c r="D2231" s="508">
        <v>51247</v>
      </c>
      <c r="E2231" s="507" t="s">
        <v>6108</v>
      </c>
    </row>
    <row r="2232" spans="1:5" ht="15" x14ac:dyDescent="0.3">
      <c r="A2232" s="506">
        <v>11772</v>
      </c>
      <c r="B2232" s="507" t="s">
        <v>5393</v>
      </c>
      <c r="C2232" s="506" t="s">
        <v>32</v>
      </c>
      <c r="D2232" s="508">
        <v>10341</v>
      </c>
      <c r="E2232" s="507" t="s">
        <v>6108</v>
      </c>
    </row>
    <row r="2233" spans="1:5" ht="15" x14ac:dyDescent="0.3">
      <c r="A2233" s="506">
        <v>11774</v>
      </c>
      <c r="B2233" s="507" t="s">
        <v>5394</v>
      </c>
      <c r="C2233" s="506" t="s">
        <v>32</v>
      </c>
      <c r="D2233" s="508">
        <v>185911</v>
      </c>
      <c r="E2233" s="507" t="s">
        <v>6108</v>
      </c>
    </row>
    <row r="2234" spans="1:5" ht="15" x14ac:dyDescent="0.3">
      <c r="A2234" s="506">
        <v>11775</v>
      </c>
      <c r="B2234" s="507" t="s">
        <v>5395</v>
      </c>
      <c r="C2234" s="506" t="s">
        <v>32</v>
      </c>
      <c r="D2234" s="508">
        <v>123068</v>
      </c>
      <c r="E2234" s="507" t="s">
        <v>6108</v>
      </c>
    </row>
    <row r="2235" spans="1:5" ht="15" x14ac:dyDescent="0.3">
      <c r="A2235" s="506">
        <v>11776</v>
      </c>
      <c r="B2235" s="507" t="s">
        <v>6484</v>
      </c>
      <c r="C2235" s="506" t="s">
        <v>32</v>
      </c>
      <c r="D2235" s="508">
        <v>4581500</v>
      </c>
      <c r="E2235" s="507" t="s">
        <v>6108</v>
      </c>
    </row>
    <row r="2236" spans="1:5" ht="15" x14ac:dyDescent="0.3">
      <c r="A2236" s="506">
        <v>11777</v>
      </c>
      <c r="B2236" s="507" t="s">
        <v>6485</v>
      </c>
      <c r="C2236" s="506" t="s">
        <v>32</v>
      </c>
      <c r="D2236" s="508">
        <v>67830</v>
      </c>
      <c r="E2236" s="507" t="s">
        <v>6108</v>
      </c>
    </row>
    <row r="2237" spans="1:5" ht="15" x14ac:dyDescent="0.3">
      <c r="A2237" s="506">
        <v>11781</v>
      </c>
      <c r="B2237" s="507" t="s">
        <v>5396</v>
      </c>
      <c r="C2237" s="506" t="s">
        <v>32</v>
      </c>
      <c r="D2237" s="508">
        <v>289986</v>
      </c>
      <c r="E2237" s="507" t="s">
        <v>6108</v>
      </c>
    </row>
    <row r="2238" spans="1:5" ht="15" x14ac:dyDescent="0.3">
      <c r="A2238" s="506">
        <v>11786</v>
      </c>
      <c r="B2238" s="507" t="s">
        <v>5397</v>
      </c>
      <c r="C2238" s="506" t="s">
        <v>32</v>
      </c>
      <c r="D2238" s="508">
        <v>12552</v>
      </c>
      <c r="E2238" s="507" t="s">
        <v>331</v>
      </c>
    </row>
    <row r="2239" spans="1:5" ht="15" x14ac:dyDescent="0.3">
      <c r="A2239" s="506">
        <v>11790</v>
      </c>
      <c r="B2239" s="507" t="s">
        <v>5398</v>
      </c>
      <c r="C2239" s="506" t="s">
        <v>32</v>
      </c>
      <c r="D2239" s="508">
        <v>3554</v>
      </c>
      <c r="E2239" s="507" t="s">
        <v>6108</v>
      </c>
    </row>
    <row r="2240" spans="1:5" ht="15" x14ac:dyDescent="0.3">
      <c r="A2240" s="506">
        <v>11796</v>
      </c>
      <c r="B2240" s="507" t="s">
        <v>6486</v>
      </c>
      <c r="C2240" s="506" t="s">
        <v>32</v>
      </c>
      <c r="D2240" s="508">
        <v>5653788</v>
      </c>
      <c r="E2240" s="507" t="s">
        <v>6108</v>
      </c>
    </row>
    <row r="2241" spans="1:5" ht="15" x14ac:dyDescent="0.3">
      <c r="A2241" s="506">
        <v>11797</v>
      </c>
      <c r="B2241" s="507" t="s">
        <v>5399</v>
      </c>
      <c r="C2241" s="506" t="s">
        <v>32</v>
      </c>
      <c r="D2241" s="508">
        <v>19731359</v>
      </c>
      <c r="E2241" s="507" t="s">
        <v>6108</v>
      </c>
    </row>
    <row r="2242" spans="1:5" ht="15" x14ac:dyDescent="0.3">
      <c r="A2242" s="506">
        <v>11798</v>
      </c>
      <c r="B2242" s="507" t="s">
        <v>6487</v>
      </c>
      <c r="C2242" s="506" t="s">
        <v>32</v>
      </c>
      <c r="D2242" s="508">
        <v>941909</v>
      </c>
      <c r="E2242" s="507" t="s">
        <v>6108</v>
      </c>
    </row>
    <row r="2243" spans="1:5" ht="15" x14ac:dyDescent="0.3">
      <c r="A2243" s="506">
        <v>11799</v>
      </c>
      <c r="B2243" s="507" t="s">
        <v>6488</v>
      </c>
      <c r="C2243" s="506" t="s">
        <v>32</v>
      </c>
      <c r="D2243" s="508">
        <v>486710</v>
      </c>
      <c r="E2243" s="507" t="s">
        <v>6108</v>
      </c>
    </row>
    <row r="2244" spans="1:5" ht="15" x14ac:dyDescent="0.3">
      <c r="A2244" s="506">
        <v>11800</v>
      </c>
      <c r="B2244" s="507" t="s">
        <v>6489</v>
      </c>
      <c r="C2244" s="506" t="s">
        <v>32</v>
      </c>
      <c r="D2244" s="508">
        <v>1131535</v>
      </c>
      <c r="E2244" s="507" t="s">
        <v>6108</v>
      </c>
    </row>
    <row r="2245" spans="1:5" ht="15" x14ac:dyDescent="0.3">
      <c r="A2245" s="506">
        <v>11801</v>
      </c>
      <c r="B2245" s="507" t="s">
        <v>6490</v>
      </c>
      <c r="C2245" s="506" t="s">
        <v>32</v>
      </c>
      <c r="D2245" s="508">
        <v>1280440</v>
      </c>
      <c r="E2245" s="507" t="s">
        <v>6108</v>
      </c>
    </row>
    <row r="2246" spans="1:5" ht="15" x14ac:dyDescent="0.3">
      <c r="A2246" s="506">
        <v>11803</v>
      </c>
      <c r="B2246" s="507" t="s">
        <v>6491</v>
      </c>
      <c r="C2246" s="506" t="s">
        <v>32</v>
      </c>
      <c r="D2246" s="508">
        <v>21135734</v>
      </c>
      <c r="E2246" s="507" t="s">
        <v>6108</v>
      </c>
    </row>
    <row r="2247" spans="1:5" ht="15" x14ac:dyDescent="0.3">
      <c r="A2247" s="506">
        <v>11804</v>
      </c>
      <c r="B2247" s="507" t="s">
        <v>6492</v>
      </c>
      <c r="C2247" s="506" t="s">
        <v>32</v>
      </c>
      <c r="D2247" s="508">
        <v>177310</v>
      </c>
      <c r="E2247" s="507" t="s">
        <v>6108</v>
      </c>
    </row>
    <row r="2248" spans="1:5" ht="15" x14ac:dyDescent="0.3">
      <c r="A2248" s="506">
        <v>11805</v>
      </c>
      <c r="B2248" s="507" t="s">
        <v>6493</v>
      </c>
      <c r="C2248" s="506" t="s">
        <v>32</v>
      </c>
      <c r="D2248" s="508">
        <v>177310</v>
      </c>
      <c r="E2248" s="507" t="s">
        <v>6108</v>
      </c>
    </row>
    <row r="2249" spans="1:5" ht="15" x14ac:dyDescent="0.3">
      <c r="A2249" s="506">
        <v>11806</v>
      </c>
      <c r="B2249" s="507" t="s">
        <v>6494</v>
      </c>
      <c r="C2249" s="506" t="s">
        <v>32</v>
      </c>
      <c r="D2249" s="508">
        <v>198057</v>
      </c>
      <c r="E2249" s="507" t="s">
        <v>6108</v>
      </c>
    </row>
    <row r="2250" spans="1:5" ht="15" x14ac:dyDescent="0.3">
      <c r="A2250" s="506">
        <v>11807</v>
      </c>
      <c r="B2250" s="507" t="s">
        <v>6495</v>
      </c>
      <c r="C2250" s="506" t="s">
        <v>32</v>
      </c>
      <c r="D2250" s="508">
        <v>765170</v>
      </c>
      <c r="E2250" s="507" t="s">
        <v>6108</v>
      </c>
    </row>
    <row r="2251" spans="1:5" ht="15" x14ac:dyDescent="0.3">
      <c r="A2251" s="506">
        <v>11813</v>
      </c>
      <c r="B2251" s="507" t="s">
        <v>5400</v>
      </c>
      <c r="C2251" s="506" t="s">
        <v>32</v>
      </c>
      <c r="D2251" s="508">
        <v>225446</v>
      </c>
      <c r="E2251" s="507" t="s">
        <v>6108</v>
      </c>
    </row>
    <row r="2252" spans="1:5" ht="15" x14ac:dyDescent="0.3">
      <c r="A2252" s="506">
        <v>11814</v>
      </c>
      <c r="B2252" s="507" t="s">
        <v>5401</v>
      </c>
      <c r="C2252" s="506" t="s">
        <v>32</v>
      </c>
      <c r="D2252" s="508">
        <v>3688</v>
      </c>
      <c r="E2252" s="507" t="s">
        <v>331</v>
      </c>
    </row>
    <row r="2253" spans="1:5" ht="15" x14ac:dyDescent="0.3">
      <c r="A2253" s="506">
        <v>11815</v>
      </c>
      <c r="B2253" s="507" t="s">
        <v>5402</v>
      </c>
      <c r="C2253" s="506" t="s">
        <v>32</v>
      </c>
      <c r="D2253" s="508">
        <v>51710</v>
      </c>
      <c r="E2253" s="507" t="s">
        <v>6108</v>
      </c>
    </row>
    <row r="2254" spans="1:5" ht="15" x14ac:dyDescent="0.3">
      <c r="A2254" s="506">
        <v>11817</v>
      </c>
      <c r="B2254" s="507" t="s">
        <v>5403</v>
      </c>
      <c r="C2254" s="506" t="s">
        <v>32</v>
      </c>
      <c r="D2254" s="508">
        <v>3688</v>
      </c>
      <c r="E2254" s="507" t="s">
        <v>331</v>
      </c>
    </row>
    <row r="2255" spans="1:5" ht="15" x14ac:dyDescent="0.3">
      <c r="A2255" s="506">
        <v>11819</v>
      </c>
      <c r="B2255" s="507" t="s">
        <v>5404</v>
      </c>
      <c r="C2255" s="506" t="s">
        <v>32</v>
      </c>
      <c r="D2255" s="508">
        <v>51710</v>
      </c>
      <c r="E2255" s="507" t="s">
        <v>6108</v>
      </c>
    </row>
    <row r="2256" spans="1:5" ht="15" x14ac:dyDescent="0.3">
      <c r="A2256" s="506">
        <v>11820</v>
      </c>
      <c r="B2256" s="507" t="s">
        <v>5405</v>
      </c>
      <c r="C2256" s="506" t="s">
        <v>32</v>
      </c>
      <c r="D2256" s="508">
        <v>152028</v>
      </c>
      <c r="E2256" s="507" t="s">
        <v>6108</v>
      </c>
    </row>
    <row r="2257" spans="1:5" ht="15" x14ac:dyDescent="0.3">
      <c r="A2257" s="506">
        <v>11830</v>
      </c>
      <c r="B2257" s="507" t="s">
        <v>5406</v>
      </c>
      <c r="C2257" s="506" t="s">
        <v>32</v>
      </c>
      <c r="D2257" s="508">
        <v>3688</v>
      </c>
      <c r="E2257" s="507" t="s">
        <v>331</v>
      </c>
    </row>
    <row r="2258" spans="1:5" ht="15" x14ac:dyDescent="0.3">
      <c r="A2258" s="506">
        <v>11831</v>
      </c>
      <c r="B2258" s="507" t="s">
        <v>5407</v>
      </c>
      <c r="C2258" s="506" t="s">
        <v>32</v>
      </c>
      <c r="D2258" s="508">
        <v>3451</v>
      </c>
      <c r="E2258" s="507" t="s">
        <v>331</v>
      </c>
    </row>
    <row r="2259" spans="1:5" ht="15" x14ac:dyDescent="0.3">
      <c r="A2259" s="506">
        <v>11834</v>
      </c>
      <c r="B2259" s="507" t="s">
        <v>5408</v>
      </c>
      <c r="C2259" s="506" t="s">
        <v>32</v>
      </c>
      <c r="D2259" s="508">
        <v>799680</v>
      </c>
      <c r="E2259" s="507" t="s">
        <v>6108</v>
      </c>
    </row>
    <row r="2260" spans="1:5" ht="15" x14ac:dyDescent="0.3">
      <c r="A2260" s="506">
        <v>11835</v>
      </c>
      <c r="B2260" s="507" t="s">
        <v>5409</v>
      </c>
      <c r="C2260" s="506" t="s">
        <v>32</v>
      </c>
      <c r="D2260" s="508">
        <v>444</v>
      </c>
      <c r="E2260" s="507" t="s">
        <v>6108</v>
      </c>
    </row>
    <row r="2261" spans="1:5" ht="15" x14ac:dyDescent="0.3">
      <c r="A2261" s="506">
        <v>11836</v>
      </c>
      <c r="B2261" s="507" t="s">
        <v>5410</v>
      </c>
      <c r="C2261" s="506" t="s">
        <v>32</v>
      </c>
      <c r="D2261" s="508">
        <v>643</v>
      </c>
      <c r="E2261" s="507" t="s">
        <v>6108</v>
      </c>
    </row>
    <row r="2262" spans="1:5" ht="15" x14ac:dyDescent="0.3">
      <c r="A2262" s="506">
        <v>11837</v>
      </c>
      <c r="B2262" s="507" t="s">
        <v>5411</v>
      </c>
      <c r="C2262" s="506" t="s">
        <v>32</v>
      </c>
      <c r="D2262" s="508">
        <v>667</v>
      </c>
      <c r="E2262" s="507" t="s">
        <v>6108</v>
      </c>
    </row>
    <row r="2263" spans="1:5" ht="15" x14ac:dyDescent="0.3">
      <c r="A2263" s="506">
        <v>11838</v>
      </c>
      <c r="B2263" s="507" t="s">
        <v>5412</v>
      </c>
      <c r="C2263" s="506" t="s">
        <v>32</v>
      </c>
      <c r="D2263" s="508">
        <v>340</v>
      </c>
      <c r="E2263" s="507" t="s">
        <v>6108</v>
      </c>
    </row>
    <row r="2264" spans="1:5" ht="15" x14ac:dyDescent="0.3">
      <c r="A2264" s="506">
        <v>11839</v>
      </c>
      <c r="B2264" s="507" t="s">
        <v>5413</v>
      </c>
      <c r="C2264" s="506" t="s">
        <v>32</v>
      </c>
      <c r="D2264" s="508">
        <v>227</v>
      </c>
      <c r="E2264" s="507" t="s">
        <v>6108</v>
      </c>
    </row>
    <row r="2265" spans="1:5" ht="15" x14ac:dyDescent="0.3">
      <c r="A2265" s="506">
        <v>11840</v>
      </c>
      <c r="B2265" s="507" t="s">
        <v>5414</v>
      </c>
      <c r="C2265" s="506" t="s">
        <v>32</v>
      </c>
      <c r="D2265" s="508">
        <v>6426</v>
      </c>
      <c r="E2265" s="507" t="s">
        <v>6108</v>
      </c>
    </row>
    <row r="2266" spans="1:5" ht="15" x14ac:dyDescent="0.3">
      <c r="A2266" s="506">
        <v>11841</v>
      </c>
      <c r="B2266" s="507" t="s">
        <v>5415</v>
      </c>
      <c r="C2266" s="506" t="s">
        <v>32</v>
      </c>
      <c r="D2266" s="508">
        <v>569</v>
      </c>
      <c r="E2266" s="507" t="s">
        <v>6108</v>
      </c>
    </row>
    <row r="2267" spans="1:5" ht="15" x14ac:dyDescent="0.3">
      <c r="A2267" s="506">
        <v>11842</v>
      </c>
      <c r="B2267" s="507" t="s">
        <v>5416</v>
      </c>
      <c r="C2267" s="506" t="s">
        <v>32</v>
      </c>
      <c r="D2267" s="508">
        <v>499800</v>
      </c>
      <c r="E2267" s="507" t="s">
        <v>6108</v>
      </c>
    </row>
    <row r="2268" spans="1:5" ht="15" x14ac:dyDescent="0.3">
      <c r="A2268" s="506">
        <v>11843</v>
      </c>
      <c r="B2268" s="507" t="s">
        <v>5417</v>
      </c>
      <c r="C2268" s="506" t="s">
        <v>32</v>
      </c>
      <c r="D2268" s="508">
        <v>2601</v>
      </c>
      <c r="E2268" s="507" t="s">
        <v>6108</v>
      </c>
    </row>
    <row r="2269" spans="1:5" ht="15" x14ac:dyDescent="0.3">
      <c r="A2269" s="506">
        <v>11844</v>
      </c>
      <c r="B2269" s="507" t="s">
        <v>5418</v>
      </c>
      <c r="C2269" s="506" t="s">
        <v>32</v>
      </c>
      <c r="D2269" s="508">
        <v>850</v>
      </c>
      <c r="E2269" s="507" t="s">
        <v>6108</v>
      </c>
    </row>
    <row r="2270" spans="1:5" ht="15" x14ac:dyDescent="0.3">
      <c r="A2270" s="506">
        <v>11845</v>
      </c>
      <c r="B2270" s="507" t="s">
        <v>5419</v>
      </c>
      <c r="C2270" s="506" t="s">
        <v>32</v>
      </c>
      <c r="D2270" s="508">
        <v>84133</v>
      </c>
      <c r="E2270" s="507" t="s">
        <v>6108</v>
      </c>
    </row>
    <row r="2271" spans="1:5" ht="15" x14ac:dyDescent="0.3">
      <c r="A2271" s="506">
        <v>11846</v>
      </c>
      <c r="B2271" s="507" t="s">
        <v>5420</v>
      </c>
      <c r="C2271" s="506" t="s">
        <v>32</v>
      </c>
      <c r="D2271" s="508">
        <v>47114</v>
      </c>
      <c r="E2271" s="507" t="s">
        <v>6108</v>
      </c>
    </row>
    <row r="2272" spans="1:5" ht="15" x14ac:dyDescent="0.3">
      <c r="A2272" s="506">
        <v>11847</v>
      </c>
      <c r="B2272" s="507" t="s">
        <v>5421</v>
      </c>
      <c r="C2272" s="506" t="s">
        <v>32</v>
      </c>
      <c r="D2272" s="508">
        <v>55987544</v>
      </c>
      <c r="E2272" s="507" t="s">
        <v>6108</v>
      </c>
    </row>
    <row r="2273" spans="1:5" ht="15" x14ac:dyDescent="0.3">
      <c r="A2273" s="506">
        <v>11848</v>
      </c>
      <c r="B2273" s="507" t="s">
        <v>5422</v>
      </c>
      <c r="C2273" s="506" t="s">
        <v>32</v>
      </c>
      <c r="D2273" s="508">
        <v>58383497</v>
      </c>
      <c r="E2273" s="507" t="s">
        <v>6108</v>
      </c>
    </row>
    <row r="2274" spans="1:5" ht="15" x14ac:dyDescent="0.3">
      <c r="A2274" s="506">
        <v>11849</v>
      </c>
      <c r="B2274" s="507" t="s">
        <v>5423</v>
      </c>
      <c r="C2274" s="506" t="s">
        <v>32</v>
      </c>
      <c r="D2274" s="508">
        <v>6450676</v>
      </c>
      <c r="E2274" s="507" t="s">
        <v>6108</v>
      </c>
    </row>
    <row r="2275" spans="1:5" ht="15" x14ac:dyDescent="0.3">
      <c r="A2275" s="506">
        <v>11850</v>
      </c>
      <c r="B2275" s="507" t="s">
        <v>5424</v>
      </c>
      <c r="C2275" s="506" t="s">
        <v>32</v>
      </c>
      <c r="D2275" s="508">
        <v>8888529</v>
      </c>
      <c r="E2275" s="507" t="s">
        <v>6108</v>
      </c>
    </row>
    <row r="2276" spans="1:5" ht="15" x14ac:dyDescent="0.3">
      <c r="A2276" s="506">
        <v>11851</v>
      </c>
      <c r="B2276" s="507" t="s">
        <v>5425</v>
      </c>
      <c r="C2276" s="506" t="s">
        <v>32</v>
      </c>
      <c r="D2276" s="508">
        <v>13889897</v>
      </c>
      <c r="E2276" s="507" t="s">
        <v>6108</v>
      </c>
    </row>
    <row r="2277" spans="1:5" ht="15" x14ac:dyDescent="0.3">
      <c r="A2277" s="506">
        <v>11854</v>
      </c>
      <c r="B2277" s="507" t="s">
        <v>5426</v>
      </c>
      <c r="C2277" s="506" t="s">
        <v>32</v>
      </c>
      <c r="D2277" s="508">
        <v>1476510</v>
      </c>
      <c r="E2277" s="507" t="s">
        <v>6108</v>
      </c>
    </row>
    <row r="2278" spans="1:5" ht="15" x14ac:dyDescent="0.3">
      <c r="A2278" s="506">
        <v>11856</v>
      </c>
      <c r="B2278" s="507" t="s">
        <v>5427</v>
      </c>
      <c r="C2278" s="506" t="s">
        <v>670</v>
      </c>
      <c r="D2278" s="508">
        <v>6069</v>
      </c>
      <c r="E2278" s="507" t="s">
        <v>331</v>
      </c>
    </row>
    <row r="2279" spans="1:5" ht="15" x14ac:dyDescent="0.3">
      <c r="A2279" s="506">
        <v>11862</v>
      </c>
      <c r="B2279" s="507" t="s">
        <v>5428</v>
      </c>
      <c r="C2279" s="506" t="s">
        <v>32</v>
      </c>
      <c r="D2279" s="508">
        <v>1844500</v>
      </c>
      <c r="E2279" s="507" t="s">
        <v>6108</v>
      </c>
    </row>
    <row r="2280" spans="1:5" ht="15" x14ac:dyDescent="0.3">
      <c r="A2280" s="506">
        <v>11863</v>
      </c>
      <c r="B2280" s="507" t="s">
        <v>5429</v>
      </c>
      <c r="C2280" s="506" t="s">
        <v>32</v>
      </c>
      <c r="D2280" s="508">
        <v>1273300</v>
      </c>
      <c r="E2280" s="507" t="s">
        <v>6108</v>
      </c>
    </row>
    <row r="2281" spans="1:5" ht="15" x14ac:dyDescent="0.3">
      <c r="A2281" s="506">
        <v>11864</v>
      </c>
      <c r="B2281" s="507" t="s">
        <v>5430</v>
      </c>
      <c r="C2281" s="506" t="s">
        <v>32</v>
      </c>
      <c r="D2281" s="508">
        <v>156878</v>
      </c>
      <c r="E2281" s="507" t="s">
        <v>6108</v>
      </c>
    </row>
    <row r="2282" spans="1:5" ht="15" x14ac:dyDescent="0.3">
      <c r="A2282" s="506">
        <v>11865</v>
      </c>
      <c r="B2282" s="507" t="s">
        <v>5431</v>
      </c>
      <c r="C2282" s="506" t="s">
        <v>328</v>
      </c>
      <c r="D2282" s="508">
        <v>19671</v>
      </c>
      <c r="E2282" s="507" t="s">
        <v>331</v>
      </c>
    </row>
    <row r="2283" spans="1:5" ht="15" x14ac:dyDescent="0.3">
      <c r="A2283" s="506">
        <v>11866</v>
      </c>
      <c r="B2283" s="507" t="s">
        <v>5432</v>
      </c>
      <c r="C2283" s="506" t="s">
        <v>328</v>
      </c>
      <c r="D2283" s="508">
        <v>8736</v>
      </c>
      <c r="E2283" s="507" t="s">
        <v>331</v>
      </c>
    </row>
    <row r="2284" spans="1:5" ht="15" x14ac:dyDescent="0.3">
      <c r="A2284" s="506">
        <v>11869</v>
      </c>
      <c r="B2284" s="507" t="s">
        <v>5433</v>
      </c>
      <c r="C2284" s="506" t="s">
        <v>32</v>
      </c>
      <c r="D2284" s="508">
        <v>1476510</v>
      </c>
      <c r="E2284" s="507" t="s">
        <v>6108</v>
      </c>
    </row>
    <row r="2285" spans="1:5" ht="15" x14ac:dyDescent="0.3">
      <c r="A2285" s="506">
        <v>11870</v>
      </c>
      <c r="B2285" s="507" t="s">
        <v>5434</v>
      </c>
      <c r="C2285" s="506" t="s">
        <v>32</v>
      </c>
      <c r="D2285" s="508">
        <v>3293</v>
      </c>
      <c r="E2285" s="507" t="s">
        <v>331</v>
      </c>
    </row>
    <row r="2286" spans="1:5" ht="15" x14ac:dyDescent="0.3">
      <c r="A2286" s="506">
        <v>11871</v>
      </c>
      <c r="B2286" s="507" t="s">
        <v>5435</v>
      </c>
      <c r="C2286" s="506" t="s">
        <v>21</v>
      </c>
      <c r="D2286" s="508">
        <v>64579</v>
      </c>
      <c r="E2286" s="507" t="s">
        <v>6108</v>
      </c>
    </row>
    <row r="2287" spans="1:5" ht="15" x14ac:dyDescent="0.3">
      <c r="A2287" s="506">
        <v>11872</v>
      </c>
      <c r="B2287" s="507" t="s">
        <v>6496</v>
      </c>
      <c r="C2287" s="506" t="s">
        <v>32</v>
      </c>
      <c r="D2287" s="508">
        <v>208847</v>
      </c>
      <c r="E2287" s="507" t="s">
        <v>6108</v>
      </c>
    </row>
    <row r="2288" spans="1:5" ht="15" x14ac:dyDescent="0.3">
      <c r="A2288" s="506">
        <v>11873</v>
      </c>
      <c r="B2288" s="507" t="s">
        <v>5436</v>
      </c>
      <c r="C2288" s="506" t="s">
        <v>32</v>
      </c>
      <c r="D2288" s="508">
        <v>6583000</v>
      </c>
      <c r="E2288" s="507" t="s">
        <v>6108</v>
      </c>
    </row>
    <row r="2289" spans="1:5" ht="15" x14ac:dyDescent="0.3">
      <c r="A2289" s="506">
        <v>11874</v>
      </c>
      <c r="B2289" s="507" t="s">
        <v>5437</v>
      </c>
      <c r="C2289" s="506" t="s">
        <v>32</v>
      </c>
      <c r="D2289" s="508">
        <v>664000</v>
      </c>
      <c r="E2289" s="507" t="s">
        <v>6108</v>
      </c>
    </row>
    <row r="2290" spans="1:5" ht="15" x14ac:dyDescent="0.3">
      <c r="A2290" s="506">
        <v>11875</v>
      </c>
      <c r="B2290" s="507" t="s">
        <v>5438</v>
      </c>
      <c r="C2290" s="506" t="s">
        <v>32</v>
      </c>
      <c r="D2290" s="508">
        <v>6583000</v>
      </c>
      <c r="E2290" s="507" t="s">
        <v>6108</v>
      </c>
    </row>
    <row r="2291" spans="1:5" ht="15" x14ac:dyDescent="0.3">
      <c r="A2291" s="506">
        <v>11876</v>
      </c>
      <c r="B2291" s="507" t="s">
        <v>6497</v>
      </c>
      <c r="C2291" s="506" t="s">
        <v>32</v>
      </c>
      <c r="D2291" s="508">
        <v>452200</v>
      </c>
      <c r="E2291" s="507" t="s">
        <v>6108</v>
      </c>
    </row>
    <row r="2292" spans="1:5" ht="15" x14ac:dyDescent="0.3">
      <c r="A2292" s="506">
        <v>11877</v>
      </c>
      <c r="B2292" s="507" t="s">
        <v>6498</v>
      </c>
      <c r="C2292" s="506" t="s">
        <v>32</v>
      </c>
      <c r="D2292" s="508">
        <v>165334</v>
      </c>
      <c r="E2292" s="507" t="s">
        <v>6108</v>
      </c>
    </row>
    <row r="2293" spans="1:5" ht="15" x14ac:dyDescent="0.3">
      <c r="A2293" s="506">
        <v>11878</v>
      </c>
      <c r="B2293" s="507" t="s">
        <v>5439</v>
      </c>
      <c r="C2293" s="506" t="s">
        <v>32</v>
      </c>
      <c r="D2293" s="508">
        <v>476000</v>
      </c>
      <c r="E2293" s="507" t="s">
        <v>6108</v>
      </c>
    </row>
    <row r="2294" spans="1:5" ht="15" x14ac:dyDescent="0.3">
      <c r="A2294" s="506">
        <v>11880</v>
      </c>
      <c r="B2294" s="507" t="s">
        <v>6499</v>
      </c>
      <c r="C2294" s="506" t="s">
        <v>32</v>
      </c>
      <c r="D2294" s="508">
        <v>67592</v>
      </c>
      <c r="E2294" s="507" t="s">
        <v>6108</v>
      </c>
    </row>
    <row r="2295" spans="1:5" ht="15" x14ac:dyDescent="0.3">
      <c r="A2295" s="506">
        <v>11881</v>
      </c>
      <c r="B2295" s="507" t="s">
        <v>5440</v>
      </c>
      <c r="C2295" s="506" t="s">
        <v>32</v>
      </c>
      <c r="D2295" s="508">
        <v>103669</v>
      </c>
      <c r="E2295" s="507" t="s">
        <v>6108</v>
      </c>
    </row>
    <row r="2296" spans="1:5" ht="15" x14ac:dyDescent="0.3">
      <c r="A2296" s="506">
        <v>11882</v>
      </c>
      <c r="B2296" s="507" t="s">
        <v>5441</v>
      </c>
      <c r="C2296" s="506" t="s">
        <v>32</v>
      </c>
      <c r="D2296" s="508">
        <v>113162</v>
      </c>
      <c r="E2296" s="507" t="s">
        <v>331</v>
      </c>
    </row>
    <row r="2297" spans="1:5" ht="15" x14ac:dyDescent="0.3">
      <c r="A2297" s="506">
        <v>11883</v>
      </c>
      <c r="B2297" s="507" t="s">
        <v>5442</v>
      </c>
      <c r="C2297" s="506" t="s">
        <v>32</v>
      </c>
      <c r="D2297" s="508">
        <v>121836</v>
      </c>
      <c r="E2297" s="507" t="s">
        <v>331</v>
      </c>
    </row>
    <row r="2298" spans="1:5" ht="15" x14ac:dyDescent="0.3">
      <c r="A2298" s="506">
        <v>11885</v>
      </c>
      <c r="B2298" s="507" t="s">
        <v>5443</v>
      </c>
      <c r="C2298" s="506" t="s">
        <v>32</v>
      </c>
      <c r="D2298" s="508">
        <v>108000</v>
      </c>
      <c r="E2298" s="507" t="s">
        <v>331</v>
      </c>
    </row>
    <row r="2299" spans="1:5" ht="15" x14ac:dyDescent="0.3">
      <c r="A2299" s="506">
        <v>11886</v>
      </c>
      <c r="B2299" s="507" t="s">
        <v>6500</v>
      </c>
      <c r="C2299" s="506" t="s">
        <v>32</v>
      </c>
      <c r="D2299" s="508">
        <v>285532</v>
      </c>
      <c r="E2299" s="507" t="s">
        <v>6108</v>
      </c>
    </row>
    <row r="2300" spans="1:5" ht="15" x14ac:dyDescent="0.3">
      <c r="A2300" s="506">
        <v>11887</v>
      </c>
      <c r="B2300" s="507" t="s">
        <v>6501</v>
      </c>
      <c r="C2300" s="506" t="s">
        <v>32</v>
      </c>
      <c r="D2300" s="508">
        <v>913920</v>
      </c>
      <c r="E2300" s="507" t="s">
        <v>6108</v>
      </c>
    </row>
    <row r="2301" spans="1:5" ht="15" x14ac:dyDescent="0.3">
      <c r="A2301" s="506">
        <v>11888</v>
      </c>
      <c r="B2301" s="507" t="s">
        <v>5444</v>
      </c>
      <c r="C2301" s="506" t="s">
        <v>32</v>
      </c>
      <c r="D2301" s="508">
        <v>643554</v>
      </c>
      <c r="E2301" s="507" t="s">
        <v>6108</v>
      </c>
    </row>
    <row r="2302" spans="1:5" ht="15" x14ac:dyDescent="0.3">
      <c r="A2302" s="506">
        <v>11889</v>
      </c>
      <c r="B2302" s="507" t="s">
        <v>5445</v>
      </c>
      <c r="C2302" s="506" t="s">
        <v>32</v>
      </c>
      <c r="D2302" s="508">
        <v>829177</v>
      </c>
      <c r="E2302" s="507" t="s">
        <v>6108</v>
      </c>
    </row>
    <row r="2303" spans="1:5" ht="15" x14ac:dyDescent="0.3">
      <c r="A2303" s="506">
        <v>11890</v>
      </c>
      <c r="B2303" s="507" t="s">
        <v>5446</v>
      </c>
      <c r="C2303" s="506" t="s">
        <v>32</v>
      </c>
      <c r="D2303" s="508">
        <v>843275</v>
      </c>
      <c r="E2303" s="507" t="s">
        <v>6108</v>
      </c>
    </row>
    <row r="2304" spans="1:5" ht="15" x14ac:dyDescent="0.3">
      <c r="A2304" s="506">
        <v>11891</v>
      </c>
      <c r="B2304" s="507" t="s">
        <v>5447</v>
      </c>
      <c r="C2304" s="506" t="s">
        <v>32</v>
      </c>
      <c r="D2304" s="508">
        <v>959273</v>
      </c>
      <c r="E2304" s="507" t="s">
        <v>6108</v>
      </c>
    </row>
    <row r="2305" spans="1:5" ht="15" x14ac:dyDescent="0.3">
      <c r="A2305" s="506">
        <v>11893</v>
      </c>
      <c r="B2305" s="507" t="s">
        <v>5448</v>
      </c>
      <c r="C2305" s="506" t="s">
        <v>328</v>
      </c>
      <c r="D2305" s="508">
        <v>895</v>
      </c>
      <c r="E2305" s="507" t="s">
        <v>6108</v>
      </c>
    </row>
    <row r="2306" spans="1:5" ht="15" x14ac:dyDescent="0.3">
      <c r="A2306" s="506">
        <v>11894</v>
      </c>
      <c r="B2306" s="507" t="s">
        <v>5449</v>
      </c>
      <c r="C2306" s="506" t="s">
        <v>328</v>
      </c>
      <c r="D2306" s="508">
        <v>529880</v>
      </c>
      <c r="E2306" s="507" t="s">
        <v>6108</v>
      </c>
    </row>
    <row r="2307" spans="1:5" ht="15" x14ac:dyDescent="0.3">
      <c r="A2307" s="506">
        <v>11895</v>
      </c>
      <c r="B2307" s="507" t="s">
        <v>5450</v>
      </c>
      <c r="C2307" s="506" t="s">
        <v>32</v>
      </c>
      <c r="D2307" s="508">
        <v>664823</v>
      </c>
      <c r="E2307" s="507" t="s">
        <v>6108</v>
      </c>
    </row>
    <row r="2308" spans="1:5" ht="15" x14ac:dyDescent="0.3">
      <c r="A2308" s="506">
        <v>11896</v>
      </c>
      <c r="B2308" s="507" t="s">
        <v>5451</v>
      </c>
      <c r="C2308" s="506" t="s">
        <v>32</v>
      </c>
      <c r="D2308" s="508">
        <v>68900</v>
      </c>
      <c r="E2308" s="507" t="s">
        <v>6108</v>
      </c>
    </row>
    <row r="2309" spans="1:5" ht="15" x14ac:dyDescent="0.3">
      <c r="A2309" s="506">
        <v>11897</v>
      </c>
      <c r="B2309" s="507" t="s">
        <v>5452</v>
      </c>
      <c r="C2309" s="506" t="s">
        <v>328</v>
      </c>
      <c r="D2309" s="508">
        <v>17100</v>
      </c>
      <c r="E2309" s="507" t="s">
        <v>331</v>
      </c>
    </row>
    <row r="2310" spans="1:5" ht="15" x14ac:dyDescent="0.3">
      <c r="A2310" s="506">
        <v>11898</v>
      </c>
      <c r="B2310" s="507" t="s">
        <v>5453</v>
      </c>
      <c r="C2310" s="506" t="s">
        <v>328</v>
      </c>
      <c r="D2310" s="508">
        <v>10404</v>
      </c>
      <c r="E2310" s="507" t="s">
        <v>331</v>
      </c>
    </row>
    <row r="2311" spans="1:5" ht="15" x14ac:dyDescent="0.3">
      <c r="A2311" s="506">
        <v>11899</v>
      </c>
      <c r="B2311" s="507" t="s">
        <v>5454</v>
      </c>
      <c r="C2311" s="506" t="s">
        <v>32</v>
      </c>
      <c r="D2311" s="508">
        <v>4202</v>
      </c>
      <c r="E2311" s="507" t="s">
        <v>331</v>
      </c>
    </row>
    <row r="2312" spans="1:5" ht="15" x14ac:dyDescent="0.3">
      <c r="A2312" s="506">
        <v>11903</v>
      </c>
      <c r="B2312" s="507" t="s">
        <v>5455</v>
      </c>
      <c r="C2312" s="506" t="s">
        <v>32</v>
      </c>
      <c r="D2312" s="508">
        <v>1689</v>
      </c>
      <c r="E2312" s="507" t="s">
        <v>331</v>
      </c>
    </row>
    <row r="2313" spans="1:5" ht="15" x14ac:dyDescent="0.3">
      <c r="A2313" s="506">
        <v>11904</v>
      </c>
      <c r="B2313" s="507" t="s">
        <v>5456</v>
      </c>
      <c r="C2313" s="506" t="s">
        <v>32</v>
      </c>
      <c r="D2313" s="508">
        <v>2493</v>
      </c>
      <c r="E2313" s="507" t="s">
        <v>331</v>
      </c>
    </row>
    <row r="2314" spans="1:5" ht="15" x14ac:dyDescent="0.3">
      <c r="A2314" s="506">
        <v>11905</v>
      </c>
      <c r="B2314" s="507" t="s">
        <v>5457</v>
      </c>
      <c r="C2314" s="506" t="s">
        <v>32</v>
      </c>
      <c r="D2314" s="508">
        <v>2324</v>
      </c>
      <c r="E2314" s="507" t="s">
        <v>331</v>
      </c>
    </row>
    <row r="2315" spans="1:5" ht="15" x14ac:dyDescent="0.3">
      <c r="A2315" s="506">
        <v>11906</v>
      </c>
      <c r="B2315" s="507" t="s">
        <v>5458</v>
      </c>
      <c r="C2315" s="506" t="s">
        <v>32</v>
      </c>
      <c r="D2315" s="508">
        <v>3084</v>
      </c>
      <c r="E2315" s="507" t="s">
        <v>331</v>
      </c>
    </row>
    <row r="2316" spans="1:5" ht="15" x14ac:dyDescent="0.3">
      <c r="A2316" s="506">
        <v>11907</v>
      </c>
      <c r="B2316" s="507" t="s">
        <v>5459</v>
      </c>
      <c r="C2316" s="506" t="s">
        <v>32</v>
      </c>
      <c r="D2316" s="508">
        <v>4884</v>
      </c>
      <c r="E2316" s="507" t="s">
        <v>331</v>
      </c>
    </row>
    <row r="2317" spans="1:5" ht="15" x14ac:dyDescent="0.3">
      <c r="A2317" s="506">
        <v>11908</v>
      </c>
      <c r="B2317" s="507" t="s">
        <v>5460</v>
      </c>
      <c r="C2317" s="506" t="s">
        <v>32</v>
      </c>
      <c r="D2317" s="508">
        <v>4837</v>
      </c>
      <c r="E2317" s="507" t="s">
        <v>331</v>
      </c>
    </row>
    <row r="2318" spans="1:5" ht="15" x14ac:dyDescent="0.3">
      <c r="A2318" s="506">
        <v>11909</v>
      </c>
      <c r="B2318" s="507" t="s">
        <v>5461</v>
      </c>
      <c r="C2318" s="506" t="s">
        <v>32</v>
      </c>
      <c r="D2318" s="508">
        <v>3111</v>
      </c>
      <c r="E2318" s="507" t="s">
        <v>331</v>
      </c>
    </row>
    <row r="2319" spans="1:5" ht="15" x14ac:dyDescent="0.3">
      <c r="A2319" s="506">
        <v>11910</v>
      </c>
      <c r="B2319" s="507" t="s">
        <v>6502</v>
      </c>
      <c r="C2319" s="506" t="s">
        <v>32</v>
      </c>
      <c r="D2319" s="508">
        <v>3134</v>
      </c>
      <c r="E2319" s="507" t="s">
        <v>6108</v>
      </c>
    </row>
    <row r="2320" spans="1:5" ht="15" x14ac:dyDescent="0.3">
      <c r="A2320" s="506">
        <v>11911</v>
      </c>
      <c r="B2320" s="507" t="s">
        <v>5462</v>
      </c>
      <c r="C2320" s="506" t="s">
        <v>32</v>
      </c>
      <c r="D2320" s="508">
        <v>3968</v>
      </c>
      <c r="E2320" s="507" t="s">
        <v>331</v>
      </c>
    </row>
    <row r="2321" spans="1:5" ht="15" x14ac:dyDescent="0.3">
      <c r="A2321" s="506">
        <v>11912</v>
      </c>
      <c r="B2321" s="507" t="s">
        <v>6503</v>
      </c>
      <c r="C2321" s="506" t="s">
        <v>32</v>
      </c>
      <c r="D2321" s="508">
        <v>3396</v>
      </c>
      <c r="E2321" s="507" t="s">
        <v>6108</v>
      </c>
    </row>
    <row r="2322" spans="1:5" ht="15" x14ac:dyDescent="0.3">
      <c r="A2322" s="506">
        <v>11913</v>
      </c>
      <c r="B2322" s="507" t="s">
        <v>6504</v>
      </c>
      <c r="C2322" s="506" t="s">
        <v>32</v>
      </c>
      <c r="D2322" s="508">
        <v>2507</v>
      </c>
      <c r="E2322" s="507" t="s">
        <v>6108</v>
      </c>
    </row>
    <row r="2323" spans="1:5" ht="15" x14ac:dyDescent="0.3">
      <c r="A2323" s="506">
        <v>11914</v>
      </c>
      <c r="B2323" s="507" t="s">
        <v>5463</v>
      </c>
      <c r="C2323" s="506" t="s">
        <v>32</v>
      </c>
      <c r="D2323" s="508">
        <v>14595</v>
      </c>
      <c r="E2323" s="507" t="s">
        <v>331</v>
      </c>
    </row>
    <row r="2324" spans="1:5" ht="15" x14ac:dyDescent="0.3">
      <c r="A2324" s="506">
        <v>11915</v>
      </c>
      <c r="B2324" s="507" t="s">
        <v>5464</v>
      </c>
      <c r="C2324" s="506" t="s">
        <v>32</v>
      </c>
      <c r="D2324" s="508">
        <v>54870</v>
      </c>
      <c r="E2324" s="507" t="s">
        <v>331</v>
      </c>
    </row>
    <row r="2325" spans="1:5" ht="15" x14ac:dyDescent="0.3">
      <c r="A2325" s="506">
        <v>11916</v>
      </c>
      <c r="B2325" s="507" t="s">
        <v>5465</v>
      </c>
      <c r="C2325" s="506" t="s">
        <v>32</v>
      </c>
      <c r="D2325" s="508">
        <v>180228</v>
      </c>
      <c r="E2325" s="507" t="s">
        <v>331</v>
      </c>
    </row>
    <row r="2326" spans="1:5" ht="15" x14ac:dyDescent="0.3">
      <c r="A2326" s="506">
        <v>11918</v>
      </c>
      <c r="B2326" s="507" t="s">
        <v>5466</v>
      </c>
      <c r="C2326" s="506" t="s">
        <v>32</v>
      </c>
      <c r="D2326" s="508">
        <v>12031</v>
      </c>
      <c r="E2326" s="507" t="s">
        <v>6108</v>
      </c>
    </row>
    <row r="2327" spans="1:5" ht="15" x14ac:dyDescent="0.3">
      <c r="A2327" s="506">
        <v>11919</v>
      </c>
      <c r="B2327" s="507" t="s">
        <v>5467</v>
      </c>
      <c r="C2327" s="506" t="s">
        <v>32</v>
      </c>
      <c r="D2327" s="508">
        <v>187943</v>
      </c>
      <c r="E2327" s="507" t="s">
        <v>6108</v>
      </c>
    </row>
    <row r="2328" spans="1:5" ht="15" x14ac:dyDescent="0.3">
      <c r="A2328" s="506">
        <v>11920</v>
      </c>
      <c r="B2328" s="507" t="s">
        <v>5468</v>
      </c>
      <c r="C2328" s="506" t="s">
        <v>32</v>
      </c>
      <c r="D2328" s="508">
        <v>244325</v>
      </c>
      <c r="E2328" s="507" t="s">
        <v>6108</v>
      </c>
    </row>
    <row r="2329" spans="1:5" ht="15" x14ac:dyDescent="0.3">
      <c r="A2329" s="506">
        <v>11921</v>
      </c>
      <c r="B2329" s="507" t="s">
        <v>5469</v>
      </c>
      <c r="C2329" s="506" t="s">
        <v>32</v>
      </c>
      <c r="D2329" s="508">
        <v>8558</v>
      </c>
      <c r="E2329" s="507" t="s">
        <v>6108</v>
      </c>
    </row>
    <row r="2330" spans="1:5" ht="15" x14ac:dyDescent="0.3">
      <c r="A2330" s="506">
        <v>11922</v>
      </c>
      <c r="B2330" s="507" t="s">
        <v>5470</v>
      </c>
      <c r="C2330" s="506" t="s">
        <v>32</v>
      </c>
      <c r="D2330" s="508">
        <v>275649</v>
      </c>
      <c r="E2330" s="507" t="s">
        <v>6108</v>
      </c>
    </row>
    <row r="2331" spans="1:5" ht="15" x14ac:dyDescent="0.3">
      <c r="A2331" s="506">
        <v>11923</v>
      </c>
      <c r="B2331" s="507" t="s">
        <v>5471</v>
      </c>
      <c r="C2331" s="506" t="s">
        <v>32</v>
      </c>
      <c r="D2331" s="508">
        <v>11903</v>
      </c>
      <c r="E2331" s="507" t="s">
        <v>6108</v>
      </c>
    </row>
    <row r="2332" spans="1:5" ht="15" x14ac:dyDescent="0.3">
      <c r="A2332" s="506">
        <v>11924</v>
      </c>
      <c r="B2332" s="507" t="s">
        <v>5472</v>
      </c>
      <c r="C2332" s="506" t="s">
        <v>32</v>
      </c>
      <c r="D2332" s="508">
        <v>244325</v>
      </c>
      <c r="E2332" s="507" t="s">
        <v>6108</v>
      </c>
    </row>
    <row r="2333" spans="1:5" ht="15" x14ac:dyDescent="0.3">
      <c r="A2333" s="506">
        <v>11925</v>
      </c>
      <c r="B2333" s="507" t="s">
        <v>5473</v>
      </c>
      <c r="C2333" s="506" t="s">
        <v>32</v>
      </c>
      <c r="D2333" s="508">
        <v>146155</v>
      </c>
      <c r="E2333" s="507" t="s">
        <v>331</v>
      </c>
    </row>
    <row r="2334" spans="1:5" ht="15" x14ac:dyDescent="0.3">
      <c r="A2334" s="506">
        <v>11926</v>
      </c>
      <c r="B2334" s="507" t="s">
        <v>5474</v>
      </c>
      <c r="C2334" s="506" t="s">
        <v>32</v>
      </c>
      <c r="D2334" s="508">
        <v>470640</v>
      </c>
      <c r="E2334" s="507" t="s">
        <v>6108</v>
      </c>
    </row>
    <row r="2335" spans="1:5" ht="15" x14ac:dyDescent="0.3">
      <c r="A2335" s="506">
        <v>11927</v>
      </c>
      <c r="B2335" s="507" t="s">
        <v>5475</v>
      </c>
      <c r="C2335" s="506" t="s">
        <v>32</v>
      </c>
      <c r="D2335" s="508">
        <v>327356</v>
      </c>
      <c r="E2335" s="507" t="s">
        <v>6108</v>
      </c>
    </row>
    <row r="2336" spans="1:5" ht="15" x14ac:dyDescent="0.3">
      <c r="A2336" s="506">
        <v>11928</v>
      </c>
      <c r="B2336" s="507" t="s">
        <v>5476</v>
      </c>
      <c r="C2336" s="506" t="s">
        <v>32</v>
      </c>
      <c r="D2336" s="508">
        <v>557014</v>
      </c>
      <c r="E2336" s="507" t="s">
        <v>6108</v>
      </c>
    </row>
    <row r="2337" spans="1:5" ht="15" x14ac:dyDescent="0.3">
      <c r="A2337" s="506">
        <v>11929</v>
      </c>
      <c r="B2337" s="507" t="s">
        <v>5477</v>
      </c>
      <c r="C2337" s="506" t="s">
        <v>32</v>
      </c>
      <c r="D2337" s="508">
        <v>470640</v>
      </c>
      <c r="E2337" s="507" t="s">
        <v>6108</v>
      </c>
    </row>
    <row r="2338" spans="1:5" ht="15" x14ac:dyDescent="0.3">
      <c r="A2338" s="506">
        <v>11930</v>
      </c>
      <c r="B2338" s="507" t="s">
        <v>5478</v>
      </c>
      <c r="C2338" s="506" t="s">
        <v>32</v>
      </c>
      <c r="D2338" s="508">
        <v>419191</v>
      </c>
      <c r="E2338" s="507" t="s">
        <v>6108</v>
      </c>
    </row>
    <row r="2339" spans="1:5" ht="15" x14ac:dyDescent="0.3">
      <c r="A2339" s="506">
        <v>11936</v>
      </c>
      <c r="B2339" s="507" t="s">
        <v>5479</v>
      </c>
      <c r="C2339" s="506" t="s">
        <v>32</v>
      </c>
      <c r="D2339" s="508">
        <v>26665784</v>
      </c>
      <c r="E2339" s="507" t="s">
        <v>6108</v>
      </c>
    </row>
    <row r="2340" spans="1:5" ht="15" x14ac:dyDescent="0.3">
      <c r="A2340" s="506">
        <v>11939</v>
      </c>
      <c r="B2340" s="507" t="s">
        <v>5480</v>
      </c>
      <c r="C2340" s="506" t="s">
        <v>32</v>
      </c>
      <c r="D2340" s="508">
        <v>8288</v>
      </c>
      <c r="E2340" s="507" t="s">
        <v>331</v>
      </c>
    </row>
    <row r="2341" spans="1:5" ht="15" x14ac:dyDescent="0.3">
      <c r="A2341" s="506">
        <v>11940</v>
      </c>
      <c r="B2341" s="507" t="s">
        <v>5481</v>
      </c>
      <c r="C2341" s="506" t="s">
        <v>32</v>
      </c>
      <c r="D2341" s="508">
        <v>135900</v>
      </c>
      <c r="E2341" s="507" t="s">
        <v>331</v>
      </c>
    </row>
    <row r="2342" spans="1:5" ht="15" x14ac:dyDescent="0.3">
      <c r="A2342" s="506">
        <v>11941</v>
      </c>
      <c r="B2342" s="507" t="s">
        <v>5482</v>
      </c>
      <c r="C2342" s="506" t="s">
        <v>32</v>
      </c>
      <c r="D2342" s="508">
        <v>2210</v>
      </c>
      <c r="E2342" s="507" t="s">
        <v>331</v>
      </c>
    </row>
    <row r="2343" spans="1:5" ht="15" x14ac:dyDescent="0.3">
      <c r="A2343" s="506">
        <v>11942</v>
      </c>
      <c r="B2343" s="507" t="s">
        <v>6505</v>
      </c>
      <c r="C2343" s="506" t="s">
        <v>32</v>
      </c>
      <c r="D2343" s="508">
        <v>151130</v>
      </c>
      <c r="E2343" s="507" t="s">
        <v>6108</v>
      </c>
    </row>
    <row r="2344" spans="1:5" ht="15" x14ac:dyDescent="0.3">
      <c r="A2344" s="506">
        <v>11943</v>
      </c>
      <c r="B2344" s="507" t="s">
        <v>5483</v>
      </c>
      <c r="C2344" s="506" t="s">
        <v>32</v>
      </c>
      <c r="D2344" s="508">
        <v>158900</v>
      </c>
      <c r="E2344" s="507" t="s">
        <v>331</v>
      </c>
    </row>
    <row r="2345" spans="1:5" ht="15" x14ac:dyDescent="0.3">
      <c r="A2345" s="506">
        <v>11944</v>
      </c>
      <c r="B2345" s="507" t="s">
        <v>5484</v>
      </c>
      <c r="C2345" s="506" t="s">
        <v>32</v>
      </c>
      <c r="D2345" s="508">
        <v>2497</v>
      </c>
      <c r="E2345" s="507" t="s">
        <v>331</v>
      </c>
    </row>
    <row r="2346" spans="1:5" ht="15" x14ac:dyDescent="0.3">
      <c r="A2346" s="506">
        <v>11945</v>
      </c>
      <c r="B2346" s="507" t="s">
        <v>5485</v>
      </c>
      <c r="C2346" s="506" t="s">
        <v>32</v>
      </c>
      <c r="D2346" s="508">
        <v>3913</v>
      </c>
      <c r="E2346" s="507" t="s">
        <v>331</v>
      </c>
    </row>
    <row r="2347" spans="1:5" ht="15" x14ac:dyDescent="0.3">
      <c r="A2347" s="506">
        <v>11946</v>
      </c>
      <c r="B2347" s="507" t="s">
        <v>5486</v>
      </c>
      <c r="C2347" s="506" t="s">
        <v>32</v>
      </c>
      <c r="D2347" s="508">
        <v>956</v>
      </c>
      <c r="E2347" s="507" t="s">
        <v>331</v>
      </c>
    </row>
    <row r="2348" spans="1:5" ht="15" x14ac:dyDescent="0.3">
      <c r="A2348" s="506">
        <v>11947</v>
      </c>
      <c r="B2348" s="507" t="s">
        <v>5487</v>
      </c>
      <c r="C2348" s="506" t="s">
        <v>32</v>
      </c>
      <c r="D2348" s="508">
        <v>3512</v>
      </c>
      <c r="E2348" s="507" t="s">
        <v>331</v>
      </c>
    </row>
    <row r="2349" spans="1:5" ht="15" x14ac:dyDescent="0.3">
      <c r="A2349" s="506">
        <v>11948</v>
      </c>
      <c r="B2349" s="507" t="s">
        <v>5488</v>
      </c>
      <c r="C2349" s="506" t="s">
        <v>32</v>
      </c>
      <c r="D2349" s="508">
        <v>8288</v>
      </c>
      <c r="E2349" s="507" t="s">
        <v>331</v>
      </c>
    </row>
    <row r="2350" spans="1:5" ht="15" x14ac:dyDescent="0.3">
      <c r="A2350" s="506">
        <v>11949</v>
      </c>
      <c r="B2350" s="507" t="s">
        <v>5489</v>
      </c>
      <c r="C2350" s="506" t="s">
        <v>32</v>
      </c>
      <c r="D2350" s="508">
        <v>8288</v>
      </c>
      <c r="E2350" s="507" t="s">
        <v>331</v>
      </c>
    </row>
    <row r="2351" spans="1:5" ht="15" x14ac:dyDescent="0.3">
      <c r="A2351" s="506">
        <v>11950</v>
      </c>
      <c r="B2351" s="507" t="s">
        <v>5490</v>
      </c>
      <c r="C2351" s="506" t="s">
        <v>32</v>
      </c>
      <c r="D2351" s="508">
        <v>9785</v>
      </c>
      <c r="E2351" s="507" t="s">
        <v>6108</v>
      </c>
    </row>
    <row r="2352" spans="1:5" ht="15" x14ac:dyDescent="0.3">
      <c r="A2352" s="506">
        <v>11951</v>
      </c>
      <c r="B2352" s="507" t="s">
        <v>5491</v>
      </c>
      <c r="C2352" s="506" t="s">
        <v>32</v>
      </c>
      <c r="D2352" s="508">
        <v>190400</v>
      </c>
      <c r="E2352" s="507" t="s">
        <v>6108</v>
      </c>
    </row>
    <row r="2353" spans="1:5" ht="15" x14ac:dyDescent="0.3">
      <c r="A2353" s="506">
        <v>11952</v>
      </c>
      <c r="B2353" s="507" t="s">
        <v>5492</v>
      </c>
      <c r="C2353" s="506" t="s">
        <v>32</v>
      </c>
      <c r="D2353" s="508">
        <v>210630</v>
      </c>
      <c r="E2353" s="507" t="s">
        <v>6108</v>
      </c>
    </row>
    <row r="2354" spans="1:5" ht="15" x14ac:dyDescent="0.3">
      <c r="A2354" s="506">
        <v>11953</v>
      </c>
      <c r="B2354" s="507" t="s">
        <v>5493</v>
      </c>
      <c r="C2354" s="506" t="s">
        <v>32</v>
      </c>
      <c r="D2354" s="508">
        <v>328572</v>
      </c>
      <c r="E2354" s="507" t="s">
        <v>6108</v>
      </c>
    </row>
    <row r="2355" spans="1:5" ht="15" x14ac:dyDescent="0.3">
      <c r="A2355" s="506">
        <v>11954</v>
      </c>
      <c r="B2355" s="507" t="s">
        <v>5494</v>
      </c>
      <c r="C2355" s="506" t="s">
        <v>32</v>
      </c>
      <c r="D2355" s="508">
        <v>177111</v>
      </c>
      <c r="E2355" s="507" t="s">
        <v>6108</v>
      </c>
    </row>
    <row r="2356" spans="1:5" ht="15" x14ac:dyDescent="0.3">
      <c r="A2356" s="506">
        <v>11955</v>
      </c>
      <c r="B2356" s="507" t="s">
        <v>5495</v>
      </c>
      <c r="C2356" s="506" t="s">
        <v>32</v>
      </c>
      <c r="D2356" s="508">
        <v>421628</v>
      </c>
      <c r="E2356" s="507" t="s">
        <v>6108</v>
      </c>
    </row>
    <row r="2357" spans="1:5" ht="15" x14ac:dyDescent="0.3">
      <c r="A2357" s="506">
        <v>11956</v>
      </c>
      <c r="B2357" s="507" t="s">
        <v>5496</v>
      </c>
      <c r="C2357" s="506" t="s">
        <v>32</v>
      </c>
      <c r="D2357" s="508">
        <v>75829</v>
      </c>
      <c r="E2357" s="507" t="s">
        <v>6108</v>
      </c>
    </row>
    <row r="2358" spans="1:5" ht="15" x14ac:dyDescent="0.3">
      <c r="A2358" s="506">
        <v>11958</v>
      </c>
      <c r="B2358" s="507" t="s">
        <v>5497</v>
      </c>
      <c r="C2358" s="506" t="s">
        <v>32</v>
      </c>
      <c r="D2358" s="508">
        <v>296066</v>
      </c>
      <c r="E2358" s="507" t="s">
        <v>6108</v>
      </c>
    </row>
    <row r="2359" spans="1:5" ht="15" x14ac:dyDescent="0.3">
      <c r="A2359" s="506">
        <v>11960</v>
      </c>
      <c r="B2359" s="507" t="s">
        <v>5498</v>
      </c>
      <c r="C2359" s="506" t="s">
        <v>32</v>
      </c>
      <c r="D2359" s="508">
        <v>2530</v>
      </c>
      <c r="E2359" s="507" t="s">
        <v>331</v>
      </c>
    </row>
    <row r="2360" spans="1:5" ht="15" x14ac:dyDescent="0.3">
      <c r="A2360" s="506">
        <v>11961</v>
      </c>
      <c r="B2360" s="507" t="s">
        <v>5499</v>
      </c>
      <c r="C2360" s="506" t="s">
        <v>32</v>
      </c>
      <c r="D2360" s="508">
        <v>1100</v>
      </c>
      <c r="E2360" s="507" t="s">
        <v>331</v>
      </c>
    </row>
    <row r="2361" spans="1:5" ht="15" x14ac:dyDescent="0.3">
      <c r="A2361" s="506">
        <v>11965</v>
      </c>
      <c r="B2361" s="507" t="s">
        <v>5500</v>
      </c>
      <c r="C2361" s="506" t="s">
        <v>32</v>
      </c>
      <c r="D2361" s="508">
        <v>36877567</v>
      </c>
      <c r="E2361" s="507" t="s">
        <v>6108</v>
      </c>
    </row>
    <row r="2362" spans="1:5" ht="15" x14ac:dyDescent="0.3">
      <c r="A2362" s="506">
        <v>11968</v>
      </c>
      <c r="B2362" s="507" t="s">
        <v>5501</v>
      </c>
      <c r="C2362" s="506" t="s">
        <v>30</v>
      </c>
      <c r="D2362" s="508">
        <v>95557</v>
      </c>
      <c r="E2362" s="507" t="s">
        <v>331</v>
      </c>
    </row>
    <row r="2363" spans="1:5" ht="15" x14ac:dyDescent="0.3">
      <c r="A2363" s="506">
        <v>11969</v>
      </c>
      <c r="B2363" s="507" t="s">
        <v>5502</v>
      </c>
      <c r="C2363" s="506" t="s">
        <v>30</v>
      </c>
      <c r="D2363" s="508">
        <v>92716</v>
      </c>
      <c r="E2363" s="507" t="s">
        <v>331</v>
      </c>
    </row>
    <row r="2364" spans="1:5" ht="15" x14ac:dyDescent="0.3">
      <c r="A2364" s="506">
        <v>11972</v>
      </c>
      <c r="B2364" s="507" t="s">
        <v>5503</v>
      </c>
      <c r="C2364" s="506" t="s">
        <v>32</v>
      </c>
      <c r="D2364" s="508">
        <v>1245559</v>
      </c>
      <c r="E2364" s="507" t="s">
        <v>6108</v>
      </c>
    </row>
    <row r="2365" spans="1:5" ht="15" x14ac:dyDescent="0.3">
      <c r="A2365" s="506">
        <v>11973</v>
      </c>
      <c r="B2365" s="507" t="s">
        <v>5504</v>
      </c>
      <c r="C2365" s="506" t="s">
        <v>32</v>
      </c>
      <c r="D2365" s="508">
        <v>542828</v>
      </c>
      <c r="E2365" s="507" t="s">
        <v>6108</v>
      </c>
    </row>
    <row r="2366" spans="1:5" ht="15" x14ac:dyDescent="0.3">
      <c r="A2366" s="506">
        <v>11974</v>
      </c>
      <c r="B2366" s="507" t="s">
        <v>5505</v>
      </c>
      <c r="C2366" s="506" t="s">
        <v>32</v>
      </c>
      <c r="D2366" s="508">
        <v>1234275</v>
      </c>
      <c r="E2366" s="507" t="s">
        <v>6108</v>
      </c>
    </row>
    <row r="2367" spans="1:5" ht="15" x14ac:dyDescent="0.3">
      <c r="A2367" s="506">
        <v>11977</v>
      </c>
      <c r="B2367" s="507" t="s">
        <v>6506</v>
      </c>
      <c r="C2367" s="506" t="s">
        <v>32</v>
      </c>
      <c r="D2367" s="508">
        <v>133280</v>
      </c>
      <c r="E2367" s="507" t="s">
        <v>6108</v>
      </c>
    </row>
    <row r="2368" spans="1:5" ht="15" x14ac:dyDescent="0.3">
      <c r="A2368" s="506">
        <v>11978</v>
      </c>
      <c r="B2368" s="507" t="s">
        <v>6507</v>
      </c>
      <c r="C2368" s="506" t="s">
        <v>32</v>
      </c>
      <c r="D2368" s="508">
        <v>2011100</v>
      </c>
      <c r="E2368" s="507" t="s">
        <v>6108</v>
      </c>
    </row>
    <row r="2369" spans="1:5" ht="15" x14ac:dyDescent="0.3">
      <c r="A2369" s="506">
        <v>11979</v>
      </c>
      <c r="B2369" s="507" t="s">
        <v>6508</v>
      </c>
      <c r="C2369" s="506" t="s">
        <v>32</v>
      </c>
      <c r="D2369" s="508">
        <v>117810</v>
      </c>
      <c r="E2369" s="507" t="s">
        <v>6108</v>
      </c>
    </row>
    <row r="2370" spans="1:5" ht="15" x14ac:dyDescent="0.3">
      <c r="A2370" s="506">
        <v>11981</v>
      </c>
      <c r="B2370" s="507" t="s">
        <v>5506</v>
      </c>
      <c r="C2370" s="506" t="s">
        <v>32</v>
      </c>
      <c r="D2370" s="508">
        <v>194857</v>
      </c>
      <c r="E2370" s="507" t="s">
        <v>6108</v>
      </c>
    </row>
    <row r="2371" spans="1:5" ht="15" x14ac:dyDescent="0.3">
      <c r="A2371" s="506">
        <v>11982</v>
      </c>
      <c r="B2371" s="507" t="s">
        <v>5507</v>
      </c>
      <c r="C2371" s="506" t="s">
        <v>32</v>
      </c>
      <c r="D2371" s="508">
        <v>309401</v>
      </c>
      <c r="E2371" s="507" t="s">
        <v>6108</v>
      </c>
    </row>
    <row r="2372" spans="1:5" ht="15" x14ac:dyDescent="0.3">
      <c r="A2372" s="506">
        <v>11983</v>
      </c>
      <c r="B2372" s="507" t="s">
        <v>5508</v>
      </c>
      <c r="C2372" s="506" t="s">
        <v>32</v>
      </c>
      <c r="D2372" s="508">
        <v>190908</v>
      </c>
      <c r="E2372" s="507" t="s">
        <v>6108</v>
      </c>
    </row>
    <row r="2373" spans="1:5" ht="15" x14ac:dyDescent="0.3">
      <c r="A2373" s="506">
        <v>11984</v>
      </c>
      <c r="B2373" s="507" t="s">
        <v>5509</v>
      </c>
      <c r="C2373" s="506" t="s">
        <v>670</v>
      </c>
      <c r="D2373" s="508">
        <v>4598</v>
      </c>
      <c r="E2373" s="507" t="s">
        <v>6108</v>
      </c>
    </row>
    <row r="2374" spans="1:5" ht="15" x14ac:dyDescent="0.3">
      <c r="A2374" s="506">
        <v>11987</v>
      </c>
      <c r="B2374" s="507" t="s">
        <v>5510</v>
      </c>
      <c r="C2374" s="506" t="s">
        <v>32</v>
      </c>
      <c r="D2374" s="508">
        <v>146044</v>
      </c>
      <c r="E2374" s="507" t="s">
        <v>6108</v>
      </c>
    </row>
    <row r="2375" spans="1:5" ht="15" x14ac:dyDescent="0.3">
      <c r="A2375" s="506">
        <v>11988</v>
      </c>
      <c r="B2375" s="507" t="s">
        <v>5511</v>
      </c>
      <c r="C2375" s="506" t="s">
        <v>328</v>
      </c>
      <c r="D2375" s="508">
        <v>2990</v>
      </c>
      <c r="E2375" s="507" t="s">
        <v>6108</v>
      </c>
    </row>
    <row r="2376" spans="1:5" ht="15" x14ac:dyDescent="0.3">
      <c r="A2376" s="506">
        <v>11989</v>
      </c>
      <c r="B2376" s="507" t="s">
        <v>5512</v>
      </c>
      <c r="C2376" s="506" t="s">
        <v>328</v>
      </c>
      <c r="D2376" s="508">
        <v>4800</v>
      </c>
      <c r="E2376" s="507" t="s">
        <v>6108</v>
      </c>
    </row>
    <row r="2377" spans="1:5" ht="15" x14ac:dyDescent="0.3">
      <c r="A2377" s="506">
        <v>11990</v>
      </c>
      <c r="B2377" s="507" t="s">
        <v>5513</v>
      </c>
      <c r="C2377" s="506" t="s">
        <v>32</v>
      </c>
      <c r="D2377" s="508">
        <v>126393</v>
      </c>
      <c r="E2377" s="507" t="s">
        <v>6108</v>
      </c>
    </row>
    <row r="2378" spans="1:5" ht="15" x14ac:dyDescent="0.3">
      <c r="A2378" s="506">
        <v>11991</v>
      </c>
      <c r="B2378" s="507" t="s">
        <v>5514</v>
      </c>
      <c r="C2378" s="506" t="s">
        <v>328</v>
      </c>
      <c r="D2378" s="508">
        <v>757125</v>
      </c>
      <c r="E2378" s="507" t="s">
        <v>6108</v>
      </c>
    </row>
    <row r="2379" spans="1:5" ht="15" x14ac:dyDescent="0.3">
      <c r="A2379" s="506">
        <v>11992</v>
      </c>
      <c r="B2379" s="507" t="s">
        <v>5515</v>
      </c>
      <c r="C2379" s="506" t="s">
        <v>328</v>
      </c>
      <c r="D2379" s="508">
        <v>1514250</v>
      </c>
      <c r="E2379" s="507" t="s">
        <v>6108</v>
      </c>
    </row>
    <row r="2380" spans="1:5" ht="15" x14ac:dyDescent="0.3">
      <c r="A2380" s="506">
        <v>11993</v>
      </c>
      <c r="B2380" s="507" t="s">
        <v>5516</v>
      </c>
      <c r="C2380" s="506" t="s">
        <v>32</v>
      </c>
      <c r="D2380" s="508">
        <v>6000</v>
      </c>
      <c r="E2380" s="507" t="s">
        <v>331</v>
      </c>
    </row>
    <row r="2381" spans="1:5" ht="15" x14ac:dyDescent="0.3">
      <c r="A2381" s="506">
        <v>11994</v>
      </c>
      <c r="B2381" s="507" t="s">
        <v>5517</v>
      </c>
      <c r="C2381" s="506" t="s">
        <v>32</v>
      </c>
      <c r="D2381" s="508">
        <v>645934</v>
      </c>
      <c r="E2381" s="507" t="s">
        <v>6108</v>
      </c>
    </row>
    <row r="2382" spans="1:5" ht="15" x14ac:dyDescent="0.3">
      <c r="A2382" s="506">
        <v>11995</v>
      </c>
      <c r="B2382" s="507" t="s">
        <v>5518</v>
      </c>
      <c r="C2382" s="506" t="s">
        <v>32</v>
      </c>
      <c r="D2382" s="508">
        <v>226474</v>
      </c>
      <c r="E2382" s="507" t="s">
        <v>6108</v>
      </c>
    </row>
    <row r="2383" spans="1:5" ht="15" x14ac:dyDescent="0.3">
      <c r="A2383" s="506">
        <v>11996</v>
      </c>
      <c r="B2383" s="507" t="s">
        <v>6509</v>
      </c>
      <c r="C2383" s="506" t="s">
        <v>32</v>
      </c>
      <c r="D2383" s="508">
        <v>1555330</v>
      </c>
      <c r="E2383" s="507" t="s">
        <v>6108</v>
      </c>
    </row>
    <row r="2384" spans="1:5" ht="15" x14ac:dyDescent="0.3">
      <c r="A2384" s="506">
        <v>11997</v>
      </c>
      <c r="B2384" s="507" t="s">
        <v>5519</v>
      </c>
      <c r="C2384" s="506" t="s">
        <v>30</v>
      </c>
      <c r="D2384" s="508">
        <v>89964</v>
      </c>
      <c r="E2384" s="507" t="s">
        <v>331</v>
      </c>
    </row>
    <row r="2385" spans="1:5" ht="15" x14ac:dyDescent="0.3">
      <c r="A2385" s="506">
        <v>11998</v>
      </c>
      <c r="B2385" s="507" t="s">
        <v>5520</v>
      </c>
      <c r="C2385" s="506" t="s">
        <v>32</v>
      </c>
      <c r="D2385" s="508">
        <v>92996</v>
      </c>
      <c r="E2385" s="507" t="s">
        <v>6108</v>
      </c>
    </row>
    <row r="2386" spans="1:5" ht="15" x14ac:dyDescent="0.3">
      <c r="A2386" s="506">
        <v>12002</v>
      </c>
      <c r="B2386" s="507" t="s">
        <v>6510</v>
      </c>
      <c r="C2386" s="506" t="s">
        <v>3579</v>
      </c>
      <c r="D2386" s="508">
        <v>27000</v>
      </c>
      <c r="E2386" s="507" t="s">
        <v>6108</v>
      </c>
    </row>
    <row r="2387" spans="1:5" ht="15" x14ac:dyDescent="0.3">
      <c r="A2387" s="506">
        <v>12003</v>
      </c>
      <c r="B2387" s="507" t="s">
        <v>5521</v>
      </c>
      <c r="C2387" s="506" t="s">
        <v>32</v>
      </c>
      <c r="D2387" s="508">
        <v>8287</v>
      </c>
      <c r="E2387" s="507" t="s">
        <v>6108</v>
      </c>
    </row>
    <row r="2388" spans="1:5" ht="15" x14ac:dyDescent="0.3">
      <c r="A2388" s="506">
        <v>12004</v>
      </c>
      <c r="B2388" s="507" t="s">
        <v>6511</v>
      </c>
      <c r="C2388" s="506" t="s">
        <v>32</v>
      </c>
      <c r="D2388" s="508">
        <v>59235</v>
      </c>
      <c r="E2388" s="507" t="s">
        <v>6108</v>
      </c>
    </row>
    <row r="2389" spans="1:5" ht="15" x14ac:dyDescent="0.3">
      <c r="A2389" s="506">
        <v>12005</v>
      </c>
      <c r="B2389" s="507" t="s">
        <v>5522</v>
      </c>
      <c r="C2389" s="506" t="s">
        <v>32</v>
      </c>
      <c r="D2389" s="508">
        <v>107900</v>
      </c>
      <c r="E2389" s="507" t="s">
        <v>6108</v>
      </c>
    </row>
    <row r="2390" spans="1:5" ht="15" x14ac:dyDescent="0.3">
      <c r="A2390" s="506">
        <v>12006</v>
      </c>
      <c r="B2390" s="507" t="s">
        <v>6512</v>
      </c>
      <c r="C2390" s="506" t="s">
        <v>32</v>
      </c>
      <c r="D2390" s="508">
        <v>78100</v>
      </c>
      <c r="E2390" s="507" t="s">
        <v>6108</v>
      </c>
    </row>
    <row r="2391" spans="1:5" ht="15" x14ac:dyDescent="0.3">
      <c r="A2391" s="506">
        <v>12010</v>
      </c>
      <c r="B2391" s="507" t="s">
        <v>6513</v>
      </c>
      <c r="C2391" s="506" t="s">
        <v>3579</v>
      </c>
      <c r="D2391" s="508">
        <v>26000</v>
      </c>
      <c r="E2391" s="507" t="s">
        <v>6108</v>
      </c>
    </row>
    <row r="2392" spans="1:5" ht="15" x14ac:dyDescent="0.3">
      <c r="A2392" s="506">
        <v>12011</v>
      </c>
      <c r="B2392" s="507" t="s">
        <v>5523</v>
      </c>
      <c r="C2392" s="506" t="s">
        <v>32</v>
      </c>
      <c r="D2392" s="508">
        <v>1100000</v>
      </c>
      <c r="E2392" s="507" t="s">
        <v>6108</v>
      </c>
    </row>
    <row r="2393" spans="1:5" ht="15" x14ac:dyDescent="0.3">
      <c r="A2393" s="506">
        <v>12015</v>
      </c>
      <c r="B2393" s="507" t="s">
        <v>6514</v>
      </c>
      <c r="C2393" s="506" t="s">
        <v>3596</v>
      </c>
      <c r="D2393" s="508">
        <v>13500</v>
      </c>
      <c r="E2393" s="507" t="s">
        <v>6108</v>
      </c>
    </row>
    <row r="2394" spans="1:5" ht="15" x14ac:dyDescent="0.3">
      <c r="A2394" s="506">
        <v>12017</v>
      </c>
      <c r="B2394" s="507" t="s">
        <v>6515</v>
      </c>
      <c r="C2394" s="506" t="s">
        <v>32</v>
      </c>
      <c r="D2394" s="508">
        <v>142000</v>
      </c>
      <c r="E2394" s="507" t="s">
        <v>6108</v>
      </c>
    </row>
    <row r="2395" spans="1:5" ht="15" x14ac:dyDescent="0.3">
      <c r="A2395" s="506">
        <v>12019</v>
      </c>
      <c r="B2395" s="507" t="s">
        <v>5524</v>
      </c>
      <c r="C2395" s="506" t="s">
        <v>32</v>
      </c>
      <c r="D2395" s="508">
        <v>59417</v>
      </c>
      <c r="E2395" s="507" t="s">
        <v>6108</v>
      </c>
    </row>
    <row r="2396" spans="1:5" ht="15" x14ac:dyDescent="0.3">
      <c r="A2396" s="506">
        <v>12020</v>
      </c>
      <c r="B2396" s="507" t="s">
        <v>5525</v>
      </c>
      <c r="C2396" s="506" t="s">
        <v>30</v>
      </c>
      <c r="D2396" s="508">
        <v>29691</v>
      </c>
      <c r="E2396" s="507" t="s">
        <v>331</v>
      </c>
    </row>
    <row r="2397" spans="1:5" ht="15" x14ac:dyDescent="0.3">
      <c r="A2397" s="506">
        <v>12021</v>
      </c>
      <c r="B2397" s="507" t="s">
        <v>5526</v>
      </c>
      <c r="C2397" s="506" t="s">
        <v>670</v>
      </c>
      <c r="D2397" s="508">
        <v>1071</v>
      </c>
      <c r="E2397" s="507" t="s">
        <v>331</v>
      </c>
    </row>
    <row r="2398" spans="1:5" ht="15" x14ac:dyDescent="0.3">
      <c r="A2398" s="506">
        <v>12022</v>
      </c>
      <c r="B2398" s="507" t="s">
        <v>5527</v>
      </c>
      <c r="C2398" s="506" t="s">
        <v>32</v>
      </c>
      <c r="D2398" s="508">
        <v>32900</v>
      </c>
      <c r="E2398" s="507" t="s">
        <v>6108</v>
      </c>
    </row>
    <row r="2399" spans="1:5" ht="15" x14ac:dyDescent="0.3">
      <c r="A2399" s="506">
        <v>12023</v>
      </c>
      <c r="B2399" s="507" t="s">
        <v>5528</v>
      </c>
      <c r="C2399" s="506" t="s">
        <v>32</v>
      </c>
      <c r="D2399" s="508">
        <v>62475</v>
      </c>
      <c r="E2399" s="507" t="s">
        <v>6108</v>
      </c>
    </row>
    <row r="2400" spans="1:5" ht="15" x14ac:dyDescent="0.3">
      <c r="A2400" s="506">
        <v>12024</v>
      </c>
      <c r="B2400" s="507" t="s">
        <v>5529</v>
      </c>
      <c r="C2400" s="506" t="s">
        <v>4222</v>
      </c>
      <c r="D2400" s="508">
        <v>39000</v>
      </c>
      <c r="E2400" s="507" t="s">
        <v>6108</v>
      </c>
    </row>
    <row r="2401" spans="1:5" ht="15" x14ac:dyDescent="0.3">
      <c r="A2401" s="506">
        <v>12025</v>
      </c>
      <c r="B2401" s="507" t="s">
        <v>5530</v>
      </c>
      <c r="C2401" s="506" t="s">
        <v>4222</v>
      </c>
      <c r="D2401" s="508">
        <v>11100</v>
      </c>
      <c r="E2401" s="507" t="s">
        <v>6108</v>
      </c>
    </row>
    <row r="2402" spans="1:5" ht="15" x14ac:dyDescent="0.3">
      <c r="A2402" s="506">
        <v>12026</v>
      </c>
      <c r="B2402" s="507" t="s">
        <v>5531</v>
      </c>
      <c r="C2402" s="506" t="s">
        <v>32</v>
      </c>
      <c r="D2402" s="508">
        <v>268</v>
      </c>
      <c r="E2402" s="507" t="s">
        <v>6108</v>
      </c>
    </row>
    <row r="2403" spans="1:5" ht="15" x14ac:dyDescent="0.3">
      <c r="A2403" s="506">
        <v>12027</v>
      </c>
      <c r="B2403" s="507" t="s">
        <v>5532</v>
      </c>
      <c r="C2403" s="506" t="s">
        <v>4235</v>
      </c>
      <c r="D2403" s="508">
        <v>34140</v>
      </c>
      <c r="E2403" s="507" t="s">
        <v>6108</v>
      </c>
    </row>
    <row r="2404" spans="1:5" ht="15" x14ac:dyDescent="0.3">
      <c r="A2404" s="506">
        <v>12028</v>
      </c>
      <c r="B2404" s="507" t="s">
        <v>6516</v>
      </c>
      <c r="C2404" s="506" t="s">
        <v>670</v>
      </c>
      <c r="D2404" s="508">
        <v>2118</v>
      </c>
      <c r="E2404" s="507" t="s">
        <v>6108</v>
      </c>
    </row>
    <row r="2405" spans="1:5" ht="15" x14ac:dyDescent="0.3">
      <c r="A2405" s="506">
        <v>12029</v>
      </c>
      <c r="B2405" s="507" t="s">
        <v>5533</v>
      </c>
      <c r="C2405" s="506" t="s">
        <v>32</v>
      </c>
      <c r="D2405" s="508">
        <v>20468</v>
      </c>
      <c r="E2405" s="507" t="s">
        <v>6108</v>
      </c>
    </row>
    <row r="2406" spans="1:5" ht="15" x14ac:dyDescent="0.3">
      <c r="A2406" s="506">
        <v>12030</v>
      </c>
      <c r="B2406" s="507" t="s">
        <v>5534</v>
      </c>
      <c r="C2406" s="506" t="s">
        <v>32</v>
      </c>
      <c r="D2406" s="508">
        <v>65000</v>
      </c>
      <c r="E2406" s="507" t="s">
        <v>6108</v>
      </c>
    </row>
    <row r="2407" spans="1:5" ht="15" x14ac:dyDescent="0.3">
      <c r="A2407" s="506">
        <v>12031</v>
      </c>
      <c r="B2407" s="507" t="s">
        <v>6517</v>
      </c>
      <c r="C2407" s="506" t="s">
        <v>32</v>
      </c>
      <c r="D2407" s="508">
        <v>2800</v>
      </c>
      <c r="E2407" s="507" t="s">
        <v>6108</v>
      </c>
    </row>
    <row r="2408" spans="1:5" ht="15" x14ac:dyDescent="0.3">
      <c r="A2408" s="506">
        <v>12039</v>
      </c>
      <c r="B2408" s="507" t="s">
        <v>6518</v>
      </c>
      <c r="C2408" s="506" t="s">
        <v>32</v>
      </c>
      <c r="D2408" s="508">
        <v>336</v>
      </c>
      <c r="E2408" s="507" t="s">
        <v>6108</v>
      </c>
    </row>
    <row r="2409" spans="1:5" ht="15" x14ac:dyDescent="0.3">
      <c r="A2409" s="506">
        <v>12040</v>
      </c>
      <c r="B2409" s="507" t="s">
        <v>6519</v>
      </c>
      <c r="C2409" s="506" t="s">
        <v>3596</v>
      </c>
      <c r="D2409" s="508">
        <v>2800</v>
      </c>
      <c r="E2409" s="507" t="s">
        <v>6108</v>
      </c>
    </row>
    <row r="2410" spans="1:5" ht="15" x14ac:dyDescent="0.3">
      <c r="A2410" s="506">
        <v>12043</v>
      </c>
      <c r="B2410" s="507" t="s">
        <v>5535</v>
      </c>
      <c r="C2410" s="506" t="s">
        <v>32</v>
      </c>
      <c r="D2410" s="508">
        <v>3440464</v>
      </c>
      <c r="E2410" s="507" t="s">
        <v>6108</v>
      </c>
    </row>
    <row r="2411" spans="1:5" ht="15" x14ac:dyDescent="0.3">
      <c r="A2411" s="506">
        <v>12045</v>
      </c>
      <c r="B2411" s="507" t="s">
        <v>5536</v>
      </c>
      <c r="C2411" s="506" t="s">
        <v>21</v>
      </c>
      <c r="D2411" s="508">
        <v>1574</v>
      </c>
      <c r="E2411" s="507" t="s">
        <v>6108</v>
      </c>
    </row>
    <row r="2412" spans="1:5" ht="15" x14ac:dyDescent="0.3">
      <c r="A2412" s="506">
        <v>12046</v>
      </c>
      <c r="B2412" s="507" t="s">
        <v>5537</v>
      </c>
      <c r="C2412" s="506" t="s">
        <v>32</v>
      </c>
      <c r="D2412" s="508">
        <v>141953</v>
      </c>
      <c r="E2412" s="507" t="s">
        <v>6108</v>
      </c>
    </row>
    <row r="2413" spans="1:5" ht="15" x14ac:dyDescent="0.3">
      <c r="A2413" s="506">
        <v>12048</v>
      </c>
      <c r="B2413" s="507" t="s">
        <v>5538</v>
      </c>
      <c r="C2413" s="506" t="s">
        <v>670</v>
      </c>
      <c r="D2413" s="508">
        <v>16915</v>
      </c>
      <c r="E2413" s="507" t="s">
        <v>6108</v>
      </c>
    </row>
    <row r="2414" spans="1:5" ht="15" x14ac:dyDescent="0.3">
      <c r="A2414" s="506">
        <v>12050</v>
      </c>
      <c r="B2414" s="507" t="s">
        <v>5539</v>
      </c>
      <c r="C2414" s="506" t="s">
        <v>32</v>
      </c>
      <c r="D2414" s="508">
        <v>437375</v>
      </c>
      <c r="E2414" s="507" t="s">
        <v>6108</v>
      </c>
    </row>
    <row r="2415" spans="1:5" ht="15" x14ac:dyDescent="0.3">
      <c r="A2415" s="506">
        <v>12051</v>
      </c>
      <c r="B2415" s="507" t="s">
        <v>5540</v>
      </c>
      <c r="C2415" s="506" t="s">
        <v>328</v>
      </c>
      <c r="D2415" s="508">
        <v>226632</v>
      </c>
      <c r="E2415" s="507" t="s">
        <v>331</v>
      </c>
    </row>
    <row r="2416" spans="1:5" ht="15" x14ac:dyDescent="0.3">
      <c r="A2416" s="506">
        <v>12052</v>
      </c>
      <c r="B2416" s="507" t="s">
        <v>5541</v>
      </c>
      <c r="C2416" s="506" t="s">
        <v>32</v>
      </c>
      <c r="D2416" s="508">
        <v>236284</v>
      </c>
      <c r="E2416" s="507" t="s">
        <v>331</v>
      </c>
    </row>
    <row r="2417" spans="1:5" ht="15" x14ac:dyDescent="0.3">
      <c r="A2417" s="506">
        <v>12058</v>
      </c>
      <c r="B2417" s="507" t="s">
        <v>5542</v>
      </c>
      <c r="C2417" s="506" t="s">
        <v>670</v>
      </c>
      <c r="D2417" s="508">
        <v>6526</v>
      </c>
      <c r="E2417" s="507" t="s">
        <v>6108</v>
      </c>
    </row>
    <row r="2418" spans="1:5" ht="15" x14ac:dyDescent="0.3">
      <c r="A2418" s="506">
        <v>12059</v>
      </c>
      <c r="B2418" s="507" t="s">
        <v>5543</v>
      </c>
      <c r="C2418" s="506" t="s">
        <v>32</v>
      </c>
      <c r="D2418" s="508">
        <v>425987</v>
      </c>
      <c r="E2418" s="507" t="s">
        <v>6108</v>
      </c>
    </row>
    <row r="2419" spans="1:5" ht="15" x14ac:dyDescent="0.3">
      <c r="A2419" s="506">
        <v>12090</v>
      </c>
      <c r="B2419" s="507" t="s">
        <v>5544</v>
      </c>
      <c r="C2419" s="506" t="s">
        <v>670</v>
      </c>
      <c r="D2419" s="508">
        <v>160155</v>
      </c>
      <c r="E2419" s="507" t="s">
        <v>6108</v>
      </c>
    </row>
    <row r="2420" spans="1:5" ht="15" x14ac:dyDescent="0.3">
      <c r="A2420" s="506">
        <v>12091</v>
      </c>
      <c r="B2420" s="507" t="s">
        <v>5545</v>
      </c>
      <c r="C2420" s="506" t="s">
        <v>32</v>
      </c>
      <c r="D2420" s="508">
        <v>8330</v>
      </c>
      <c r="E2420" s="507" t="s">
        <v>331</v>
      </c>
    </row>
    <row r="2421" spans="1:5" ht="15" x14ac:dyDescent="0.3">
      <c r="A2421" s="506">
        <v>12092</v>
      </c>
      <c r="B2421" s="507" t="s">
        <v>5546</v>
      </c>
      <c r="C2421" s="506" t="s">
        <v>32</v>
      </c>
      <c r="D2421" s="508">
        <v>14280</v>
      </c>
      <c r="E2421" s="507" t="s">
        <v>331</v>
      </c>
    </row>
    <row r="2422" spans="1:5" ht="15" x14ac:dyDescent="0.3">
      <c r="A2422" s="506">
        <v>12093</v>
      </c>
      <c r="B2422" s="507" t="s">
        <v>5547</v>
      </c>
      <c r="C2422" s="506" t="s">
        <v>32</v>
      </c>
      <c r="D2422" s="508">
        <v>21420</v>
      </c>
      <c r="E2422" s="507" t="s">
        <v>331</v>
      </c>
    </row>
    <row r="2423" spans="1:5" ht="15" x14ac:dyDescent="0.3">
      <c r="A2423" s="506">
        <v>12094</v>
      </c>
      <c r="B2423" s="507" t="s">
        <v>5548</v>
      </c>
      <c r="C2423" s="506" t="s">
        <v>32</v>
      </c>
      <c r="D2423" s="508">
        <v>26180</v>
      </c>
      <c r="E2423" s="507" t="s">
        <v>331</v>
      </c>
    </row>
    <row r="2424" spans="1:5" ht="15" x14ac:dyDescent="0.3">
      <c r="A2424" s="506">
        <v>12095</v>
      </c>
      <c r="B2424" s="507" t="s">
        <v>5549</v>
      </c>
      <c r="C2424" s="506" t="s">
        <v>32</v>
      </c>
      <c r="D2424" s="508">
        <v>9520</v>
      </c>
      <c r="E2424" s="507" t="s">
        <v>331</v>
      </c>
    </row>
    <row r="2425" spans="1:5" ht="15" x14ac:dyDescent="0.3">
      <c r="A2425" s="506">
        <v>12096</v>
      </c>
      <c r="B2425" s="507" t="s">
        <v>5550</v>
      </c>
      <c r="C2425" s="506" t="s">
        <v>32</v>
      </c>
      <c r="D2425" s="508">
        <v>16660</v>
      </c>
      <c r="E2425" s="507" t="s">
        <v>331</v>
      </c>
    </row>
    <row r="2426" spans="1:5" ht="15" x14ac:dyDescent="0.3">
      <c r="A2426" s="506">
        <v>12097</v>
      </c>
      <c r="B2426" s="507" t="s">
        <v>5551</v>
      </c>
      <c r="C2426" s="506" t="s">
        <v>32</v>
      </c>
      <c r="D2426" s="508">
        <v>29750</v>
      </c>
      <c r="E2426" s="507" t="s">
        <v>331</v>
      </c>
    </row>
    <row r="2427" spans="1:5" ht="15" x14ac:dyDescent="0.3">
      <c r="A2427" s="506">
        <v>12098</v>
      </c>
      <c r="B2427" s="507" t="s">
        <v>5552</v>
      </c>
      <c r="C2427" s="506" t="s">
        <v>32</v>
      </c>
      <c r="D2427" s="508">
        <v>32130</v>
      </c>
      <c r="E2427" s="507" t="s">
        <v>331</v>
      </c>
    </row>
    <row r="2428" spans="1:5" ht="15" x14ac:dyDescent="0.3">
      <c r="A2428" s="506">
        <v>12229</v>
      </c>
      <c r="B2428" s="507" t="s">
        <v>6520</v>
      </c>
      <c r="C2428" s="506" t="s">
        <v>32</v>
      </c>
      <c r="D2428" s="508">
        <v>479816</v>
      </c>
      <c r="E2428" s="507" t="s">
        <v>6108</v>
      </c>
    </row>
    <row r="2429" spans="1:5" ht="15" x14ac:dyDescent="0.3">
      <c r="A2429" s="506">
        <v>12234</v>
      </c>
      <c r="B2429" s="507" t="s">
        <v>5553</v>
      </c>
      <c r="C2429" s="506" t="s">
        <v>32</v>
      </c>
      <c r="D2429" s="508">
        <v>2176</v>
      </c>
      <c r="E2429" s="507" t="s">
        <v>331</v>
      </c>
    </row>
    <row r="2430" spans="1:5" ht="15" x14ac:dyDescent="0.3">
      <c r="A2430" s="506">
        <v>12235</v>
      </c>
      <c r="B2430" s="507" t="s">
        <v>5554</v>
      </c>
      <c r="C2430" s="506" t="s">
        <v>670</v>
      </c>
      <c r="D2430" s="508">
        <v>55692</v>
      </c>
      <c r="E2430" s="507" t="s">
        <v>6108</v>
      </c>
    </row>
    <row r="2431" spans="1:5" ht="15" x14ac:dyDescent="0.3">
      <c r="A2431" s="506">
        <v>12236</v>
      </c>
      <c r="B2431" s="507" t="s">
        <v>6521</v>
      </c>
      <c r="C2431" s="506" t="s">
        <v>32</v>
      </c>
      <c r="D2431" s="508">
        <v>241770</v>
      </c>
      <c r="E2431" s="507" t="s">
        <v>6108</v>
      </c>
    </row>
    <row r="2432" spans="1:5" ht="15" x14ac:dyDescent="0.3">
      <c r="A2432" s="506">
        <v>12237</v>
      </c>
      <c r="B2432" s="507" t="s">
        <v>6522</v>
      </c>
      <c r="C2432" s="506" t="s">
        <v>32</v>
      </c>
      <c r="D2432" s="508">
        <v>134884</v>
      </c>
      <c r="E2432" s="507" t="s">
        <v>6108</v>
      </c>
    </row>
    <row r="2433" spans="1:5" ht="15" x14ac:dyDescent="0.3">
      <c r="A2433" s="506">
        <v>12238</v>
      </c>
      <c r="B2433" s="507" t="s">
        <v>6523</v>
      </c>
      <c r="C2433" s="506" t="s">
        <v>32</v>
      </c>
      <c r="D2433" s="508">
        <v>159460</v>
      </c>
      <c r="E2433" s="507" t="s">
        <v>6108</v>
      </c>
    </row>
    <row r="2434" spans="1:5" ht="15" x14ac:dyDescent="0.3">
      <c r="A2434" s="506">
        <v>12239</v>
      </c>
      <c r="B2434" s="507" t="s">
        <v>5555</v>
      </c>
      <c r="C2434" s="506" t="s">
        <v>30</v>
      </c>
      <c r="D2434" s="508">
        <v>79730</v>
      </c>
      <c r="E2434" s="507" t="s">
        <v>331</v>
      </c>
    </row>
    <row r="2435" spans="1:5" ht="15" x14ac:dyDescent="0.3">
      <c r="A2435" s="506">
        <v>12240</v>
      </c>
      <c r="B2435" s="507" t="s">
        <v>5556</v>
      </c>
      <c r="C2435" s="506" t="s">
        <v>30</v>
      </c>
      <c r="D2435" s="508">
        <v>79730</v>
      </c>
      <c r="E2435" s="507" t="s">
        <v>331</v>
      </c>
    </row>
    <row r="2436" spans="1:5" ht="15" x14ac:dyDescent="0.3">
      <c r="A2436" s="506">
        <v>12241</v>
      </c>
      <c r="B2436" s="507" t="s">
        <v>5557</v>
      </c>
      <c r="C2436" s="506" t="s">
        <v>30</v>
      </c>
      <c r="D2436" s="508">
        <v>79730</v>
      </c>
      <c r="E2436" s="507" t="s">
        <v>331</v>
      </c>
    </row>
    <row r="2437" spans="1:5" ht="15" x14ac:dyDescent="0.3">
      <c r="A2437" s="506">
        <v>12243</v>
      </c>
      <c r="B2437" s="507" t="s">
        <v>5558</v>
      </c>
      <c r="C2437" s="506" t="s">
        <v>30</v>
      </c>
      <c r="D2437" s="508">
        <v>79730</v>
      </c>
      <c r="E2437" s="507" t="s">
        <v>331</v>
      </c>
    </row>
    <row r="2438" spans="1:5" ht="15" x14ac:dyDescent="0.3">
      <c r="A2438" s="506">
        <v>12244</v>
      </c>
      <c r="B2438" s="507" t="s">
        <v>5559</v>
      </c>
      <c r="C2438" s="506" t="s">
        <v>30</v>
      </c>
      <c r="D2438" s="508">
        <v>19635</v>
      </c>
      <c r="E2438" s="507" t="s">
        <v>331</v>
      </c>
    </row>
    <row r="2439" spans="1:5" ht="15" x14ac:dyDescent="0.3">
      <c r="A2439" s="506">
        <v>12245</v>
      </c>
      <c r="B2439" s="507" t="s">
        <v>5560</v>
      </c>
      <c r="C2439" s="506" t="s">
        <v>30</v>
      </c>
      <c r="D2439" s="508">
        <v>107701</v>
      </c>
      <c r="E2439" s="507" t="s">
        <v>331</v>
      </c>
    </row>
    <row r="2440" spans="1:5" ht="15" x14ac:dyDescent="0.3">
      <c r="A2440" s="506">
        <v>12246</v>
      </c>
      <c r="B2440" s="507" t="s">
        <v>5561</v>
      </c>
      <c r="C2440" s="506" t="s">
        <v>30</v>
      </c>
      <c r="D2440" s="508">
        <v>107701</v>
      </c>
      <c r="E2440" s="507" t="s">
        <v>331</v>
      </c>
    </row>
    <row r="2441" spans="1:5" ht="15" x14ac:dyDescent="0.3">
      <c r="A2441" s="506">
        <v>12247</v>
      </c>
      <c r="B2441" s="507" t="s">
        <v>5562</v>
      </c>
      <c r="C2441" s="506" t="s">
        <v>30</v>
      </c>
      <c r="D2441" s="508">
        <v>76160</v>
      </c>
      <c r="E2441" s="507" t="s">
        <v>331</v>
      </c>
    </row>
    <row r="2442" spans="1:5" ht="15" x14ac:dyDescent="0.3">
      <c r="A2442" s="506">
        <v>12248</v>
      </c>
      <c r="B2442" s="507" t="s">
        <v>5563</v>
      </c>
      <c r="C2442" s="506" t="s">
        <v>30</v>
      </c>
      <c r="D2442" s="508">
        <v>76160</v>
      </c>
      <c r="E2442" s="507" t="s">
        <v>331</v>
      </c>
    </row>
    <row r="2443" spans="1:5" ht="15" x14ac:dyDescent="0.3">
      <c r="A2443" s="506">
        <v>12249</v>
      </c>
      <c r="B2443" s="507" t="s">
        <v>5564</v>
      </c>
      <c r="C2443" s="506" t="s">
        <v>670</v>
      </c>
      <c r="D2443" s="508">
        <v>2800</v>
      </c>
      <c r="E2443" s="507" t="s">
        <v>331</v>
      </c>
    </row>
    <row r="2444" spans="1:5" ht="15" x14ac:dyDescent="0.3">
      <c r="A2444" s="506">
        <v>12250</v>
      </c>
      <c r="B2444" s="507" t="s">
        <v>5565</v>
      </c>
      <c r="C2444" s="506" t="s">
        <v>30</v>
      </c>
      <c r="D2444" s="508">
        <v>659290</v>
      </c>
      <c r="E2444" s="507" t="s">
        <v>331</v>
      </c>
    </row>
    <row r="2445" spans="1:5" ht="15" x14ac:dyDescent="0.3">
      <c r="A2445" s="506">
        <v>12251</v>
      </c>
      <c r="B2445" s="507" t="s">
        <v>5566</v>
      </c>
      <c r="C2445" s="506" t="s">
        <v>30</v>
      </c>
      <c r="D2445" s="508">
        <v>676235</v>
      </c>
      <c r="E2445" s="507" t="s">
        <v>331</v>
      </c>
    </row>
    <row r="2446" spans="1:5" ht="15" x14ac:dyDescent="0.3">
      <c r="A2446" s="506">
        <v>12252</v>
      </c>
      <c r="B2446" s="507" t="s">
        <v>5567</v>
      </c>
      <c r="C2446" s="506" t="s">
        <v>30</v>
      </c>
      <c r="D2446" s="508">
        <v>803788</v>
      </c>
      <c r="E2446" s="507" t="s">
        <v>331</v>
      </c>
    </row>
    <row r="2447" spans="1:5" ht="15" x14ac:dyDescent="0.3">
      <c r="A2447" s="506">
        <v>12255</v>
      </c>
      <c r="B2447" s="507" t="s">
        <v>6524</v>
      </c>
      <c r="C2447" s="506" t="s">
        <v>2721</v>
      </c>
      <c r="D2447" s="508">
        <v>254001</v>
      </c>
      <c r="E2447" s="507" t="s">
        <v>6108</v>
      </c>
    </row>
    <row r="2448" spans="1:5" ht="15" x14ac:dyDescent="0.3">
      <c r="A2448" s="506">
        <v>12257</v>
      </c>
      <c r="B2448" s="507" t="s">
        <v>5568</v>
      </c>
      <c r="C2448" s="506" t="s">
        <v>32</v>
      </c>
      <c r="D2448" s="508">
        <v>107100</v>
      </c>
      <c r="E2448" s="507" t="s">
        <v>6108</v>
      </c>
    </row>
    <row r="2449" spans="1:5" ht="15" x14ac:dyDescent="0.3">
      <c r="A2449" s="506">
        <v>12258</v>
      </c>
      <c r="B2449" s="507" t="s">
        <v>5569</v>
      </c>
      <c r="C2449" s="506" t="s">
        <v>3582</v>
      </c>
      <c r="D2449" s="508">
        <v>1725500</v>
      </c>
      <c r="E2449" s="507" t="s">
        <v>6108</v>
      </c>
    </row>
    <row r="2450" spans="1:5" ht="15" x14ac:dyDescent="0.3">
      <c r="A2450" s="506">
        <v>12259</v>
      </c>
      <c r="B2450" s="507" t="s">
        <v>5570</v>
      </c>
      <c r="C2450" s="506" t="s">
        <v>3582</v>
      </c>
      <c r="D2450" s="508">
        <v>873650</v>
      </c>
      <c r="E2450" s="507" t="s">
        <v>6108</v>
      </c>
    </row>
    <row r="2451" spans="1:5" ht="15" x14ac:dyDescent="0.3">
      <c r="A2451" s="506">
        <v>12260</v>
      </c>
      <c r="B2451" s="507" t="s">
        <v>5571</v>
      </c>
      <c r="C2451" s="506" t="s">
        <v>3582</v>
      </c>
      <c r="D2451" s="508">
        <v>919632</v>
      </c>
      <c r="E2451" s="507" t="s">
        <v>6108</v>
      </c>
    </row>
    <row r="2452" spans="1:5" ht="15" x14ac:dyDescent="0.3">
      <c r="A2452" s="506">
        <v>12261</v>
      </c>
      <c r="B2452" s="507" t="s">
        <v>6525</v>
      </c>
      <c r="C2452" s="506" t="s">
        <v>3582</v>
      </c>
      <c r="D2452" s="508">
        <v>1029988</v>
      </c>
      <c r="E2452" s="507" t="s">
        <v>6108</v>
      </c>
    </row>
    <row r="2453" spans="1:5" ht="15" x14ac:dyDescent="0.3">
      <c r="A2453" s="506">
        <v>12263</v>
      </c>
      <c r="B2453" s="507" t="s">
        <v>5572</v>
      </c>
      <c r="C2453" s="506" t="s">
        <v>3582</v>
      </c>
      <c r="D2453" s="508">
        <v>1029988</v>
      </c>
      <c r="E2453" s="507" t="s">
        <v>6108</v>
      </c>
    </row>
    <row r="2454" spans="1:5" ht="15" x14ac:dyDescent="0.3">
      <c r="A2454" s="506">
        <v>12264</v>
      </c>
      <c r="B2454" s="507" t="s">
        <v>5573</v>
      </c>
      <c r="C2454" s="506" t="s">
        <v>32</v>
      </c>
      <c r="D2454" s="508">
        <v>74375</v>
      </c>
      <c r="E2454" s="507" t="s">
        <v>6108</v>
      </c>
    </row>
    <row r="2455" spans="1:5" ht="15" x14ac:dyDescent="0.3">
      <c r="A2455" s="506">
        <v>12265</v>
      </c>
      <c r="B2455" s="507" t="s">
        <v>6526</v>
      </c>
      <c r="C2455" s="506" t="s">
        <v>328</v>
      </c>
      <c r="D2455" s="508">
        <v>134708</v>
      </c>
      <c r="E2455" s="507" t="s">
        <v>6108</v>
      </c>
    </row>
    <row r="2456" spans="1:5" ht="15" x14ac:dyDescent="0.3">
      <c r="A2456" s="506">
        <v>12266</v>
      </c>
      <c r="B2456" s="507" t="s">
        <v>5574</v>
      </c>
      <c r="C2456" s="506" t="s">
        <v>3582</v>
      </c>
      <c r="D2456" s="508">
        <v>946455</v>
      </c>
      <c r="E2456" s="507" t="s">
        <v>6108</v>
      </c>
    </row>
    <row r="2457" spans="1:5" ht="15" x14ac:dyDescent="0.3">
      <c r="A2457" s="506">
        <v>12267</v>
      </c>
      <c r="B2457" s="507" t="s">
        <v>5575</v>
      </c>
      <c r="C2457" s="506" t="s">
        <v>32</v>
      </c>
      <c r="D2457" s="508">
        <v>1097900</v>
      </c>
      <c r="E2457" s="507" t="s">
        <v>6108</v>
      </c>
    </row>
    <row r="2458" spans="1:5" ht="15" x14ac:dyDescent="0.3">
      <c r="A2458" s="506">
        <v>12268</v>
      </c>
      <c r="B2458" s="507" t="s">
        <v>5576</v>
      </c>
      <c r="C2458" s="506" t="s">
        <v>32</v>
      </c>
      <c r="D2458" s="508">
        <v>207012</v>
      </c>
      <c r="E2458" s="507" t="s">
        <v>6108</v>
      </c>
    </row>
    <row r="2459" spans="1:5" ht="15" x14ac:dyDescent="0.3">
      <c r="A2459" s="506">
        <v>12269</v>
      </c>
      <c r="B2459" s="507" t="s">
        <v>5577</v>
      </c>
      <c r="C2459" s="506" t="s">
        <v>32</v>
      </c>
      <c r="D2459" s="508">
        <v>78100</v>
      </c>
      <c r="E2459" s="507" t="s">
        <v>6108</v>
      </c>
    </row>
    <row r="2460" spans="1:5" ht="15" x14ac:dyDescent="0.3">
      <c r="A2460" s="506">
        <v>12270</v>
      </c>
      <c r="B2460" s="507" t="s">
        <v>5578</v>
      </c>
      <c r="C2460" s="506" t="s">
        <v>32</v>
      </c>
      <c r="D2460" s="508">
        <v>143999</v>
      </c>
      <c r="E2460" s="507" t="s">
        <v>6108</v>
      </c>
    </row>
    <row r="2461" spans="1:5" ht="15" x14ac:dyDescent="0.3">
      <c r="A2461" s="506">
        <v>12271</v>
      </c>
      <c r="B2461" s="507" t="s">
        <v>3280</v>
      </c>
      <c r="C2461" s="506" t="s">
        <v>30</v>
      </c>
      <c r="D2461" s="508">
        <v>371137</v>
      </c>
      <c r="E2461" s="507" t="s">
        <v>6108</v>
      </c>
    </row>
    <row r="2462" spans="1:5" ht="15" x14ac:dyDescent="0.3">
      <c r="A2462" s="506">
        <v>12272</v>
      </c>
      <c r="B2462" s="507" t="s">
        <v>6527</v>
      </c>
      <c r="C2462" s="506" t="s">
        <v>32</v>
      </c>
      <c r="D2462" s="508">
        <v>387900</v>
      </c>
      <c r="E2462" s="507" t="s">
        <v>6108</v>
      </c>
    </row>
    <row r="2463" spans="1:5" ht="15" x14ac:dyDescent="0.3">
      <c r="A2463" s="506">
        <v>12277</v>
      </c>
      <c r="B2463" s="507" t="s">
        <v>5579</v>
      </c>
      <c r="C2463" s="506" t="s">
        <v>979</v>
      </c>
      <c r="D2463" s="508">
        <v>251285</v>
      </c>
      <c r="E2463" s="507" t="s">
        <v>6108</v>
      </c>
    </row>
    <row r="2464" spans="1:5" ht="15" x14ac:dyDescent="0.3">
      <c r="A2464" s="506">
        <v>12319</v>
      </c>
      <c r="B2464" s="507" t="s">
        <v>5580</v>
      </c>
      <c r="C2464" s="506" t="s">
        <v>328</v>
      </c>
      <c r="D2464" s="508">
        <v>110763</v>
      </c>
      <c r="E2464" s="507" t="s">
        <v>6108</v>
      </c>
    </row>
    <row r="2465" spans="1:5" ht="15" x14ac:dyDescent="0.3">
      <c r="A2465" s="506">
        <v>12320</v>
      </c>
      <c r="B2465" s="507" t="s">
        <v>5581</v>
      </c>
      <c r="C2465" s="506" t="s">
        <v>328</v>
      </c>
      <c r="D2465" s="508">
        <v>250590</v>
      </c>
      <c r="E2465" s="507" t="s">
        <v>6108</v>
      </c>
    </row>
    <row r="2466" spans="1:5" ht="15" x14ac:dyDescent="0.3">
      <c r="A2466" s="506">
        <v>12321</v>
      </c>
      <c r="B2466" s="507" t="s">
        <v>5582</v>
      </c>
      <c r="C2466" s="506" t="s">
        <v>328</v>
      </c>
      <c r="D2466" s="508">
        <v>313238</v>
      </c>
      <c r="E2466" s="507" t="s">
        <v>6108</v>
      </c>
    </row>
    <row r="2467" spans="1:5" ht="15" x14ac:dyDescent="0.3">
      <c r="A2467" s="506">
        <v>12322</v>
      </c>
      <c r="B2467" s="507" t="s">
        <v>5583</v>
      </c>
      <c r="C2467" s="506" t="s">
        <v>328</v>
      </c>
      <c r="D2467" s="508">
        <v>221526</v>
      </c>
      <c r="E2467" s="507" t="s">
        <v>6108</v>
      </c>
    </row>
    <row r="2468" spans="1:5" ht="15" x14ac:dyDescent="0.3">
      <c r="A2468" s="506">
        <v>12323</v>
      </c>
      <c r="B2468" s="507" t="s">
        <v>5584</v>
      </c>
      <c r="C2468" s="506" t="s">
        <v>328</v>
      </c>
      <c r="D2468" s="508">
        <v>172298</v>
      </c>
      <c r="E2468" s="507" t="s">
        <v>6108</v>
      </c>
    </row>
    <row r="2469" spans="1:5" ht="15" x14ac:dyDescent="0.3">
      <c r="A2469" s="506">
        <v>12324</v>
      </c>
      <c r="B2469" s="507" t="s">
        <v>5585</v>
      </c>
      <c r="C2469" s="506" t="s">
        <v>328</v>
      </c>
      <c r="D2469" s="508">
        <v>227679</v>
      </c>
      <c r="E2469" s="507" t="s">
        <v>6108</v>
      </c>
    </row>
    <row r="2470" spans="1:5" ht="15" x14ac:dyDescent="0.3">
      <c r="A2470" s="506">
        <v>12325</v>
      </c>
      <c r="B2470" s="507" t="s">
        <v>5586</v>
      </c>
      <c r="C2470" s="506" t="s">
        <v>328</v>
      </c>
      <c r="D2470" s="508">
        <v>246140</v>
      </c>
      <c r="E2470" s="507" t="s">
        <v>6108</v>
      </c>
    </row>
    <row r="2471" spans="1:5" ht="15" x14ac:dyDescent="0.3">
      <c r="A2471" s="506">
        <v>12326</v>
      </c>
      <c r="B2471" s="507" t="s">
        <v>5587</v>
      </c>
      <c r="C2471" s="506" t="s">
        <v>328</v>
      </c>
      <c r="D2471" s="508">
        <v>417648</v>
      </c>
      <c r="E2471" s="507" t="s">
        <v>6108</v>
      </c>
    </row>
    <row r="2472" spans="1:5" ht="15" x14ac:dyDescent="0.3">
      <c r="A2472" s="506">
        <v>12327</v>
      </c>
      <c r="B2472" s="507" t="s">
        <v>6528</v>
      </c>
      <c r="C2472" s="506" t="s">
        <v>328</v>
      </c>
      <c r="D2472" s="508">
        <v>553814</v>
      </c>
      <c r="E2472" s="507" t="s">
        <v>6108</v>
      </c>
    </row>
    <row r="2473" spans="1:5" ht="15" x14ac:dyDescent="0.3">
      <c r="A2473" s="506">
        <v>12328</v>
      </c>
      <c r="B2473" s="507" t="s">
        <v>6529</v>
      </c>
      <c r="C2473" s="506" t="s">
        <v>328</v>
      </c>
      <c r="D2473" s="508">
        <v>516893</v>
      </c>
      <c r="E2473" s="507" t="s">
        <v>6108</v>
      </c>
    </row>
    <row r="2474" spans="1:5" ht="15" x14ac:dyDescent="0.3">
      <c r="A2474" s="506">
        <v>12329</v>
      </c>
      <c r="B2474" s="507" t="s">
        <v>6530</v>
      </c>
      <c r="C2474" s="506" t="s">
        <v>32</v>
      </c>
      <c r="D2474" s="508">
        <v>3451000</v>
      </c>
      <c r="E2474" s="507" t="s">
        <v>6108</v>
      </c>
    </row>
    <row r="2475" spans="1:5" ht="15" x14ac:dyDescent="0.3">
      <c r="A2475" s="506">
        <v>12330</v>
      </c>
      <c r="B2475" s="507" t="s">
        <v>5588</v>
      </c>
      <c r="C2475" s="506" t="s">
        <v>32</v>
      </c>
      <c r="D2475" s="508">
        <v>3451000</v>
      </c>
      <c r="E2475" s="507" t="s">
        <v>6108</v>
      </c>
    </row>
    <row r="2476" spans="1:5" ht="15" x14ac:dyDescent="0.3">
      <c r="A2476" s="506">
        <v>12331</v>
      </c>
      <c r="B2476" s="507" t="s">
        <v>5589</v>
      </c>
      <c r="C2476" s="506" t="s">
        <v>32</v>
      </c>
      <c r="D2476" s="508">
        <v>4760000</v>
      </c>
      <c r="E2476" s="507" t="s">
        <v>6108</v>
      </c>
    </row>
    <row r="2477" spans="1:5" ht="15" x14ac:dyDescent="0.3">
      <c r="A2477" s="506">
        <v>12332</v>
      </c>
      <c r="B2477" s="507" t="s">
        <v>5590</v>
      </c>
      <c r="C2477" s="506" t="s">
        <v>32</v>
      </c>
      <c r="D2477" s="508">
        <v>1963500</v>
      </c>
      <c r="E2477" s="507" t="s">
        <v>6108</v>
      </c>
    </row>
    <row r="2478" spans="1:5" ht="15" x14ac:dyDescent="0.3">
      <c r="A2478" s="506">
        <v>12333</v>
      </c>
      <c r="B2478" s="507" t="s">
        <v>5591</v>
      </c>
      <c r="C2478" s="506" t="s">
        <v>32</v>
      </c>
      <c r="D2478" s="508">
        <v>1784512</v>
      </c>
      <c r="E2478" s="507" t="s">
        <v>6108</v>
      </c>
    </row>
    <row r="2479" spans="1:5" ht="15" x14ac:dyDescent="0.3">
      <c r="A2479" s="506">
        <v>12334</v>
      </c>
      <c r="B2479" s="507" t="s">
        <v>5592</v>
      </c>
      <c r="C2479" s="506" t="s">
        <v>32</v>
      </c>
      <c r="D2479" s="508">
        <v>383000</v>
      </c>
      <c r="E2479" s="507" t="s">
        <v>6108</v>
      </c>
    </row>
    <row r="2480" spans="1:5" ht="15" x14ac:dyDescent="0.3">
      <c r="A2480" s="506">
        <v>12335</v>
      </c>
      <c r="B2480" s="507" t="s">
        <v>5593</v>
      </c>
      <c r="C2480" s="506" t="s">
        <v>32</v>
      </c>
      <c r="D2480" s="508">
        <v>283220</v>
      </c>
      <c r="E2480" s="507" t="s">
        <v>6108</v>
      </c>
    </row>
    <row r="2481" spans="1:5" ht="15" x14ac:dyDescent="0.3">
      <c r="A2481" s="506">
        <v>12336</v>
      </c>
      <c r="B2481" s="507" t="s">
        <v>5594</v>
      </c>
      <c r="C2481" s="506" t="s">
        <v>32</v>
      </c>
      <c r="D2481" s="508">
        <v>49980</v>
      </c>
      <c r="E2481" s="507" t="s">
        <v>6108</v>
      </c>
    </row>
    <row r="2482" spans="1:5" ht="15" x14ac:dyDescent="0.3">
      <c r="A2482" s="506">
        <v>12341</v>
      </c>
      <c r="B2482" s="507" t="s">
        <v>5595</v>
      </c>
      <c r="C2482" s="506" t="s">
        <v>32</v>
      </c>
      <c r="D2482" s="508">
        <v>3798837</v>
      </c>
      <c r="E2482" s="507" t="s">
        <v>331</v>
      </c>
    </row>
    <row r="2483" spans="1:5" ht="15" x14ac:dyDescent="0.3">
      <c r="A2483" s="506">
        <v>12350</v>
      </c>
      <c r="B2483" s="507" t="s">
        <v>5596</v>
      </c>
      <c r="C2483" s="506" t="s">
        <v>3582</v>
      </c>
      <c r="D2483" s="508">
        <v>32790</v>
      </c>
      <c r="E2483" s="507" t="s">
        <v>331</v>
      </c>
    </row>
    <row r="2484" spans="1:5" ht="15" x14ac:dyDescent="0.3">
      <c r="A2484" s="506">
        <v>12352</v>
      </c>
      <c r="B2484" s="507" t="s">
        <v>5597</v>
      </c>
      <c r="C2484" s="506" t="s">
        <v>4508</v>
      </c>
      <c r="D2484" s="508">
        <v>259635</v>
      </c>
      <c r="E2484" s="507" t="s">
        <v>6108</v>
      </c>
    </row>
    <row r="2485" spans="1:5" ht="15" x14ac:dyDescent="0.3">
      <c r="A2485" s="506">
        <v>12355</v>
      </c>
      <c r="B2485" s="507" t="s">
        <v>5598</v>
      </c>
      <c r="C2485" s="506" t="s">
        <v>3582</v>
      </c>
      <c r="D2485" s="508">
        <v>42119</v>
      </c>
      <c r="E2485" s="507" t="s">
        <v>331</v>
      </c>
    </row>
    <row r="2486" spans="1:5" ht="15" x14ac:dyDescent="0.3">
      <c r="A2486" s="506">
        <v>12356</v>
      </c>
      <c r="B2486" s="507" t="s">
        <v>5599</v>
      </c>
      <c r="C2486" s="506" t="s">
        <v>670</v>
      </c>
      <c r="D2486" s="508">
        <v>13804</v>
      </c>
      <c r="E2486" s="507" t="s">
        <v>331</v>
      </c>
    </row>
    <row r="2487" spans="1:5" ht="15" x14ac:dyDescent="0.3">
      <c r="A2487" s="506">
        <v>12357</v>
      </c>
      <c r="B2487" s="507" t="s">
        <v>6531</v>
      </c>
      <c r="C2487" s="506" t="s">
        <v>32</v>
      </c>
      <c r="D2487" s="508">
        <v>56900</v>
      </c>
      <c r="E2487" s="507" t="s">
        <v>6108</v>
      </c>
    </row>
    <row r="2488" spans="1:5" ht="15" x14ac:dyDescent="0.3">
      <c r="A2488" s="506">
        <v>12358</v>
      </c>
      <c r="B2488" s="507" t="s">
        <v>5600</v>
      </c>
      <c r="C2488" s="506" t="s">
        <v>32</v>
      </c>
      <c r="D2488" s="508">
        <v>582990</v>
      </c>
      <c r="E2488" s="507" t="s">
        <v>6108</v>
      </c>
    </row>
    <row r="2489" spans="1:5" ht="15" x14ac:dyDescent="0.3">
      <c r="A2489" s="506">
        <v>12373</v>
      </c>
      <c r="B2489" s="507" t="s">
        <v>5601</v>
      </c>
      <c r="C2489" s="506" t="s">
        <v>30</v>
      </c>
      <c r="D2489" s="508">
        <v>762137</v>
      </c>
      <c r="E2489" s="507" t="s">
        <v>331</v>
      </c>
    </row>
    <row r="2490" spans="1:5" ht="15" x14ac:dyDescent="0.3">
      <c r="A2490" s="506">
        <v>12375</v>
      </c>
      <c r="B2490" s="507" t="s">
        <v>6532</v>
      </c>
      <c r="C2490" s="506" t="s">
        <v>32</v>
      </c>
      <c r="D2490" s="508">
        <v>11055705</v>
      </c>
      <c r="E2490" s="507" t="s">
        <v>6108</v>
      </c>
    </row>
    <row r="2491" spans="1:5" ht="15" x14ac:dyDescent="0.3">
      <c r="A2491" s="506">
        <v>12376</v>
      </c>
      <c r="B2491" s="507" t="s">
        <v>6533</v>
      </c>
      <c r="C2491" s="506" t="s">
        <v>32</v>
      </c>
      <c r="D2491" s="508">
        <v>809557</v>
      </c>
      <c r="E2491" s="507" t="s">
        <v>6108</v>
      </c>
    </row>
    <row r="2492" spans="1:5" ht="15" x14ac:dyDescent="0.3">
      <c r="A2492" s="506">
        <v>12377</v>
      </c>
      <c r="B2492" s="507" t="s">
        <v>6534</v>
      </c>
      <c r="C2492" s="506" t="s">
        <v>32</v>
      </c>
      <c r="D2492" s="508">
        <v>3037470</v>
      </c>
      <c r="E2492" s="507" t="s">
        <v>6108</v>
      </c>
    </row>
    <row r="2493" spans="1:5" ht="15" x14ac:dyDescent="0.3">
      <c r="A2493" s="506">
        <v>12383</v>
      </c>
      <c r="B2493" s="507" t="s">
        <v>5602</v>
      </c>
      <c r="C2493" s="506" t="s">
        <v>328</v>
      </c>
      <c r="D2493" s="508">
        <v>3905675</v>
      </c>
      <c r="E2493" s="507" t="s">
        <v>6108</v>
      </c>
    </row>
    <row r="2494" spans="1:5" ht="15" x14ac:dyDescent="0.3">
      <c r="A2494" s="506">
        <v>12384</v>
      </c>
      <c r="B2494" s="507" t="s">
        <v>5603</v>
      </c>
      <c r="C2494" s="506" t="s">
        <v>328</v>
      </c>
      <c r="D2494" s="508">
        <v>7042024</v>
      </c>
      <c r="E2494" s="507" t="s">
        <v>6108</v>
      </c>
    </row>
    <row r="2495" spans="1:5" ht="15" x14ac:dyDescent="0.3">
      <c r="A2495" s="506">
        <v>12390</v>
      </c>
      <c r="B2495" s="507" t="s">
        <v>5604</v>
      </c>
      <c r="C2495" s="506" t="s">
        <v>32</v>
      </c>
      <c r="D2495" s="508">
        <v>2320500</v>
      </c>
      <c r="E2495" s="507" t="s">
        <v>6108</v>
      </c>
    </row>
    <row r="2496" spans="1:5" ht="15" x14ac:dyDescent="0.3">
      <c r="A2496" s="506">
        <v>12391</v>
      </c>
      <c r="B2496" s="507" t="s">
        <v>5605</v>
      </c>
      <c r="C2496" s="506" t="s">
        <v>32</v>
      </c>
      <c r="D2496" s="508">
        <v>3702428</v>
      </c>
      <c r="E2496" s="507" t="s">
        <v>6108</v>
      </c>
    </row>
    <row r="2497" spans="1:5" ht="15" x14ac:dyDescent="0.3">
      <c r="A2497" s="506">
        <v>12392</v>
      </c>
      <c r="B2497" s="507" t="s">
        <v>5606</v>
      </c>
      <c r="C2497" s="506" t="s">
        <v>32</v>
      </c>
      <c r="D2497" s="508">
        <v>1346190</v>
      </c>
      <c r="E2497" s="507" t="s">
        <v>6108</v>
      </c>
    </row>
    <row r="2498" spans="1:5" ht="15" x14ac:dyDescent="0.3">
      <c r="A2498" s="506">
        <v>12393</v>
      </c>
      <c r="B2498" s="507" t="s">
        <v>5607</v>
      </c>
      <c r="C2498" s="506" t="s">
        <v>5162</v>
      </c>
      <c r="D2498" s="508">
        <v>1433935</v>
      </c>
      <c r="E2498" s="507" t="s">
        <v>6108</v>
      </c>
    </row>
    <row r="2499" spans="1:5" ht="15" x14ac:dyDescent="0.3">
      <c r="A2499" s="506">
        <v>12394</v>
      </c>
      <c r="B2499" s="507" t="s">
        <v>6535</v>
      </c>
      <c r="C2499" s="506" t="s">
        <v>32</v>
      </c>
      <c r="D2499" s="508">
        <v>19499839</v>
      </c>
      <c r="E2499" s="507" t="s">
        <v>6108</v>
      </c>
    </row>
    <row r="2500" spans="1:5" ht="15" x14ac:dyDescent="0.3">
      <c r="A2500" s="506">
        <v>12396</v>
      </c>
      <c r="B2500" s="507" t="s">
        <v>5608</v>
      </c>
      <c r="C2500" s="506" t="s">
        <v>32</v>
      </c>
      <c r="D2500" s="508">
        <v>2750000</v>
      </c>
      <c r="E2500" s="507" t="s">
        <v>6108</v>
      </c>
    </row>
    <row r="2501" spans="1:5" ht="15" x14ac:dyDescent="0.3">
      <c r="A2501" s="506">
        <v>12428</v>
      </c>
      <c r="B2501" s="507" t="s">
        <v>5609</v>
      </c>
      <c r="C2501" s="506" t="s">
        <v>32</v>
      </c>
      <c r="D2501" s="508">
        <v>119328</v>
      </c>
      <c r="E2501" s="507" t="s">
        <v>6108</v>
      </c>
    </row>
    <row r="2502" spans="1:5" ht="15" x14ac:dyDescent="0.3">
      <c r="A2502" s="506">
        <v>12429</v>
      </c>
      <c r="B2502" s="507" t="s">
        <v>5610</v>
      </c>
      <c r="C2502" s="506" t="s">
        <v>32</v>
      </c>
      <c r="D2502" s="508">
        <v>2353</v>
      </c>
      <c r="E2502" s="507" t="s">
        <v>6108</v>
      </c>
    </row>
    <row r="2503" spans="1:5" ht="15" x14ac:dyDescent="0.3">
      <c r="A2503" s="506">
        <v>12430</v>
      </c>
      <c r="B2503" s="507" t="s">
        <v>5611</v>
      </c>
      <c r="C2503" s="506" t="s">
        <v>3596</v>
      </c>
      <c r="D2503" s="508">
        <v>11345</v>
      </c>
      <c r="E2503" s="507" t="s">
        <v>6108</v>
      </c>
    </row>
    <row r="2504" spans="1:5" ht="15" x14ac:dyDescent="0.3">
      <c r="A2504" s="506">
        <v>12431</v>
      </c>
      <c r="B2504" s="507" t="s">
        <v>5612</v>
      </c>
      <c r="C2504" s="506" t="s">
        <v>32</v>
      </c>
      <c r="D2504" s="508">
        <v>10949</v>
      </c>
      <c r="E2504" s="507" t="s">
        <v>6108</v>
      </c>
    </row>
    <row r="2505" spans="1:5" ht="15" x14ac:dyDescent="0.3">
      <c r="A2505" s="506">
        <v>12432</v>
      </c>
      <c r="B2505" s="507" t="s">
        <v>3318</v>
      </c>
      <c r="C2505" s="506" t="s">
        <v>30</v>
      </c>
      <c r="D2505" s="508">
        <v>311880</v>
      </c>
      <c r="E2505" s="507" t="s">
        <v>6108</v>
      </c>
    </row>
    <row r="2506" spans="1:5" ht="15" x14ac:dyDescent="0.3">
      <c r="A2506" s="506">
        <v>12434</v>
      </c>
      <c r="B2506" s="507" t="s">
        <v>5613</v>
      </c>
      <c r="C2506" s="506" t="s">
        <v>3596</v>
      </c>
      <c r="D2506" s="508">
        <v>2353</v>
      </c>
      <c r="E2506" s="507" t="s">
        <v>6108</v>
      </c>
    </row>
    <row r="2507" spans="1:5" ht="15" x14ac:dyDescent="0.3">
      <c r="A2507" s="506">
        <v>12435</v>
      </c>
      <c r="B2507" s="507" t="s">
        <v>5614</v>
      </c>
      <c r="C2507" s="506" t="s">
        <v>32</v>
      </c>
      <c r="D2507" s="508">
        <v>47816</v>
      </c>
      <c r="E2507" s="507" t="s">
        <v>6108</v>
      </c>
    </row>
    <row r="2508" spans="1:5" ht="15" x14ac:dyDescent="0.3">
      <c r="A2508" s="506">
        <v>12436</v>
      </c>
      <c r="B2508" s="507" t="s">
        <v>5615</v>
      </c>
      <c r="C2508" s="506" t="s">
        <v>3579</v>
      </c>
      <c r="D2508" s="508">
        <v>21849</v>
      </c>
      <c r="E2508" s="507" t="s">
        <v>6108</v>
      </c>
    </row>
    <row r="2509" spans="1:5" ht="15" x14ac:dyDescent="0.3">
      <c r="A2509" s="506">
        <v>12437</v>
      </c>
      <c r="B2509" s="507" t="s">
        <v>5616</v>
      </c>
      <c r="C2509" s="506" t="s">
        <v>32</v>
      </c>
      <c r="D2509" s="508">
        <v>52500</v>
      </c>
      <c r="E2509" s="507" t="s">
        <v>6108</v>
      </c>
    </row>
    <row r="2510" spans="1:5" ht="15" x14ac:dyDescent="0.3">
      <c r="A2510" s="506">
        <v>12438</v>
      </c>
      <c r="B2510" s="507" t="s">
        <v>5617</v>
      </c>
      <c r="C2510" s="506" t="s">
        <v>32</v>
      </c>
      <c r="D2510" s="508">
        <v>325966</v>
      </c>
      <c r="E2510" s="507" t="s">
        <v>6108</v>
      </c>
    </row>
    <row r="2511" spans="1:5" ht="15" x14ac:dyDescent="0.3">
      <c r="A2511" s="506">
        <v>12439</v>
      </c>
      <c r="B2511" s="507" t="s">
        <v>6536</v>
      </c>
      <c r="C2511" s="506" t="s">
        <v>32</v>
      </c>
      <c r="D2511" s="508">
        <v>924370</v>
      </c>
      <c r="E2511" s="507" t="s">
        <v>6108</v>
      </c>
    </row>
    <row r="2512" spans="1:5" ht="15" x14ac:dyDescent="0.3">
      <c r="A2512" s="506">
        <v>12440</v>
      </c>
      <c r="B2512" s="507" t="s">
        <v>5618</v>
      </c>
      <c r="C2512" s="506" t="s">
        <v>32</v>
      </c>
      <c r="D2512" s="508">
        <v>173960</v>
      </c>
      <c r="E2512" s="507" t="s">
        <v>6108</v>
      </c>
    </row>
    <row r="2513" spans="1:5" ht="15" x14ac:dyDescent="0.3">
      <c r="A2513" s="506">
        <v>12441</v>
      </c>
      <c r="B2513" s="507" t="s">
        <v>6537</v>
      </c>
      <c r="C2513" s="506" t="s">
        <v>32</v>
      </c>
      <c r="D2513" s="508">
        <v>132774</v>
      </c>
      <c r="E2513" s="507" t="s">
        <v>6108</v>
      </c>
    </row>
    <row r="2514" spans="1:5" ht="15" x14ac:dyDescent="0.3">
      <c r="A2514" s="506">
        <v>12442</v>
      </c>
      <c r="B2514" s="507" t="s">
        <v>5619</v>
      </c>
      <c r="C2514" s="506" t="s">
        <v>32</v>
      </c>
      <c r="D2514" s="508">
        <v>54622</v>
      </c>
      <c r="E2514" s="507" t="s">
        <v>6108</v>
      </c>
    </row>
    <row r="2515" spans="1:5" ht="15" x14ac:dyDescent="0.3">
      <c r="A2515" s="506">
        <v>12443</v>
      </c>
      <c r="B2515" s="507" t="s">
        <v>5620</v>
      </c>
      <c r="C2515" s="506" t="s">
        <v>32</v>
      </c>
      <c r="D2515" s="508">
        <v>1715000</v>
      </c>
      <c r="E2515" s="507" t="s">
        <v>6108</v>
      </c>
    </row>
    <row r="2516" spans="1:5" ht="15" x14ac:dyDescent="0.3">
      <c r="A2516" s="506">
        <v>12444</v>
      </c>
      <c r="B2516" s="507" t="s">
        <v>5621</v>
      </c>
      <c r="C2516" s="506" t="s">
        <v>1455</v>
      </c>
      <c r="D2516" s="508">
        <v>300000</v>
      </c>
      <c r="E2516" s="507" t="s">
        <v>6108</v>
      </c>
    </row>
    <row r="2517" spans="1:5" ht="15" x14ac:dyDescent="0.3">
      <c r="A2517" s="506">
        <v>12445</v>
      </c>
      <c r="B2517" s="507" t="s">
        <v>5622</v>
      </c>
      <c r="C2517" s="506" t="s">
        <v>32</v>
      </c>
      <c r="D2517" s="508">
        <v>23500</v>
      </c>
      <c r="E2517" s="507" t="s">
        <v>6108</v>
      </c>
    </row>
    <row r="2518" spans="1:5" ht="15" x14ac:dyDescent="0.3">
      <c r="A2518" s="506">
        <v>12446</v>
      </c>
      <c r="B2518" s="507" t="s">
        <v>5623</v>
      </c>
      <c r="C2518" s="506" t="s">
        <v>32</v>
      </c>
      <c r="D2518" s="508">
        <v>65630</v>
      </c>
      <c r="E2518" s="507" t="s">
        <v>6108</v>
      </c>
    </row>
    <row r="2519" spans="1:5" ht="15" x14ac:dyDescent="0.3">
      <c r="A2519" s="506">
        <v>12447</v>
      </c>
      <c r="B2519" s="507" t="s">
        <v>5624</v>
      </c>
      <c r="C2519" s="506" t="s">
        <v>32</v>
      </c>
      <c r="D2519" s="508">
        <v>65630</v>
      </c>
      <c r="E2519" s="507" t="s">
        <v>6108</v>
      </c>
    </row>
    <row r="2520" spans="1:5" ht="15" x14ac:dyDescent="0.3">
      <c r="A2520" s="506">
        <v>12448</v>
      </c>
      <c r="B2520" s="507" t="s">
        <v>6538</v>
      </c>
      <c r="C2520" s="506" t="s">
        <v>32</v>
      </c>
      <c r="D2520" s="508">
        <v>6964</v>
      </c>
      <c r="E2520" s="507" t="s">
        <v>6108</v>
      </c>
    </row>
    <row r="2521" spans="1:5" ht="15" x14ac:dyDescent="0.3">
      <c r="A2521" s="506">
        <v>12450</v>
      </c>
      <c r="B2521" s="507" t="s">
        <v>5625</v>
      </c>
      <c r="C2521" s="506" t="s">
        <v>32</v>
      </c>
      <c r="D2521" s="508">
        <v>17200</v>
      </c>
      <c r="E2521" s="507" t="s">
        <v>6108</v>
      </c>
    </row>
    <row r="2522" spans="1:5" ht="15" x14ac:dyDescent="0.3">
      <c r="A2522" s="506">
        <v>12451</v>
      </c>
      <c r="B2522" s="507" t="s">
        <v>5626</v>
      </c>
      <c r="C2522" s="506" t="s">
        <v>4222</v>
      </c>
      <c r="D2522" s="508">
        <v>9328</v>
      </c>
      <c r="E2522" s="507" t="s">
        <v>6108</v>
      </c>
    </row>
    <row r="2523" spans="1:5" ht="15" x14ac:dyDescent="0.3">
      <c r="A2523" s="506">
        <v>12452</v>
      </c>
      <c r="B2523" s="507" t="s">
        <v>5627</v>
      </c>
      <c r="C2523" s="506" t="s">
        <v>3582</v>
      </c>
      <c r="D2523" s="508">
        <v>60473</v>
      </c>
      <c r="E2523" s="507" t="s">
        <v>6108</v>
      </c>
    </row>
    <row r="2524" spans="1:5" ht="15" x14ac:dyDescent="0.3">
      <c r="A2524" s="506">
        <v>12453</v>
      </c>
      <c r="B2524" s="507" t="s">
        <v>5628</v>
      </c>
      <c r="C2524" s="506" t="s">
        <v>4235</v>
      </c>
      <c r="D2524" s="508">
        <v>28690</v>
      </c>
      <c r="E2524" s="507" t="s">
        <v>6108</v>
      </c>
    </row>
    <row r="2525" spans="1:5" ht="15" x14ac:dyDescent="0.3">
      <c r="A2525" s="506">
        <v>12454</v>
      </c>
      <c r="B2525" s="507" t="s">
        <v>5629</v>
      </c>
      <c r="C2525" s="506" t="s">
        <v>979</v>
      </c>
      <c r="D2525" s="508">
        <v>129384</v>
      </c>
      <c r="E2525" s="507" t="s">
        <v>331</v>
      </c>
    </row>
    <row r="2526" spans="1:5" ht="15" x14ac:dyDescent="0.3">
      <c r="A2526" s="506">
        <v>12456</v>
      </c>
      <c r="B2526" s="507" t="s">
        <v>5630</v>
      </c>
      <c r="C2526" s="506" t="s">
        <v>32</v>
      </c>
      <c r="D2526" s="508">
        <v>922606</v>
      </c>
      <c r="E2526" s="507" t="s">
        <v>6108</v>
      </c>
    </row>
    <row r="2527" spans="1:5" ht="15" x14ac:dyDescent="0.3">
      <c r="A2527" s="506">
        <v>12457</v>
      </c>
      <c r="B2527" s="507" t="s">
        <v>5631</v>
      </c>
      <c r="C2527" s="506" t="s">
        <v>32</v>
      </c>
      <c r="D2527" s="508">
        <v>49930</v>
      </c>
      <c r="E2527" s="507" t="s">
        <v>6108</v>
      </c>
    </row>
    <row r="2528" spans="1:5" ht="15" x14ac:dyDescent="0.3">
      <c r="A2528" s="506">
        <v>12458</v>
      </c>
      <c r="B2528" s="507" t="s">
        <v>5632</v>
      </c>
      <c r="C2528" s="506" t="s">
        <v>979</v>
      </c>
      <c r="D2528" s="508">
        <v>11454</v>
      </c>
      <c r="E2528" s="507" t="s">
        <v>6108</v>
      </c>
    </row>
    <row r="2529" spans="1:5" ht="15" x14ac:dyDescent="0.3">
      <c r="A2529" s="506">
        <v>12460</v>
      </c>
      <c r="B2529" s="507" t="s">
        <v>5633</v>
      </c>
      <c r="C2529" s="506" t="s">
        <v>979</v>
      </c>
      <c r="D2529" s="508">
        <v>346764</v>
      </c>
      <c r="E2529" s="507" t="s">
        <v>331</v>
      </c>
    </row>
    <row r="2530" spans="1:5" ht="15" x14ac:dyDescent="0.3">
      <c r="A2530" s="506">
        <v>12461</v>
      </c>
      <c r="B2530" s="507" t="s">
        <v>5634</v>
      </c>
      <c r="C2530" s="506" t="s">
        <v>979</v>
      </c>
      <c r="D2530" s="508">
        <v>269008</v>
      </c>
      <c r="E2530" s="507" t="s">
        <v>331</v>
      </c>
    </row>
    <row r="2531" spans="1:5" ht="15" x14ac:dyDescent="0.3">
      <c r="A2531" s="506">
        <v>12464</v>
      </c>
      <c r="B2531" s="507" t="s">
        <v>5635</v>
      </c>
      <c r="C2531" s="506" t="s">
        <v>30</v>
      </c>
      <c r="D2531" s="508">
        <v>655405</v>
      </c>
      <c r="E2531" s="507" t="s">
        <v>331</v>
      </c>
    </row>
    <row r="2532" spans="1:5" ht="15" x14ac:dyDescent="0.3">
      <c r="A2532" s="506">
        <v>12465</v>
      </c>
      <c r="B2532" s="507" t="s">
        <v>5636</v>
      </c>
      <c r="C2532" s="506" t="s">
        <v>30</v>
      </c>
      <c r="D2532" s="508">
        <v>670825</v>
      </c>
      <c r="E2532" s="507" t="s">
        <v>331</v>
      </c>
    </row>
    <row r="2533" spans="1:5" ht="15" x14ac:dyDescent="0.3">
      <c r="A2533" s="506">
        <v>12466</v>
      </c>
      <c r="B2533" s="507" t="s">
        <v>5637</v>
      </c>
      <c r="C2533" s="506" t="s">
        <v>30</v>
      </c>
      <c r="D2533" s="508">
        <v>76517</v>
      </c>
      <c r="E2533" s="507" t="s">
        <v>331</v>
      </c>
    </row>
    <row r="2534" spans="1:5" ht="15" x14ac:dyDescent="0.3">
      <c r="A2534" s="506">
        <v>12467</v>
      </c>
      <c r="B2534" s="507" t="s">
        <v>5638</v>
      </c>
      <c r="C2534" s="506" t="s">
        <v>30</v>
      </c>
      <c r="D2534" s="508">
        <v>80920</v>
      </c>
      <c r="E2534" s="507" t="s">
        <v>331</v>
      </c>
    </row>
    <row r="2535" spans="1:5" ht="15" x14ac:dyDescent="0.3">
      <c r="A2535" s="506">
        <v>12468</v>
      </c>
      <c r="B2535" s="507" t="s">
        <v>5639</v>
      </c>
      <c r="C2535" s="506" t="s">
        <v>32</v>
      </c>
      <c r="D2535" s="508">
        <v>1071000</v>
      </c>
      <c r="E2535" s="507" t="s">
        <v>6108</v>
      </c>
    </row>
    <row r="2536" spans="1:5" ht="15" x14ac:dyDescent="0.3">
      <c r="A2536" s="506">
        <v>12469</v>
      </c>
      <c r="B2536" s="507" t="s">
        <v>6539</v>
      </c>
      <c r="C2536" s="506" t="s">
        <v>32</v>
      </c>
      <c r="D2536" s="508">
        <v>333200</v>
      </c>
      <c r="E2536" s="507" t="s">
        <v>6108</v>
      </c>
    </row>
    <row r="2537" spans="1:5" ht="15" x14ac:dyDescent="0.3">
      <c r="A2537" s="506">
        <v>12470</v>
      </c>
      <c r="B2537" s="507" t="s">
        <v>5640</v>
      </c>
      <c r="C2537" s="506" t="s">
        <v>32</v>
      </c>
      <c r="D2537" s="508">
        <v>333200</v>
      </c>
      <c r="E2537" s="507" t="s">
        <v>6108</v>
      </c>
    </row>
    <row r="2538" spans="1:5" ht="15" x14ac:dyDescent="0.3">
      <c r="A2538" s="506">
        <v>12471</v>
      </c>
      <c r="B2538" s="507" t="s">
        <v>5641</v>
      </c>
      <c r="C2538" s="506" t="s">
        <v>32</v>
      </c>
      <c r="D2538" s="508">
        <v>981750</v>
      </c>
      <c r="E2538" s="507" t="s">
        <v>6108</v>
      </c>
    </row>
    <row r="2539" spans="1:5" ht="15" x14ac:dyDescent="0.3">
      <c r="A2539" s="506">
        <v>12472</v>
      </c>
      <c r="B2539" s="507" t="s">
        <v>6540</v>
      </c>
      <c r="C2539" s="506" t="s">
        <v>32</v>
      </c>
      <c r="D2539" s="508">
        <v>1119304</v>
      </c>
      <c r="E2539" s="507" t="s">
        <v>6108</v>
      </c>
    </row>
    <row r="2540" spans="1:5" ht="15" x14ac:dyDescent="0.3">
      <c r="A2540" s="506">
        <v>12473</v>
      </c>
      <c r="B2540" s="507" t="s">
        <v>6541</v>
      </c>
      <c r="C2540" s="506" t="s">
        <v>670</v>
      </c>
      <c r="D2540" s="508">
        <v>1780</v>
      </c>
      <c r="E2540" s="507" t="s">
        <v>6108</v>
      </c>
    </row>
    <row r="2541" spans="1:5" ht="15" x14ac:dyDescent="0.3">
      <c r="A2541" s="506">
        <v>12474</v>
      </c>
      <c r="B2541" s="507" t="s">
        <v>5642</v>
      </c>
      <c r="C2541" s="506" t="s">
        <v>32</v>
      </c>
      <c r="D2541" s="508">
        <v>595000</v>
      </c>
      <c r="E2541" s="507" t="s">
        <v>6108</v>
      </c>
    </row>
    <row r="2542" spans="1:5" ht="15" x14ac:dyDescent="0.3">
      <c r="A2542" s="506">
        <v>12475</v>
      </c>
      <c r="B2542" s="507" t="s">
        <v>5643</v>
      </c>
      <c r="C2542" s="506" t="s">
        <v>32</v>
      </c>
      <c r="D2542" s="508">
        <v>189034</v>
      </c>
      <c r="E2542" s="507" t="s">
        <v>6108</v>
      </c>
    </row>
    <row r="2543" spans="1:5" ht="15" x14ac:dyDescent="0.3">
      <c r="A2543" s="506">
        <v>12476</v>
      </c>
      <c r="B2543" s="507" t="s">
        <v>6542</v>
      </c>
      <c r="C2543" s="506" t="s">
        <v>32</v>
      </c>
      <c r="D2543" s="508">
        <v>35700</v>
      </c>
      <c r="E2543" s="507" t="s">
        <v>6108</v>
      </c>
    </row>
    <row r="2544" spans="1:5" ht="15" x14ac:dyDescent="0.3">
      <c r="A2544" s="506">
        <v>12477</v>
      </c>
      <c r="B2544" s="507" t="s">
        <v>6543</v>
      </c>
      <c r="C2544" s="506" t="s">
        <v>32</v>
      </c>
      <c r="D2544" s="508">
        <v>48266</v>
      </c>
      <c r="E2544" s="507" t="s">
        <v>6108</v>
      </c>
    </row>
    <row r="2545" spans="1:5" ht="15" x14ac:dyDescent="0.3">
      <c r="A2545" s="506">
        <v>12478</v>
      </c>
      <c r="B2545" s="507" t="s">
        <v>5644</v>
      </c>
      <c r="C2545" s="506" t="s">
        <v>32</v>
      </c>
      <c r="D2545" s="508">
        <v>23167</v>
      </c>
      <c r="E2545" s="507" t="s">
        <v>6108</v>
      </c>
    </row>
    <row r="2546" spans="1:5" ht="15" x14ac:dyDescent="0.3">
      <c r="A2546" s="506">
        <v>12479</v>
      </c>
      <c r="B2546" s="507" t="s">
        <v>5645</v>
      </c>
      <c r="C2546" s="506" t="s">
        <v>4222</v>
      </c>
      <c r="D2546" s="508">
        <v>32774</v>
      </c>
      <c r="E2546" s="507" t="s">
        <v>6108</v>
      </c>
    </row>
    <row r="2547" spans="1:5" ht="15" x14ac:dyDescent="0.3">
      <c r="A2547" s="506">
        <v>12480</v>
      </c>
      <c r="B2547" s="507" t="s">
        <v>5646</v>
      </c>
      <c r="C2547" s="506" t="s">
        <v>32</v>
      </c>
      <c r="D2547" s="508">
        <v>25447</v>
      </c>
      <c r="E2547" s="507" t="s">
        <v>6108</v>
      </c>
    </row>
    <row r="2548" spans="1:5" ht="15" x14ac:dyDescent="0.3">
      <c r="A2548" s="506">
        <v>12481</v>
      </c>
      <c r="B2548" s="507" t="s">
        <v>5647</v>
      </c>
      <c r="C2548" s="506" t="s">
        <v>32</v>
      </c>
      <c r="D2548" s="508">
        <v>148155</v>
      </c>
      <c r="E2548" s="507" t="s">
        <v>6108</v>
      </c>
    </row>
    <row r="2549" spans="1:5" ht="15" x14ac:dyDescent="0.3">
      <c r="A2549" s="506">
        <v>12482</v>
      </c>
      <c r="B2549" s="507" t="s">
        <v>5648</v>
      </c>
      <c r="C2549" s="506" t="s">
        <v>32</v>
      </c>
      <c r="D2549" s="508">
        <v>225</v>
      </c>
      <c r="E2549" s="507" t="s">
        <v>6108</v>
      </c>
    </row>
    <row r="2550" spans="1:5" ht="15" x14ac:dyDescent="0.3">
      <c r="A2550" s="506">
        <v>12485</v>
      </c>
      <c r="B2550" s="507" t="s">
        <v>5649</v>
      </c>
      <c r="C2550" s="506" t="s">
        <v>979</v>
      </c>
      <c r="D2550" s="508">
        <v>249405</v>
      </c>
      <c r="E2550" s="507" t="s">
        <v>331</v>
      </c>
    </row>
    <row r="2551" spans="1:5" ht="15" x14ac:dyDescent="0.3">
      <c r="A2551" s="506">
        <v>12487</v>
      </c>
      <c r="B2551" s="507" t="s">
        <v>5650</v>
      </c>
      <c r="C2551" s="506" t="s">
        <v>32</v>
      </c>
      <c r="D2551" s="508">
        <v>2127</v>
      </c>
      <c r="E2551" s="507" t="s">
        <v>331</v>
      </c>
    </row>
    <row r="2552" spans="1:5" ht="15" x14ac:dyDescent="0.3">
      <c r="A2552" s="506">
        <v>12488</v>
      </c>
      <c r="B2552" s="507" t="s">
        <v>5651</v>
      </c>
      <c r="C2552" s="506" t="s">
        <v>3582</v>
      </c>
      <c r="D2552" s="508">
        <v>142575</v>
      </c>
      <c r="E2552" s="507" t="s">
        <v>6108</v>
      </c>
    </row>
    <row r="2553" spans="1:5" ht="15" x14ac:dyDescent="0.3">
      <c r="A2553" s="506">
        <v>12489</v>
      </c>
      <c r="B2553" s="507" t="s">
        <v>5652</v>
      </c>
      <c r="C2553" s="506" t="s">
        <v>32</v>
      </c>
      <c r="D2553" s="508">
        <v>1067</v>
      </c>
      <c r="E2553" s="507" t="s">
        <v>331</v>
      </c>
    </row>
    <row r="2554" spans="1:5" ht="15" x14ac:dyDescent="0.3">
      <c r="A2554" s="506">
        <v>12491</v>
      </c>
      <c r="B2554" s="507" t="s">
        <v>5653</v>
      </c>
      <c r="C2554" s="506" t="s">
        <v>3582</v>
      </c>
      <c r="D2554" s="508">
        <v>209388</v>
      </c>
      <c r="E2554" s="507" t="s">
        <v>6108</v>
      </c>
    </row>
    <row r="2555" spans="1:5" ht="15" x14ac:dyDescent="0.3">
      <c r="A2555" s="506">
        <v>12492</v>
      </c>
      <c r="B2555" s="507" t="s">
        <v>5654</v>
      </c>
      <c r="C2555" s="506" t="s">
        <v>979</v>
      </c>
      <c r="D2555" s="508">
        <v>277205</v>
      </c>
      <c r="E2555" s="507" t="s">
        <v>331</v>
      </c>
    </row>
    <row r="2556" spans="1:5" ht="15" x14ac:dyDescent="0.3">
      <c r="A2556" s="506">
        <v>12493</v>
      </c>
      <c r="B2556" s="507" t="s">
        <v>5655</v>
      </c>
      <c r="C2556" s="506" t="s">
        <v>979</v>
      </c>
      <c r="D2556" s="508">
        <v>358444</v>
      </c>
      <c r="E2556" s="507" t="s">
        <v>331</v>
      </c>
    </row>
    <row r="2557" spans="1:5" ht="15" x14ac:dyDescent="0.3">
      <c r="A2557" s="506">
        <v>12494</v>
      </c>
      <c r="B2557" s="507" t="s">
        <v>5656</v>
      </c>
      <c r="C2557" s="506" t="s">
        <v>979</v>
      </c>
      <c r="D2557" s="508">
        <v>220245</v>
      </c>
      <c r="E2557" s="507" t="s">
        <v>331</v>
      </c>
    </row>
    <row r="2558" spans="1:5" ht="15" x14ac:dyDescent="0.3">
      <c r="A2558" s="506">
        <v>12495</v>
      </c>
      <c r="B2558" s="507" t="s">
        <v>5657</v>
      </c>
      <c r="C2558" s="506" t="s">
        <v>979</v>
      </c>
      <c r="D2558" s="508">
        <v>136493</v>
      </c>
      <c r="E2558" s="507" t="s">
        <v>331</v>
      </c>
    </row>
    <row r="2559" spans="1:5" ht="15" x14ac:dyDescent="0.3">
      <c r="A2559" s="506">
        <v>12496</v>
      </c>
      <c r="B2559" s="507" t="s">
        <v>5658</v>
      </c>
      <c r="C2559" s="506" t="s">
        <v>32</v>
      </c>
      <c r="D2559" s="508">
        <v>282</v>
      </c>
      <c r="E2559" s="507" t="s">
        <v>6108</v>
      </c>
    </row>
    <row r="2560" spans="1:5" ht="15" x14ac:dyDescent="0.3">
      <c r="A2560" s="506">
        <v>12497</v>
      </c>
      <c r="B2560" s="507" t="s">
        <v>5659</v>
      </c>
      <c r="C2560" s="506" t="s">
        <v>32</v>
      </c>
      <c r="D2560" s="508">
        <v>121008</v>
      </c>
      <c r="E2560" s="507" t="s">
        <v>6108</v>
      </c>
    </row>
    <row r="2561" spans="1:5" ht="15" x14ac:dyDescent="0.3">
      <c r="A2561" s="506">
        <v>12498</v>
      </c>
      <c r="B2561" s="507" t="s">
        <v>5660</v>
      </c>
      <c r="C2561" s="506" t="s">
        <v>3579</v>
      </c>
      <c r="D2561" s="508">
        <v>22690</v>
      </c>
      <c r="E2561" s="507" t="s">
        <v>6108</v>
      </c>
    </row>
    <row r="2562" spans="1:5" ht="15" x14ac:dyDescent="0.3">
      <c r="A2562" s="506">
        <v>12499</v>
      </c>
      <c r="B2562" s="507" t="s">
        <v>5661</v>
      </c>
      <c r="C2562" s="506" t="s">
        <v>32</v>
      </c>
      <c r="D2562" s="508">
        <v>58739</v>
      </c>
      <c r="E2562" s="507" t="s">
        <v>6108</v>
      </c>
    </row>
    <row r="2563" spans="1:5" ht="15" x14ac:dyDescent="0.3">
      <c r="A2563" s="506">
        <v>12500</v>
      </c>
      <c r="B2563" s="507" t="s">
        <v>5662</v>
      </c>
      <c r="C2563" s="506" t="s">
        <v>3596</v>
      </c>
      <c r="D2563" s="508">
        <v>26</v>
      </c>
      <c r="E2563" s="507" t="s">
        <v>6108</v>
      </c>
    </row>
    <row r="2564" spans="1:5" ht="15" x14ac:dyDescent="0.3">
      <c r="A2564" s="506">
        <v>12501</v>
      </c>
      <c r="B2564" s="507" t="s">
        <v>5663</v>
      </c>
      <c r="C2564" s="506" t="s">
        <v>32</v>
      </c>
      <c r="D2564" s="508">
        <v>36128</v>
      </c>
      <c r="E2564" s="507" t="s">
        <v>6108</v>
      </c>
    </row>
    <row r="2565" spans="1:5" ht="15" x14ac:dyDescent="0.3">
      <c r="A2565" s="506">
        <v>12502</v>
      </c>
      <c r="B2565" s="507" t="s">
        <v>5664</v>
      </c>
      <c r="C2565" s="506" t="s">
        <v>32</v>
      </c>
      <c r="D2565" s="508">
        <v>631</v>
      </c>
      <c r="E2565" s="507" t="s">
        <v>6108</v>
      </c>
    </row>
    <row r="2566" spans="1:5" ht="15" x14ac:dyDescent="0.3">
      <c r="A2566" s="506">
        <v>12503</v>
      </c>
      <c r="B2566" s="507" t="s">
        <v>5665</v>
      </c>
      <c r="C2566" s="506" t="s">
        <v>32</v>
      </c>
      <c r="D2566" s="508">
        <v>90673</v>
      </c>
      <c r="E2566" s="507" t="s">
        <v>6108</v>
      </c>
    </row>
    <row r="2567" spans="1:5" ht="15" x14ac:dyDescent="0.3">
      <c r="A2567" s="506">
        <v>12504</v>
      </c>
      <c r="B2567" s="507" t="s">
        <v>5666</v>
      </c>
      <c r="C2567" s="506" t="s">
        <v>32</v>
      </c>
      <c r="D2567" s="508">
        <v>30763</v>
      </c>
      <c r="E2567" s="507" t="s">
        <v>6108</v>
      </c>
    </row>
    <row r="2568" spans="1:5" ht="15" x14ac:dyDescent="0.3">
      <c r="A2568" s="506">
        <v>12505</v>
      </c>
      <c r="B2568" s="507" t="s">
        <v>6544</v>
      </c>
      <c r="C2568" s="506" t="s">
        <v>32</v>
      </c>
      <c r="D2568" s="508">
        <v>49777</v>
      </c>
      <c r="E2568" s="507" t="s">
        <v>6108</v>
      </c>
    </row>
    <row r="2569" spans="1:5" ht="15" x14ac:dyDescent="0.3">
      <c r="A2569" s="506">
        <v>12506</v>
      </c>
      <c r="B2569" s="507" t="s">
        <v>5667</v>
      </c>
      <c r="C2569" s="506" t="s">
        <v>32</v>
      </c>
      <c r="D2569" s="508">
        <v>59900</v>
      </c>
      <c r="E2569" s="507" t="s">
        <v>6108</v>
      </c>
    </row>
    <row r="2570" spans="1:5" ht="15" x14ac:dyDescent="0.3">
      <c r="A2570" s="506">
        <v>12507</v>
      </c>
      <c r="B2570" s="507" t="s">
        <v>5668</v>
      </c>
      <c r="C2570" s="506" t="s">
        <v>307</v>
      </c>
      <c r="D2570" s="508">
        <v>720000</v>
      </c>
      <c r="E2570" s="507" t="s">
        <v>6108</v>
      </c>
    </row>
    <row r="2571" spans="1:5" ht="15" x14ac:dyDescent="0.3">
      <c r="A2571" s="506">
        <v>12508</v>
      </c>
      <c r="B2571" s="507" t="s">
        <v>5669</v>
      </c>
      <c r="C2571" s="506" t="s">
        <v>32</v>
      </c>
      <c r="D2571" s="508">
        <v>27648</v>
      </c>
      <c r="E2571" s="507" t="s">
        <v>6108</v>
      </c>
    </row>
    <row r="2572" spans="1:5" ht="15" x14ac:dyDescent="0.3">
      <c r="A2572" s="506">
        <v>12509</v>
      </c>
      <c r="B2572" s="507" t="s">
        <v>5670</v>
      </c>
      <c r="C2572" s="506" t="s">
        <v>3528</v>
      </c>
      <c r="D2572" s="508">
        <v>209440</v>
      </c>
      <c r="E2572" s="507" t="s">
        <v>6108</v>
      </c>
    </row>
    <row r="2573" spans="1:5" ht="15" x14ac:dyDescent="0.3">
      <c r="A2573" s="506">
        <v>12510</v>
      </c>
      <c r="B2573" s="507" t="s">
        <v>5671</v>
      </c>
      <c r="C2573" s="506" t="s">
        <v>3528</v>
      </c>
      <c r="D2573" s="508">
        <v>228300</v>
      </c>
      <c r="E2573" s="507" t="s">
        <v>6108</v>
      </c>
    </row>
    <row r="2574" spans="1:5" ht="15" x14ac:dyDescent="0.3">
      <c r="A2574" s="506">
        <v>12511</v>
      </c>
      <c r="B2574" s="507" t="s">
        <v>5672</v>
      </c>
      <c r="C2574" s="506" t="s">
        <v>32</v>
      </c>
      <c r="D2574" s="508">
        <v>1080695</v>
      </c>
      <c r="E2574" s="507" t="s">
        <v>6108</v>
      </c>
    </row>
    <row r="2575" spans="1:5" ht="15" x14ac:dyDescent="0.3">
      <c r="A2575" s="506">
        <v>12512</v>
      </c>
      <c r="B2575" s="507" t="s">
        <v>5673</v>
      </c>
      <c r="C2575" s="506" t="s">
        <v>32</v>
      </c>
      <c r="D2575" s="508">
        <v>119328</v>
      </c>
      <c r="E2575" s="507" t="s">
        <v>6108</v>
      </c>
    </row>
    <row r="2576" spans="1:5" ht="15" x14ac:dyDescent="0.3">
      <c r="A2576" s="506">
        <v>12513</v>
      </c>
      <c r="B2576" s="507" t="s">
        <v>5674</v>
      </c>
      <c r="C2576" s="506" t="s">
        <v>3596</v>
      </c>
      <c r="D2576" s="508">
        <v>2353</v>
      </c>
      <c r="E2576" s="507" t="s">
        <v>6108</v>
      </c>
    </row>
    <row r="2577" spans="1:5" ht="15" x14ac:dyDescent="0.3">
      <c r="A2577" s="506">
        <v>12514</v>
      </c>
      <c r="B2577" s="507" t="s">
        <v>5675</v>
      </c>
      <c r="C2577" s="506" t="s">
        <v>3579</v>
      </c>
      <c r="D2577" s="508">
        <v>21849</v>
      </c>
      <c r="E2577" s="507" t="s">
        <v>6108</v>
      </c>
    </row>
    <row r="2578" spans="1:5" ht="15" x14ac:dyDescent="0.3">
      <c r="A2578" s="506">
        <v>12515</v>
      </c>
      <c r="B2578" s="507" t="s">
        <v>5676</v>
      </c>
      <c r="C2578" s="506" t="s">
        <v>1455</v>
      </c>
      <c r="D2578" s="508">
        <v>300000</v>
      </c>
      <c r="E2578" s="507" t="s">
        <v>6108</v>
      </c>
    </row>
    <row r="2579" spans="1:5" ht="15" x14ac:dyDescent="0.3">
      <c r="A2579" s="506">
        <v>12516</v>
      </c>
      <c r="B2579" s="507" t="s">
        <v>5677</v>
      </c>
      <c r="C2579" s="506" t="s">
        <v>32</v>
      </c>
      <c r="D2579" s="508">
        <v>23500</v>
      </c>
      <c r="E2579" s="507" t="s">
        <v>6108</v>
      </c>
    </row>
    <row r="2580" spans="1:5" ht="15" x14ac:dyDescent="0.3">
      <c r="A2580" s="506">
        <v>12517</v>
      </c>
      <c r="B2580" s="507" t="s">
        <v>6545</v>
      </c>
      <c r="C2580" s="506" t="s">
        <v>32</v>
      </c>
      <c r="D2580" s="508">
        <v>6964</v>
      </c>
      <c r="E2580" s="507" t="s">
        <v>6108</v>
      </c>
    </row>
    <row r="2581" spans="1:5" ht="15" x14ac:dyDescent="0.3">
      <c r="A2581" s="506">
        <v>12518</v>
      </c>
      <c r="B2581" s="507" t="s">
        <v>5678</v>
      </c>
      <c r="C2581" s="506" t="s">
        <v>32</v>
      </c>
      <c r="D2581" s="508">
        <v>922606</v>
      </c>
      <c r="E2581" s="507" t="s">
        <v>6108</v>
      </c>
    </row>
    <row r="2582" spans="1:5" ht="15" x14ac:dyDescent="0.3">
      <c r="A2582" s="506">
        <v>12519</v>
      </c>
      <c r="B2582" s="507" t="s">
        <v>5679</v>
      </c>
      <c r="C2582" s="506" t="s">
        <v>30</v>
      </c>
      <c r="D2582" s="508">
        <v>311880</v>
      </c>
      <c r="E2582" s="507" t="s">
        <v>6108</v>
      </c>
    </row>
    <row r="2583" spans="1:5" ht="15" x14ac:dyDescent="0.3">
      <c r="A2583" s="506">
        <v>12520</v>
      </c>
      <c r="B2583" s="507" t="s">
        <v>5680</v>
      </c>
      <c r="C2583" s="506" t="s">
        <v>32</v>
      </c>
      <c r="D2583" s="508">
        <v>282</v>
      </c>
      <c r="E2583" s="507" t="s">
        <v>6108</v>
      </c>
    </row>
    <row r="2584" spans="1:5" ht="15" x14ac:dyDescent="0.3">
      <c r="A2584" s="506">
        <v>12521</v>
      </c>
      <c r="B2584" s="507" t="s">
        <v>5681</v>
      </c>
      <c r="C2584" s="506" t="s">
        <v>32</v>
      </c>
      <c r="D2584" s="508">
        <v>631</v>
      </c>
      <c r="E2584" s="507" t="s">
        <v>6108</v>
      </c>
    </row>
    <row r="2585" spans="1:5" ht="15" x14ac:dyDescent="0.3">
      <c r="A2585" s="506">
        <v>12522</v>
      </c>
      <c r="B2585" s="507" t="s">
        <v>5682</v>
      </c>
      <c r="C2585" s="506" t="s">
        <v>32</v>
      </c>
      <c r="D2585" s="508">
        <v>49777</v>
      </c>
      <c r="E2585" s="507" t="s">
        <v>6108</v>
      </c>
    </row>
    <row r="2586" spans="1:5" ht="15" x14ac:dyDescent="0.3">
      <c r="A2586" s="506">
        <v>12523</v>
      </c>
      <c r="B2586" s="507" t="s">
        <v>5683</v>
      </c>
      <c r="C2586" s="506" t="s">
        <v>32</v>
      </c>
      <c r="D2586" s="508">
        <v>59900</v>
      </c>
      <c r="E2586" s="507" t="s">
        <v>6108</v>
      </c>
    </row>
    <row r="2587" spans="1:5" ht="15" x14ac:dyDescent="0.3">
      <c r="A2587" s="506">
        <v>12524</v>
      </c>
      <c r="B2587" s="507" t="s">
        <v>5684</v>
      </c>
      <c r="C2587" s="506" t="s">
        <v>3596</v>
      </c>
      <c r="D2587" s="508">
        <v>8824</v>
      </c>
      <c r="E2587" s="507" t="s">
        <v>6108</v>
      </c>
    </row>
    <row r="2588" spans="1:5" ht="15" x14ac:dyDescent="0.3">
      <c r="A2588" s="506">
        <v>12525</v>
      </c>
      <c r="B2588" s="507" t="s">
        <v>5685</v>
      </c>
      <c r="C2588" s="506" t="s">
        <v>32</v>
      </c>
      <c r="D2588" s="508">
        <v>121008</v>
      </c>
      <c r="E2588" s="507" t="s">
        <v>6108</v>
      </c>
    </row>
    <row r="2589" spans="1:5" ht="15" x14ac:dyDescent="0.3">
      <c r="A2589" s="506">
        <v>12526</v>
      </c>
      <c r="B2589" s="507" t="s">
        <v>5686</v>
      </c>
      <c r="C2589" s="506" t="s">
        <v>3596</v>
      </c>
      <c r="D2589" s="508">
        <v>26</v>
      </c>
      <c r="E2589" s="507" t="s">
        <v>6108</v>
      </c>
    </row>
    <row r="2590" spans="1:5" ht="15" x14ac:dyDescent="0.3">
      <c r="A2590" s="506">
        <v>12668</v>
      </c>
      <c r="B2590" s="507" t="s">
        <v>5687</v>
      </c>
      <c r="C2590" s="506" t="s">
        <v>21</v>
      </c>
      <c r="D2590" s="508">
        <v>1696673</v>
      </c>
      <c r="E2590" s="507" t="s">
        <v>6108</v>
      </c>
    </row>
    <row r="2591" spans="1:5" ht="15" x14ac:dyDescent="0.3">
      <c r="A2591" s="506">
        <v>12669</v>
      </c>
      <c r="B2591" s="507" t="s">
        <v>5688</v>
      </c>
      <c r="C2591" s="506" t="s">
        <v>328</v>
      </c>
      <c r="D2591" s="508">
        <v>839105</v>
      </c>
      <c r="E2591" s="507" t="s">
        <v>6108</v>
      </c>
    </row>
    <row r="2592" spans="1:5" ht="15" x14ac:dyDescent="0.3">
      <c r="A2592" s="506">
        <v>12670</v>
      </c>
      <c r="B2592" s="507" t="s">
        <v>5689</v>
      </c>
      <c r="C2592" s="506" t="s">
        <v>328</v>
      </c>
      <c r="D2592" s="508">
        <v>145436</v>
      </c>
      <c r="E2592" s="507" t="s">
        <v>6108</v>
      </c>
    </row>
    <row r="2593" spans="1:5" ht="15" x14ac:dyDescent="0.3">
      <c r="A2593" s="506">
        <v>12744</v>
      </c>
      <c r="B2593" s="507" t="s">
        <v>6546</v>
      </c>
      <c r="C2593" s="506" t="s">
        <v>328</v>
      </c>
      <c r="D2593" s="508">
        <v>743387</v>
      </c>
      <c r="E2593" s="507" t="s">
        <v>6108</v>
      </c>
    </row>
    <row r="2594" spans="1:5" ht="15" x14ac:dyDescent="0.3">
      <c r="A2594" s="506">
        <v>12745</v>
      </c>
      <c r="B2594" s="507" t="s">
        <v>6547</v>
      </c>
      <c r="C2594" s="506" t="s">
        <v>328</v>
      </c>
      <c r="D2594" s="508">
        <v>743387</v>
      </c>
      <c r="E2594" s="507" t="s">
        <v>6108</v>
      </c>
    </row>
    <row r="2595" spans="1:5" ht="15" x14ac:dyDescent="0.3">
      <c r="A2595" s="506">
        <v>12746</v>
      </c>
      <c r="B2595" s="507" t="s">
        <v>6548</v>
      </c>
      <c r="C2595" s="506" t="s">
        <v>328</v>
      </c>
      <c r="D2595" s="508">
        <v>810188</v>
      </c>
      <c r="E2595" s="507" t="s">
        <v>6108</v>
      </c>
    </row>
    <row r="2596" spans="1:5" ht="15" x14ac:dyDescent="0.3">
      <c r="A2596" s="506">
        <v>12747</v>
      </c>
      <c r="B2596" s="507" t="s">
        <v>6549</v>
      </c>
      <c r="C2596" s="506" t="s">
        <v>328</v>
      </c>
      <c r="D2596" s="508">
        <v>1900549</v>
      </c>
      <c r="E2596" s="507" t="s">
        <v>6108</v>
      </c>
    </row>
    <row r="2597" spans="1:5" ht="15" x14ac:dyDescent="0.3">
      <c r="A2597" s="506">
        <v>12748</v>
      </c>
      <c r="B2597" s="507" t="s">
        <v>6550</v>
      </c>
      <c r="C2597" s="506" t="s">
        <v>328</v>
      </c>
      <c r="D2597" s="508">
        <v>2524003</v>
      </c>
      <c r="E2597" s="507" t="s">
        <v>6108</v>
      </c>
    </row>
    <row r="2598" spans="1:5" ht="15" x14ac:dyDescent="0.3">
      <c r="A2598" s="506">
        <v>12778</v>
      </c>
      <c r="B2598" s="507" t="s">
        <v>6551</v>
      </c>
      <c r="C2598" s="506" t="s">
        <v>328</v>
      </c>
      <c r="D2598" s="508">
        <v>2439976</v>
      </c>
      <c r="E2598" s="507" t="s">
        <v>6108</v>
      </c>
    </row>
    <row r="2599" spans="1:5" ht="15" x14ac:dyDescent="0.3">
      <c r="A2599" s="506">
        <v>12781</v>
      </c>
      <c r="B2599" s="507" t="s">
        <v>6552</v>
      </c>
      <c r="C2599" s="506" t="s">
        <v>3582</v>
      </c>
      <c r="D2599" s="508">
        <v>230000</v>
      </c>
      <c r="E2599" s="507" t="s">
        <v>6109</v>
      </c>
    </row>
    <row r="2600" spans="1:5" ht="15" x14ac:dyDescent="0.3">
      <c r="A2600" s="506">
        <v>12782</v>
      </c>
      <c r="B2600" s="507" t="s">
        <v>6553</v>
      </c>
      <c r="C2600" s="506" t="s">
        <v>254</v>
      </c>
      <c r="D2600" s="508">
        <v>6997000</v>
      </c>
      <c r="E2600" s="507" t="s">
        <v>6109</v>
      </c>
    </row>
    <row r="2601" spans="1:5" ht="15" x14ac:dyDescent="0.3">
      <c r="A2601" s="506">
        <v>12783</v>
      </c>
      <c r="B2601" s="507" t="s">
        <v>6554</v>
      </c>
      <c r="C2601" s="506" t="s">
        <v>3582</v>
      </c>
      <c r="D2601" s="508">
        <v>331000</v>
      </c>
      <c r="E2601" s="507" t="s">
        <v>6109</v>
      </c>
    </row>
    <row r="2602" spans="1:5" ht="15" x14ac:dyDescent="0.3">
      <c r="A2602" s="506">
        <v>12784</v>
      </c>
      <c r="B2602" s="507" t="s">
        <v>6555</v>
      </c>
      <c r="C2602" s="506" t="s">
        <v>254</v>
      </c>
      <c r="D2602" s="508">
        <v>10036000</v>
      </c>
      <c r="E2602" s="507" t="s">
        <v>6109</v>
      </c>
    </row>
    <row r="2603" spans="1:5" ht="15" x14ac:dyDescent="0.3">
      <c r="A2603" s="506">
        <v>12785</v>
      </c>
      <c r="B2603" s="507" t="s">
        <v>6556</v>
      </c>
      <c r="C2603" s="506" t="s">
        <v>3582</v>
      </c>
      <c r="D2603" s="508">
        <v>315000</v>
      </c>
      <c r="E2603" s="507" t="s">
        <v>6109</v>
      </c>
    </row>
    <row r="2604" spans="1:5" ht="15" x14ac:dyDescent="0.3">
      <c r="A2604" s="506">
        <v>12786</v>
      </c>
      <c r="B2604" s="507" t="s">
        <v>6557</v>
      </c>
      <c r="C2604" s="506" t="s">
        <v>254</v>
      </c>
      <c r="D2604" s="508">
        <v>9405000</v>
      </c>
      <c r="E2604" s="507" t="s">
        <v>6109</v>
      </c>
    </row>
    <row r="2605" spans="1:5" ht="15" x14ac:dyDescent="0.3">
      <c r="A2605" s="506">
        <v>12787</v>
      </c>
      <c r="B2605" s="507" t="s">
        <v>6558</v>
      </c>
      <c r="C2605" s="506" t="s">
        <v>3582</v>
      </c>
      <c r="D2605" s="508">
        <v>455000</v>
      </c>
      <c r="E2605" s="507" t="s">
        <v>6109</v>
      </c>
    </row>
    <row r="2606" spans="1:5" ht="15" x14ac:dyDescent="0.3">
      <c r="A2606" s="506">
        <v>12788</v>
      </c>
      <c r="B2606" s="507" t="s">
        <v>6559</v>
      </c>
      <c r="C2606" s="506" t="s">
        <v>254</v>
      </c>
      <c r="D2606" s="508">
        <v>13649000</v>
      </c>
      <c r="E2606" s="507" t="s">
        <v>6109</v>
      </c>
    </row>
    <row r="2607" spans="1:5" ht="15" x14ac:dyDescent="0.3">
      <c r="A2607" s="506">
        <v>12830</v>
      </c>
      <c r="B2607" s="507" t="s">
        <v>5690</v>
      </c>
      <c r="C2607" s="506" t="s">
        <v>32</v>
      </c>
      <c r="D2607" s="508">
        <v>282</v>
      </c>
      <c r="E2607" s="507" t="s">
        <v>6108</v>
      </c>
    </row>
    <row r="2608" spans="1:5" ht="15" x14ac:dyDescent="0.3">
      <c r="A2608" s="506">
        <v>12831</v>
      </c>
      <c r="B2608" s="507" t="s">
        <v>5691</v>
      </c>
      <c r="C2608" s="506" t="s">
        <v>32</v>
      </c>
      <c r="D2608" s="508">
        <v>631</v>
      </c>
      <c r="E2608" s="507" t="s">
        <v>6108</v>
      </c>
    </row>
    <row r="2609" spans="1:5" ht="15" x14ac:dyDescent="0.3">
      <c r="A2609" s="506">
        <v>12832</v>
      </c>
      <c r="B2609" s="507" t="s">
        <v>5692</v>
      </c>
      <c r="C2609" s="506" t="s">
        <v>3579</v>
      </c>
      <c r="D2609" s="508">
        <v>21849</v>
      </c>
      <c r="E2609" s="507" t="s">
        <v>6108</v>
      </c>
    </row>
    <row r="2610" spans="1:5" ht="15" x14ac:dyDescent="0.3">
      <c r="A2610" s="506">
        <v>12833</v>
      </c>
      <c r="B2610" s="507" t="s">
        <v>5693</v>
      </c>
      <c r="C2610" s="506" t="s">
        <v>1455</v>
      </c>
      <c r="D2610" s="508">
        <v>300000</v>
      </c>
      <c r="E2610" s="507" t="s">
        <v>6108</v>
      </c>
    </row>
    <row r="2611" spans="1:5" ht="15" x14ac:dyDescent="0.3">
      <c r="A2611" s="506">
        <v>12834</v>
      </c>
      <c r="B2611" s="507" t="s">
        <v>6560</v>
      </c>
      <c r="C2611" s="506" t="s">
        <v>32</v>
      </c>
      <c r="D2611" s="508">
        <v>6964</v>
      </c>
      <c r="E2611" s="507" t="s">
        <v>6108</v>
      </c>
    </row>
    <row r="2612" spans="1:5" ht="15" x14ac:dyDescent="0.3">
      <c r="A2612" s="506">
        <v>12835</v>
      </c>
      <c r="B2612" s="507" t="s">
        <v>5694</v>
      </c>
      <c r="C2612" s="506" t="s">
        <v>32</v>
      </c>
      <c r="D2612" s="508">
        <v>121008</v>
      </c>
      <c r="E2612" s="507" t="s">
        <v>6108</v>
      </c>
    </row>
    <row r="2613" spans="1:5" ht="15" x14ac:dyDescent="0.3">
      <c r="A2613" s="506">
        <v>12836</v>
      </c>
      <c r="B2613" s="507" t="s">
        <v>5695</v>
      </c>
      <c r="C2613" s="506" t="s">
        <v>30</v>
      </c>
      <c r="D2613" s="508">
        <v>311880</v>
      </c>
      <c r="E2613" s="507" t="s">
        <v>6108</v>
      </c>
    </row>
    <row r="2614" spans="1:5" ht="15" x14ac:dyDescent="0.3">
      <c r="A2614" s="506">
        <v>12837</v>
      </c>
      <c r="B2614" s="507" t="s">
        <v>5696</v>
      </c>
      <c r="C2614" s="506" t="s">
        <v>32</v>
      </c>
      <c r="D2614" s="508">
        <v>922606</v>
      </c>
      <c r="E2614" s="507" t="s">
        <v>6108</v>
      </c>
    </row>
    <row r="2615" spans="1:5" ht="15" x14ac:dyDescent="0.3">
      <c r="A2615" s="506">
        <v>12838</v>
      </c>
      <c r="B2615" s="507" t="s">
        <v>5697</v>
      </c>
      <c r="C2615" s="506" t="s">
        <v>3596</v>
      </c>
      <c r="D2615" s="508">
        <v>8824</v>
      </c>
      <c r="E2615" s="507" t="s">
        <v>6108</v>
      </c>
    </row>
    <row r="2616" spans="1:5" ht="15" x14ac:dyDescent="0.3">
      <c r="A2616" s="506">
        <v>12839</v>
      </c>
      <c r="B2616" s="507" t="s">
        <v>5698</v>
      </c>
      <c r="C2616" s="506" t="s">
        <v>32</v>
      </c>
      <c r="D2616" s="508">
        <v>49777</v>
      </c>
      <c r="E2616" s="507" t="s">
        <v>6108</v>
      </c>
    </row>
    <row r="2617" spans="1:5" ht="15" x14ac:dyDescent="0.3">
      <c r="A2617" s="506">
        <v>12896</v>
      </c>
      <c r="B2617" s="507" t="s">
        <v>5699</v>
      </c>
      <c r="C2617" s="506" t="s">
        <v>328</v>
      </c>
      <c r="D2617" s="508">
        <v>5484690</v>
      </c>
      <c r="E2617" s="507" t="s">
        <v>6108</v>
      </c>
    </row>
    <row r="2618" spans="1:5" ht="15" x14ac:dyDescent="0.3">
      <c r="A2618" s="506">
        <v>12918</v>
      </c>
      <c r="B2618" s="507" t="s">
        <v>5700</v>
      </c>
      <c r="C2618" s="506" t="s">
        <v>979</v>
      </c>
      <c r="D2618" s="508">
        <v>19521</v>
      </c>
      <c r="E2618" s="507" t="s">
        <v>6108</v>
      </c>
    </row>
    <row r="2619" spans="1:5" ht="15" x14ac:dyDescent="0.3">
      <c r="A2619" s="506">
        <v>12919</v>
      </c>
      <c r="B2619" s="507" t="s">
        <v>5701</v>
      </c>
      <c r="C2619" s="506" t="s">
        <v>254</v>
      </c>
      <c r="D2619" s="508">
        <v>3704</v>
      </c>
      <c r="E2619" s="507" t="s">
        <v>331</v>
      </c>
    </row>
    <row r="2620" spans="1:5" ht="15" x14ac:dyDescent="0.3">
      <c r="A2620" s="506">
        <v>12920</v>
      </c>
      <c r="B2620" s="507" t="s">
        <v>5702</v>
      </c>
      <c r="C2620" s="506" t="s">
        <v>3582</v>
      </c>
      <c r="D2620" s="508">
        <v>73233</v>
      </c>
      <c r="E2620" s="507" t="s">
        <v>331</v>
      </c>
    </row>
    <row r="2621" spans="1:5" ht="15" x14ac:dyDescent="0.3">
      <c r="A2621" s="506">
        <v>12925</v>
      </c>
      <c r="B2621" s="507" t="s">
        <v>6561</v>
      </c>
      <c r="C2621" s="506" t="s">
        <v>32</v>
      </c>
      <c r="D2621" s="508">
        <v>85680</v>
      </c>
      <c r="E2621" s="507" t="s">
        <v>6108</v>
      </c>
    </row>
    <row r="2622" spans="1:5" ht="15" x14ac:dyDescent="0.3">
      <c r="A2622" s="506">
        <v>12926</v>
      </c>
      <c r="B2622" s="507" t="s">
        <v>5703</v>
      </c>
      <c r="C2622" s="506" t="s">
        <v>32</v>
      </c>
      <c r="D2622" s="508">
        <v>18802</v>
      </c>
      <c r="E2622" s="507" t="s">
        <v>6108</v>
      </c>
    </row>
    <row r="2623" spans="1:5" ht="15" x14ac:dyDescent="0.3">
      <c r="A2623" s="506">
        <v>12927</v>
      </c>
      <c r="B2623" s="507" t="s">
        <v>5704</v>
      </c>
      <c r="C2623" s="506" t="s">
        <v>3582</v>
      </c>
      <c r="D2623" s="508">
        <v>773500</v>
      </c>
      <c r="E2623" s="507" t="s">
        <v>6108</v>
      </c>
    </row>
    <row r="2624" spans="1:5" ht="15" x14ac:dyDescent="0.3">
      <c r="A2624" s="506">
        <v>13188</v>
      </c>
      <c r="B2624" s="507" t="s">
        <v>6562</v>
      </c>
      <c r="C2624" s="506" t="s">
        <v>4440</v>
      </c>
      <c r="D2624" s="508">
        <v>403424</v>
      </c>
      <c r="E2624" s="507" t="s">
        <v>6108</v>
      </c>
    </row>
    <row r="2625" spans="1:5" ht="15" x14ac:dyDescent="0.3">
      <c r="A2625" s="506">
        <v>13189</v>
      </c>
      <c r="B2625" s="507" t="s">
        <v>6563</v>
      </c>
      <c r="C2625" s="506" t="s">
        <v>5705</v>
      </c>
      <c r="D2625" s="508">
        <v>38080000</v>
      </c>
      <c r="E2625" s="507" t="s">
        <v>6108</v>
      </c>
    </row>
    <row r="2626" spans="1:5" ht="15" x14ac:dyDescent="0.3">
      <c r="A2626" s="506">
        <v>13190</v>
      </c>
      <c r="B2626" s="507" t="s">
        <v>5706</v>
      </c>
      <c r="C2626" s="506" t="s">
        <v>32</v>
      </c>
      <c r="D2626" s="508">
        <v>10670152</v>
      </c>
      <c r="E2626" s="507" t="s">
        <v>6108</v>
      </c>
    </row>
    <row r="2627" spans="1:5" ht="15" x14ac:dyDescent="0.3">
      <c r="A2627" s="506">
        <v>13191</v>
      </c>
      <c r="B2627" s="507" t="s">
        <v>5707</v>
      </c>
      <c r="C2627" s="506" t="s">
        <v>32</v>
      </c>
      <c r="D2627" s="508">
        <v>11900000</v>
      </c>
      <c r="E2627" s="507" t="s">
        <v>6108</v>
      </c>
    </row>
    <row r="2628" spans="1:5" ht="15" x14ac:dyDescent="0.3">
      <c r="A2628" s="506">
        <v>13221</v>
      </c>
      <c r="B2628" s="507" t="s">
        <v>5708</v>
      </c>
      <c r="C2628" s="506" t="s">
        <v>21</v>
      </c>
      <c r="D2628" s="508">
        <v>136138</v>
      </c>
      <c r="E2628" s="507" t="s">
        <v>6108</v>
      </c>
    </row>
    <row r="2629" spans="1:5" ht="15" x14ac:dyDescent="0.3">
      <c r="A2629" s="506">
        <v>13222</v>
      </c>
      <c r="B2629" s="507" t="s">
        <v>6564</v>
      </c>
      <c r="C2629" s="506" t="s">
        <v>1294</v>
      </c>
      <c r="D2629" s="508">
        <v>5538141</v>
      </c>
      <c r="E2629" s="507" t="s">
        <v>6108</v>
      </c>
    </row>
    <row r="2630" spans="1:5" ht="15" x14ac:dyDescent="0.3">
      <c r="A2630" s="506">
        <v>13249</v>
      </c>
      <c r="B2630" s="507" t="s">
        <v>5709</v>
      </c>
      <c r="C2630" s="506" t="s">
        <v>30</v>
      </c>
      <c r="D2630" s="508">
        <v>923064</v>
      </c>
      <c r="E2630" s="507" t="s">
        <v>331</v>
      </c>
    </row>
    <row r="2631" spans="1:5" ht="15" x14ac:dyDescent="0.3">
      <c r="A2631" s="506">
        <v>13250</v>
      </c>
      <c r="B2631" s="507" t="s">
        <v>5710</v>
      </c>
      <c r="C2631" s="506" t="s">
        <v>30</v>
      </c>
      <c r="D2631" s="508">
        <v>840629</v>
      </c>
      <c r="E2631" s="507" t="s">
        <v>331</v>
      </c>
    </row>
    <row r="2632" spans="1:5" ht="15" x14ac:dyDescent="0.3">
      <c r="A2632" s="506">
        <v>13251</v>
      </c>
      <c r="B2632" s="507" t="s">
        <v>5711</v>
      </c>
      <c r="C2632" s="506" t="s">
        <v>30</v>
      </c>
      <c r="D2632" s="508">
        <v>1167251</v>
      </c>
      <c r="E2632" s="507" t="s">
        <v>331</v>
      </c>
    </row>
    <row r="2633" spans="1:5" ht="15" x14ac:dyDescent="0.3">
      <c r="A2633" s="506">
        <v>13300</v>
      </c>
      <c r="B2633" s="507" t="s">
        <v>5712</v>
      </c>
      <c r="C2633" s="506" t="s">
        <v>30</v>
      </c>
      <c r="D2633" s="508">
        <v>89726</v>
      </c>
      <c r="E2633" s="507" t="s">
        <v>331</v>
      </c>
    </row>
    <row r="2634" spans="1:5" ht="15" x14ac:dyDescent="0.3">
      <c r="A2634" s="506">
        <v>13302</v>
      </c>
      <c r="B2634" s="507" t="s">
        <v>3375</v>
      </c>
      <c r="C2634" s="506" t="s">
        <v>32</v>
      </c>
      <c r="D2634" s="508">
        <v>6942537</v>
      </c>
      <c r="E2634" s="507" t="s">
        <v>6108</v>
      </c>
    </row>
    <row r="2635" spans="1:5" ht="15" x14ac:dyDescent="0.3">
      <c r="A2635" s="506">
        <v>13303</v>
      </c>
      <c r="B2635" s="507" t="s">
        <v>3376</v>
      </c>
      <c r="C2635" s="506" t="s">
        <v>32</v>
      </c>
      <c r="D2635" s="508">
        <v>9254630</v>
      </c>
      <c r="E2635" s="507" t="s">
        <v>6108</v>
      </c>
    </row>
    <row r="2636" spans="1:5" ht="15" x14ac:dyDescent="0.3">
      <c r="A2636" s="506">
        <v>13318</v>
      </c>
      <c r="B2636" s="507" t="s">
        <v>5713</v>
      </c>
      <c r="C2636" s="506" t="s">
        <v>979</v>
      </c>
      <c r="D2636" s="508">
        <v>236380</v>
      </c>
      <c r="E2636" s="507" t="s">
        <v>331</v>
      </c>
    </row>
    <row r="2637" spans="1:5" ht="15" x14ac:dyDescent="0.3">
      <c r="A2637" s="506">
        <v>13319</v>
      </c>
      <c r="B2637" s="507" t="s">
        <v>5714</v>
      </c>
      <c r="C2637" s="506" t="s">
        <v>32</v>
      </c>
      <c r="D2637" s="508">
        <v>927111</v>
      </c>
      <c r="E2637" s="507" t="s">
        <v>6108</v>
      </c>
    </row>
    <row r="2638" spans="1:5" ht="15" x14ac:dyDescent="0.3">
      <c r="A2638" s="506">
        <v>13320</v>
      </c>
      <c r="B2638" s="507" t="s">
        <v>5715</v>
      </c>
      <c r="C2638" s="506" t="s">
        <v>32</v>
      </c>
      <c r="D2638" s="508">
        <v>367410</v>
      </c>
      <c r="E2638" s="507" t="s">
        <v>6108</v>
      </c>
    </row>
    <row r="2639" spans="1:5" ht="15" x14ac:dyDescent="0.3">
      <c r="A2639" s="506">
        <v>13321</v>
      </c>
      <c r="B2639" s="507" t="s">
        <v>5716</v>
      </c>
      <c r="C2639" s="506" t="s">
        <v>32</v>
      </c>
      <c r="D2639" s="508">
        <v>2410534</v>
      </c>
      <c r="E2639" s="507" t="s">
        <v>6108</v>
      </c>
    </row>
    <row r="2640" spans="1:5" ht="15" x14ac:dyDescent="0.3">
      <c r="A2640" s="506">
        <v>13322</v>
      </c>
      <c r="B2640" s="507" t="s">
        <v>5717</v>
      </c>
      <c r="C2640" s="506" t="s">
        <v>32</v>
      </c>
      <c r="D2640" s="508">
        <v>782479</v>
      </c>
      <c r="E2640" s="507" t="s">
        <v>6108</v>
      </c>
    </row>
    <row r="2641" spans="1:5" ht="15" x14ac:dyDescent="0.3">
      <c r="A2641" s="506">
        <v>13323</v>
      </c>
      <c r="B2641" s="507" t="s">
        <v>5718</v>
      </c>
      <c r="C2641" s="506" t="s">
        <v>32</v>
      </c>
      <c r="D2641" s="508">
        <v>462413</v>
      </c>
      <c r="E2641" s="507" t="s">
        <v>6108</v>
      </c>
    </row>
    <row r="2642" spans="1:5" ht="15" x14ac:dyDescent="0.3">
      <c r="A2642" s="506">
        <v>13324</v>
      </c>
      <c r="B2642" s="507" t="s">
        <v>5719</v>
      </c>
      <c r="C2642" s="506" t="s">
        <v>32</v>
      </c>
      <c r="D2642" s="508">
        <v>937299</v>
      </c>
      <c r="E2642" s="507" t="s">
        <v>6108</v>
      </c>
    </row>
    <row r="2643" spans="1:5" ht="15" x14ac:dyDescent="0.3">
      <c r="A2643" s="506">
        <v>13325</v>
      </c>
      <c r="B2643" s="507" t="s">
        <v>5720</v>
      </c>
      <c r="C2643" s="506" t="s">
        <v>32</v>
      </c>
      <c r="D2643" s="508">
        <v>388496</v>
      </c>
      <c r="E2643" s="507" t="s">
        <v>6108</v>
      </c>
    </row>
    <row r="2644" spans="1:5" ht="15" x14ac:dyDescent="0.3">
      <c r="A2644" s="506">
        <v>13326</v>
      </c>
      <c r="B2644" s="507" t="s">
        <v>5721</v>
      </c>
      <c r="C2644" s="506" t="s">
        <v>32</v>
      </c>
      <c r="D2644" s="508">
        <v>208678</v>
      </c>
      <c r="E2644" s="507" t="s">
        <v>6108</v>
      </c>
    </row>
    <row r="2645" spans="1:5" ht="15" x14ac:dyDescent="0.3">
      <c r="A2645" s="506">
        <v>13327</v>
      </c>
      <c r="B2645" s="507" t="s">
        <v>5722</v>
      </c>
      <c r="C2645" s="506" t="s">
        <v>32</v>
      </c>
      <c r="D2645" s="508">
        <v>37577</v>
      </c>
      <c r="E2645" s="507" t="s">
        <v>6108</v>
      </c>
    </row>
    <row r="2646" spans="1:5" ht="15" x14ac:dyDescent="0.3">
      <c r="A2646" s="506">
        <v>13328</v>
      </c>
      <c r="B2646" s="507" t="s">
        <v>5723</v>
      </c>
      <c r="C2646" s="506" t="s">
        <v>32</v>
      </c>
      <c r="D2646" s="508">
        <v>567657</v>
      </c>
      <c r="E2646" s="507" t="s">
        <v>6108</v>
      </c>
    </row>
    <row r="2647" spans="1:5" ht="15" x14ac:dyDescent="0.3">
      <c r="A2647" s="506">
        <v>13329</v>
      </c>
      <c r="B2647" s="507" t="s">
        <v>5724</v>
      </c>
      <c r="C2647" s="506" t="s">
        <v>32</v>
      </c>
      <c r="D2647" s="508">
        <v>1283518</v>
      </c>
      <c r="E2647" s="507" t="s">
        <v>6108</v>
      </c>
    </row>
    <row r="2648" spans="1:5" ht="15" x14ac:dyDescent="0.3">
      <c r="A2648" s="506">
        <v>13330</v>
      </c>
      <c r="B2648" s="507" t="s">
        <v>5725</v>
      </c>
      <c r="C2648" s="506" t="s">
        <v>32</v>
      </c>
      <c r="D2648" s="508">
        <v>1710026</v>
      </c>
      <c r="E2648" s="507" t="s">
        <v>6108</v>
      </c>
    </row>
    <row r="2649" spans="1:5" ht="15" x14ac:dyDescent="0.3">
      <c r="A2649" s="506">
        <v>13331</v>
      </c>
      <c r="B2649" s="507" t="s">
        <v>5726</v>
      </c>
      <c r="C2649" s="506" t="s">
        <v>32</v>
      </c>
      <c r="D2649" s="508">
        <v>2198573</v>
      </c>
      <c r="E2649" s="507" t="s">
        <v>6108</v>
      </c>
    </row>
    <row r="2650" spans="1:5" ht="15" x14ac:dyDescent="0.3">
      <c r="A2650" s="506">
        <v>13332</v>
      </c>
      <c r="B2650" s="507" t="s">
        <v>5727</v>
      </c>
      <c r="C2650" s="506" t="s">
        <v>32</v>
      </c>
      <c r="D2650" s="508">
        <v>708541</v>
      </c>
      <c r="E2650" s="507" t="s">
        <v>6108</v>
      </c>
    </row>
    <row r="2651" spans="1:5" ht="15" x14ac:dyDescent="0.3">
      <c r="A2651" s="506">
        <v>13333</v>
      </c>
      <c r="B2651" s="507" t="s">
        <v>5728</v>
      </c>
      <c r="C2651" s="506" t="s">
        <v>32</v>
      </c>
      <c r="D2651" s="508">
        <v>132453</v>
      </c>
      <c r="E2651" s="507" t="s">
        <v>6108</v>
      </c>
    </row>
    <row r="2652" spans="1:5" ht="15" x14ac:dyDescent="0.3">
      <c r="A2652" s="506">
        <v>13334</v>
      </c>
      <c r="B2652" s="507" t="s">
        <v>5729</v>
      </c>
      <c r="C2652" s="506" t="s">
        <v>328</v>
      </c>
      <c r="D2652" s="508">
        <v>696693</v>
      </c>
      <c r="E2652" s="507" t="s">
        <v>6108</v>
      </c>
    </row>
    <row r="2653" spans="1:5" ht="15" x14ac:dyDescent="0.3">
      <c r="A2653" s="506">
        <v>13336</v>
      </c>
      <c r="B2653" s="507" t="s">
        <v>5730</v>
      </c>
      <c r="C2653" s="506" t="s">
        <v>32</v>
      </c>
      <c r="D2653" s="508">
        <v>271964</v>
      </c>
      <c r="E2653" s="507" t="s">
        <v>6108</v>
      </c>
    </row>
    <row r="2654" spans="1:5" ht="15" x14ac:dyDescent="0.3">
      <c r="A2654" s="506">
        <v>13372</v>
      </c>
      <c r="B2654" s="507" t="s">
        <v>5731</v>
      </c>
      <c r="C2654" s="506" t="s">
        <v>21</v>
      </c>
      <c r="D2654" s="508">
        <v>9121</v>
      </c>
      <c r="E2654" s="507" t="s">
        <v>6108</v>
      </c>
    </row>
    <row r="2655" spans="1:5" ht="15" x14ac:dyDescent="0.3">
      <c r="A2655" s="506">
        <v>13373</v>
      </c>
      <c r="B2655" s="507" t="s">
        <v>5732</v>
      </c>
      <c r="C2655" s="506" t="s">
        <v>21</v>
      </c>
      <c r="D2655" s="508">
        <v>13090</v>
      </c>
      <c r="E2655" s="507" t="s">
        <v>6108</v>
      </c>
    </row>
    <row r="2656" spans="1:5" ht="15" x14ac:dyDescent="0.3">
      <c r="A2656" s="506">
        <v>13374</v>
      </c>
      <c r="B2656" s="507" t="s">
        <v>5733</v>
      </c>
      <c r="C2656" s="506" t="s">
        <v>21</v>
      </c>
      <c r="D2656" s="508">
        <v>14033</v>
      </c>
      <c r="E2656" s="507" t="s">
        <v>6108</v>
      </c>
    </row>
    <row r="2657" spans="1:5" ht="15" x14ac:dyDescent="0.3">
      <c r="A2657" s="506">
        <v>13375</v>
      </c>
      <c r="B2657" s="507" t="s">
        <v>5734</v>
      </c>
      <c r="C2657" s="506" t="s">
        <v>21</v>
      </c>
      <c r="D2657" s="508">
        <v>11672</v>
      </c>
      <c r="E2657" s="507" t="s">
        <v>6108</v>
      </c>
    </row>
    <row r="2658" spans="1:5" ht="15" x14ac:dyDescent="0.3">
      <c r="A2658" s="506">
        <v>13376</v>
      </c>
      <c r="B2658" s="507" t="s">
        <v>5735</v>
      </c>
      <c r="C2658" s="506" t="s">
        <v>32</v>
      </c>
      <c r="D2658" s="508">
        <v>137137194</v>
      </c>
      <c r="E2658" s="507" t="s">
        <v>6108</v>
      </c>
    </row>
    <row r="2659" spans="1:5" ht="15" x14ac:dyDescent="0.3">
      <c r="A2659" s="506">
        <v>13377</v>
      </c>
      <c r="B2659" s="507" t="s">
        <v>5736</v>
      </c>
      <c r="C2659" s="506" t="s">
        <v>32</v>
      </c>
      <c r="D2659" s="508">
        <v>155768354</v>
      </c>
      <c r="E2659" s="507" t="s">
        <v>6108</v>
      </c>
    </row>
    <row r="2660" spans="1:5" ht="15" x14ac:dyDescent="0.3">
      <c r="A2660" s="506">
        <v>13378</v>
      </c>
      <c r="B2660" s="507" t="s">
        <v>5737</v>
      </c>
      <c r="C2660" s="506" t="s">
        <v>32</v>
      </c>
      <c r="D2660" s="508">
        <v>173294046</v>
      </c>
      <c r="E2660" s="507" t="s">
        <v>6108</v>
      </c>
    </row>
    <row r="2661" spans="1:5" ht="15" x14ac:dyDescent="0.3">
      <c r="A2661" s="506">
        <v>13379</v>
      </c>
      <c r="B2661" s="507" t="s">
        <v>5738</v>
      </c>
      <c r="C2661" s="506" t="s">
        <v>32</v>
      </c>
      <c r="D2661" s="508">
        <v>1758579</v>
      </c>
      <c r="E2661" s="507" t="s">
        <v>6108</v>
      </c>
    </row>
    <row r="2662" spans="1:5" ht="15" x14ac:dyDescent="0.3">
      <c r="A2662" s="506">
        <v>13400</v>
      </c>
      <c r="B2662" s="507" t="s">
        <v>5739</v>
      </c>
      <c r="C2662" s="506" t="s">
        <v>32</v>
      </c>
      <c r="D2662" s="508">
        <v>46053</v>
      </c>
      <c r="E2662" s="507" t="s">
        <v>6108</v>
      </c>
    </row>
    <row r="2663" spans="1:5" ht="15" x14ac:dyDescent="0.3">
      <c r="A2663" s="506">
        <v>13401</v>
      </c>
      <c r="B2663" s="507" t="s">
        <v>5740</v>
      </c>
      <c r="C2663" s="506" t="s">
        <v>32</v>
      </c>
      <c r="D2663" s="508">
        <v>66457</v>
      </c>
      <c r="E2663" s="507" t="s">
        <v>6108</v>
      </c>
    </row>
    <row r="2664" spans="1:5" ht="15" x14ac:dyDescent="0.3">
      <c r="A2664" s="506">
        <v>13402</v>
      </c>
      <c r="B2664" s="507" t="s">
        <v>5741</v>
      </c>
      <c r="C2664" s="506" t="s">
        <v>32</v>
      </c>
      <c r="D2664" s="508">
        <v>50403</v>
      </c>
      <c r="E2664" s="507" t="s">
        <v>6108</v>
      </c>
    </row>
    <row r="2665" spans="1:5" ht="15" x14ac:dyDescent="0.3">
      <c r="A2665" s="506">
        <v>13403</v>
      </c>
      <c r="B2665" s="507" t="s">
        <v>5742</v>
      </c>
      <c r="C2665" s="506" t="s">
        <v>32</v>
      </c>
      <c r="D2665" s="508">
        <v>209976</v>
      </c>
      <c r="E2665" s="507" t="s">
        <v>6108</v>
      </c>
    </row>
    <row r="2666" spans="1:5" ht="15" x14ac:dyDescent="0.3">
      <c r="A2666" s="506">
        <v>13404</v>
      </c>
      <c r="B2666" s="507" t="s">
        <v>5743</v>
      </c>
      <c r="C2666" s="506" t="s">
        <v>328</v>
      </c>
      <c r="D2666" s="508">
        <v>212493</v>
      </c>
      <c r="E2666" s="507" t="s">
        <v>6108</v>
      </c>
    </row>
    <row r="2667" spans="1:5" ht="15" x14ac:dyDescent="0.3">
      <c r="A2667" s="506">
        <v>13405</v>
      </c>
      <c r="B2667" s="507" t="s">
        <v>5744</v>
      </c>
      <c r="C2667" s="506" t="s">
        <v>32</v>
      </c>
      <c r="D2667" s="508">
        <v>1365965</v>
      </c>
      <c r="E2667" s="507" t="s">
        <v>6108</v>
      </c>
    </row>
    <row r="2668" spans="1:5" ht="15" x14ac:dyDescent="0.3">
      <c r="A2668" s="506">
        <v>13406</v>
      </c>
      <c r="B2668" s="507" t="s">
        <v>5745</v>
      </c>
      <c r="C2668" s="506" t="s">
        <v>32</v>
      </c>
      <c r="D2668" s="508">
        <v>1175068</v>
      </c>
      <c r="E2668" s="507" t="s">
        <v>6108</v>
      </c>
    </row>
    <row r="2669" spans="1:5" ht="15" x14ac:dyDescent="0.3">
      <c r="A2669" s="506">
        <v>13407</v>
      </c>
      <c r="B2669" s="507" t="s">
        <v>5746</v>
      </c>
      <c r="C2669" s="506" t="s">
        <v>32</v>
      </c>
      <c r="D2669" s="508">
        <v>1106552</v>
      </c>
      <c r="E2669" s="507" t="s">
        <v>6108</v>
      </c>
    </row>
    <row r="2670" spans="1:5" ht="15" x14ac:dyDescent="0.3">
      <c r="A2670" s="506">
        <v>13408</v>
      </c>
      <c r="B2670" s="507" t="s">
        <v>5747</v>
      </c>
      <c r="C2670" s="506" t="s">
        <v>32</v>
      </c>
      <c r="D2670" s="508">
        <v>1126277</v>
      </c>
      <c r="E2670" s="507" t="s">
        <v>6108</v>
      </c>
    </row>
    <row r="2671" spans="1:5" ht="15" x14ac:dyDescent="0.3">
      <c r="A2671" s="506">
        <v>13409</v>
      </c>
      <c r="B2671" s="507" t="s">
        <v>5748</v>
      </c>
      <c r="C2671" s="506" t="s">
        <v>32</v>
      </c>
      <c r="D2671" s="508">
        <v>1126277</v>
      </c>
      <c r="E2671" s="507" t="s">
        <v>6108</v>
      </c>
    </row>
    <row r="2672" spans="1:5" ht="15" x14ac:dyDescent="0.3">
      <c r="A2672" s="506">
        <v>13410</v>
      </c>
      <c r="B2672" s="507" t="s">
        <v>5749</v>
      </c>
      <c r="C2672" s="506" t="s">
        <v>32</v>
      </c>
      <c r="D2672" s="508">
        <v>2962588</v>
      </c>
      <c r="E2672" s="507" t="s">
        <v>6108</v>
      </c>
    </row>
    <row r="2673" spans="1:5" ht="15" x14ac:dyDescent="0.3">
      <c r="A2673" s="506">
        <v>13411</v>
      </c>
      <c r="B2673" s="507" t="s">
        <v>5750</v>
      </c>
      <c r="C2673" s="506" t="s">
        <v>32</v>
      </c>
      <c r="D2673" s="508">
        <v>3425487</v>
      </c>
      <c r="E2673" s="507" t="s">
        <v>6108</v>
      </c>
    </row>
    <row r="2674" spans="1:5" ht="15" x14ac:dyDescent="0.3">
      <c r="A2674" s="506">
        <v>13412</v>
      </c>
      <c r="B2674" s="507" t="s">
        <v>5751</v>
      </c>
      <c r="C2674" s="506" t="s">
        <v>32</v>
      </c>
      <c r="D2674" s="508">
        <v>3814768</v>
      </c>
      <c r="E2674" s="507" t="s">
        <v>6108</v>
      </c>
    </row>
    <row r="2675" spans="1:5" ht="15" x14ac:dyDescent="0.3">
      <c r="A2675" s="506">
        <v>13413</v>
      </c>
      <c r="B2675" s="507" t="s">
        <v>5752</v>
      </c>
      <c r="C2675" s="506" t="s">
        <v>32</v>
      </c>
      <c r="D2675" s="508">
        <v>4028327</v>
      </c>
      <c r="E2675" s="507" t="s">
        <v>6108</v>
      </c>
    </row>
    <row r="2676" spans="1:5" ht="15" x14ac:dyDescent="0.3">
      <c r="A2676" s="506">
        <v>13414</v>
      </c>
      <c r="B2676" s="507" t="s">
        <v>5753</v>
      </c>
      <c r="C2676" s="506" t="s">
        <v>32</v>
      </c>
      <c r="D2676" s="508">
        <v>11276899</v>
      </c>
      <c r="E2676" s="507" t="s">
        <v>6108</v>
      </c>
    </row>
    <row r="2677" spans="1:5" ht="15" x14ac:dyDescent="0.3">
      <c r="A2677" s="506">
        <v>13415</v>
      </c>
      <c r="B2677" s="507" t="s">
        <v>5754</v>
      </c>
      <c r="C2677" s="506" t="s">
        <v>32</v>
      </c>
      <c r="D2677" s="508">
        <v>14430814</v>
      </c>
      <c r="E2677" s="507" t="s">
        <v>6108</v>
      </c>
    </row>
    <row r="2678" spans="1:5" ht="15" x14ac:dyDescent="0.3">
      <c r="A2678" s="506">
        <v>13416</v>
      </c>
      <c r="B2678" s="507" t="s">
        <v>5755</v>
      </c>
      <c r="C2678" s="506" t="s">
        <v>979</v>
      </c>
      <c r="D2678" s="508">
        <v>62268</v>
      </c>
      <c r="E2678" s="507" t="s">
        <v>331</v>
      </c>
    </row>
    <row r="2679" spans="1:5" ht="15" x14ac:dyDescent="0.3">
      <c r="A2679" s="506">
        <v>13417</v>
      </c>
      <c r="B2679" s="507" t="s">
        <v>5756</v>
      </c>
      <c r="C2679" s="506" t="s">
        <v>30</v>
      </c>
      <c r="D2679" s="508">
        <v>120000</v>
      </c>
      <c r="E2679" s="507" t="s">
        <v>6108</v>
      </c>
    </row>
    <row r="2680" spans="1:5" ht="15" x14ac:dyDescent="0.3">
      <c r="A2680" s="506">
        <v>13418</v>
      </c>
      <c r="B2680" s="507" t="s">
        <v>5757</v>
      </c>
      <c r="C2680" s="506" t="s">
        <v>254</v>
      </c>
      <c r="D2680" s="508">
        <v>2215256</v>
      </c>
      <c r="E2680" s="507" t="s">
        <v>6108</v>
      </c>
    </row>
    <row r="2681" spans="1:5" ht="15" x14ac:dyDescent="0.3">
      <c r="A2681" s="506">
        <v>13419</v>
      </c>
      <c r="B2681" s="507" t="s">
        <v>5758</v>
      </c>
      <c r="C2681" s="506" t="s">
        <v>3582</v>
      </c>
      <c r="D2681" s="508">
        <v>119000</v>
      </c>
      <c r="E2681" s="507" t="s">
        <v>6108</v>
      </c>
    </row>
    <row r="2682" spans="1:5" ht="15" x14ac:dyDescent="0.3">
      <c r="A2682" s="506">
        <v>13420</v>
      </c>
      <c r="B2682" s="507" t="s">
        <v>5759</v>
      </c>
      <c r="C2682" s="506" t="s">
        <v>254</v>
      </c>
      <c r="D2682" s="508">
        <v>2856000</v>
      </c>
      <c r="E2682" s="507" t="s">
        <v>6108</v>
      </c>
    </row>
    <row r="2683" spans="1:5" ht="15" x14ac:dyDescent="0.3">
      <c r="A2683" s="506">
        <v>13421</v>
      </c>
      <c r="B2683" s="507" t="s">
        <v>5760</v>
      </c>
      <c r="C2683" s="506" t="s">
        <v>254</v>
      </c>
      <c r="D2683" s="508">
        <v>952000</v>
      </c>
      <c r="E2683" s="507" t="s">
        <v>6108</v>
      </c>
    </row>
    <row r="2684" spans="1:5" ht="15" x14ac:dyDescent="0.3">
      <c r="A2684" s="506">
        <v>13422</v>
      </c>
      <c r="B2684" s="507" t="s">
        <v>5761</v>
      </c>
      <c r="C2684" s="506" t="s">
        <v>3582</v>
      </c>
      <c r="D2684" s="508">
        <v>47600</v>
      </c>
      <c r="E2684" s="507" t="s">
        <v>6108</v>
      </c>
    </row>
    <row r="2685" spans="1:5" ht="15" x14ac:dyDescent="0.3">
      <c r="A2685" s="506">
        <v>13423</v>
      </c>
      <c r="B2685" s="507" t="s">
        <v>5762</v>
      </c>
      <c r="C2685" s="506" t="s">
        <v>3582</v>
      </c>
      <c r="D2685" s="508">
        <v>321300</v>
      </c>
      <c r="E2685" s="507" t="s">
        <v>6108</v>
      </c>
    </row>
    <row r="2686" spans="1:5" ht="15" x14ac:dyDescent="0.3">
      <c r="A2686" s="506">
        <v>13424</v>
      </c>
      <c r="B2686" s="507" t="s">
        <v>3432</v>
      </c>
      <c r="C2686" s="506" t="s">
        <v>32</v>
      </c>
      <c r="D2686" s="508">
        <v>273700</v>
      </c>
      <c r="E2686" s="507" t="s">
        <v>6108</v>
      </c>
    </row>
    <row r="2687" spans="1:5" ht="15" x14ac:dyDescent="0.3">
      <c r="A2687" s="506">
        <v>13425</v>
      </c>
      <c r="B2687" s="507" t="s">
        <v>3433</v>
      </c>
      <c r="C2687" s="506" t="s">
        <v>32</v>
      </c>
      <c r="D2687" s="508">
        <v>196350</v>
      </c>
      <c r="E2687" s="507" t="s">
        <v>6108</v>
      </c>
    </row>
    <row r="2688" spans="1:5" ht="15" x14ac:dyDescent="0.3">
      <c r="A2688" s="506">
        <v>13426</v>
      </c>
      <c r="B2688" s="507" t="s">
        <v>3435</v>
      </c>
      <c r="C2688" s="506" t="s">
        <v>32</v>
      </c>
      <c r="D2688" s="508">
        <v>1225700</v>
      </c>
      <c r="E2688" s="507" t="s">
        <v>6108</v>
      </c>
    </row>
    <row r="2689" spans="1:5" ht="15" x14ac:dyDescent="0.3">
      <c r="A2689" s="506">
        <v>13427</v>
      </c>
      <c r="B2689" s="507" t="s">
        <v>3434</v>
      </c>
      <c r="C2689" s="506" t="s">
        <v>32</v>
      </c>
      <c r="D2689" s="508">
        <v>856800</v>
      </c>
      <c r="E2689" s="507" t="s">
        <v>6108</v>
      </c>
    </row>
    <row r="2690" spans="1:5" ht="15" x14ac:dyDescent="0.3">
      <c r="A2690" s="506">
        <v>13428</v>
      </c>
      <c r="B2690" s="507" t="s">
        <v>5763</v>
      </c>
      <c r="C2690" s="506" t="s">
        <v>32</v>
      </c>
      <c r="D2690" s="508">
        <v>343700</v>
      </c>
      <c r="E2690" s="507" t="s">
        <v>6108</v>
      </c>
    </row>
    <row r="2691" spans="1:5" ht="15" x14ac:dyDescent="0.3">
      <c r="A2691" s="506">
        <v>13429</v>
      </c>
      <c r="B2691" s="507" t="s">
        <v>5764</v>
      </c>
      <c r="C2691" s="506" t="s">
        <v>21</v>
      </c>
      <c r="D2691" s="508">
        <v>28659</v>
      </c>
      <c r="E2691" s="507" t="s">
        <v>6108</v>
      </c>
    </row>
    <row r="2692" spans="1:5" ht="15" x14ac:dyDescent="0.3">
      <c r="A2692" s="506">
        <v>13430</v>
      </c>
      <c r="B2692" s="507" t="s">
        <v>5765</v>
      </c>
      <c r="C2692" s="506" t="s">
        <v>328</v>
      </c>
      <c r="D2692" s="508">
        <v>11792</v>
      </c>
      <c r="E2692" s="507" t="s">
        <v>331</v>
      </c>
    </row>
    <row r="2693" spans="1:5" ht="15" x14ac:dyDescent="0.3">
      <c r="A2693" s="506">
        <v>13431</v>
      </c>
      <c r="B2693" s="507" t="s">
        <v>6565</v>
      </c>
      <c r="C2693" s="506" t="s">
        <v>1455</v>
      </c>
      <c r="D2693" s="508">
        <v>1400000</v>
      </c>
      <c r="E2693" s="507" t="s">
        <v>331</v>
      </c>
    </row>
    <row r="2694" spans="1:5" ht="15" x14ac:dyDescent="0.3">
      <c r="A2694" s="506">
        <v>13432</v>
      </c>
      <c r="B2694" s="507" t="s">
        <v>6566</v>
      </c>
      <c r="C2694" s="506" t="s">
        <v>1455</v>
      </c>
      <c r="D2694" s="508">
        <v>1500000</v>
      </c>
      <c r="E2694" s="507" t="s">
        <v>331</v>
      </c>
    </row>
    <row r="2695" spans="1:5" ht="15" x14ac:dyDescent="0.3">
      <c r="A2695" s="506">
        <v>13433</v>
      </c>
      <c r="B2695" s="507" t="s">
        <v>6567</v>
      </c>
      <c r="C2695" s="506" t="s">
        <v>1455</v>
      </c>
      <c r="D2695" s="508">
        <v>2000000</v>
      </c>
      <c r="E2695" s="507" t="s">
        <v>331</v>
      </c>
    </row>
    <row r="2696" spans="1:5" ht="15" x14ac:dyDescent="0.3">
      <c r="A2696" s="506">
        <v>13434</v>
      </c>
      <c r="B2696" s="507" t="s">
        <v>6568</v>
      </c>
      <c r="C2696" s="506" t="s">
        <v>1455</v>
      </c>
      <c r="D2696" s="508">
        <v>2500000</v>
      </c>
      <c r="E2696" s="507" t="s">
        <v>331</v>
      </c>
    </row>
    <row r="2697" spans="1:5" ht="15" x14ac:dyDescent="0.3">
      <c r="A2697" s="506">
        <v>13435</v>
      </c>
      <c r="B2697" s="507" t="s">
        <v>6569</v>
      </c>
      <c r="C2697" s="506" t="s">
        <v>1455</v>
      </c>
      <c r="D2697" s="508">
        <v>3000000</v>
      </c>
      <c r="E2697" s="507" t="s">
        <v>331</v>
      </c>
    </row>
    <row r="2698" spans="1:5" ht="15" x14ac:dyDescent="0.3">
      <c r="A2698" s="506">
        <v>13436</v>
      </c>
      <c r="B2698" s="507" t="s">
        <v>6570</v>
      </c>
      <c r="C2698" s="506" t="s">
        <v>1455</v>
      </c>
      <c r="D2698" s="508">
        <v>3000000</v>
      </c>
      <c r="E2698" s="507" t="s">
        <v>331</v>
      </c>
    </row>
    <row r="2699" spans="1:5" ht="15" x14ac:dyDescent="0.3">
      <c r="A2699" s="506">
        <v>13437</v>
      </c>
      <c r="B2699" s="507" t="s">
        <v>5766</v>
      </c>
      <c r="C2699" s="506" t="s">
        <v>30</v>
      </c>
      <c r="D2699" s="508">
        <v>95557</v>
      </c>
      <c r="E2699" s="507" t="s">
        <v>331</v>
      </c>
    </row>
    <row r="2700" spans="1:5" ht="15" x14ac:dyDescent="0.3">
      <c r="A2700" s="506">
        <v>13438</v>
      </c>
      <c r="B2700" s="507" t="s">
        <v>5767</v>
      </c>
      <c r="C2700" s="506" t="s">
        <v>30</v>
      </c>
      <c r="D2700" s="508">
        <v>89964</v>
      </c>
      <c r="E2700" s="507" t="s">
        <v>331</v>
      </c>
    </row>
    <row r="2701" spans="1:5" ht="15" x14ac:dyDescent="0.3">
      <c r="A2701" s="506">
        <v>13439</v>
      </c>
      <c r="B2701" s="507" t="s">
        <v>5768</v>
      </c>
      <c r="C2701" s="506" t="s">
        <v>30</v>
      </c>
      <c r="D2701" s="508">
        <v>741846</v>
      </c>
      <c r="E2701" s="507" t="s">
        <v>331</v>
      </c>
    </row>
    <row r="2702" spans="1:5" ht="15" x14ac:dyDescent="0.3">
      <c r="A2702" s="506">
        <v>13440</v>
      </c>
      <c r="B2702" s="507" t="s">
        <v>5769</v>
      </c>
      <c r="C2702" s="506" t="s">
        <v>30</v>
      </c>
      <c r="D2702" s="508">
        <v>798921</v>
      </c>
      <c r="E2702" s="507" t="s">
        <v>331</v>
      </c>
    </row>
    <row r="2703" spans="1:5" ht="15" x14ac:dyDescent="0.3">
      <c r="A2703" s="506">
        <v>13441</v>
      </c>
      <c r="B2703" s="507" t="s">
        <v>5770</v>
      </c>
      <c r="C2703" s="506" t="s">
        <v>30</v>
      </c>
      <c r="D2703" s="508">
        <v>849586</v>
      </c>
      <c r="E2703" s="507" t="s">
        <v>331</v>
      </c>
    </row>
    <row r="2704" spans="1:5" ht="15" x14ac:dyDescent="0.3">
      <c r="A2704" s="506">
        <v>13442</v>
      </c>
      <c r="B2704" s="507" t="s">
        <v>5771</v>
      </c>
      <c r="C2704" s="506" t="s">
        <v>254</v>
      </c>
      <c r="D2704" s="508">
        <v>7361890</v>
      </c>
      <c r="E2704" s="507" t="s">
        <v>6109</v>
      </c>
    </row>
    <row r="2705" spans="1:5" ht="15" x14ac:dyDescent="0.3">
      <c r="A2705" s="506">
        <v>13443</v>
      </c>
      <c r="B2705" s="507" t="s">
        <v>5772</v>
      </c>
      <c r="C2705" s="506" t="s">
        <v>254</v>
      </c>
      <c r="D2705" s="508">
        <v>4467317</v>
      </c>
      <c r="E2705" s="507" t="s">
        <v>6109</v>
      </c>
    </row>
    <row r="2706" spans="1:5" ht="15" x14ac:dyDescent="0.3">
      <c r="A2706" s="506">
        <v>13444</v>
      </c>
      <c r="B2706" s="507" t="s">
        <v>5773</v>
      </c>
      <c r="C2706" s="506" t="s">
        <v>254</v>
      </c>
      <c r="D2706" s="508">
        <v>5835615</v>
      </c>
      <c r="E2706" s="507" t="s">
        <v>6109</v>
      </c>
    </row>
    <row r="2707" spans="1:5" ht="15" x14ac:dyDescent="0.3">
      <c r="A2707" s="506">
        <v>13445</v>
      </c>
      <c r="B2707" s="507" t="s">
        <v>5774</v>
      </c>
      <c r="C2707" s="506" t="s">
        <v>254</v>
      </c>
      <c r="D2707" s="508">
        <v>3945223</v>
      </c>
      <c r="E2707" s="507" t="s">
        <v>6109</v>
      </c>
    </row>
    <row r="2708" spans="1:5" ht="15" x14ac:dyDescent="0.3">
      <c r="A2708" s="506">
        <v>13513</v>
      </c>
      <c r="B2708" s="507" t="s">
        <v>5775</v>
      </c>
      <c r="C2708" s="506" t="s">
        <v>328</v>
      </c>
      <c r="D2708" s="508">
        <v>1106330</v>
      </c>
      <c r="E2708" s="507" t="s">
        <v>6108</v>
      </c>
    </row>
    <row r="2709" spans="1:5" ht="15" x14ac:dyDescent="0.3">
      <c r="A2709" s="506">
        <v>13514</v>
      </c>
      <c r="B2709" s="507" t="s">
        <v>5776</v>
      </c>
      <c r="C2709" s="506" t="s">
        <v>328</v>
      </c>
      <c r="D2709" s="508">
        <v>1425618</v>
      </c>
      <c r="E2709" s="507" t="s">
        <v>6108</v>
      </c>
    </row>
    <row r="2710" spans="1:5" ht="15" x14ac:dyDescent="0.3">
      <c r="A2710" s="506">
        <v>13515</v>
      </c>
      <c r="B2710" s="507" t="s">
        <v>5777</v>
      </c>
      <c r="C2710" s="506" t="s">
        <v>328</v>
      </c>
      <c r="D2710" s="508">
        <v>1903835</v>
      </c>
      <c r="E2710" s="507" t="s">
        <v>6108</v>
      </c>
    </row>
    <row r="2711" spans="1:5" ht="15" x14ac:dyDescent="0.3">
      <c r="A2711" s="506">
        <v>13516</v>
      </c>
      <c r="B2711" s="507" t="s">
        <v>5778</v>
      </c>
      <c r="C2711" s="506" t="s">
        <v>328</v>
      </c>
      <c r="D2711" s="508">
        <v>2673582</v>
      </c>
      <c r="E2711" s="507" t="s">
        <v>6108</v>
      </c>
    </row>
    <row r="2712" spans="1:5" ht="15" x14ac:dyDescent="0.3">
      <c r="A2712" s="506">
        <v>13517</v>
      </c>
      <c r="B2712" s="507" t="s">
        <v>5779</v>
      </c>
      <c r="C2712" s="506" t="s">
        <v>328</v>
      </c>
      <c r="D2712" s="508">
        <v>4296242</v>
      </c>
      <c r="E2712" s="507" t="s">
        <v>6108</v>
      </c>
    </row>
    <row r="2713" spans="1:5" ht="15" x14ac:dyDescent="0.3">
      <c r="A2713" s="506">
        <v>13518</v>
      </c>
      <c r="B2713" s="507" t="s">
        <v>5780</v>
      </c>
      <c r="C2713" s="506" t="s">
        <v>328</v>
      </c>
      <c r="D2713" s="508">
        <v>7042024</v>
      </c>
      <c r="E2713" s="507" t="s">
        <v>6108</v>
      </c>
    </row>
    <row r="2714" spans="1:5" ht="15" x14ac:dyDescent="0.3">
      <c r="A2714" s="506">
        <v>13519</v>
      </c>
      <c r="B2714" s="507" t="s">
        <v>5781</v>
      </c>
      <c r="C2714" s="506" t="s">
        <v>328</v>
      </c>
      <c r="D2714" s="508">
        <v>7042024</v>
      </c>
      <c r="E2714" s="507" t="s">
        <v>6108</v>
      </c>
    </row>
    <row r="2715" spans="1:5" ht="15" x14ac:dyDescent="0.3">
      <c r="A2715" s="506">
        <v>13520</v>
      </c>
      <c r="B2715" s="507" t="s">
        <v>5782</v>
      </c>
      <c r="C2715" s="506" t="s">
        <v>328</v>
      </c>
      <c r="D2715" s="508">
        <v>8296515</v>
      </c>
      <c r="E2715" s="507" t="s">
        <v>6108</v>
      </c>
    </row>
    <row r="2716" spans="1:5" ht="15" x14ac:dyDescent="0.3">
      <c r="A2716" s="506">
        <v>13531</v>
      </c>
      <c r="B2716" s="507" t="s">
        <v>5783</v>
      </c>
      <c r="C2716" s="506" t="s">
        <v>32</v>
      </c>
      <c r="D2716" s="508">
        <v>848852</v>
      </c>
      <c r="E2716" s="507" t="s">
        <v>331</v>
      </c>
    </row>
    <row r="2717" spans="1:5" ht="15" x14ac:dyDescent="0.3">
      <c r="A2717" s="506">
        <v>13532</v>
      </c>
      <c r="B2717" s="507" t="s">
        <v>5784</v>
      </c>
      <c r="C2717" s="506" t="s">
        <v>32</v>
      </c>
      <c r="D2717" s="508">
        <v>55942</v>
      </c>
      <c r="E2717" s="507" t="s">
        <v>331</v>
      </c>
    </row>
    <row r="2718" spans="1:5" ht="15" x14ac:dyDescent="0.3">
      <c r="A2718" s="506">
        <v>13533</v>
      </c>
      <c r="B2718" s="507" t="s">
        <v>5785</v>
      </c>
      <c r="C2718" s="506" t="s">
        <v>32</v>
      </c>
      <c r="D2718" s="508">
        <v>28715</v>
      </c>
      <c r="E2718" s="507" t="s">
        <v>331</v>
      </c>
    </row>
    <row r="2719" spans="1:5" ht="15" x14ac:dyDescent="0.3">
      <c r="A2719" s="506">
        <v>13535</v>
      </c>
      <c r="B2719" s="507" t="s">
        <v>5786</v>
      </c>
      <c r="C2719" s="506" t="s">
        <v>328</v>
      </c>
      <c r="D2719" s="508">
        <v>172068</v>
      </c>
      <c r="E2719" s="507" t="s">
        <v>331</v>
      </c>
    </row>
    <row r="2720" spans="1:5" ht="15" x14ac:dyDescent="0.3">
      <c r="A2720" s="506">
        <v>13564</v>
      </c>
      <c r="B2720" s="507" t="s">
        <v>6571</v>
      </c>
      <c r="C2720" s="506" t="s">
        <v>32</v>
      </c>
      <c r="D2720" s="508">
        <v>279890</v>
      </c>
      <c r="E2720" s="507" t="s">
        <v>6108</v>
      </c>
    </row>
    <row r="2721" spans="1:5" ht="15" x14ac:dyDescent="0.3">
      <c r="A2721" s="506">
        <v>13565</v>
      </c>
      <c r="B2721" s="507" t="s">
        <v>6572</v>
      </c>
      <c r="C2721" s="506" t="s">
        <v>32</v>
      </c>
      <c r="D2721" s="508">
        <v>194705</v>
      </c>
      <c r="E2721" s="507" t="s">
        <v>6108</v>
      </c>
    </row>
    <row r="2722" spans="1:5" ht="15" x14ac:dyDescent="0.3">
      <c r="A2722" s="506">
        <v>13566</v>
      </c>
      <c r="B2722" s="507" t="s">
        <v>6573</v>
      </c>
      <c r="C2722" s="506" t="s">
        <v>32</v>
      </c>
      <c r="D2722" s="508">
        <v>292058</v>
      </c>
      <c r="E2722" s="507" t="s">
        <v>6108</v>
      </c>
    </row>
    <row r="2723" spans="1:5" ht="15" x14ac:dyDescent="0.3">
      <c r="A2723" s="506">
        <v>13567</v>
      </c>
      <c r="B2723" s="507" t="s">
        <v>6574</v>
      </c>
      <c r="C2723" s="506" t="s">
        <v>32</v>
      </c>
      <c r="D2723" s="508">
        <v>83445</v>
      </c>
      <c r="E2723" s="507" t="s">
        <v>6108</v>
      </c>
    </row>
    <row r="2724" spans="1:5" ht="15" x14ac:dyDescent="0.3">
      <c r="A2724" s="506">
        <v>13568</v>
      </c>
      <c r="B2724" s="507" t="s">
        <v>6575</v>
      </c>
      <c r="C2724" s="506" t="s">
        <v>32</v>
      </c>
      <c r="D2724" s="508">
        <v>69538</v>
      </c>
      <c r="E2724" s="507" t="s">
        <v>6108</v>
      </c>
    </row>
    <row r="2725" spans="1:5" ht="15" x14ac:dyDescent="0.3">
      <c r="A2725" s="506">
        <v>13569</v>
      </c>
      <c r="B2725" s="507" t="s">
        <v>6576</v>
      </c>
      <c r="C2725" s="506" t="s">
        <v>32</v>
      </c>
      <c r="D2725" s="508">
        <v>205680</v>
      </c>
      <c r="E2725" s="507" t="s">
        <v>6108</v>
      </c>
    </row>
    <row r="2726" spans="1:5" ht="15" x14ac:dyDescent="0.3">
      <c r="A2726" s="506">
        <v>13570</v>
      </c>
      <c r="B2726" s="507" t="s">
        <v>6577</v>
      </c>
      <c r="C2726" s="506" t="s">
        <v>32</v>
      </c>
      <c r="D2726" s="508">
        <v>78229</v>
      </c>
      <c r="E2726" s="507" t="s">
        <v>6108</v>
      </c>
    </row>
    <row r="2727" spans="1:5" ht="15" x14ac:dyDescent="0.3">
      <c r="A2727" s="506">
        <v>13571</v>
      </c>
      <c r="B2727" s="507" t="s">
        <v>6578</v>
      </c>
      <c r="C2727" s="506" t="s">
        <v>32</v>
      </c>
      <c r="D2727" s="508">
        <v>706933</v>
      </c>
      <c r="E2727" s="507" t="s">
        <v>6108</v>
      </c>
    </row>
    <row r="2728" spans="1:5" ht="15" x14ac:dyDescent="0.3">
      <c r="A2728" s="506">
        <v>13572</v>
      </c>
      <c r="B2728" s="507" t="s">
        <v>6579</v>
      </c>
      <c r="C2728" s="506" t="s">
        <v>32</v>
      </c>
      <c r="D2728" s="508">
        <v>672945</v>
      </c>
      <c r="E2728" s="507" t="s">
        <v>6108</v>
      </c>
    </row>
    <row r="2729" spans="1:5" ht="15" x14ac:dyDescent="0.3">
      <c r="A2729" s="506">
        <v>13573</v>
      </c>
      <c r="B2729" s="507" t="s">
        <v>6580</v>
      </c>
      <c r="C2729" s="506" t="s">
        <v>32</v>
      </c>
      <c r="D2729" s="508">
        <v>349125</v>
      </c>
      <c r="E2729" s="507" t="s">
        <v>6108</v>
      </c>
    </row>
    <row r="2730" spans="1:5" ht="15" x14ac:dyDescent="0.3">
      <c r="A2730" s="506">
        <v>13574</v>
      </c>
      <c r="B2730" s="507" t="s">
        <v>6581</v>
      </c>
      <c r="C2730" s="506" t="s">
        <v>32</v>
      </c>
      <c r="D2730" s="508">
        <v>146637</v>
      </c>
      <c r="E2730" s="507" t="s">
        <v>6108</v>
      </c>
    </row>
    <row r="2731" spans="1:5" ht="15" x14ac:dyDescent="0.3">
      <c r="A2731" s="506">
        <v>13575</v>
      </c>
      <c r="B2731" s="507" t="s">
        <v>6582</v>
      </c>
      <c r="C2731" s="506" t="s">
        <v>32</v>
      </c>
      <c r="D2731" s="508">
        <v>845387</v>
      </c>
      <c r="E2731" s="507" t="s">
        <v>6108</v>
      </c>
    </row>
    <row r="2732" spans="1:5" ht="15" x14ac:dyDescent="0.3">
      <c r="A2732" s="506">
        <v>13576</v>
      </c>
      <c r="B2732" s="507" t="s">
        <v>6583</v>
      </c>
      <c r="C2732" s="506" t="s">
        <v>2721</v>
      </c>
      <c r="D2732" s="508">
        <v>215304</v>
      </c>
      <c r="E2732" s="507" t="s">
        <v>6108</v>
      </c>
    </row>
    <row r="2733" spans="1:5" ht="15" x14ac:dyDescent="0.3">
      <c r="A2733" s="506">
        <v>13577</v>
      </c>
      <c r="B2733" s="507" t="s">
        <v>6584</v>
      </c>
      <c r="C2733" s="506" t="s">
        <v>692</v>
      </c>
      <c r="D2733" s="508">
        <v>3507205</v>
      </c>
      <c r="E2733" s="507" t="s">
        <v>6108</v>
      </c>
    </row>
    <row r="2734" spans="1:5" ht="15" x14ac:dyDescent="0.3">
      <c r="A2734" s="506">
        <v>13578</v>
      </c>
      <c r="B2734" s="507" t="s">
        <v>6585</v>
      </c>
      <c r="C2734" s="506" t="s">
        <v>32</v>
      </c>
      <c r="D2734" s="508">
        <v>758830</v>
      </c>
      <c r="E2734" s="507" t="s">
        <v>6108</v>
      </c>
    </row>
    <row r="2735" spans="1:5" ht="15" x14ac:dyDescent="0.3">
      <c r="A2735" s="506">
        <v>13579</v>
      </c>
      <c r="B2735" s="507" t="s">
        <v>6586</v>
      </c>
      <c r="C2735" s="506" t="s">
        <v>692</v>
      </c>
      <c r="D2735" s="508">
        <v>3566832</v>
      </c>
      <c r="E2735" s="507" t="s">
        <v>6108</v>
      </c>
    </row>
    <row r="2736" spans="1:5" ht="15" x14ac:dyDescent="0.3">
      <c r="A2736" s="506">
        <v>13580</v>
      </c>
      <c r="B2736" s="507" t="s">
        <v>6587</v>
      </c>
      <c r="C2736" s="506" t="s">
        <v>692</v>
      </c>
      <c r="D2736" s="508">
        <v>1428000</v>
      </c>
      <c r="E2736" s="507" t="s">
        <v>6108</v>
      </c>
    </row>
    <row r="2737" spans="1:5" ht="15" x14ac:dyDescent="0.3">
      <c r="A2737" s="506">
        <v>13581</v>
      </c>
      <c r="B2737" s="507" t="s">
        <v>6588</v>
      </c>
      <c r="C2737" s="506" t="s">
        <v>32</v>
      </c>
      <c r="D2737" s="508">
        <v>845387</v>
      </c>
      <c r="E2737" s="507" t="s">
        <v>6108</v>
      </c>
    </row>
    <row r="2738" spans="1:5" ht="15" x14ac:dyDescent="0.3">
      <c r="A2738" s="506">
        <v>13582</v>
      </c>
      <c r="B2738" s="507" t="s">
        <v>6589</v>
      </c>
      <c r="C2738" s="506" t="s">
        <v>2721</v>
      </c>
      <c r="D2738" s="508">
        <v>131495</v>
      </c>
      <c r="E2738" s="507" t="s">
        <v>6108</v>
      </c>
    </row>
    <row r="2739" spans="1:5" ht="15" x14ac:dyDescent="0.3">
      <c r="A2739" s="506">
        <v>13583</v>
      </c>
      <c r="B2739" s="507" t="s">
        <v>6590</v>
      </c>
      <c r="C2739" s="506" t="s">
        <v>32</v>
      </c>
      <c r="D2739" s="508">
        <v>97568</v>
      </c>
      <c r="E2739" s="507" t="s">
        <v>6108</v>
      </c>
    </row>
    <row r="2740" spans="1:5" ht="15" x14ac:dyDescent="0.3">
      <c r="A2740" s="506">
        <v>13584</v>
      </c>
      <c r="B2740" s="507" t="s">
        <v>6591</v>
      </c>
      <c r="C2740" s="506" t="s">
        <v>2721</v>
      </c>
      <c r="D2740" s="508">
        <v>302486</v>
      </c>
      <c r="E2740" s="507" t="s">
        <v>6108</v>
      </c>
    </row>
    <row r="2741" spans="1:5" ht="15" x14ac:dyDescent="0.3">
      <c r="A2741" s="506">
        <v>13585</v>
      </c>
      <c r="B2741" s="507" t="s">
        <v>6592</v>
      </c>
      <c r="C2741" s="506" t="s">
        <v>2721</v>
      </c>
      <c r="D2741" s="508">
        <v>165026</v>
      </c>
      <c r="E2741" s="507" t="s">
        <v>6108</v>
      </c>
    </row>
    <row r="2742" spans="1:5" ht="15" x14ac:dyDescent="0.3">
      <c r="A2742" s="506">
        <v>13586</v>
      </c>
      <c r="B2742" s="507" t="s">
        <v>6593</v>
      </c>
      <c r="C2742" s="506" t="s">
        <v>2721</v>
      </c>
      <c r="D2742" s="508">
        <v>174335</v>
      </c>
      <c r="E2742" s="507" t="s">
        <v>6108</v>
      </c>
    </row>
    <row r="2743" spans="1:5" ht="15" x14ac:dyDescent="0.3">
      <c r="A2743" s="506">
        <v>13587</v>
      </c>
      <c r="B2743" s="507" t="s">
        <v>6594</v>
      </c>
      <c r="C2743" s="506" t="s">
        <v>2721</v>
      </c>
      <c r="D2743" s="508">
        <v>215304</v>
      </c>
      <c r="E2743" s="507" t="s">
        <v>6108</v>
      </c>
    </row>
    <row r="2744" spans="1:5" ht="15" x14ac:dyDescent="0.3">
      <c r="A2744" s="506">
        <v>13588</v>
      </c>
      <c r="B2744" s="507" t="s">
        <v>6595</v>
      </c>
      <c r="C2744" s="506" t="s">
        <v>2721</v>
      </c>
      <c r="D2744" s="508">
        <v>180258</v>
      </c>
      <c r="E2744" s="507" t="s">
        <v>6108</v>
      </c>
    </row>
    <row r="2745" spans="1:5" ht="15" x14ac:dyDescent="0.3">
      <c r="A2745" s="506">
        <v>13589</v>
      </c>
      <c r="B2745" s="507" t="s">
        <v>6596</v>
      </c>
      <c r="C2745" s="506" t="s">
        <v>2721</v>
      </c>
      <c r="D2745" s="508">
        <v>239885</v>
      </c>
      <c r="E2745" s="507" t="s">
        <v>6108</v>
      </c>
    </row>
    <row r="2746" spans="1:5" ht="15" x14ac:dyDescent="0.3">
      <c r="A2746" s="506">
        <v>13590</v>
      </c>
      <c r="B2746" s="507" t="s">
        <v>6597</v>
      </c>
      <c r="C2746" s="506" t="s">
        <v>21</v>
      </c>
      <c r="D2746" s="508">
        <v>18568</v>
      </c>
      <c r="E2746" s="507" t="s">
        <v>6108</v>
      </c>
    </row>
    <row r="2747" spans="1:5" ht="15" x14ac:dyDescent="0.35">
      <c r="A2747" s="509">
        <v>8629</v>
      </c>
      <c r="B2747" s="510" t="s">
        <v>3126</v>
      </c>
      <c r="C2747" s="509" t="s">
        <v>328</v>
      </c>
      <c r="D2747" s="511">
        <v>1287020</v>
      </c>
    </row>
    <row r="2748" spans="1:5" ht="15" x14ac:dyDescent="0.35">
      <c r="A2748" s="509">
        <v>8631</v>
      </c>
      <c r="B2748" s="510" t="s">
        <v>3127</v>
      </c>
      <c r="C2748" s="509" t="s">
        <v>32</v>
      </c>
      <c r="D2748" s="512">
        <v>1279700</v>
      </c>
    </row>
    <row r="2749" spans="1:5" ht="15" x14ac:dyDescent="0.35">
      <c r="A2749" s="509">
        <v>8632</v>
      </c>
      <c r="B2749" s="510" t="s">
        <v>3128</v>
      </c>
      <c r="C2749" s="509" t="s">
        <v>328</v>
      </c>
      <c r="D2749" s="512">
        <v>580846</v>
      </c>
    </row>
    <row r="2750" spans="1:5" ht="15" x14ac:dyDescent="0.35">
      <c r="A2750" s="509">
        <v>8633</v>
      </c>
      <c r="B2750" s="510" t="s">
        <v>3129</v>
      </c>
      <c r="C2750" s="509" t="s">
        <v>328</v>
      </c>
      <c r="D2750" s="512">
        <v>1278605</v>
      </c>
    </row>
    <row r="2751" spans="1:5" ht="15" x14ac:dyDescent="0.35">
      <c r="A2751" s="509">
        <v>8634</v>
      </c>
      <c r="B2751" s="510" t="s">
        <v>3130</v>
      </c>
      <c r="C2751" s="509" t="s">
        <v>32</v>
      </c>
      <c r="D2751" s="512">
        <v>1304026</v>
      </c>
    </row>
    <row r="2752" spans="1:5" ht="15" x14ac:dyDescent="0.35">
      <c r="A2752" s="509">
        <v>8636</v>
      </c>
      <c r="B2752" s="510" t="s">
        <v>3131</v>
      </c>
      <c r="C2752" s="509" t="s">
        <v>32</v>
      </c>
      <c r="D2752" s="512">
        <v>724910</v>
      </c>
    </row>
    <row r="2753" spans="1:4" ht="15" x14ac:dyDescent="0.35">
      <c r="A2753" s="509">
        <v>8637</v>
      </c>
      <c r="B2753" s="510" t="s">
        <v>3132</v>
      </c>
      <c r="C2753" s="509" t="s">
        <v>32</v>
      </c>
      <c r="D2753" s="512">
        <v>2178690</v>
      </c>
    </row>
    <row r="2754" spans="1:4" ht="15" x14ac:dyDescent="0.35">
      <c r="A2754" s="509">
        <v>8638</v>
      </c>
      <c r="B2754" s="510" t="s">
        <v>3133</v>
      </c>
      <c r="C2754" s="509" t="s">
        <v>32</v>
      </c>
      <c r="D2754" s="512">
        <v>4814413</v>
      </c>
    </row>
    <row r="2755" spans="1:4" ht="15" x14ac:dyDescent="0.35">
      <c r="A2755" s="509">
        <v>8639</v>
      </c>
      <c r="B2755" s="510" t="s">
        <v>3134</v>
      </c>
      <c r="C2755" s="509" t="s">
        <v>32</v>
      </c>
      <c r="D2755" s="512">
        <v>8159104</v>
      </c>
    </row>
    <row r="2756" spans="1:4" ht="15" x14ac:dyDescent="0.35">
      <c r="A2756" s="509">
        <v>8640</v>
      </c>
      <c r="B2756" s="510" t="s">
        <v>3135</v>
      </c>
      <c r="C2756" s="509" t="s">
        <v>32</v>
      </c>
      <c r="D2756" s="511">
        <v>162462</v>
      </c>
    </row>
    <row r="2757" spans="1:4" ht="15" x14ac:dyDescent="0.35">
      <c r="A2757" s="509">
        <v>8641</v>
      </c>
      <c r="B2757" s="510" t="s">
        <v>3136</v>
      </c>
      <c r="C2757" s="509" t="s">
        <v>32</v>
      </c>
      <c r="D2757" s="512">
        <v>2019710</v>
      </c>
    </row>
    <row r="2758" spans="1:4" ht="15" x14ac:dyDescent="0.35">
      <c r="A2758" s="509">
        <v>8642</v>
      </c>
      <c r="B2758" s="510" t="s">
        <v>3137</v>
      </c>
      <c r="C2758" s="509" t="s">
        <v>32</v>
      </c>
      <c r="D2758" s="512">
        <v>134564</v>
      </c>
    </row>
    <row r="2759" spans="1:4" ht="15" x14ac:dyDescent="0.35">
      <c r="A2759" s="509">
        <v>8644</v>
      </c>
      <c r="B2759" s="510" t="s">
        <v>3138</v>
      </c>
      <c r="C2759" s="509" t="s">
        <v>32</v>
      </c>
      <c r="D2759" s="511">
        <v>4892780</v>
      </c>
    </row>
    <row r="2760" spans="1:4" ht="15" x14ac:dyDescent="0.35">
      <c r="A2760" s="509">
        <v>8645</v>
      </c>
      <c r="B2760" s="510" t="s">
        <v>3139</v>
      </c>
      <c r="C2760" s="509" t="s">
        <v>32</v>
      </c>
      <c r="D2760" s="511">
        <v>2662977</v>
      </c>
    </row>
    <row r="2761" spans="1:4" ht="15" x14ac:dyDescent="0.35">
      <c r="A2761" s="509">
        <v>8647</v>
      </c>
      <c r="B2761" s="510" t="s">
        <v>3140</v>
      </c>
      <c r="C2761" s="509" t="s">
        <v>32</v>
      </c>
      <c r="D2761" s="511">
        <v>5474965</v>
      </c>
    </row>
    <row r="2762" spans="1:4" ht="15" x14ac:dyDescent="0.35">
      <c r="A2762" s="509">
        <v>8648</v>
      </c>
      <c r="B2762" s="510" t="s">
        <v>3141</v>
      </c>
      <c r="C2762" s="509" t="s">
        <v>328</v>
      </c>
      <c r="D2762" s="511">
        <v>648632</v>
      </c>
    </row>
    <row r="2763" spans="1:4" ht="15" x14ac:dyDescent="0.35">
      <c r="A2763" s="509">
        <v>8649</v>
      </c>
      <c r="B2763" s="510" t="s">
        <v>3142</v>
      </c>
      <c r="C2763" s="509" t="s">
        <v>328</v>
      </c>
      <c r="D2763" s="511">
        <v>541164</v>
      </c>
    </row>
    <row r="2764" spans="1:4" ht="15" x14ac:dyDescent="0.35">
      <c r="A2764" s="509">
        <v>8650</v>
      </c>
      <c r="B2764" s="510" t="s">
        <v>3143</v>
      </c>
      <c r="C2764" s="509" t="s">
        <v>3144</v>
      </c>
      <c r="D2764" s="511">
        <v>65</v>
      </c>
    </row>
    <row r="2765" spans="1:4" ht="15" x14ac:dyDescent="0.35">
      <c r="A2765" s="509">
        <v>8651</v>
      </c>
      <c r="B2765" s="510" t="s">
        <v>3145</v>
      </c>
      <c r="C2765" s="509" t="s">
        <v>32</v>
      </c>
      <c r="D2765" s="511">
        <v>194857</v>
      </c>
    </row>
    <row r="2766" spans="1:4" ht="15" x14ac:dyDescent="0.35">
      <c r="A2766" s="509">
        <v>8652</v>
      </c>
      <c r="B2766" s="510" t="s">
        <v>3146</v>
      </c>
      <c r="C2766" s="509" t="s">
        <v>32</v>
      </c>
      <c r="D2766" s="511">
        <v>152681</v>
      </c>
    </row>
    <row r="2767" spans="1:4" ht="15" x14ac:dyDescent="0.35">
      <c r="A2767" s="509">
        <v>8653</v>
      </c>
      <c r="B2767" s="510" t="s">
        <v>3147</v>
      </c>
      <c r="C2767" s="509" t="s">
        <v>32</v>
      </c>
      <c r="D2767" s="511">
        <v>190908</v>
      </c>
    </row>
    <row r="2768" spans="1:4" ht="15" x14ac:dyDescent="0.35">
      <c r="A2768" s="509">
        <v>8654</v>
      </c>
      <c r="B2768" s="510" t="s">
        <v>3148</v>
      </c>
      <c r="C2768" s="509" t="s">
        <v>32</v>
      </c>
      <c r="D2768" s="511">
        <v>309401</v>
      </c>
    </row>
    <row r="2769" spans="1:4" ht="15" x14ac:dyDescent="0.35">
      <c r="A2769" s="509">
        <v>8655</v>
      </c>
      <c r="B2769" s="510" t="s">
        <v>3149</v>
      </c>
      <c r="C2769" s="509" t="s">
        <v>30</v>
      </c>
      <c r="D2769" s="512">
        <v>99163</v>
      </c>
    </row>
    <row r="2770" spans="1:4" ht="15" x14ac:dyDescent="0.35">
      <c r="A2770" s="509">
        <v>8656</v>
      </c>
      <c r="B2770" s="510" t="s">
        <v>3150</v>
      </c>
      <c r="C2770" s="509" t="s">
        <v>30</v>
      </c>
      <c r="D2770" s="512">
        <v>23870</v>
      </c>
    </row>
    <row r="2771" spans="1:4" ht="15" x14ac:dyDescent="0.35">
      <c r="A2771" s="509">
        <v>8657</v>
      </c>
      <c r="B2771" s="510" t="s">
        <v>3151</v>
      </c>
      <c r="C2771" s="509" t="s">
        <v>21</v>
      </c>
      <c r="D2771" s="512">
        <v>7985</v>
      </c>
    </row>
    <row r="2772" spans="1:4" ht="15" x14ac:dyDescent="0.35">
      <c r="A2772" s="509">
        <v>8659</v>
      </c>
      <c r="B2772" s="510" t="s">
        <v>3152</v>
      </c>
      <c r="C2772" s="509" t="s">
        <v>21</v>
      </c>
      <c r="D2772" s="512">
        <v>23291</v>
      </c>
    </row>
    <row r="2773" spans="1:4" ht="15" x14ac:dyDescent="0.35">
      <c r="A2773" s="509">
        <v>8660</v>
      </c>
      <c r="B2773" s="510" t="s">
        <v>3153</v>
      </c>
      <c r="C2773" s="509" t="s">
        <v>21</v>
      </c>
      <c r="D2773" s="511">
        <v>183075</v>
      </c>
    </row>
    <row r="2774" spans="1:4" ht="15" x14ac:dyDescent="0.35">
      <c r="A2774" s="509">
        <v>8661</v>
      </c>
      <c r="B2774" s="510" t="s">
        <v>3154</v>
      </c>
      <c r="C2774" s="509" t="s">
        <v>21</v>
      </c>
      <c r="D2774" s="512">
        <v>362197</v>
      </c>
    </row>
    <row r="2775" spans="1:4" ht="15" x14ac:dyDescent="0.35">
      <c r="A2775" s="509">
        <v>8662</v>
      </c>
      <c r="B2775" s="510" t="s">
        <v>3155</v>
      </c>
      <c r="C2775" s="509" t="s">
        <v>21</v>
      </c>
      <c r="D2775" s="512">
        <v>545419</v>
      </c>
    </row>
    <row r="2776" spans="1:4" ht="15" x14ac:dyDescent="0.35">
      <c r="A2776" s="509">
        <v>8663</v>
      </c>
      <c r="B2776" s="510" t="s">
        <v>3156</v>
      </c>
      <c r="C2776" s="509" t="s">
        <v>21</v>
      </c>
      <c r="D2776" s="512">
        <v>545726</v>
      </c>
    </row>
    <row r="2777" spans="1:4" ht="15" x14ac:dyDescent="0.35">
      <c r="A2777" s="509">
        <v>8664</v>
      </c>
      <c r="B2777" s="510" t="s">
        <v>3157</v>
      </c>
      <c r="C2777" s="509" t="s">
        <v>21</v>
      </c>
      <c r="D2777" s="512">
        <v>600882</v>
      </c>
    </row>
    <row r="2778" spans="1:4" ht="15" x14ac:dyDescent="0.35">
      <c r="A2778" s="509">
        <v>8665</v>
      </c>
      <c r="B2778" s="510" t="s">
        <v>3158</v>
      </c>
      <c r="C2778" s="509" t="s">
        <v>21</v>
      </c>
      <c r="D2778" s="511">
        <v>625997</v>
      </c>
    </row>
    <row r="2779" spans="1:4" ht="15" x14ac:dyDescent="0.35">
      <c r="A2779" s="509">
        <v>8667</v>
      </c>
      <c r="B2779" s="510" t="s">
        <v>3159</v>
      </c>
      <c r="C2779" s="509" t="s">
        <v>21</v>
      </c>
      <c r="D2779" s="511">
        <v>19886</v>
      </c>
    </row>
    <row r="2780" spans="1:4" ht="15" x14ac:dyDescent="0.35">
      <c r="A2780" s="509">
        <v>8668</v>
      </c>
      <c r="B2780" s="510" t="s">
        <v>3160</v>
      </c>
      <c r="C2780" s="509" t="s">
        <v>21</v>
      </c>
      <c r="D2780" s="511">
        <v>181054</v>
      </c>
    </row>
    <row r="2781" spans="1:4" ht="15" x14ac:dyDescent="0.35">
      <c r="A2781" s="509">
        <v>8669</v>
      </c>
      <c r="B2781" s="510" t="s">
        <v>3161</v>
      </c>
      <c r="C2781" s="509" t="s">
        <v>21</v>
      </c>
      <c r="D2781" s="511">
        <v>241560</v>
      </c>
    </row>
    <row r="2782" spans="1:4" ht="15" x14ac:dyDescent="0.35">
      <c r="A2782" s="509">
        <v>8670</v>
      </c>
      <c r="B2782" s="510" t="s">
        <v>3162</v>
      </c>
      <c r="C2782" s="509" t="s">
        <v>21</v>
      </c>
      <c r="D2782" s="511">
        <v>540740</v>
      </c>
    </row>
    <row r="2783" spans="1:4" ht="15" x14ac:dyDescent="0.35">
      <c r="A2783" s="509">
        <v>8671</v>
      </c>
      <c r="B2783" s="510" t="s">
        <v>3163</v>
      </c>
      <c r="C2783" s="509" t="s">
        <v>21</v>
      </c>
      <c r="D2783" s="512">
        <v>538805</v>
      </c>
    </row>
    <row r="2784" spans="1:4" ht="15" x14ac:dyDescent="0.35">
      <c r="A2784" s="509">
        <v>8672</v>
      </c>
      <c r="B2784" s="510" t="s">
        <v>3164</v>
      </c>
      <c r="C2784" s="509" t="s">
        <v>21</v>
      </c>
      <c r="D2784" s="511">
        <v>595770</v>
      </c>
    </row>
    <row r="2785" spans="1:4" ht="15" x14ac:dyDescent="0.35">
      <c r="A2785" s="509">
        <v>8673</v>
      </c>
      <c r="B2785" s="510" t="s">
        <v>3165</v>
      </c>
      <c r="C2785" s="509" t="s">
        <v>21</v>
      </c>
      <c r="D2785" s="511">
        <v>621541</v>
      </c>
    </row>
    <row r="2786" spans="1:4" ht="15" x14ac:dyDescent="0.35">
      <c r="A2786" s="509">
        <v>8675</v>
      </c>
      <c r="B2786" s="510" t="s">
        <v>3166</v>
      </c>
      <c r="C2786" s="509" t="s">
        <v>21</v>
      </c>
      <c r="D2786" s="512">
        <v>13270</v>
      </c>
    </row>
    <row r="2787" spans="1:4" ht="15" x14ac:dyDescent="0.35">
      <c r="A2787" s="509">
        <v>8676</v>
      </c>
      <c r="B2787" s="510" t="s">
        <v>3167</v>
      </c>
      <c r="C2787" s="509" t="s">
        <v>21</v>
      </c>
      <c r="D2787" s="512">
        <v>122189</v>
      </c>
    </row>
    <row r="2788" spans="1:4" ht="15" x14ac:dyDescent="0.35">
      <c r="A2788" s="509">
        <v>8677</v>
      </c>
      <c r="B2788" s="510" t="s">
        <v>3168</v>
      </c>
      <c r="C2788" s="509" t="s">
        <v>21</v>
      </c>
      <c r="D2788" s="512">
        <v>239670</v>
      </c>
    </row>
    <row r="2789" spans="1:4" ht="15" x14ac:dyDescent="0.35">
      <c r="A2789" s="509">
        <v>8678</v>
      </c>
      <c r="B2789" s="510" t="s">
        <v>3169</v>
      </c>
      <c r="C2789" s="509" t="s">
        <v>21</v>
      </c>
      <c r="D2789" s="511">
        <v>412123</v>
      </c>
    </row>
    <row r="2790" spans="1:4" ht="15" x14ac:dyDescent="0.35">
      <c r="A2790" s="509">
        <v>8679</v>
      </c>
      <c r="B2790" s="510" t="s">
        <v>3170</v>
      </c>
      <c r="C2790" s="509" t="s">
        <v>21</v>
      </c>
      <c r="D2790" s="512">
        <v>499241</v>
      </c>
    </row>
    <row r="2791" spans="1:4" ht="15" x14ac:dyDescent="0.35">
      <c r="A2791" s="509">
        <v>8680</v>
      </c>
      <c r="B2791" s="510" t="s">
        <v>3171</v>
      </c>
      <c r="C2791" s="509" t="s">
        <v>21</v>
      </c>
      <c r="D2791" s="511">
        <v>518666</v>
      </c>
    </row>
    <row r="2792" spans="1:4" ht="15" x14ac:dyDescent="0.35">
      <c r="A2792" s="509">
        <v>8681</v>
      </c>
      <c r="B2792" s="510" t="s">
        <v>3172</v>
      </c>
      <c r="C2792" s="509" t="s">
        <v>21</v>
      </c>
      <c r="D2792" s="512">
        <v>574872</v>
      </c>
    </row>
    <row r="2793" spans="1:4" ht="15" x14ac:dyDescent="0.35">
      <c r="A2793" s="509">
        <v>8683</v>
      </c>
      <c r="B2793" s="510" t="s">
        <v>3173</v>
      </c>
      <c r="C2793" s="509" t="s">
        <v>21</v>
      </c>
      <c r="D2793" s="512">
        <v>13270</v>
      </c>
    </row>
    <row r="2794" spans="1:4" ht="15" x14ac:dyDescent="0.35">
      <c r="A2794" s="509">
        <v>8684</v>
      </c>
      <c r="B2794" s="510" t="s">
        <v>3174</v>
      </c>
      <c r="C2794" s="509" t="s">
        <v>21</v>
      </c>
      <c r="D2794" s="512">
        <v>105361</v>
      </c>
    </row>
    <row r="2795" spans="1:4" ht="15" x14ac:dyDescent="0.35">
      <c r="A2795" s="509">
        <v>8685</v>
      </c>
      <c r="B2795" s="510" t="s">
        <v>3175</v>
      </c>
      <c r="C2795" s="509" t="s">
        <v>21</v>
      </c>
      <c r="D2795" s="511">
        <v>239670</v>
      </c>
    </row>
    <row r="2796" spans="1:4" ht="15" x14ac:dyDescent="0.35">
      <c r="A2796" s="509">
        <v>8686</v>
      </c>
      <c r="B2796" s="510" t="s">
        <v>3176</v>
      </c>
      <c r="C2796" s="509" t="s">
        <v>21</v>
      </c>
      <c r="D2796" s="511">
        <v>371175</v>
      </c>
    </row>
    <row r="2797" spans="1:4" ht="15" x14ac:dyDescent="0.35">
      <c r="A2797" s="509">
        <v>8687</v>
      </c>
      <c r="B2797" s="510" t="s">
        <v>3177</v>
      </c>
      <c r="C2797" s="509" t="s">
        <v>21</v>
      </c>
      <c r="D2797" s="511">
        <v>355379</v>
      </c>
    </row>
    <row r="2798" spans="1:4" ht="15" x14ac:dyDescent="0.35">
      <c r="A2798" s="509">
        <v>8688</v>
      </c>
      <c r="B2798" s="510" t="s">
        <v>3178</v>
      </c>
      <c r="C2798" s="509" t="s">
        <v>21</v>
      </c>
      <c r="D2798" s="511">
        <v>477614</v>
      </c>
    </row>
    <row r="2799" spans="1:4" ht="15" x14ac:dyDescent="0.35">
      <c r="A2799" s="509">
        <v>8689</v>
      </c>
      <c r="B2799" s="510" t="s">
        <v>3179</v>
      </c>
      <c r="C2799" s="509" t="s">
        <v>21</v>
      </c>
      <c r="D2799" s="511">
        <v>429541</v>
      </c>
    </row>
    <row r="2800" spans="1:4" ht="15" x14ac:dyDescent="0.35">
      <c r="A2800" s="509">
        <v>8690</v>
      </c>
      <c r="B2800" s="510" t="s">
        <v>3180</v>
      </c>
      <c r="C2800" s="509" t="s">
        <v>21</v>
      </c>
      <c r="D2800" s="512">
        <v>23236</v>
      </c>
    </row>
    <row r="2801" spans="1:4" ht="15" x14ac:dyDescent="0.35">
      <c r="A2801" s="509">
        <v>8691</v>
      </c>
      <c r="B2801" s="510" t="s">
        <v>3181</v>
      </c>
      <c r="C2801" s="509" t="s">
        <v>21</v>
      </c>
      <c r="D2801" s="512">
        <v>53088</v>
      </c>
    </row>
    <row r="2802" spans="1:4" ht="15" x14ac:dyDescent="0.35">
      <c r="A2802" s="509">
        <v>8692</v>
      </c>
      <c r="B2802" s="510" t="s">
        <v>3182</v>
      </c>
      <c r="C2802" s="509" t="s">
        <v>21</v>
      </c>
      <c r="D2802" s="512">
        <v>72079</v>
      </c>
    </row>
    <row r="2803" spans="1:4" ht="15" x14ac:dyDescent="0.35">
      <c r="A2803" s="509">
        <v>8693</v>
      </c>
      <c r="B2803" s="510" t="s">
        <v>3183</v>
      </c>
      <c r="C2803" s="509" t="s">
        <v>21</v>
      </c>
      <c r="D2803" s="511">
        <v>23026</v>
      </c>
    </row>
    <row r="2804" spans="1:4" ht="15" x14ac:dyDescent="0.35">
      <c r="A2804" s="509">
        <v>8694</v>
      </c>
      <c r="B2804" s="510" t="s">
        <v>3184</v>
      </c>
      <c r="C2804" s="509" t="s">
        <v>21</v>
      </c>
      <c r="D2804" s="512">
        <v>56230</v>
      </c>
    </row>
    <row r="2805" spans="1:4" ht="15" x14ac:dyDescent="0.35">
      <c r="A2805" s="509">
        <v>8695</v>
      </c>
      <c r="B2805" s="510" t="s">
        <v>3185</v>
      </c>
      <c r="C2805" s="509" t="s">
        <v>21</v>
      </c>
      <c r="D2805" s="511">
        <v>72079</v>
      </c>
    </row>
    <row r="2806" spans="1:4" ht="15" x14ac:dyDescent="0.35">
      <c r="A2806" s="509">
        <v>8697</v>
      </c>
      <c r="B2806" s="510" t="s">
        <v>3186</v>
      </c>
      <c r="C2806" s="509" t="s">
        <v>21</v>
      </c>
      <c r="D2806" s="511">
        <v>20068</v>
      </c>
    </row>
    <row r="2807" spans="1:4" ht="15" x14ac:dyDescent="0.35">
      <c r="A2807" s="509">
        <v>8698</v>
      </c>
      <c r="B2807" s="510" t="s">
        <v>3187</v>
      </c>
      <c r="C2807" s="509" t="s">
        <v>21</v>
      </c>
      <c r="D2807" s="511">
        <v>59111</v>
      </c>
    </row>
    <row r="2808" spans="1:4" ht="15" x14ac:dyDescent="0.35">
      <c r="A2808" s="509">
        <v>8699</v>
      </c>
      <c r="B2808" s="510" t="s">
        <v>3188</v>
      </c>
      <c r="C2808" s="509" t="s">
        <v>21</v>
      </c>
      <c r="D2808" s="511">
        <v>192359</v>
      </c>
    </row>
    <row r="2809" spans="1:4" ht="15" x14ac:dyDescent="0.35">
      <c r="A2809" s="509">
        <v>8700</v>
      </c>
      <c r="B2809" s="510" t="s">
        <v>3189</v>
      </c>
      <c r="C2809" s="509" t="s">
        <v>21</v>
      </c>
      <c r="D2809" s="511">
        <v>378506</v>
      </c>
    </row>
    <row r="2810" spans="1:4" ht="15" x14ac:dyDescent="0.35">
      <c r="A2810" s="509">
        <v>8701</v>
      </c>
      <c r="B2810" s="510" t="s">
        <v>3190</v>
      </c>
      <c r="C2810" s="509" t="s">
        <v>21</v>
      </c>
      <c r="D2810" s="512">
        <v>405163</v>
      </c>
    </row>
    <row r="2811" spans="1:4" ht="15" x14ac:dyDescent="0.35">
      <c r="A2811" s="509">
        <v>8702</v>
      </c>
      <c r="B2811" s="510" t="s">
        <v>3191</v>
      </c>
      <c r="C2811" s="509" t="s">
        <v>21</v>
      </c>
      <c r="D2811" s="511">
        <v>433609</v>
      </c>
    </row>
    <row r="2812" spans="1:4" ht="15" x14ac:dyDescent="0.35">
      <c r="A2812" s="509">
        <v>8703</v>
      </c>
      <c r="B2812" s="510" t="s">
        <v>3192</v>
      </c>
      <c r="C2812" s="509" t="s">
        <v>21</v>
      </c>
      <c r="D2812" s="511">
        <v>460626</v>
      </c>
    </row>
    <row r="2813" spans="1:4" ht="15" x14ac:dyDescent="0.35">
      <c r="A2813" s="509">
        <v>8705</v>
      </c>
      <c r="B2813" s="510" t="s">
        <v>3193</v>
      </c>
      <c r="C2813" s="509" t="s">
        <v>21</v>
      </c>
      <c r="D2813" s="511">
        <v>11912</v>
      </c>
    </row>
    <row r="2814" spans="1:4" ht="15" x14ac:dyDescent="0.35">
      <c r="A2814" s="509">
        <v>8706</v>
      </c>
      <c r="B2814" s="510" t="s">
        <v>3194</v>
      </c>
      <c r="C2814" s="509" t="s">
        <v>21</v>
      </c>
      <c r="D2814" s="511">
        <v>34581</v>
      </c>
    </row>
    <row r="2815" spans="1:4" ht="15" x14ac:dyDescent="0.35">
      <c r="A2815" s="509">
        <v>8707</v>
      </c>
      <c r="B2815" s="510" t="s">
        <v>3195</v>
      </c>
      <c r="C2815" s="509" t="s">
        <v>21</v>
      </c>
      <c r="D2815" s="511">
        <v>202001</v>
      </c>
    </row>
    <row r="2816" spans="1:4" ht="15" x14ac:dyDescent="0.35">
      <c r="A2816" s="509">
        <v>8708</v>
      </c>
      <c r="B2816" s="510" t="s">
        <v>3196</v>
      </c>
      <c r="C2816" s="509" t="s">
        <v>21</v>
      </c>
      <c r="D2816" s="511">
        <v>370016</v>
      </c>
    </row>
    <row r="2817" spans="1:4" ht="15" x14ac:dyDescent="0.35">
      <c r="A2817" s="509">
        <v>8709</v>
      </c>
      <c r="B2817" s="510" t="s">
        <v>3197</v>
      </c>
      <c r="C2817" s="509" t="s">
        <v>21</v>
      </c>
      <c r="D2817" s="511">
        <v>424665</v>
      </c>
    </row>
    <row r="2818" spans="1:4" ht="15" x14ac:dyDescent="0.35">
      <c r="A2818" s="509">
        <v>8710</v>
      </c>
      <c r="B2818" s="510" t="s">
        <v>3198</v>
      </c>
      <c r="C2818" s="509" t="s">
        <v>21</v>
      </c>
      <c r="D2818" s="511">
        <v>425070</v>
      </c>
    </row>
    <row r="2819" spans="1:4" ht="15" x14ac:dyDescent="0.35">
      <c r="A2819" s="509">
        <v>8711</v>
      </c>
      <c r="B2819" s="510" t="s">
        <v>3199</v>
      </c>
      <c r="C2819" s="509" t="s">
        <v>21</v>
      </c>
      <c r="D2819" s="511">
        <v>480129</v>
      </c>
    </row>
    <row r="2820" spans="1:4" ht="15" x14ac:dyDescent="0.35">
      <c r="A2820" s="509">
        <v>8712</v>
      </c>
      <c r="B2820" s="510" t="s">
        <v>3200</v>
      </c>
      <c r="C2820" s="509" t="s">
        <v>328</v>
      </c>
      <c r="D2820" s="511">
        <v>413615</v>
      </c>
    </row>
    <row r="2821" spans="1:4" ht="15" x14ac:dyDescent="0.35">
      <c r="A2821" s="509">
        <v>8713</v>
      </c>
      <c r="B2821" s="510" t="s">
        <v>3201</v>
      </c>
      <c r="C2821" s="509" t="s">
        <v>328</v>
      </c>
      <c r="D2821" s="511">
        <v>171339</v>
      </c>
    </row>
    <row r="2822" spans="1:4" ht="15" x14ac:dyDescent="0.35">
      <c r="A2822" s="509">
        <v>8714</v>
      </c>
      <c r="B2822" s="510" t="s">
        <v>3202</v>
      </c>
      <c r="C2822" s="509" t="s">
        <v>328</v>
      </c>
      <c r="D2822" s="511">
        <v>213558</v>
      </c>
    </row>
    <row r="2823" spans="1:4" ht="15" x14ac:dyDescent="0.35">
      <c r="A2823" s="509">
        <v>8715</v>
      </c>
      <c r="B2823" s="510" t="s">
        <v>3203</v>
      </c>
      <c r="C2823" s="509" t="s">
        <v>32</v>
      </c>
      <c r="D2823" s="512">
        <v>736370</v>
      </c>
    </row>
    <row r="2824" spans="1:4" ht="15" x14ac:dyDescent="0.35">
      <c r="A2824" s="509">
        <v>8716</v>
      </c>
      <c r="B2824" s="510" t="s">
        <v>3204</v>
      </c>
      <c r="C2824" s="509" t="s">
        <v>328</v>
      </c>
      <c r="D2824" s="512">
        <v>67028</v>
      </c>
    </row>
    <row r="2825" spans="1:4" ht="15" x14ac:dyDescent="0.35">
      <c r="A2825" s="509">
        <v>8717</v>
      </c>
      <c r="B2825" s="510" t="s">
        <v>3205</v>
      </c>
      <c r="C2825" s="509" t="s">
        <v>32</v>
      </c>
      <c r="D2825" s="511">
        <v>1212665</v>
      </c>
    </row>
    <row r="2826" spans="1:4" ht="15" x14ac:dyDescent="0.35">
      <c r="A2826" s="509">
        <v>8718</v>
      </c>
      <c r="B2826" s="510" t="s">
        <v>3206</v>
      </c>
      <c r="C2826" s="509" t="s">
        <v>32</v>
      </c>
      <c r="D2826" s="511">
        <v>1875349</v>
      </c>
    </row>
    <row r="2827" spans="1:4" ht="15" x14ac:dyDescent="0.35">
      <c r="A2827" s="509">
        <v>8719</v>
      </c>
      <c r="B2827" s="510" t="s">
        <v>3207</v>
      </c>
      <c r="C2827" s="509" t="s">
        <v>32</v>
      </c>
      <c r="D2827" s="511">
        <v>1801019</v>
      </c>
    </row>
    <row r="2828" spans="1:4" ht="15" x14ac:dyDescent="0.35">
      <c r="A2828" s="509">
        <v>8720</v>
      </c>
      <c r="B2828" s="510" t="s">
        <v>3208</v>
      </c>
      <c r="C2828" s="509" t="s">
        <v>32</v>
      </c>
      <c r="D2828" s="511">
        <v>768943</v>
      </c>
    </row>
    <row r="2829" spans="1:4" ht="15" x14ac:dyDescent="0.35">
      <c r="A2829" s="509">
        <v>8722</v>
      </c>
      <c r="B2829" s="510" t="s">
        <v>3209</v>
      </c>
      <c r="C2829" s="509" t="s">
        <v>32</v>
      </c>
      <c r="D2829" s="512">
        <v>226605</v>
      </c>
    </row>
    <row r="2830" spans="1:4" ht="15" x14ac:dyDescent="0.35">
      <c r="A2830" s="509">
        <v>8724</v>
      </c>
      <c r="B2830" s="510" t="s">
        <v>3210</v>
      </c>
      <c r="C2830" s="509" t="s">
        <v>32</v>
      </c>
      <c r="D2830" s="512">
        <v>146044</v>
      </c>
    </row>
    <row r="2831" spans="1:4" ht="15" x14ac:dyDescent="0.35">
      <c r="A2831" s="509">
        <v>8725</v>
      </c>
      <c r="B2831" s="510" t="s">
        <v>3211</v>
      </c>
      <c r="C2831" s="509" t="s">
        <v>328</v>
      </c>
      <c r="D2831" s="512">
        <v>65386</v>
      </c>
    </row>
    <row r="2832" spans="1:4" ht="15" x14ac:dyDescent="0.35">
      <c r="A2832" s="509">
        <v>8726</v>
      </c>
      <c r="B2832" s="510" t="s">
        <v>3212</v>
      </c>
      <c r="C2832" s="509" t="s">
        <v>32</v>
      </c>
      <c r="D2832" s="512">
        <v>1268482</v>
      </c>
    </row>
    <row r="2833" spans="1:4" ht="15" x14ac:dyDescent="0.35">
      <c r="A2833" s="509">
        <v>8727</v>
      </c>
      <c r="B2833" s="510" t="s">
        <v>3213</v>
      </c>
      <c r="C2833" s="509" t="s">
        <v>21</v>
      </c>
      <c r="D2833" s="511">
        <v>759802</v>
      </c>
    </row>
    <row r="2834" spans="1:4" ht="15" x14ac:dyDescent="0.35">
      <c r="A2834" s="509">
        <v>8728</v>
      </c>
      <c r="B2834" s="510" t="s">
        <v>3214</v>
      </c>
      <c r="C2834" s="509" t="s">
        <v>328</v>
      </c>
      <c r="D2834" s="511">
        <v>758400</v>
      </c>
    </row>
    <row r="2835" spans="1:4" ht="15" x14ac:dyDescent="0.35">
      <c r="A2835" s="509">
        <v>8729</v>
      </c>
      <c r="B2835" s="510" t="s">
        <v>3215</v>
      </c>
      <c r="C2835" s="509" t="s">
        <v>328</v>
      </c>
      <c r="D2835" s="511">
        <v>1519349</v>
      </c>
    </row>
    <row r="2836" spans="1:4" ht="15" x14ac:dyDescent="0.35">
      <c r="A2836" s="509">
        <v>8730</v>
      </c>
      <c r="B2836" s="510" t="s">
        <v>3216</v>
      </c>
      <c r="C2836" s="509" t="s">
        <v>32</v>
      </c>
      <c r="D2836" s="511">
        <v>5096491</v>
      </c>
    </row>
    <row r="2837" spans="1:4" ht="15" x14ac:dyDescent="0.35">
      <c r="A2837" s="509">
        <v>8731</v>
      </c>
      <c r="B2837" s="510" t="s">
        <v>3217</v>
      </c>
      <c r="C2837" s="509" t="s">
        <v>32</v>
      </c>
      <c r="D2837" s="512">
        <v>413772</v>
      </c>
    </row>
    <row r="2838" spans="1:4" ht="15" x14ac:dyDescent="0.35">
      <c r="A2838" s="509">
        <v>8732</v>
      </c>
      <c r="B2838" s="510" t="s">
        <v>3218</v>
      </c>
      <c r="C2838" s="509" t="s">
        <v>32</v>
      </c>
      <c r="D2838" s="511">
        <v>699563</v>
      </c>
    </row>
    <row r="2839" spans="1:4" ht="15" x14ac:dyDescent="0.35">
      <c r="A2839" s="509">
        <v>8733</v>
      </c>
      <c r="B2839" s="510" t="s">
        <v>3219</v>
      </c>
      <c r="C2839" s="509" t="s">
        <v>328</v>
      </c>
      <c r="D2839" s="512">
        <v>253767</v>
      </c>
    </row>
    <row r="2840" spans="1:4" ht="15" x14ac:dyDescent="0.35">
      <c r="A2840" s="509">
        <v>8734</v>
      </c>
      <c r="B2840" s="510" t="s">
        <v>3220</v>
      </c>
      <c r="C2840" s="509" t="s">
        <v>328</v>
      </c>
      <c r="D2840" s="511">
        <v>320988</v>
      </c>
    </row>
    <row r="2841" spans="1:4" ht="15" x14ac:dyDescent="0.35">
      <c r="A2841" s="509">
        <v>8735</v>
      </c>
      <c r="B2841" s="510" t="s">
        <v>3221</v>
      </c>
      <c r="C2841" s="509" t="s">
        <v>328</v>
      </c>
      <c r="D2841" s="511">
        <v>683280</v>
      </c>
    </row>
    <row r="2842" spans="1:4" ht="15" x14ac:dyDescent="0.35">
      <c r="A2842" s="509">
        <v>8736</v>
      </c>
      <c r="B2842" s="510" t="s">
        <v>3222</v>
      </c>
      <c r="C2842" s="509" t="s">
        <v>328</v>
      </c>
      <c r="D2842" s="511">
        <v>346929</v>
      </c>
    </row>
    <row r="2843" spans="1:4" ht="15" x14ac:dyDescent="0.35">
      <c r="A2843" s="509">
        <v>8737</v>
      </c>
      <c r="B2843" s="510" t="s">
        <v>3223</v>
      </c>
      <c r="C2843" s="509" t="s">
        <v>32</v>
      </c>
      <c r="D2843" s="511">
        <v>8708</v>
      </c>
    </row>
    <row r="2844" spans="1:4" ht="15" x14ac:dyDescent="0.35">
      <c r="A2844" s="509">
        <v>8738</v>
      </c>
      <c r="B2844" s="510" t="s">
        <v>3224</v>
      </c>
      <c r="C2844" s="509" t="s">
        <v>32</v>
      </c>
      <c r="D2844" s="511">
        <v>440057</v>
      </c>
    </row>
    <row r="2845" spans="1:4" ht="15" x14ac:dyDescent="0.35">
      <c r="A2845" s="509">
        <v>8739</v>
      </c>
      <c r="B2845" s="510" t="s">
        <v>3225</v>
      </c>
      <c r="C2845" s="509" t="s">
        <v>328</v>
      </c>
      <c r="D2845" s="511">
        <v>186911</v>
      </c>
    </row>
    <row r="2846" spans="1:4" ht="15" x14ac:dyDescent="0.35">
      <c r="A2846" s="509">
        <v>8740</v>
      </c>
      <c r="B2846" s="510" t="s">
        <v>3226</v>
      </c>
      <c r="C2846" s="509" t="s">
        <v>328</v>
      </c>
      <c r="D2846" s="511">
        <v>387260</v>
      </c>
    </row>
    <row r="2847" spans="1:4" ht="15" x14ac:dyDescent="0.35">
      <c r="A2847" s="509">
        <v>8741</v>
      </c>
      <c r="B2847" s="510" t="s">
        <v>3227</v>
      </c>
      <c r="C2847" s="509" t="s">
        <v>328</v>
      </c>
      <c r="D2847" s="511">
        <v>119786</v>
      </c>
    </row>
    <row r="2848" spans="1:4" ht="15" x14ac:dyDescent="0.35">
      <c r="A2848" s="509">
        <v>8742</v>
      </c>
      <c r="B2848" s="510" t="s">
        <v>3228</v>
      </c>
      <c r="C2848" s="509" t="s">
        <v>328</v>
      </c>
      <c r="D2848" s="512">
        <v>280073</v>
      </c>
    </row>
    <row r="2849" spans="1:4" ht="15" x14ac:dyDescent="0.35">
      <c r="A2849" s="509">
        <v>8743</v>
      </c>
      <c r="B2849" s="510" t="s">
        <v>3229</v>
      </c>
      <c r="C2849" s="509" t="s">
        <v>32</v>
      </c>
      <c r="D2849" s="511">
        <v>5366633</v>
      </c>
    </row>
    <row r="2850" spans="1:4" ht="15" x14ac:dyDescent="0.35">
      <c r="A2850" s="509">
        <v>8744</v>
      </c>
      <c r="B2850" s="510" t="s">
        <v>3230</v>
      </c>
      <c r="C2850" s="509" t="s">
        <v>32</v>
      </c>
      <c r="D2850" s="511">
        <v>2482025</v>
      </c>
    </row>
    <row r="2851" spans="1:4" ht="15" x14ac:dyDescent="0.35">
      <c r="A2851" s="509">
        <v>8745</v>
      </c>
      <c r="B2851" s="510" t="s">
        <v>3231</v>
      </c>
      <c r="C2851" s="509" t="s">
        <v>32</v>
      </c>
      <c r="D2851" s="511">
        <v>4164168</v>
      </c>
    </row>
    <row r="2852" spans="1:4" ht="15" x14ac:dyDescent="0.35">
      <c r="A2852" s="509">
        <v>8746</v>
      </c>
      <c r="B2852" s="510" t="s">
        <v>3232</v>
      </c>
      <c r="C2852" s="509" t="s">
        <v>32</v>
      </c>
      <c r="D2852" s="511">
        <v>1334418</v>
      </c>
    </row>
    <row r="2853" spans="1:4" ht="15" x14ac:dyDescent="0.35">
      <c r="A2853" s="509">
        <v>8747</v>
      </c>
      <c r="B2853" s="510" t="s">
        <v>3233</v>
      </c>
      <c r="C2853" s="509" t="s">
        <v>32</v>
      </c>
      <c r="D2853" s="511">
        <v>863227</v>
      </c>
    </row>
    <row r="2854" spans="1:4" ht="15" x14ac:dyDescent="0.35">
      <c r="A2854" s="509">
        <v>8748</v>
      </c>
      <c r="B2854" s="510" t="s">
        <v>3234</v>
      </c>
      <c r="C2854" s="509" t="s">
        <v>32</v>
      </c>
      <c r="D2854" s="511">
        <v>654756</v>
      </c>
    </row>
    <row r="2855" spans="1:4" ht="15" x14ac:dyDescent="0.35">
      <c r="A2855" s="509">
        <v>8749</v>
      </c>
      <c r="B2855" s="510" t="s">
        <v>3235</v>
      </c>
      <c r="C2855" s="509" t="s">
        <v>32</v>
      </c>
      <c r="D2855" s="511">
        <v>235296</v>
      </c>
    </row>
    <row r="2856" spans="1:4" ht="15" x14ac:dyDescent="0.35">
      <c r="A2856" s="509">
        <v>8750</v>
      </c>
      <c r="B2856" s="510" t="s">
        <v>3236</v>
      </c>
      <c r="C2856" s="509" t="s">
        <v>32</v>
      </c>
      <c r="D2856" s="511">
        <v>1581755</v>
      </c>
    </row>
    <row r="2857" spans="1:4" ht="15" x14ac:dyDescent="0.35">
      <c r="A2857" s="509">
        <v>8753</v>
      </c>
      <c r="B2857" s="510" t="s">
        <v>3237</v>
      </c>
      <c r="C2857" s="509" t="s">
        <v>32</v>
      </c>
      <c r="D2857" s="511">
        <v>177216</v>
      </c>
    </row>
    <row r="2858" spans="1:4" ht="15" x14ac:dyDescent="0.35">
      <c r="A2858" s="509">
        <v>8754</v>
      </c>
      <c r="B2858" s="510" t="s">
        <v>3238</v>
      </c>
      <c r="C2858" s="509" t="s">
        <v>32</v>
      </c>
      <c r="D2858" s="511">
        <v>84220</v>
      </c>
    </row>
    <row r="2859" spans="1:4" ht="15" x14ac:dyDescent="0.35">
      <c r="A2859" s="509">
        <v>8755</v>
      </c>
      <c r="B2859" s="510" t="s">
        <v>3239</v>
      </c>
      <c r="C2859" s="509" t="s">
        <v>32</v>
      </c>
      <c r="D2859" s="511">
        <v>39616</v>
      </c>
    </row>
    <row r="2860" spans="1:4" ht="15" x14ac:dyDescent="0.35">
      <c r="A2860" s="509">
        <v>8756</v>
      </c>
      <c r="B2860" s="510" t="s">
        <v>3240</v>
      </c>
      <c r="C2860" s="509" t="s">
        <v>32</v>
      </c>
      <c r="D2860" s="511">
        <v>39616</v>
      </c>
    </row>
    <row r="2861" spans="1:4" ht="15" x14ac:dyDescent="0.35">
      <c r="A2861" s="509">
        <v>8764</v>
      </c>
      <c r="B2861" s="510" t="s">
        <v>3241</v>
      </c>
      <c r="C2861" s="509" t="s">
        <v>307</v>
      </c>
      <c r="D2861" s="511">
        <v>4443</v>
      </c>
    </row>
    <row r="2862" spans="1:4" ht="15" x14ac:dyDescent="0.35">
      <c r="A2862" s="509">
        <v>8765</v>
      </c>
      <c r="B2862" s="510" t="s">
        <v>3242</v>
      </c>
      <c r="C2862" s="509" t="s">
        <v>307</v>
      </c>
      <c r="D2862" s="511">
        <v>8093</v>
      </c>
    </row>
    <row r="2863" spans="1:4" ht="15" x14ac:dyDescent="0.35">
      <c r="A2863" s="509">
        <v>8766</v>
      </c>
      <c r="B2863" s="510" t="s">
        <v>3243</v>
      </c>
      <c r="C2863" s="509" t="s">
        <v>307</v>
      </c>
      <c r="D2863" s="511">
        <v>5858</v>
      </c>
    </row>
    <row r="2864" spans="1:4" ht="15" x14ac:dyDescent="0.35">
      <c r="A2864" s="509">
        <v>8768</v>
      </c>
      <c r="B2864" s="510" t="s">
        <v>3244</v>
      </c>
      <c r="C2864" s="509" t="s">
        <v>307</v>
      </c>
      <c r="D2864" s="511">
        <v>82500</v>
      </c>
    </row>
    <row r="2865" spans="1:4" ht="15" x14ac:dyDescent="0.35">
      <c r="A2865" s="509">
        <v>8771</v>
      </c>
      <c r="B2865" s="510" t="s">
        <v>3245</v>
      </c>
      <c r="C2865" s="509" t="s">
        <v>307</v>
      </c>
      <c r="D2865" s="512">
        <v>11850</v>
      </c>
    </row>
    <row r="2866" spans="1:4" ht="15" x14ac:dyDescent="0.35">
      <c r="A2866" s="509">
        <v>8772</v>
      </c>
      <c r="B2866" s="510" t="s">
        <v>3246</v>
      </c>
      <c r="C2866" s="509" t="s">
        <v>307</v>
      </c>
      <c r="D2866" s="511">
        <v>7827</v>
      </c>
    </row>
    <row r="2867" spans="1:4" ht="15" x14ac:dyDescent="0.35">
      <c r="A2867" s="509">
        <v>8773</v>
      </c>
      <c r="B2867" s="510" t="s">
        <v>3247</v>
      </c>
      <c r="C2867" s="509" t="s">
        <v>307</v>
      </c>
      <c r="D2867" s="511">
        <v>785384</v>
      </c>
    </row>
    <row r="2868" spans="1:4" ht="15" x14ac:dyDescent="0.35">
      <c r="A2868" s="509">
        <v>8774</v>
      </c>
      <c r="B2868" s="510" t="s">
        <v>3248</v>
      </c>
      <c r="C2868" s="509" t="s">
        <v>307</v>
      </c>
      <c r="D2868" s="511">
        <v>582884</v>
      </c>
    </row>
    <row r="2869" spans="1:4" ht="15" x14ac:dyDescent="0.35">
      <c r="A2869" s="509">
        <v>8775</v>
      </c>
      <c r="B2869" s="510" t="s">
        <v>3249</v>
      </c>
      <c r="C2869" s="509" t="s">
        <v>307</v>
      </c>
      <c r="D2869" s="511">
        <v>53400</v>
      </c>
    </row>
    <row r="2870" spans="1:4" ht="15" x14ac:dyDescent="0.35">
      <c r="A2870" s="509">
        <v>8776</v>
      </c>
      <c r="B2870" s="510" t="s">
        <v>3250</v>
      </c>
      <c r="C2870" s="509" t="s">
        <v>328</v>
      </c>
      <c r="D2870" s="512">
        <v>34361</v>
      </c>
    </row>
    <row r="2871" spans="1:4" ht="15" x14ac:dyDescent="0.35">
      <c r="A2871" s="509">
        <v>8779</v>
      </c>
      <c r="B2871" s="510" t="s">
        <v>3251</v>
      </c>
      <c r="C2871" s="509" t="s">
        <v>21</v>
      </c>
      <c r="D2871" s="512">
        <v>3823</v>
      </c>
    </row>
    <row r="2872" spans="1:4" ht="15" x14ac:dyDescent="0.35">
      <c r="A2872" s="509">
        <v>8780</v>
      </c>
      <c r="B2872" s="510" t="s">
        <v>3252</v>
      </c>
      <c r="C2872" s="509" t="s">
        <v>30</v>
      </c>
      <c r="D2872" s="512">
        <v>103996</v>
      </c>
    </row>
    <row r="2873" spans="1:4" ht="15" x14ac:dyDescent="0.35">
      <c r="A2873" s="509">
        <v>8781</v>
      </c>
      <c r="B2873" s="510" t="s">
        <v>3253</v>
      </c>
      <c r="C2873" s="509" t="s">
        <v>32</v>
      </c>
      <c r="D2873" s="511">
        <v>3449286</v>
      </c>
    </row>
    <row r="2874" spans="1:4" ht="15" x14ac:dyDescent="0.35">
      <c r="A2874" s="509">
        <v>8782</v>
      </c>
      <c r="B2874" s="510" t="s">
        <v>3254</v>
      </c>
      <c r="C2874" s="509" t="s">
        <v>32</v>
      </c>
      <c r="D2874" s="512">
        <v>148724</v>
      </c>
    </row>
    <row r="2875" spans="1:4" ht="15" x14ac:dyDescent="0.35">
      <c r="A2875" s="509">
        <v>8785</v>
      </c>
      <c r="B2875" s="510" t="s">
        <v>3255</v>
      </c>
      <c r="C2875" s="509" t="s">
        <v>32</v>
      </c>
      <c r="D2875" s="511">
        <v>644752</v>
      </c>
    </row>
    <row r="2876" spans="1:4" ht="15" x14ac:dyDescent="0.35">
      <c r="A2876" s="509">
        <v>8786</v>
      </c>
      <c r="B2876" s="510" t="s">
        <v>3256</v>
      </c>
      <c r="C2876" s="509" t="s">
        <v>32</v>
      </c>
      <c r="D2876" s="512">
        <v>1120482</v>
      </c>
    </row>
    <row r="2877" spans="1:4" ht="15" x14ac:dyDescent="0.35">
      <c r="A2877" s="509">
        <v>8787</v>
      </c>
      <c r="B2877" s="510" t="s">
        <v>3257</v>
      </c>
      <c r="C2877" s="509" t="s">
        <v>32</v>
      </c>
      <c r="D2877" s="512">
        <v>3466876</v>
      </c>
    </row>
    <row r="2878" spans="1:4" ht="15" x14ac:dyDescent="0.35">
      <c r="A2878" s="509">
        <v>8788</v>
      </c>
      <c r="B2878" s="510" t="s">
        <v>3258</v>
      </c>
      <c r="C2878" s="509" t="s">
        <v>32</v>
      </c>
      <c r="D2878" s="511">
        <v>3466876</v>
      </c>
    </row>
    <row r="2879" spans="1:4" ht="15" x14ac:dyDescent="0.35">
      <c r="A2879" s="509">
        <v>8789</v>
      </c>
      <c r="B2879" s="510" t="s">
        <v>3259</v>
      </c>
      <c r="C2879" s="509" t="s">
        <v>30</v>
      </c>
      <c r="D2879" s="511">
        <v>11901745</v>
      </c>
    </row>
    <row r="2880" spans="1:4" ht="15" x14ac:dyDescent="0.35">
      <c r="A2880" s="509">
        <v>8791</v>
      </c>
      <c r="B2880" s="510" t="s">
        <v>3260</v>
      </c>
      <c r="C2880" s="509" t="s">
        <v>328</v>
      </c>
      <c r="D2880" s="511">
        <v>885595</v>
      </c>
    </row>
    <row r="2881" spans="1:4" ht="15" x14ac:dyDescent="0.35">
      <c r="A2881" s="509">
        <v>8792</v>
      </c>
      <c r="B2881" s="510" t="s">
        <v>3261</v>
      </c>
      <c r="C2881" s="509" t="s">
        <v>328</v>
      </c>
      <c r="D2881" s="512">
        <v>242305</v>
      </c>
    </row>
    <row r="2882" spans="1:4" ht="15" x14ac:dyDescent="0.35">
      <c r="A2882" s="509">
        <v>8793</v>
      </c>
      <c r="B2882" s="510" t="s">
        <v>3262</v>
      </c>
      <c r="C2882" s="509" t="s">
        <v>32</v>
      </c>
      <c r="D2882" s="512">
        <v>260514</v>
      </c>
    </row>
    <row r="2883" spans="1:4" ht="15" x14ac:dyDescent="0.35">
      <c r="A2883" s="509">
        <v>8799</v>
      </c>
      <c r="B2883" s="510" t="s">
        <v>3263</v>
      </c>
      <c r="C2883" s="509" t="s">
        <v>32</v>
      </c>
      <c r="D2883" s="512">
        <v>441234</v>
      </c>
    </row>
    <row r="2884" spans="1:4" ht="15" x14ac:dyDescent="0.35">
      <c r="A2884" s="509">
        <v>8827</v>
      </c>
      <c r="B2884" s="510" t="s">
        <v>3264</v>
      </c>
      <c r="C2884" s="509" t="s">
        <v>21</v>
      </c>
      <c r="D2884" s="512">
        <v>115782</v>
      </c>
    </row>
    <row r="2885" spans="1:4" ht="15" x14ac:dyDescent="0.35">
      <c r="A2885" s="509">
        <v>8830</v>
      </c>
      <c r="B2885" s="510" t="s">
        <v>3265</v>
      </c>
      <c r="C2885" s="509" t="s">
        <v>21</v>
      </c>
      <c r="D2885" s="512">
        <v>42650</v>
      </c>
    </row>
    <row r="2886" spans="1:4" ht="15" x14ac:dyDescent="0.35">
      <c r="A2886" s="509">
        <v>8831</v>
      </c>
      <c r="B2886" s="510" t="s">
        <v>3266</v>
      </c>
      <c r="C2886" s="509" t="s">
        <v>21</v>
      </c>
      <c r="D2886" s="512">
        <v>40043</v>
      </c>
    </row>
    <row r="2887" spans="1:4" ht="15" x14ac:dyDescent="0.35">
      <c r="A2887" s="509">
        <v>8832</v>
      </c>
      <c r="B2887" s="510" t="s">
        <v>3267</v>
      </c>
      <c r="C2887" s="509" t="s">
        <v>21</v>
      </c>
      <c r="D2887" s="512">
        <v>13617</v>
      </c>
    </row>
    <row r="2888" spans="1:4" ht="15" x14ac:dyDescent="0.35">
      <c r="A2888" s="509">
        <v>8833</v>
      </c>
      <c r="B2888" s="510" t="s">
        <v>3268</v>
      </c>
      <c r="C2888" s="509" t="s">
        <v>21</v>
      </c>
      <c r="D2888" s="512">
        <v>17069</v>
      </c>
    </row>
    <row r="2889" spans="1:4" ht="15" x14ac:dyDescent="0.35">
      <c r="A2889" s="509">
        <v>8834</v>
      </c>
      <c r="B2889" s="510" t="s">
        <v>3269</v>
      </c>
      <c r="C2889" s="509" t="s">
        <v>21</v>
      </c>
      <c r="D2889" s="512">
        <v>11494</v>
      </c>
    </row>
    <row r="2890" spans="1:4" ht="15" x14ac:dyDescent="0.35">
      <c r="A2890" s="509">
        <v>8835</v>
      </c>
      <c r="B2890" s="510" t="s">
        <v>3270</v>
      </c>
      <c r="C2890" s="509" t="s">
        <v>21</v>
      </c>
      <c r="D2890" s="512">
        <v>13642</v>
      </c>
    </row>
    <row r="2891" spans="1:4" ht="15" x14ac:dyDescent="0.35">
      <c r="A2891" s="509">
        <v>8951</v>
      </c>
      <c r="B2891" s="510" t="s">
        <v>3271</v>
      </c>
      <c r="C2891" s="509" t="s">
        <v>32</v>
      </c>
      <c r="D2891" s="511">
        <v>510365</v>
      </c>
    </row>
    <row r="2892" spans="1:4" ht="15" x14ac:dyDescent="0.35">
      <c r="A2892" s="509">
        <v>8953</v>
      </c>
      <c r="B2892" s="510" t="s">
        <v>3272</v>
      </c>
      <c r="C2892" s="509" t="s">
        <v>328</v>
      </c>
      <c r="D2892" s="512">
        <v>615989</v>
      </c>
    </row>
    <row r="2893" spans="1:4" ht="15" x14ac:dyDescent="0.35">
      <c r="A2893" s="509">
        <v>8955</v>
      </c>
      <c r="B2893" s="510" t="s">
        <v>3273</v>
      </c>
      <c r="C2893" s="509" t="s">
        <v>328</v>
      </c>
      <c r="D2893" s="511">
        <v>587559</v>
      </c>
    </row>
    <row r="2894" spans="1:4" ht="15" x14ac:dyDescent="0.35">
      <c r="A2894" s="509">
        <v>8958</v>
      </c>
      <c r="B2894" s="510" t="s">
        <v>3274</v>
      </c>
      <c r="C2894" s="509" t="s">
        <v>21</v>
      </c>
      <c r="D2894" s="512">
        <v>123642</v>
      </c>
    </row>
    <row r="2895" spans="1:4" ht="15" x14ac:dyDescent="0.35">
      <c r="A2895" s="509">
        <v>8960</v>
      </c>
      <c r="B2895" s="510" t="s">
        <v>3275</v>
      </c>
      <c r="C2895" s="509" t="s">
        <v>307</v>
      </c>
      <c r="D2895" s="512">
        <v>82343</v>
      </c>
    </row>
    <row r="2896" spans="1:4" ht="15" x14ac:dyDescent="0.35">
      <c r="A2896" s="509">
        <v>8961</v>
      </c>
      <c r="B2896" s="510" t="s">
        <v>3276</v>
      </c>
      <c r="C2896" s="509" t="s">
        <v>307</v>
      </c>
      <c r="D2896" s="512">
        <v>74862</v>
      </c>
    </row>
    <row r="2897" spans="1:4" ht="15" x14ac:dyDescent="0.35">
      <c r="A2897" s="509">
        <v>8962</v>
      </c>
      <c r="B2897" s="510" t="s">
        <v>3277</v>
      </c>
      <c r="C2897" s="509" t="s">
        <v>307</v>
      </c>
      <c r="D2897" s="511">
        <v>7200</v>
      </c>
    </row>
    <row r="2898" spans="1:4" ht="15" x14ac:dyDescent="0.35">
      <c r="A2898" s="509">
        <v>8963</v>
      </c>
      <c r="B2898" s="510" t="s">
        <v>3278</v>
      </c>
      <c r="C2898" s="509" t="s">
        <v>307</v>
      </c>
      <c r="D2898" s="512">
        <v>4443</v>
      </c>
    </row>
    <row r="2899" spans="1:4" ht="15" x14ac:dyDescent="0.35">
      <c r="A2899" s="509">
        <v>8964</v>
      </c>
      <c r="B2899" s="510" t="s">
        <v>3279</v>
      </c>
      <c r="C2899" s="509" t="s">
        <v>307</v>
      </c>
      <c r="D2899" s="512">
        <v>657188</v>
      </c>
    </row>
    <row r="2900" spans="1:4" ht="15" x14ac:dyDescent="0.35">
      <c r="A2900" s="509">
        <v>8965</v>
      </c>
      <c r="B2900" s="510" t="s">
        <v>3280</v>
      </c>
      <c r="C2900" s="509" t="s">
        <v>30</v>
      </c>
      <c r="D2900" s="511">
        <v>371137</v>
      </c>
    </row>
    <row r="2901" spans="1:4" ht="15" x14ac:dyDescent="0.35">
      <c r="A2901" s="509">
        <v>8966</v>
      </c>
      <c r="B2901" s="510" t="s">
        <v>3281</v>
      </c>
      <c r="C2901" s="509" t="s">
        <v>307</v>
      </c>
      <c r="D2901" s="511">
        <v>29093</v>
      </c>
    </row>
    <row r="2902" spans="1:4" ht="15" x14ac:dyDescent="0.35">
      <c r="A2902" s="509">
        <v>8970</v>
      </c>
      <c r="B2902" s="510" t="s">
        <v>3282</v>
      </c>
      <c r="C2902" s="509" t="s">
        <v>32</v>
      </c>
      <c r="D2902" s="511">
        <v>421286</v>
      </c>
    </row>
    <row r="2903" spans="1:4" ht="15" x14ac:dyDescent="0.35">
      <c r="A2903" s="509">
        <v>8972</v>
      </c>
      <c r="B2903" s="510" t="s">
        <v>3283</v>
      </c>
      <c r="C2903" s="509" t="s">
        <v>979</v>
      </c>
      <c r="D2903" s="511">
        <v>251285</v>
      </c>
    </row>
    <row r="2904" spans="1:4" ht="15" x14ac:dyDescent="0.35">
      <c r="A2904" s="509">
        <v>9030</v>
      </c>
      <c r="B2904" s="510" t="s">
        <v>3284</v>
      </c>
      <c r="C2904" s="509" t="s">
        <v>32</v>
      </c>
      <c r="D2904" s="511">
        <v>1205404</v>
      </c>
    </row>
    <row r="2905" spans="1:4" ht="15" x14ac:dyDescent="0.35">
      <c r="A2905" s="509">
        <v>9031</v>
      </c>
      <c r="B2905" s="510" t="s">
        <v>3285</v>
      </c>
      <c r="C2905" s="509" t="s">
        <v>32</v>
      </c>
      <c r="D2905" s="511">
        <v>2308832</v>
      </c>
    </row>
    <row r="2906" spans="1:4" ht="15" x14ac:dyDescent="0.35">
      <c r="A2906" s="509">
        <v>9032</v>
      </c>
      <c r="B2906" s="510" t="s">
        <v>3286</v>
      </c>
      <c r="C2906" s="509" t="s">
        <v>32</v>
      </c>
      <c r="D2906" s="511">
        <v>3791721</v>
      </c>
    </row>
    <row r="2907" spans="1:4" ht="15" x14ac:dyDescent="0.35">
      <c r="A2907" s="509">
        <v>9033</v>
      </c>
      <c r="B2907" s="510" t="s">
        <v>3287</v>
      </c>
      <c r="C2907" s="509" t="s">
        <v>32</v>
      </c>
      <c r="D2907" s="511">
        <v>5057254</v>
      </c>
    </row>
    <row r="2908" spans="1:4" ht="15" x14ac:dyDescent="0.35">
      <c r="A2908" s="509">
        <v>9034</v>
      </c>
      <c r="B2908" s="510" t="s">
        <v>3288</v>
      </c>
      <c r="C2908" s="509" t="s">
        <v>32</v>
      </c>
      <c r="D2908" s="511">
        <v>4986122</v>
      </c>
    </row>
    <row r="2909" spans="1:4" ht="15" x14ac:dyDescent="0.35">
      <c r="A2909" s="509">
        <v>9035</v>
      </c>
      <c r="B2909" s="510" t="s">
        <v>3289</v>
      </c>
      <c r="C2909" s="509" t="s">
        <v>32</v>
      </c>
      <c r="D2909" s="511">
        <v>8158962</v>
      </c>
    </row>
    <row r="2910" spans="1:4" ht="15" x14ac:dyDescent="0.35">
      <c r="A2910" s="509">
        <v>9042</v>
      </c>
      <c r="B2910" s="510" t="s">
        <v>3290</v>
      </c>
      <c r="C2910" s="509" t="s">
        <v>328</v>
      </c>
      <c r="D2910" s="512">
        <v>87871</v>
      </c>
    </row>
    <row r="2911" spans="1:4" ht="15" x14ac:dyDescent="0.35">
      <c r="A2911" s="509">
        <v>9045</v>
      </c>
      <c r="B2911" s="510" t="s">
        <v>3291</v>
      </c>
      <c r="C2911" s="509" t="s">
        <v>328</v>
      </c>
      <c r="D2911" s="511">
        <v>10395</v>
      </c>
    </row>
    <row r="2912" spans="1:4" ht="15" x14ac:dyDescent="0.35">
      <c r="A2912" s="509">
        <v>9046</v>
      </c>
      <c r="B2912" s="510" t="s">
        <v>3292</v>
      </c>
      <c r="C2912" s="509" t="s">
        <v>32</v>
      </c>
      <c r="D2912" s="512">
        <v>38372</v>
      </c>
    </row>
    <row r="2913" spans="1:4" ht="15" x14ac:dyDescent="0.35">
      <c r="A2913" s="509">
        <v>9047</v>
      </c>
      <c r="B2913" s="510" t="s">
        <v>3293</v>
      </c>
      <c r="C2913" s="509" t="s">
        <v>32</v>
      </c>
      <c r="D2913" s="512">
        <v>109203</v>
      </c>
    </row>
    <row r="2914" spans="1:4" ht="15" x14ac:dyDescent="0.35">
      <c r="A2914" s="509">
        <v>9048</v>
      </c>
      <c r="B2914" s="510" t="s">
        <v>3294</v>
      </c>
      <c r="C2914" s="509" t="s">
        <v>328</v>
      </c>
      <c r="D2914" s="512">
        <v>5198</v>
      </c>
    </row>
    <row r="2915" spans="1:4" ht="15" x14ac:dyDescent="0.35">
      <c r="A2915" s="509">
        <v>9052</v>
      </c>
      <c r="B2915" s="510" t="s">
        <v>3295</v>
      </c>
      <c r="C2915" s="509" t="s">
        <v>2125</v>
      </c>
      <c r="D2915" s="511">
        <v>3556</v>
      </c>
    </row>
    <row r="2916" spans="1:4" ht="15" x14ac:dyDescent="0.35">
      <c r="A2916" s="509">
        <v>9055</v>
      </c>
      <c r="B2916" s="510" t="s">
        <v>3296</v>
      </c>
      <c r="C2916" s="509" t="s">
        <v>328</v>
      </c>
      <c r="D2916" s="511">
        <v>19113</v>
      </c>
    </row>
    <row r="2917" spans="1:4" ht="15" x14ac:dyDescent="0.35">
      <c r="A2917" s="509">
        <v>9056</v>
      </c>
      <c r="B2917" s="510" t="s">
        <v>3297</v>
      </c>
      <c r="C2917" s="509" t="s">
        <v>328</v>
      </c>
      <c r="D2917" s="511">
        <v>769886</v>
      </c>
    </row>
    <row r="2918" spans="1:4" ht="15" x14ac:dyDescent="0.35">
      <c r="A2918" s="509">
        <v>9058</v>
      </c>
      <c r="B2918" s="510" t="s">
        <v>3298</v>
      </c>
      <c r="C2918" s="509" t="s">
        <v>21</v>
      </c>
      <c r="D2918" s="511">
        <v>137080</v>
      </c>
    </row>
    <row r="2919" spans="1:4" ht="15" x14ac:dyDescent="0.35">
      <c r="A2919" s="509">
        <v>9072</v>
      </c>
      <c r="B2919" s="510" t="s">
        <v>3299</v>
      </c>
      <c r="C2919" s="509" t="s">
        <v>30</v>
      </c>
      <c r="D2919" s="512">
        <v>957315</v>
      </c>
    </row>
    <row r="2920" spans="1:4" ht="15" x14ac:dyDescent="0.35">
      <c r="A2920" s="509">
        <v>9075</v>
      </c>
      <c r="B2920" s="510" t="s">
        <v>3300</v>
      </c>
      <c r="C2920" s="509" t="s">
        <v>32</v>
      </c>
      <c r="D2920" s="512">
        <v>3133739</v>
      </c>
    </row>
    <row r="2921" spans="1:4" ht="15" x14ac:dyDescent="0.35">
      <c r="A2921" s="509">
        <v>9076</v>
      </c>
      <c r="B2921" s="510" t="s">
        <v>3301</v>
      </c>
      <c r="C2921" s="509" t="s">
        <v>32</v>
      </c>
      <c r="D2921" s="512">
        <v>11133827</v>
      </c>
    </row>
    <row r="2922" spans="1:4" ht="15" x14ac:dyDescent="0.35">
      <c r="A2922" s="509">
        <v>9077</v>
      </c>
      <c r="B2922" s="510" t="s">
        <v>3302</v>
      </c>
      <c r="C2922" s="509" t="s">
        <v>32</v>
      </c>
      <c r="D2922" s="511">
        <v>839957</v>
      </c>
    </row>
    <row r="2923" spans="1:4" ht="15" x14ac:dyDescent="0.35">
      <c r="A2923" s="509">
        <v>9087</v>
      </c>
      <c r="B2923" s="510" t="s">
        <v>3303</v>
      </c>
      <c r="C2923" s="509" t="s">
        <v>328</v>
      </c>
      <c r="D2923" s="511">
        <v>4003131</v>
      </c>
    </row>
    <row r="2924" spans="1:4" ht="15" x14ac:dyDescent="0.35">
      <c r="A2924" s="509">
        <v>9088</v>
      </c>
      <c r="B2924" s="510" t="s">
        <v>3304</v>
      </c>
      <c r="C2924" s="509" t="s">
        <v>328</v>
      </c>
      <c r="D2924" s="511">
        <v>7182819</v>
      </c>
    </row>
    <row r="2925" spans="1:4" ht="15" x14ac:dyDescent="0.35">
      <c r="A2925" s="509">
        <v>9094</v>
      </c>
      <c r="B2925" s="510" t="s">
        <v>3305</v>
      </c>
      <c r="C2925" s="509" t="s">
        <v>30</v>
      </c>
      <c r="D2925" s="511">
        <v>1102333</v>
      </c>
    </row>
    <row r="2926" spans="1:4" ht="15" x14ac:dyDescent="0.35">
      <c r="A2926" s="509">
        <v>9095</v>
      </c>
      <c r="B2926" s="510" t="s">
        <v>3306</v>
      </c>
      <c r="C2926" s="509" t="s">
        <v>30</v>
      </c>
      <c r="D2926" s="511">
        <v>841279</v>
      </c>
    </row>
    <row r="2927" spans="1:4" ht="15" x14ac:dyDescent="0.35">
      <c r="A2927" s="509">
        <v>9096</v>
      </c>
      <c r="B2927" s="510" t="s">
        <v>3307</v>
      </c>
      <c r="C2927" s="509" t="s">
        <v>30</v>
      </c>
      <c r="D2927" s="511">
        <v>1258469</v>
      </c>
    </row>
    <row r="2928" spans="1:4" ht="15" x14ac:dyDescent="0.35">
      <c r="A2928" s="509">
        <v>9097</v>
      </c>
      <c r="B2928" s="510" t="s">
        <v>3308</v>
      </c>
      <c r="C2928" s="509" t="s">
        <v>32</v>
      </c>
      <c r="D2928" s="511">
        <v>2320500</v>
      </c>
    </row>
    <row r="2929" spans="1:4" ht="15" x14ac:dyDescent="0.35">
      <c r="A2929" s="509">
        <v>9098</v>
      </c>
      <c r="B2929" s="510" t="s">
        <v>3309</v>
      </c>
      <c r="C2929" s="509" t="s">
        <v>32</v>
      </c>
      <c r="D2929" s="511">
        <v>5048618</v>
      </c>
    </row>
    <row r="2930" spans="1:4" ht="15" x14ac:dyDescent="0.35">
      <c r="A2930" s="509">
        <v>9099</v>
      </c>
      <c r="B2930" s="510" t="s">
        <v>3310</v>
      </c>
      <c r="C2930" s="509" t="s">
        <v>32</v>
      </c>
      <c r="D2930" s="511">
        <v>1433935</v>
      </c>
    </row>
    <row r="2931" spans="1:4" ht="15" x14ac:dyDescent="0.35">
      <c r="A2931" s="509">
        <v>9100</v>
      </c>
      <c r="B2931" s="510" t="s">
        <v>3311</v>
      </c>
      <c r="C2931" s="509" t="s">
        <v>32</v>
      </c>
      <c r="D2931" s="511">
        <v>19499839</v>
      </c>
    </row>
    <row r="2932" spans="1:4" ht="15" x14ac:dyDescent="0.35">
      <c r="A2932" s="509">
        <v>9101</v>
      </c>
      <c r="B2932" s="510" t="s">
        <v>3312</v>
      </c>
      <c r="C2932" s="509" t="s">
        <v>32</v>
      </c>
      <c r="D2932" s="511">
        <v>2750000</v>
      </c>
    </row>
    <row r="2933" spans="1:4" ht="15" x14ac:dyDescent="0.35">
      <c r="A2933" s="509">
        <v>9109</v>
      </c>
      <c r="B2933" s="510" t="s">
        <v>3313</v>
      </c>
      <c r="C2933" s="509" t="s">
        <v>30</v>
      </c>
      <c r="D2933" s="511">
        <v>634226</v>
      </c>
    </row>
    <row r="2934" spans="1:4" ht="15" x14ac:dyDescent="0.35">
      <c r="A2934" s="509">
        <v>9122</v>
      </c>
      <c r="B2934" s="510" t="s">
        <v>3314</v>
      </c>
      <c r="C2934" s="509" t="s">
        <v>670</v>
      </c>
      <c r="D2934" s="511">
        <v>5767</v>
      </c>
    </row>
    <row r="2935" spans="1:4" ht="15" x14ac:dyDescent="0.35">
      <c r="A2935" s="509">
        <v>9129</v>
      </c>
      <c r="B2935" s="510" t="s">
        <v>3315</v>
      </c>
      <c r="C2935" s="509" t="s">
        <v>307</v>
      </c>
      <c r="D2935" s="511">
        <v>483319</v>
      </c>
    </row>
    <row r="2936" spans="1:4" ht="15" x14ac:dyDescent="0.35">
      <c r="A2936" s="509">
        <v>9130</v>
      </c>
      <c r="B2936" s="510" t="s">
        <v>3316</v>
      </c>
      <c r="C2936" s="509" t="s">
        <v>307</v>
      </c>
      <c r="D2936" s="512">
        <v>672647</v>
      </c>
    </row>
    <row r="2937" spans="1:4" ht="15" x14ac:dyDescent="0.35">
      <c r="A2937" s="509">
        <v>9131</v>
      </c>
      <c r="B2937" s="510" t="s">
        <v>3317</v>
      </c>
      <c r="C2937" s="509" t="s">
        <v>307</v>
      </c>
      <c r="D2937" s="511">
        <v>571431</v>
      </c>
    </row>
    <row r="2938" spans="1:4" ht="15" x14ac:dyDescent="0.35">
      <c r="A2938" s="509">
        <v>9132</v>
      </c>
      <c r="B2938" s="510" t="s">
        <v>3318</v>
      </c>
      <c r="C2938" s="509" t="s">
        <v>30</v>
      </c>
      <c r="D2938" s="511">
        <v>311880</v>
      </c>
    </row>
    <row r="2939" spans="1:4" ht="15" x14ac:dyDescent="0.35">
      <c r="A2939" s="509">
        <v>9133</v>
      </c>
      <c r="B2939" s="510" t="s">
        <v>6600</v>
      </c>
      <c r="C2939" s="509" t="s">
        <v>307</v>
      </c>
      <c r="D2939" s="511">
        <v>9959</v>
      </c>
    </row>
    <row r="2940" spans="1:4" ht="15" x14ac:dyDescent="0.35">
      <c r="A2940" s="509">
        <v>9134</v>
      </c>
      <c r="B2940" s="510" t="s">
        <v>3320</v>
      </c>
      <c r="C2940" s="509" t="s">
        <v>307</v>
      </c>
      <c r="D2940" s="511">
        <v>143032</v>
      </c>
    </row>
    <row r="2941" spans="1:4" ht="15" x14ac:dyDescent="0.35">
      <c r="A2941" s="509">
        <v>9135</v>
      </c>
      <c r="B2941" s="510" t="s">
        <v>3321</v>
      </c>
      <c r="C2941" s="509" t="s">
        <v>307</v>
      </c>
      <c r="D2941" s="511">
        <v>6051</v>
      </c>
    </row>
    <row r="2942" spans="1:4" ht="15" x14ac:dyDescent="0.35">
      <c r="A2942" s="509">
        <v>9136</v>
      </c>
      <c r="B2942" s="510" t="s">
        <v>3322</v>
      </c>
      <c r="C2942" s="509" t="s">
        <v>307</v>
      </c>
      <c r="D2942" s="511">
        <v>4406</v>
      </c>
    </row>
    <row r="2943" spans="1:4" ht="15" x14ac:dyDescent="0.35">
      <c r="A2943" s="509">
        <v>9137</v>
      </c>
      <c r="B2943" s="510" t="s">
        <v>3323</v>
      </c>
      <c r="C2943" s="509" t="s">
        <v>307</v>
      </c>
      <c r="D2943" s="512">
        <v>3734</v>
      </c>
    </row>
    <row r="2944" spans="1:4" ht="15" x14ac:dyDescent="0.35">
      <c r="A2944" s="509">
        <v>9138</v>
      </c>
      <c r="B2944" s="510" t="s">
        <v>3324</v>
      </c>
      <c r="C2944" s="509" t="s">
        <v>307</v>
      </c>
      <c r="D2944" s="511">
        <v>3734</v>
      </c>
    </row>
    <row r="2945" spans="1:4" ht="15" x14ac:dyDescent="0.35">
      <c r="A2945" s="509">
        <v>9139</v>
      </c>
      <c r="B2945" s="510" t="s">
        <v>3325</v>
      </c>
      <c r="C2945" s="509" t="s">
        <v>307</v>
      </c>
      <c r="D2945" s="511">
        <v>47122</v>
      </c>
    </row>
    <row r="2946" spans="1:4" ht="15" x14ac:dyDescent="0.35">
      <c r="A2946" s="509">
        <v>9140</v>
      </c>
      <c r="B2946" s="510" t="s">
        <v>3326</v>
      </c>
      <c r="C2946" s="509" t="s">
        <v>307</v>
      </c>
      <c r="D2946" s="511">
        <v>69196</v>
      </c>
    </row>
    <row r="2947" spans="1:4" ht="15" x14ac:dyDescent="0.35">
      <c r="A2947" s="509">
        <v>9141</v>
      </c>
      <c r="B2947" s="510" t="s">
        <v>3327</v>
      </c>
      <c r="C2947" s="509" t="s">
        <v>307</v>
      </c>
      <c r="D2947" s="511">
        <v>6801</v>
      </c>
    </row>
    <row r="2948" spans="1:4" ht="15" x14ac:dyDescent="0.35">
      <c r="A2948" s="509">
        <v>9142</v>
      </c>
      <c r="B2948" s="510" t="s">
        <v>3328</v>
      </c>
      <c r="C2948" s="509" t="s">
        <v>307</v>
      </c>
      <c r="D2948" s="511">
        <v>2554</v>
      </c>
    </row>
    <row r="2949" spans="1:4" ht="15" x14ac:dyDescent="0.35">
      <c r="A2949" s="509">
        <v>9143</v>
      </c>
      <c r="B2949" s="510" t="s">
        <v>3329</v>
      </c>
      <c r="C2949" s="509" t="s">
        <v>307</v>
      </c>
      <c r="D2949" s="511">
        <v>62910</v>
      </c>
    </row>
    <row r="2950" spans="1:4" ht="15" x14ac:dyDescent="0.35">
      <c r="A2950" s="509">
        <v>9144</v>
      </c>
      <c r="B2950" s="510" t="s">
        <v>3330</v>
      </c>
      <c r="C2950" s="509" t="s">
        <v>307</v>
      </c>
      <c r="D2950" s="512">
        <v>4923</v>
      </c>
    </row>
    <row r="2951" spans="1:4" ht="15" x14ac:dyDescent="0.35">
      <c r="A2951" s="509">
        <v>9145</v>
      </c>
      <c r="B2951" s="510" t="s">
        <v>3331</v>
      </c>
      <c r="C2951" s="509" t="s">
        <v>307</v>
      </c>
      <c r="D2951" s="512">
        <v>69328</v>
      </c>
    </row>
    <row r="2952" spans="1:4" ht="15" x14ac:dyDescent="0.35">
      <c r="A2952" s="509">
        <v>9146</v>
      </c>
      <c r="B2952" s="510" t="s">
        <v>3332</v>
      </c>
      <c r="C2952" s="509" t="s">
        <v>21</v>
      </c>
      <c r="D2952" s="511">
        <v>30710</v>
      </c>
    </row>
    <row r="2953" spans="1:4" ht="15" x14ac:dyDescent="0.35">
      <c r="A2953" s="509">
        <v>9147</v>
      </c>
      <c r="B2953" s="510" t="s">
        <v>3333</v>
      </c>
      <c r="C2953" s="509" t="s">
        <v>21</v>
      </c>
      <c r="D2953" s="512">
        <v>33559</v>
      </c>
    </row>
    <row r="2954" spans="1:4" ht="15" x14ac:dyDescent="0.35">
      <c r="A2954" s="509">
        <v>9148</v>
      </c>
      <c r="B2954" s="510" t="s">
        <v>3334</v>
      </c>
      <c r="C2954" s="509" t="s">
        <v>32</v>
      </c>
      <c r="D2954" s="512">
        <v>1246744</v>
      </c>
    </row>
    <row r="2955" spans="1:4" ht="15" x14ac:dyDescent="0.35">
      <c r="A2955" s="509">
        <v>9149</v>
      </c>
      <c r="B2955" s="510" t="s">
        <v>3335</v>
      </c>
      <c r="C2955" s="509" t="s">
        <v>30</v>
      </c>
      <c r="D2955" s="511">
        <v>311880</v>
      </c>
    </row>
    <row r="2956" spans="1:4" ht="15" x14ac:dyDescent="0.35">
      <c r="A2956" s="509">
        <v>9150</v>
      </c>
      <c r="B2956" s="510" t="s">
        <v>3336</v>
      </c>
      <c r="C2956" s="509" t="s">
        <v>307</v>
      </c>
      <c r="D2956" s="512">
        <v>3734</v>
      </c>
    </row>
    <row r="2957" spans="1:4" ht="15" x14ac:dyDescent="0.35">
      <c r="A2957" s="509">
        <v>9151</v>
      </c>
      <c r="B2957" s="510" t="s">
        <v>3337</v>
      </c>
      <c r="C2957" s="509" t="s">
        <v>307</v>
      </c>
      <c r="D2957" s="511">
        <v>47122</v>
      </c>
    </row>
    <row r="2958" spans="1:4" ht="15" x14ac:dyDescent="0.35">
      <c r="A2958" s="509">
        <v>9152</v>
      </c>
      <c r="B2958" s="510" t="s">
        <v>3338</v>
      </c>
      <c r="C2958" s="509" t="s">
        <v>307</v>
      </c>
      <c r="D2958" s="511">
        <v>69196</v>
      </c>
    </row>
    <row r="2959" spans="1:4" ht="15" x14ac:dyDescent="0.35">
      <c r="A2959" s="509">
        <v>9153</v>
      </c>
      <c r="B2959" s="510" t="s">
        <v>3339</v>
      </c>
      <c r="C2959" s="509" t="s">
        <v>307</v>
      </c>
      <c r="D2959" s="511">
        <v>434484</v>
      </c>
    </row>
    <row r="2960" spans="1:4" ht="15" x14ac:dyDescent="0.35">
      <c r="A2960" s="509">
        <v>9154</v>
      </c>
      <c r="B2960" s="510" t="s">
        <v>3340</v>
      </c>
      <c r="C2960" s="509" t="s">
        <v>307</v>
      </c>
      <c r="D2960" s="511">
        <v>6051</v>
      </c>
    </row>
    <row r="2961" spans="1:4" ht="15" x14ac:dyDescent="0.35">
      <c r="A2961" s="509">
        <v>9322</v>
      </c>
      <c r="B2961" s="510" t="s">
        <v>3341</v>
      </c>
      <c r="C2961" s="509" t="s">
        <v>21</v>
      </c>
      <c r="D2961" s="511">
        <v>1815285</v>
      </c>
    </row>
    <row r="2962" spans="1:4" ht="15" x14ac:dyDescent="0.35">
      <c r="A2962" s="509">
        <v>9323</v>
      </c>
      <c r="B2962" s="510" t="s">
        <v>3342</v>
      </c>
      <c r="C2962" s="509" t="s">
        <v>21</v>
      </c>
      <c r="D2962" s="511">
        <v>2573293</v>
      </c>
    </row>
    <row r="2963" spans="1:4" ht="15" x14ac:dyDescent="0.35">
      <c r="A2963" s="509">
        <v>9324</v>
      </c>
      <c r="B2963" s="510" t="s">
        <v>3343</v>
      </c>
      <c r="C2963" s="509" t="s">
        <v>21</v>
      </c>
      <c r="D2963" s="512">
        <v>2568472</v>
      </c>
    </row>
    <row r="2964" spans="1:4" ht="15" x14ac:dyDescent="0.35">
      <c r="A2964" s="509">
        <v>9325</v>
      </c>
      <c r="B2964" s="510" t="s">
        <v>3344</v>
      </c>
      <c r="C2964" s="509" t="s">
        <v>328</v>
      </c>
      <c r="D2964" s="511">
        <v>937270</v>
      </c>
    </row>
    <row r="2965" spans="1:4" ht="15" x14ac:dyDescent="0.35">
      <c r="A2965" s="509">
        <v>9326</v>
      </c>
      <c r="B2965" s="510" t="s">
        <v>3345</v>
      </c>
      <c r="C2965" s="509" t="s">
        <v>328</v>
      </c>
      <c r="D2965" s="511">
        <v>1443970</v>
      </c>
    </row>
    <row r="2966" spans="1:4" ht="15" x14ac:dyDescent="0.35">
      <c r="A2966" s="509">
        <v>9327</v>
      </c>
      <c r="B2966" s="510" t="s">
        <v>3346</v>
      </c>
      <c r="C2966" s="509" t="s">
        <v>328</v>
      </c>
      <c r="D2966" s="511">
        <v>1442138</v>
      </c>
    </row>
    <row r="2967" spans="1:4" ht="15" x14ac:dyDescent="0.35">
      <c r="A2967" s="509">
        <v>9394</v>
      </c>
      <c r="B2967" s="510" t="s">
        <v>3347</v>
      </c>
      <c r="C2967" s="509" t="s">
        <v>328</v>
      </c>
      <c r="D2967" s="511">
        <v>2100563</v>
      </c>
    </row>
    <row r="2968" spans="1:4" ht="15" x14ac:dyDescent="0.35">
      <c r="A2968" s="509">
        <v>9395</v>
      </c>
      <c r="B2968" s="510" t="s">
        <v>3348</v>
      </c>
      <c r="C2968" s="509" t="s">
        <v>328</v>
      </c>
      <c r="D2968" s="511">
        <v>2742721</v>
      </c>
    </row>
    <row r="2969" spans="1:4" ht="15" x14ac:dyDescent="0.35">
      <c r="A2969" s="509">
        <v>9396</v>
      </c>
      <c r="B2969" s="510" t="s">
        <v>3349</v>
      </c>
      <c r="C2969" s="509" t="s">
        <v>328</v>
      </c>
      <c r="D2969" s="511">
        <v>863451</v>
      </c>
    </row>
    <row r="2970" spans="1:4" ht="15" x14ac:dyDescent="0.35">
      <c r="A2970" s="509">
        <v>9397</v>
      </c>
      <c r="B2970" s="510" t="s">
        <v>3350</v>
      </c>
      <c r="C2970" s="509" t="s">
        <v>328</v>
      </c>
      <c r="D2970" s="511">
        <v>863451</v>
      </c>
    </row>
    <row r="2971" spans="1:4" ht="15" x14ac:dyDescent="0.35">
      <c r="A2971" s="509">
        <v>9398</v>
      </c>
      <c r="B2971" s="510" t="s">
        <v>3351</v>
      </c>
      <c r="C2971" s="509" t="s">
        <v>328</v>
      </c>
      <c r="D2971" s="511">
        <v>932256</v>
      </c>
    </row>
    <row r="2972" spans="1:4" ht="15" x14ac:dyDescent="0.35">
      <c r="A2972" s="509">
        <v>9425</v>
      </c>
      <c r="B2972" s="510" t="s">
        <v>3352</v>
      </c>
      <c r="C2972" s="509" t="s">
        <v>328</v>
      </c>
      <c r="D2972" s="511">
        <v>2696606</v>
      </c>
    </row>
    <row r="2973" spans="1:4" ht="15" x14ac:dyDescent="0.35">
      <c r="A2973" s="509">
        <v>9466</v>
      </c>
      <c r="B2973" s="510" t="s">
        <v>3354</v>
      </c>
      <c r="C2973" s="509" t="s">
        <v>307</v>
      </c>
      <c r="D2973" s="512">
        <v>434484</v>
      </c>
    </row>
    <row r="2974" spans="1:4" ht="15" x14ac:dyDescent="0.35">
      <c r="A2974" s="509">
        <v>9467</v>
      </c>
      <c r="B2974" s="510" t="s">
        <v>3355</v>
      </c>
      <c r="C2974" s="509" t="s">
        <v>30</v>
      </c>
      <c r="D2974" s="511">
        <v>311880</v>
      </c>
    </row>
    <row r="2975" spans="1:4" ht="15" x14ac:dyDescent="0.35">
      <c r="A2975" s="509">
        <v>9468</v>
      </c>
      <c r="B2975" s="510" t="s">
        <v>3356</v>
      </c>
      <c r="C2975" s="509" t="s">
        <v>307</v>
      </c>
      <c r="D2975" s="512">
        <v>69196</v>
      </c>
    </row>
    <row r="2976" spans="1:4" ht="15" x14ac:dyDescent="0.35">
      <c r="A2976" s="509">
        <v>9469</v>
      </c>
      <c r="B2976" s="510" t="s">
        <v>3357</v>
      </c>
      <c r="C2976" s="509" t="s">
        <v>307</v>
      </c>
      <c r="D2976" s="511">
        <v>6051</v>
      </c>
    </row>
    <row r="2977" spans="1:4" ht="15" x14ac:dyDescent="0.35">
      <c r="A2977" s="509">
        <v>9470</v>
      </c>
      <c r="B2977" s="510" t="s">
        <v>3358</v>
      </c>
      <c r="C2977" s="509" t="s">
        <v>307</v>
      </c>
      <c r="D2977" s="511">
        <v>3734</v>
      </c>
    </row>
    <row r="2978" spans="1:4" ht="15" x14ac:dyDescent="0.35">
      <c r="A2978" s="509">
        <v>9563</v>
      </c>
      <c r="B2978" s="510" t="s">
        <v>3359</v>
      </c>
      <c r="C2978" s="509" t="s">
        <v>328</v>
      </c>
      <c r="D2978" s="511">
        <v>164571</v>
      </c>
    </row>
    <row r="2979" spans="1:4" ht="15" x14ac:dyDescent="0.35">
      <c r="A2979" s="509">
        <v>9997</v>
      </c>
      <c r="B2979" s="510" t="s">
        <v>3360</v>
      </c>
      <c r="C2979" s="509" t="s">
        <v>21</v>
      </c>
      <c r="D2979" s="511">
        <v>2781</v>
      </c>
    </row>
    <row r="2980" spans="1:4" ht="15" x14ac:dyDescent="0.35">
      <c r="A2980" s="509">
        <v>9998</v>
      </c>
      <c r="B2980" s="510" t="s">
        <v>3361</v>
      </c>
      <c r="C2980" s="509" t="s">
        <v>30</v>
      </c>
      <c r="D2980" s="512">
        <v>1556717</v>
      </c>
    </row>
    <row r="2981" spans="1:4" ht="15" x14ac:dyDescent="0.35">
      <c r="A2981" s="509">
        <v>9999</v>
      </c>
      <c r="B2981" s="510" t="s">
        <v>3362</v>
      </c>
      <c r="C2981" s="509" t="s">
        <v>21</v>
      </c>
      <c r="D2981" s="511">
        <v>170676</v>
      </c>
    </row>
    <row r="2982" spans="1:4" ht="15" x14ac:dyDescent="0.35">
      <c r="A2982" s="509">
        <v>10000</v>
      </c>
      <c r="B2982" s="510" t="s">
        <v>3363</v>
      </c>
      <c r="C2982" s="509" t="s">
        <v>21</v>
      </c>
      <c r="D2982" s="511">
        <v>135101</v>
      </c>
    </row>
    <row r="2983" spans="1:4" ht="15" x14ac:dyDescent="0.35">
      <c r="A2983" s="509">
        <v>10014</v>
      </c>
      <c r="B2983" s="510" t="s">
        <v>3364</v>
      </c>
      <c r="C2983" s="509" t="s">
        <v>30</v>
      </c>
      <c r="D2983" s="512">
        <v>176119</v>
      </c>
    </row>
    <row r="2984" spans="1:4" ht="15" x14ac:dyDescent="0.35">
      <c r="A2984" s="509">
        <v>10015</v>
      </c>
      <c r="B2984" s="510" t="s">
        <v>3365</v>
      </c>
      <c r="C2984" s="509" t="s">
        <v>30</v>
      </c>
      <c r="D2984" s="511">
        <v>175642</v>
      </c>
    </row>
    <row r="2985" spans="1:4" ht="15" x14ac:dyDescent="0.35">
      <c r="A2985" s="509">
        <v>10016</v>
      </c>
      <c r="B2985" s="510" t="s">
        <v>3366</v>
      </c>
      <c r="C2985" s="509" t="s">
        <v>30</v>
      </c>
      <c r="D2985" s="512">
        <v>184603</v>
      </c>
    </row>
    <row r="2986" spans="1:4" ht="15" x14ac:dyDescent="0.35">
      <c r="A2986" s="509">
        <v>10017</v>
      </c>
      <c r="B2986" s="510" t="s">
        <v>3367</v>
      </c>
      <c r="C2986" s="509" t="s">
        <v>30</v>
      </c>
      <c r="D2986" s="512">
        <v>176715</v>
      </c>
    </row>
    <row r="2987" spans="1:4" ht="15" x14ac:dyDescent="0.35">
      <c r="A2987" s="509">
        <v>10018</v>
      </c>
      <c r="B2987" s="510" t="s">
        <v>3368</v>
      </c>
      <c r="C2987" s="509" t="s">
        <v>30</v>
      </c>
      <c r="D2987" s="512">
        <v>176237</v>
      </c>
    </row>
    <row r="2988" spans="1:4" ht="15" x14ac:dyDescent="0.35">
      <c r="A2988" s="509">
        <v>10019</v>
      </c>
      <c r="B2988" s="510" t="s">
        <v>3369</v>
      </c>
      <c r="C2988" s="509" t="s">
        <v>30</v>
      </c>
      <c r="D2988" s="512">
        <v>185198</v>
      </c>
    </row>
    <row r="2989" spans="1:4" ht="15" x14ac:dyDescent="0.35">
      <c r="A2989" s="509">
        <v>10020</v>
      </c>
      <c r="B2989" s="510" t="s">
        <v>3370</v>
      </c>
      <c r="C2989" s="509" t="s">
        <v>30</v>
      </c>
      <c r="D2989" s="512">
        <v>180764</v>
      </c>
    </row>
    <row r="2990" spans="1:4" ht="15" x14ac:dyDescent="0.35">
      <c r="A2990" s="509">
        <v>10021</v>
      </c>
      <c r="B2990" s="510" t="s">
        <v>3371</v>
      </c>
      <c r="C2990" s="509" t="s">
        <v>30</v>
      </c>
      <c r="D2990" s="511">
        <v>180286</v>
      </c>
    </row>
    <row r="2991" spans="1:4" ht="15" x14ac:dyDescent="0.35">
      <c r="A2991" s="509">
        <v>10022</v>
      </c>
      <c r="B2991" s="510" t="s">
        <v>3372</v>
      </c>
      <c r="C2991" s="509" t="s">
        <v>30</v>
      </c>
      <c r="D2991" s="511">
        <v>189247</v>
      </c>
    </row>
    <row r="2992" spans="1:4" ht="15" x14ac:dyDescent="0.35">
      <c r="A2992" s="509">
        <v>10030</v>
      </c>
      <c r="B2992" s="510" t="s">
        <v>3373</v>
      </c>
      <c r="C2992" s="509" t="s">
        <v>30</v>
      </c>
      <c r="D2992" s="511">
        <v>209648</v>
      </c>
    </row>
    <row r="2993" spans="1:4" ht="15" x14ac:dyDescent="0.35">
      <c r="A2993" s="509">
        <v>10072</v>
      </c>
      <c r="B2993" s="510" t="s">
        <v>3374</v>
      </c>
      <c r="C2993" s="509" t="s">
        <v>30</v>
      </c>
      <c r="D2993" s="511">
        <v>189991</v>
      </c>
    </row>
    <row r="2994" spans="1:4" ht="15" x14ac:dyDescent="0.35">
      <c r="A2994" s="509">
        <v>10074</v>
      </c>
      <c r="B2994" s="510" t="s">
        <v>3375</v>
      </c>
      <c r="C2994" s="509" t="s">
        <v>32</v>
      </c>
      <c r="D2994" s="511">
        <v>6942537</v>
      </c>
    </row>
    <row r="2995" spans="1:4" ht="15" x14ac:dyDescent="0.35">
      <c r="A2995" s="509">
        <v>10075</v>
      </c>
      <c r="B2995" s="510" t="s">
        <v>3376</v>
      </c>
      <c r="C2995" s="509" t="s">
        <v>32</v>
      </c>
      <c r="D2995" s="512">
        <v>9254630</v>
      </c>
    </row>
    <row r="2996" spans="1:4" ht="15" x14ac:dyDescent="0.35">
      <c r="A2996" s="509">
        <v>10214</v>
      </c>
      <c r="B2996" s="510" t="s">
        <v>3377</v>
      </c>
      <c r="C2996" s="509" t="s">
        <v>328</v>
      </c>
      <c r="D2996" s="511">
        <v>375992</v>
      </c>
    </row>
    <row r="2997" spans="1:4" ht="15" x14ac:dyDescent="0.35">
      <c r="A2997" s="509">
        <v>10246</v>
      </c>
      <c r="B2997" s="510" t="s">
        <v>3378</v>
      </c>
      <c r="C2997" s="509" t="s">
        <v>21</v>
      </c>
      <c r="D2997" s="511">
        <v>117803</v>
      </c>
    </row>
    <row r="2998" spans="1:4" ht="15" x14ac:dyDescent="0.35">
      <c r="A2998" s="509">
        <v>10247</v>
      </c>
      <c r="B2998" s="510" t="s">
        <v>3379</v>
      </c>
      <c r="C2998" s="509" t="s">
        <v>21</v>
      </c>
      <c r="D2998" s="511">
        <v>121851</v>
      </c>
    </row>
    <row r="2999" spans="1:4" ht="15" x14ac:dyDescent="0.35">
      <c r="A2999" s="509">
        <v>10248</v>
      </c>
      <c r="B2999" s="510" t="s">
        <v>3380</v>
      </c>
      <c r="C2999" s="509" t="s">
        <v>21</v>
      </c>
      <c r="D2999" s="511">
        <v>122813</v>
      </c>
    </row>
    <row r="3000" spans="1:4" ht="15" x14ac:dyDescent="0.35">
      <c r="A3000" s="509">
        <v>10249</v>
      </c>
      <c r="B3000" s="510" t="s">
        <v>3381</v>
      </c>
      <c r="C3000" s="509" t="s">
        <v>21</v>
      </c>
      <c r="D3000" s="511">
        <v>120405</v>
      </c>
    </row>
    <row r="3001" spans="1:4" ht="15" x14ac:dyDescent="0.35">
      <c r="A3001" s="509">
        <v>10250</v>
      </c>
      <c r="B3001" s="510" t="s">
        <v>3382</v>
      </c>
      <c r="C3001" s="509" t="s">
        <v>21</v>
      </c>
      <c r="D3001" s="511">
        <v>107617</v>
      </c>
    </row>
    <row r="3002" spans="1:4" ht="15" x14ac:dyDescent="0.35">
      <c r="A3002" s="509">
        <v>10251</v>
      </c>
      <c r="B3002" s="510" t="s">
        <v>3383</v>
      </c>
      <c r="C3002" s="509" t="s">
        <v>21</v>
      </c>
      <c r="D3002" s="511">
        <v>116407</v>
      </c>
    </row>
    <row r="3003" spans="1:4" ht="15" x14ac:dyDescent="0.35">
      <c r="A3003" s="509">
        <v>10252</v>
      </c>
      <c r="B3003" s="510" t="s">
        <v>3384</v>
      </c>
      <c r="C3003" s="509" t="s">
        <v>2145</v>
      </c>
      <c r="D3003" s="512">
        <v>8432</v>
      </c>
    </row>
    <row r="3004" spans="1:4" ht="15" x14ac:dyDescent="0.35">
      <c r="A3004" s="509">
        <v>10253</v>
      </c>
      <c r="B3004" s="510" t="s">
        <v>3385</v>
      </c>
      <c r="C3004" s="509" t="s">
        <v>32</v>
      </c>
      <c r="D3004" s="511">
        <v>138895773</v>
      </c>
    </row>
    <row r="3005" spans="1:4" ht="15" x14ac:dyDescent="0.35">
      <c r="A3005" s="509">
        <v>10254</v>
      </c>
      <c r="B3005" s="510" t="s">
        <v>3386</v>
      </c>
      <c r="C3005" s="509" t="s">
        <v>32</v>
      </c>
      <c r="D3005" s="511">
        <v>157526933</v>
      </c>
    </row>
    <row r="3006" spans="1:4" ht="15" x14ac:dyDescent="0.35">
      <c r="A3006" s="509">
        <v>10255</v>
      </c>
      <c r="B3006" s="510" t="s">
        <v>3387</v>
      </c>
      <c r="C3006" s="509" t="s">
        <v>32</v>
      </c>
      <c r="D3006" s="512">
        <v>175052625</v>
      </c>
    </row>
    <row r="3007" spans="1:4" ht="15" x14ac:dyDescent="0.35">
      <c r="A3007" s="509">
        <v>10256</v>
      </c>
      <c r="B3007" s="510" t="s">
        <v>3388</v>
      </c>
      <c r="C3007" s="509" t="s">
        <v>32</v>
      </c>
      <c r="D3007" s="511">
        <v>1758579</v>
      </c>
    </row>
    <row r="3008" spans="1:4" ht="15" x14ac:dyDescent="0.35">
      <c r="A3008" s="509">
        <v>10257</v>
      </c>
      <c r="B3008" s="510" t="s">
        <v>3389</v>
      </c>
      <c r="C3008" s="509" t="s">
        <v>21</v>
      </c>
      <c r="D3008" s="511">
        <v>142562</v>
      </c>
    </row>
    <row r="3009" spans="1:4" ht="15" x14ac:dyDescent="0.35">
      <c r="A3009" s="509">
        <v>10258</v>
      </c>
      <c r="B3009" s="510" t="s">
        <v>3390</v>
      </c>
      <c r="C3009" s="509" t="s">
        <v>670</v>
      </c>
      <c r="D3009" s="512">
        <v>18199</v>
      </c>
    </row>
    <row r="3010" spans="1:4" ht="15" x14ac:dyDescent="0.35">
      <c r="A3010" s="509">
        <v>10259</v>
      </c>
      <c r="B3010" s="510" t="s">
        <v>3391</v>
      </c>
      <c r="C3010" s="509" t="s">
        <v>21</v>
      </c>
      <c r="D3010" s="511">
        <v>2066</v>
      </c>
    </row>
    <row r="3011" spans="1:4" ht="15" x14ac:dyDescent="0.35">
      <c r="A3011" s="509">
        <v>10260</v>
      </c>
      <c r="B3011" s="510" t="s">
        <v>3392</v>
      </c>
      <c r="C3011" s="509" t="s">
        <v>21</v>
      </c>
      <c r="D3011" s="511">
        <v>49351</v>
      </c>
    </row>
    <row r="3012" spans="1:4" ht="15" x14ac:dyDescent="0.35">
      <c r="A3012" s="509">
        <v>10261</v>
      </c>
      <c r="B3012" s="510" t="s">
        <v>3393</v>
      </c>
      <c r="C3012" s="509" t="s">
        <v>21</v>
      </c>
      <c r="D3012" s="512">
        <v>96723</v>
      </c>
    </row>
    <row r="3013" spans="1:4" ht="15" x14ac:dyDescent="0.35">
      <c r="A3013" s="509">
        <v>10262</v>
      </c>
      <c r="B3013" s="510" t="s">
        <v>3394</v>
      </c>
      <c r="C3013" s="509" t="s">
        <v>328</v>
      </c>
      <c r="D3013" s="512">
        <v>57658</v>
      </c>
    </row>
    <row r="3014" spans="1:4" ht="15" x14ac:dyDescent="0.35">
      <c r="A3014" s="509">
        <v>10263</v>
      </c>
      <c r="B3014" s="510" t="s">
        <v>3395</v>
      </c>
      <c r="C3014" s="509" t="s">
        <v>21</v>
      </c>
      <c r="D3014" s="512">
        <v>231838</v>
      </c>
    </row>
    <row r="3015" spans="1:4" ht="15" x14ac:dyDescent="0.35">
      <c r="A3015" s="509">
        <v>10264</v>
      </c>
      <c r="B3015" s="510" t="s">
        <v>3396</v>
      </c>
      <c r="C3015" s="509" t="s">
        <v>21</v>
      </c>
      <c r="D3015" s="512">
        <v>232836</v>
      </c>
    </row>
    <row r="3016" spans="1:4" ht="15" x14ac:dyDescent="0.35">
      <c r="A3016" s="509">
        <v>10265</v>
      </c>
      <c r="B3016" s="510" t="s">
        <v>3397</v>
      </c>
      <c r="C3016" s="509" t="s">
        <v>30</v>
      </c>
      <c r="D3016" s="511">
        <v>1267495</v>
      </c>
    </row>
    <row r="3017" spans="1:4" ht="15" x14ac:dyDescent="0.35">
      <c r="A3017" s="509">
        <v>10266</v>
      </c>
      <c r="B3017" s="510" t="s">
        <v>3398</v>
      </c>
      <c r="C3017" s="509" t="s">
        <v>30</v>
      </c>
      <c r="D3017" s="511">
        <v>1050422</v>
      </c>
    </row>
    <row r="3018" spans="1:4" ht="15" x14ac:dyDescent="0.35">
      <c r="A3018" s="509">
        <v>10267</v>
      </c>
      <c r="B3018" s="510" t="s">
        <v>3399</v>
      </c>
      <c r="C3018" s="509" t="s">
        <v>21</v>
      </c>
      <c r="D3018" s="511">
        <v>152082</v>
      </c>
    </row>
    <row r="3019" spans="1:4" ht="15" x14ac:dyDescent="0.35">
      <c r="A3019" s="509">
        <v>10268</v>
      </c>
      <c r="B3019" s="510" t="s">
        <v>3400</v>
      </c>
      <c r="C3019" s="509" t="s">
        <v>21</v>
      </c>
      <c r="D3019" s="511">
        <v>220753</v>
      </c>
    </row>
    <row r="3020" spans="1:4" ht="15" x14ac:dyDescent="0.35">
      <c r="A3020" s="509">
        <v>10269</v>
      </c>
      <c r="B3020" s="510" t="s">
        <v>3401</v>
      </c>
      <c r="C3020" s="509" t="s">
        <v>21</v>
      </c>
      <c r="D3020" s="512">
        <v>309914</v>
      </c>
    </row>
    <row r="3021" spans="1:4" ht="15" x14ac:dyDescent="0.35">
      <c r="A3021" s="509">
        <v>10270</v>
      </c>
      <c r="B3021" s="510" t="s">
        <v>3402</v>
      </c>
      <c r="C3021" s="509" t="s">
        <v>21</v>
      </c>
      <c r="D3021" s="512">
        <v>282043</v>
      </c>
    </row>
    <row r="3022" spans="1:4" ht="15" x14ac:dyDescent="0.35">
      <c r="A3022" s="509">
        <v>10271</v>
      </c>
      <c r="B3022" s="510" t="s">
        <v>3403</v>
      </c>
      <c r="C3022" s="509" t="s">
        <v>21</v>
      </c>
      <c r="D3022" s="511">
        <v>50954</v>
      </c>
    </row>
    <row r="3023" spans="1:4" ht="15" x14ac:dyDescent="0.35">
      <c r="A3023" s="509">
        <v>10272</v>
      </c>
      <c r="B3023" s="510" t="s">
        <v>3404</v>
      </c>
      <c r="C3023" s="509" t="s">
        <v>21</v>
      </c>
      <c r="D3023" s="512">
        <v>193891</v>
      </c>
    </row>
    <row r="3024" spans="1:4" ht="15" x14ac:dyDescent="0.35">
      <c r="A3024" s="509">
        <v>10273</v>
      </c>
      <c r="B3024" s="510" t="s">
        <v>3405</v>
      </c>
      <c r="C3024" s="509" t="s">
        <v>30</v>
      </c>
      <c r="D3024" s="511">
        <v>1489876</v>
      </c>
    </row>
    <row r="3025" spans="1:4" ht="15" x14ac:dyDescent="0.35">
      <c r="A3025" s="509">
        <v>10274</v>
      </c>
      <c r="B3025" s="510" t="s">
        <v>3406</v>
      </c>
      <c r="C3025" s="509" t="s">
        <v>30</v>
      </c>
      <c r="D3025" s="511">
        <v>1559740</v>
      </c>
    </row>
    <row r="3026" spans="1:4" ht="15" x14ac:dyDescent="0.35">
      <c r="A3026" s="509">
        <v>10275</v>
      </c>
      <c r="B3026" s="510" t="s">
        <v>3407</v>
      </c>
      <c r="C3026" s="509" t="s">
        <v>21</v>
      </c>
      <c r="D3026" s="511">
        <v>312496</v>
      </c>
    </row>
    <row r="3027" spans="1:4" ht="15" x14ac:dyDescent="0.35">
      <c r="A3027" s="509">
        <v>10276</v>
      </c>
      <c r="B3027" s="510" t="s">
        <v>3408</v>
      </c>
      <c r="C3027" s="509" t="s">
        <v>30</v>
      </c>
      <c r="D3027" s="511">
        <v>1097144</v>
      </c>
    </row>
    <row r="3028" spans="1:4" ht="15" x14ac:dyDescent="0.35">
      <c r="A3028" s="509">
        <v>10277</v>
      </c>
      <c r="B3028" s="510" t="s">
        <v>3409</v>
      </c>
      <c r="C3028" s="509" t="s">
        <v>30</v>
      </c>
      <c r="D3028" s="511">
        <v>1185168</v>
      </c>
    </row>
    <row r="3029" spans="1:4" ht="15" x14ac:dyDescent="0.35">
      <c r="A3029" s="509">
        <v>10321</v>
      </c>
      <c r="B3029" s="510" t="s">
        <v>3410</v>
      </c>
      <c r="C3029" s="509" t="s">
        <v>32</v>
      </c>
      <c r="D3029" s="511">
        <v>46053</v>
      </c>
    </row>
    <row r="3030" spans="1:4" ht="15" x14ac:dyDescent="0.35">
      <c r="A3030" s="509">
        <v>10322</v>
      </c>
      <c r="B3030" s="510" t="s">
        <v>3411</v>
      </c>
      <c r="C3030" s="509" t="s">
        <v>32</v>
      </c>
      <c r="D3030" s="512">
        <v>66457</v>
      </c>
    </row>
    <row r="3031" spans="1:4" ht="15" x14ac:dyDescent="0.35">
      <c r="A3031" s="509">
        <v>10323</v>
      </c>
      <c r="B3031" s="510" t="s">
        <v>3412</v>
      </c>
      <c r="C3031" s="509" t="s">
        <v>32</v>
      </c>
      <c r="D3031" s="512">
        <v>50403</v>
      </c>
    </row>
    <row r="3032" spans="1:4" ht="15" x14ac:dyDescent="0.35">
      <c r="A3032" s="509">
        <v>10324</v>
      </c>
      <c r="B3032" s="510" t="s">
        <v>3413</v>
      </c>
      <c r="C3032" s="509" t="s">
        <v>32</v>
      </c>
      <c r="D3032" s="511">
        <v>209976</v>
      </c>
    </row>
    <row r="3033" spans="1:4" ht="15" x14ac:dyDescent="0.35">
      <c r="A3033" s="509">
        <v>10325</v>
      </c>
      <c r="B3033" s="510" t="s">
        <v>3414</v>
      </c>
      <c r="C3033" s="509" t="s">
        <v>328</v>
      </c>
      <c r="D3033" s="511">
        <v>212493</v>
      </c>
    </row>
    <row r="3034" spans="1:4" ht="15" x14ac:dyDescent="0.35">
      <c r="A3034" s="509">
        <v>10326</v>
      </c>
      <c r="B3034" s="510" t="s">
        <v>3415</v>
      </c>
      <c r="C3034" s="509" t="s">
        <v>32</v>
      </c>
      <c r="D3034" s="511">
        <v>1365965</v>
      </c>
    </row>
    <row r="3035" spans="1:4" ht="15" x14ac:dyDescent="0.35">
      <c r="A3035" s="509">
        <v>10327</v>
      </c>
      <c r="B3035" s="510" t="s">
        <v>3416</v>
      </c>
      <c r="C3035" s="509" t="s">
        <v>32</v>
      </c>
      <c r="D3035" s="512">
        <v>1175068</v>
      </c>
    </row>
    <row r="3036" spans="1:4" ht="15" x14ac:dyDescent="0.35">
      <c r="A3036" s="509">
        <v>10328</v>
      </c>
      <c r="B3036" s="510" t="s">
        <v>3417</v>
      </c>
      <c r="C3036" s="509" t="s">
        <v>32</v>
      </c>
      <c r="D3036" s="512">
        <v>1106552</v>
      </c>
    </row>
    <row r="3037" spans="1:4" ht="15" x14ac:dyDescent="0.35">
      <c r="A3037" s="509">
        <v>10329</v>
      </c>
      <c r="B3037" s="510" t="s">
        <v>3418</v>
      </c>
      <c r="C3037" s="509" t="s">
        <v>32</v>
      </c>
      <c r="D3037" s="511">
        <v>1126277</v>
      </c>
    </row>
    <row r="3038" spans="1:4" ht="15" x14ac:dyDescent="0.35">
      <c r="A3038" s="509">
        <v>10330</v>
      </c>
      <c r="B3038" s="510" t="s">
        <v>3419</v>
      </c>
      <c r="C3038" s="509" t="s">
        <v>32</v>
      </c>
      <c r="D3038" s="511">
        <v>1126277</v>
      </c>
    </row>
    <row r="3039" spans="1:4" ht="15" x14ac:dyDescent="0.35">
      <c r="A3039" s="509">
        <v>10331</v>
      </c>
      <c r="B3039" s="510" t="s">
        <v>3420</v>
      </c>
      <c r="C3039" s="509" t="s">
        <v>32</v>
      </c>
      <c r="D3039" s="511">
        <v>2962588</v>
      </c>
    </row>
    <row r="3040" spans="1:4" ht="15" x14ac:dyDescent="0.35">
      <c r="A3040" s="509">
        <v>10332</v>
      </c>
      <c r="B3040" s="510" t="s">
        <v>3421</v>
      </c>
      <c r="C3040" s="509" t="s">
        <v>32</v>
      </c>
      <c r="D3040" s="511">
        <v>3425487</v>
      </c>
    </row>
    <row r="3041" spans="1:4" ht="15" x14ac:dyDescent="0.35">
      <c r="A3041" s="509">
        <v>10333</v>
      </c>
      <c r="B3041" s="510" t="s">
        <v>3422</v>
      </c>
      <c r="C3041" s="509" t="s">
        <v>32</v>
      </c>
      <c r="D3041" s="511">
        <v>3814768</v>
      </c>
    </row>
    <row r="3042" spans="1:4" ht="15" x14ac:dyDescent="0.35">
      <c r="A3042" s="509">
        <v>10334</v>
      </c>
      <c r="B3042" s="510" t="s">
        <v>3423</v>
      </c>
      <c r="C3042" s="509" t="s">
        <v>32</v>
      </c>
      <c r="D3042" s="511">
        <v>4028327</v>
      </c>
    </row>
    <row r="3043" spans="1:4" ht="15" x14ac:dyDescent="0.35">
      <c r="A3043" s="509">
        <v>10335</v>
      </c>
      <c r="B3043" s="510" t="s">
        <v>3424</v>
      </c>
      <c r="C3043" s="509" t="s">
        <v>32</v>
      </c>
      <c r="D3043" s="512">
        <v>11276899</v>
      </c>
    </row>
    <row r="3044" spans="1:4" ht="15" x14ac:dyDescent="0.35">
      <c r="A3044" s="509">
        <v>10336</v>
      </c>
      <c r="B3044" s="510" t="s">
        <v>3425</v>
      </c>
      <c r="C3044" s="509" t="s">
        <v>32</v>
      </c>
      <c r="D3044" s="511">
        <v>14430814</v>
      </c>
    </row>
    <row r="3045" spans="1:4" ht="15" x14ac:dyDescent="0.35">
      <c r="A3045" s="509">
        <v>10338</v>
      </c>
      <c r="B3045" s="510" t="s">
        <v>3426</v>
      </c>
      <c r="C3045" s="509" t="s">
        <v>30</v>
      </c>
      <c r="D3045" s="511">
        <v>147410</v>
      </c>
    </row>
    <row r="3046" spans="1:4" ht="15" x14ac:dyDescent="0.35">
      <c r="A3046" s="509">
        <v>10339</v>
      </c>
      <c r="B3046" s="510" t="s">
        <v>3427</v>
      </c>
      <c r="C3046" s="509" t="s">
        <v>30</v>
      </c>
      <c r="D3046" s="511">
        <v>164396</v>
      </c>
    </row>
    <row r="3047" spans="1:4" ht="15" x14ac:dyDescent="0.35">
      <c r="A3047" s="509">
        <v>10340</v>
      </c>
      <c r="B3047" s="510" t="s">
        <v>3428</v>
      </c>
      <c r="C3047" s="509" t="s">
        <v>30</v>
      </c>
      <c r="D3047" s="512">
        <v>139313</v>
      </c>
    </row>
    <row r="3048" spans="1:4" ht="15" x14ac:dyDescent="0.35">
      <c r="A3048" s="509">
        <v>10341</v>
      </c>
      <c r="B3048" s="510" t="s">
        <v>3429</v>
      </c>
      <c r="C3048" s="509" t="s">
        <v>30</v>
      </c>
      <c r="D3048" s="512">
        <v>156299</v>
      </c>
    </row>
    <row r="3049" spans="1:4" ht="15" x14ac:dyDescent="0.35">
      <c r="A3049" s="509">
        <v>10342</v>
      </c>
      <c r="B3049" s="510" t="s">
        <v>3430</v>
      </c>
      <c r="C3049" s="509" t="s">
        <v>32</v>
      </c>
      <c r="D3049" s="512">
        <v>1924738</v>
      </c>
    </row>
    <row r="3050" spans="1:4" ht="15" x14ac:dyDescent="0.35">
      <c r="A3050" s="509">
        <v>10343</v>
      </c>
      <c r="B3050" s="510" t="s">
        <v>3431</v>
      </c>
      <c r="C3050" s="509" t="s">
        <v>32</v>
      </c>
      <c r="D3050" s="512">
        <v>2322649</v>
      </c>
    </row>
    <row r="3051" spans="1:4" ht="15" x14ac:dyDescent="0.35">
      <c r="A3051" s="509">
        <v>10344</v>
      </c>
      <c r="B3051" s="510" t="s">
        <v>3432</v>
      </c>
      <c r="C3051" s="509" t="s">
        <v>32</v>
      </c>
      <c r="D3051" s="512">
        <v>273700</v>
      </c>
    </row>
    <row r="3052" spans="1:4" ht="15" x14ac:dyDescent="0.35">
      <c r="A3052" s="509">
        <v>10345</v>
      </c>
      <c r="B3052" s="510" t="s">
        <v>3433</v>
      </c>
      <c r="C3052" s="509" t="s">
        <v>32</v>
      </c>
      <c r="D3052" s="512">
        <v>196350</v>
      </c>
    </row>
    <row r="3053" spans="1:4" ht="15" x14ac:dyDescent="0.35">
      <c r="A3053" s="509">
        <v>10346</v>
      </c>
      <c r="B3053" s="510" t="s">
        <v>3434</v>
      </c>
      <c r="C3053" s="509" t="s">
        <v>32</v>
      </c>
      <c r="D3053" s="512">
        <v>856800</v>
      </c>
    </row>
    <row r="3054" spans="1:4" ht="15" x14ac:dyDescent="0.35">
      <c r="A3054" s="509">
        <v>10347</v>
      </c>
      <c r="B3054" s="510" t="s">
        <v>3435</v>
      </c>
      <c r="C3054" s="509" t="s">
        <v>32</v>
      </c>
      <c r="D3054" s="511">
        <v>214200</v>
      </c>
    </row>
    <row r="3055" spans="1:4" ht="15" x14ac:dyDescent="0.35">
      <c r="A3055" s="509">
        <v>10348</v>
      </c>
      <c r="B3055" s="510" t="s">
        <v>3436</v>
      </c>
      <c r="C3055" s="509" t="s">
        <v>32</v>
      </c>
      <c r="D3055" s="512">
        <v>388075</v>
      </c>
    </row>
    <row r="3056" spans="1:4" ht="15" x14ac:dyDescent="0.35">
      <c r="A3056" s="509">
        <v>10349</v>
      </c>
      <c r="B3056" s="510" t="s">
        <v>3437</v>
      </c>
      <c r="C3056" s="509" t="s">
        <v>328</v>
      </c>
      <c r="D3056" s="511">
        <v>511856</v>
      </c>
    </row>
    <row r="3057" spans="1:4" ht="15" x14ac:dyDescent="0.35">
      <c r="A3057" s="509">
        <v>10350</v>
      </c>
      <c r="B3057" s="510" t="s">
        <v>3438</v>
      </c>
      <c r="C3057" s="509" t="s">
        <v>30</v>
      </c>
      <c r="D3057" s="511">
        <v>187906</v>
      </c>
    </row>
    <row r="3058" spans="1:4" ht="15" x14ac:dyDescent="0.35">
      <c r="A3058" s="509">
        <v>10351</v>
      </c>
      <c r="B3058" s="510" t="s">
        <v>3439</v>
      </c>
      <c r="C3058" s="509" t="s">
        <v>30</v>
      </c>
      <c r="D3058" s="511">
        <v>166558</v>
      </c>
    </row>
    <row r="3059" spans="1:4" ht="15" x14ac:dyDescent="0.35">
      <c r="A3059" s="509">
        <v>10352</v>
      </c>
      <c r="B3059" s="510" t="s">
        <v>3440</v>
      </c>
      <c r="C3059" s="509" t="s">
        <v>328</v>
      </c>
      <c r="D3059" s="511">
        <v>903770</v>
      </c>
    </row>
    <row r="3060" spans="1:4" ht="15" x14ac:dyDescent="0.35">
      <c r="A3060" s="509">
        <v>10353</v>
      </c>
      <c r="B3060" s="510" t="s">
        <v>3441</v>
      </c>
      <c r="C3060" s="509" t="s">
        <v>328</v>
      </c>
      <c r="D3060" s="511">
        <v>928318</v>
      </c>
    </row>
    <row r="3061" spans="1:4" ht="15" x14ac:dyDescent="0.35">
      <c r="A3061" s="509">
        <v>10354</v>
      </c>
      <c r="B3061" s="510" t="s">
        <v>3442</v>
      </c>
      <c r="C3061" s="509" t="s">
        <v>328</v>
      </c>
      <c r="D3061" s="511">
        <v>1014020</v>
      </c>
    </row>
    <row r="3062" spans="1:4" ht="15" x14ac:dyDescent="0.35">
      <c r="A3062" s="509">
        <v>10355</v>
      </c>
      <c r="B3062" s="510" t="s">
        <v>3443</v>
      </c>
      <c r="C3062" s="509" t="s">
        <v>328</v>
      </c>
      <c r="D3062" s="511">
        <v>1246672</v>
      </c>
    </row>
    <row r="3063" spans="1:4" ht="15" x14ac:dyDescent="0.35">
      <c r="A3063" s="509">
        <v>10356</v>
      </c>
      <c r="B3063" s="510" t="s">
        <v>3444</v>
      </c>
      <c r="C3063" s="509" t="s">
        <v>328</v>
      </c>
      <c r="D3063" s="511">
        <v>1310808</v>
      </c>
    </row>
    <row r="3064" spans="1:4" ht="15" x14ac:dyDescent="0.35">
      <c r="A3064" s="509">
        <v>10357</v>
      </c>
      <c r="B3064" s="510" t="s">
        <v>3445</v>
      </c>
      <c r="C3064" s="509" t="s">
        <v>328</v>
      </c>
      <c r="D3064" s="511">
        <v>1423373</v>
      </c>
    </row>
    <row r="3065" spans="1:4" ht="15" x14ac:dyDescent="0.35">
      <c r="A3065" s="509">
        <v>10358</v>
      </c>
      <c r="B3065" s="510" t="s">
        <v>3446</v>
      </c>
      <c r="C3065" s="509" t="s">
        <v>328</v>
      </c>
      <c r="D3065" s="511">
        <v>1677828</v>
      </c>
    </row>
    <row r="3066" spans="1:4" ht="15" x14ac:dyDescent="0.35">
      <c r="A3066" s="509">
        <v>10359</v>
      </c>
      <c r="B3066" s="510" t="s">
        <v>3447</v>
      </c>
      <c r="C3066" s="509" t="s">
        <v>328</v>
      </c>
      <c r="D3066" s="511">
        <v>2048314</v>
      </c>
    </row>
    <row r="3067" spans="1:4" ht="15" x14ac:dyDescent="0.35">
      <c r="A3067" s="509">
        <v>10360</v>
      </c>
      <c r="B3067" s="510" t="s">
        <v>3448</v>
      </c>
      <c r="C3067" s="509" t="s">
        <v>328</v>
      </c>
      <c r="D3067" s="511">
        <v>2222315</v>
      </c>
    </row>
    <row r="3068" spans="1:4" ht="15" x14ac:dyDescent="0.35">
      <c r="A3068" s="509">
        <v>10361</v>
      </c>
      <c r="B3068" s="510" t="s">
        <v>3449</v>
      </c>
      <c r="C3068" s="509" t="s">
        <v>328</v>
      </c>
      <c r="D3068" s="511">
        <v>2348076</v>
      </c>
    </row>
    <row r="3069" spans="1:4" ht="15" x14ac:dyDescent="0.35">
      <c r="A3069" s="509">
        <v>10362</v>
      </c>
      <c r="B3069" s="510" t="s">
        <v>3450</v>
      </c>
      <c r="C3069" s="509" t="s">
        <v>328</v>
      </c>
      <c r="D3069" s="511">
        <v>2464043</v>
      </c>
    </row>
    <row r="3070" spans="1:4" ht="15" x14ac:dyDescent="0.35">
      <c r="A3070" s="509">
        <v>10363</v>
      </c>
      <c r="B3070" s="510" t="s">
        <v>3451</v>
      </c>
      <c r="C3070" s="509" t="s">
        <v>328</v>
      </c>
      <c r="D3070" s="511">
        <v>936072</v>
      </c>
    </row>
    <row r="3071" spans="1:4" ht="15" x14ac:dyDescent="0.35">
      <c r="A3071" s="509">
        <v>10364</v>
      </c>
      <c r="B3071" s="510" t="s">
        <v>3452</v>
      </c>
      <c r="C3071" s="509" t="s">
        <v>328</v>
      </c>
      <c r="D3071" s="511">
        <v>982310</v>
      </c>
    </row>
    <row r="3072" spans="1:4" ht="15" x14ac:dyDescent="0.35">
      <c r="A3072" s="509">
        <v>10365</v>
      </c>
      <c r="B3072" s="510" t="s">
        <v>3453</v>
      </c>
      <c r="C3072" s="509" t="s">
        <v>328</v>
      </c>
      <c r="D3072" s="511">
        <v>1080018</v>
      </c>
    </row>
    <row r="3073" spans="1:4" ht="15" x14ac:dyDescent="0.35">
      <c r="A3073" s="509">
        <v>10366</v>
      </c>
      <c r="B3073" s="510" t="s">
        <v>3454</v>
      </c>
      <c r="C3073" s="509" t="s">
        <v>328</v>
      </c>
      <c r="D3073" s="511">
        <v>1303481</v>
      </c>
    </row>
    <row r="3074" spans="1:4" ht="15" x14ac:dyDescent="0.35">
      <c r="A3074" s="509">
        <v>10367</v>
      </c>
      <c r="B3074" s="510" t="s">
        <v>3455</v>
      </c>
      <c r="C3074" s="509" t="s">
        <v>328</v>
      </c>
      <c r="D3074" s="511">
        <v>1393404</v>
      </c>
    </row>
    <row r="3075" spans="1:4" ht="15" x14ac:dyDescent="0.35">
      <c r="A3075" s="509">
        <v>10368</v>
      </c>
      <c r="B3075" s="510" t="s">
        <v>3456</v>
      </c>
      <c r="C3075" s="509" t="s">
        <v>328</v>
      </c>
      <c r="D3075" s="511">
        <v>1535030</v>
      </c>
    </row>
    <row r="3076" spans="1:4" ht="15" x14ac:dyDescent="0.35">
      <c r="A3076" s="509">
        <v>10369</v>
      </c>
      <c r="B3076" s="510" t="s">
        <v>3457</v>
      </c>
      <c r="C3076" s="509" t="s">
        <v>328</v>
      </c>
      <c r="D3076" s="512">
        <v>1698069</v>
      </c>
    </row>
    <row r="3077" spans="1:4" ht="15" x14ac:dyDescent="0.35">
      <c r="A3077" s="509">
        <v>10370</v>
      </c>
      <c r="B3077" s="510" t="s">
        <v>3458</v>
      </c>
      <c r="C3077" s="509" t="s">
        <v>328</v>
      </c>
      <c r="D3077" s="512">
        <v>2045826</v>
      </c>
    </row>
    <row r="3078" spans="1:4" ht="15" x14ac:dyDescent="0.35">
      <c r="A3078" s="509">
        <v>10371</v>
      </c>
      <c r="B3078" s="510" t="s">
        <v>3459</v>
      </c>
      <c r="C3078" s="509" t="s">
        <v>328</v>
      </c>
      <c r="D3078" s="511">
        <v>2218958</v>
      </c>
    </row>
    <row r="3079" spans="1:4" ht="15" x14ac:dyDescent="0.35">
      <c r="A3079" s="509">
        <v>10372</v>
      </c>
      <c r="B3079" s="510" t="s">
        <v>3460</v>
      </c>
      <c r="C3079" s="509" t="s">
        <v>328</v>
      </c>
      <c r="D3079" s="511">
        <v>2333384</v>
      </c>
    </row>
    <row r="3080" spans="1:4" ht="15" x14ac:dyDescent="0.35">
      <c r="A3080" s="509">
        <v>10373</v>
      </c>
      <c r="B3080" s="510" t="s">
        <v>3461</v>
      </c>
      <c r="C3080" s="509" t="s">
        <v>328</v>
      </c>
      <c r="D3080" s="511">
        <v>2470722</v>
      </c>
    </row>
    <row r="3081" spans="1:4" ht="15" x14ac:dyDescent="0.35">
      <c r="A3081" s="509">
        <v>10374</v>
      </c>
      <c r="B3081" s="510" t="s">
        <v>3462</v>
      </c>
      <c r="C3081" s="509" t="s">
        <v>32</v>
      </c>
      <c r="D3081" s="512">
        <v>269686</v>
      </c>
    </row>
    <row r="3082" spans="1:4" ht="15" x14ac:dyDescent="0.35">
      <c r="A3082" s="509">
        <v>10375</v>
      </c>
      <c r="B3082" s="510" t="s">
        <v>3463</v>
      </c>
      <c r="C3082" s="509" t="s">
        <v>32</v>
      </c>
      <c r="D3082" s="511">
        <v>624853</v>
      </c>
    </row>
    <row r="3083" spans="1:4" ht="15" x14ac:dyDescent="0.35">
      <c r="A3083" s="509">
        <v>10376</v>
      </c>
      <c r="B3083" s="510" t="s">
        <v>3464</v>
      </c>
      <c r="C3083" s="509" t="s">
        <v>32</v>
      </c>
      <c r="D3083" s="512">
        <v>1371726</v>
      </c>
    </row>
    <row r="3084" spans="1:4" ht="15" x14ac:dyDescent="0.35">
      <c r="A3084" s="509">
        <v>10377</v>
      </c>
      <c r="B3084" s="510" t="s">
        <v>3465</v>
      </c>
      <c r="C3084" s="509" t="s">
        <v>32</v>
      </c>
      <c r="D3084" s="512">
        <v>1934713</v>
      </c>
    </row>
    <row r="3085" spans="1:4" ht="15" x14ac:dyDescent="0.35">
      <c r="A3085" s="509">
        <v>10378</v>
      </c>
      <c r="B3085" s="510" t="s">
        <v>3466</v>
      </c>
      <c r="C3085" s="509" t="s">
        <v>32</v>
      </c>
      <c r="D3085" s="512">
        <v>2217607</v>
      </c>
    </row>
    <row r="3086" spans="1:4" ht="15" x14ac:dyDescent="0.35">
      <c r="A3086" s="509">
        <v>10454</v>
      </c>
      <c r="B3086" s="510" t="s">
        <v>3467</v>
      </c>
      <c r="C3086" s="509" t="s">
        <v>328</v>
      </c>
      <c r="D3086" s="512">
        <v>235505</v>
      </c>
    </row>
    <row r="3087" spans="1:4" ht="15" x14ac:dyDescent="0.35">
      <c r="A3087" s="509">
        <v>10455</v>
      </c>
      <c r="B3087" s="510" t="s">
        <v>3468</v>
      </c>
      <c r="C3087" s="509" t="s">
        <v>328</v>
      </c>
      <c r="D3087" s="511">
        <v>293069</v>
      </c>
    </row>
    <row r="3088" spans="1:4" ht="15" x14ac:dyDescent="0.35">
      <c r="A3088" s="509">
        <v>10456</v>
      </c>
      <c r="B3088" s="510" t="s">
        <v>3469</v>
      </c>
      <c r="C3088" s="509" t="s">
        <v>328</v>
      </c>
      <c r="D3088" s="512">
        <v>348215</v>
      </c>
    </row>
    <row r="3089" spans="1:4" ht="15" x14ac:dyDescent="0.35">
      <c r="A3089" s="509">
        <v>10457</v>
      </c>
      <c r="B3089" s="510" t="s">
        <v>3470</v>
      </c>
      <c r="C3089" s="509" t="s">
        <v>328</v>
      </c>
      <c r="D3089" s="512">
        <v>378730</v>
      </c>
    </row>
    <row r="3090" spans="1:4" ht="15" x14ac:dyDescent="0.35">
      <c r="A3090" s="509">
        <v>10458</v>
      </c>
      <c r="B3090" s="510" t="s">
        <v>3471</v>
      </c>
      <c r="C3090" s="509" t="s">
        <v>328</v>
      </c>
      <c r="D3090" s="512">
        <v>246776</v>
      </c>
    </row>
    <row r="3091" spans="1:4" ht="15" x14ac:dyDescent="0.35">
      <c r="A3091" s="509">
        <v>10459</v>
      </c>
      <c r="B3091" s="510" t="s">
        <v>3472</v>
      </c>
      <c r="C3091" s="509" t="s">
        <v>328</v>
      </c>
      <c r="D3091" s="512">
        <v>309898</v>
      </c>
    </row>
    <row r="3092" spans="1:4" ht="15" x14ac:dyDescent="0.35">
      <c r="A3092" s="509">
        <v>10460</v>
      </c>
      <c r="B3092" s="510" t="s">
        <v>3473</v>
      </c>
      <c r="C3092" s="509" t="s">
        <v>328</v>
      </c>
      <c r="D3092" s="512">
        <v>366691</v>
      </c>
    </row>
    <row r="3093" spans="1:4" ht="15" x14ac:dyDescent="0.35">
      <c r="A3093" s="509">
        <v>10461</v>
      </c>
      <c r="B3093" s="510" t="s">
        <v>3474</v>
      </c>
      <c r="C3093" s="509" t="s">
        <v>328</v>
      </c>
      <c r="D3093" s="512">
        <v>397591</v>
      </c>
    </row>
    <row r="3094" spans="1:4" ht="15" x14ac:dyDescent="0.35">
      <c r="A3094" s="509">
        <v>10462</v>
      </c>
      <c r="B3094" s="510" t="s">
        <v>3475</v>
      </c>
      <c r="C3094" s="509" t="s">
        <v>21</v>
      </c>
      <c r="D3094" s="512">
        <v>326205</v>
      </c>
    </row>
    <row r="3095" spans="1:4" ht="15" x14ac:dyDescent="0.35">
      <c r="A3095" s="509">
        <v>10465</v>
      </c>
      <c r="B3095" s="510" t="s">
        <v>3476</v>
      </c>
      <c r="C3095" s="509" t="s">
        <v>21</v>
      </c>
      <c r="D3095" s="512">
        <v>97889</v>
      </c>
    </row>
    <row r="3096" spans="1:4" ht="15" x14ac:dyDescent="0.35">
      <c r="A3096" s="509">
        <v>10484</v>
      </c>
      <c r="B3096" s="510" t="s">
        <v>3477</v>
      </c>
      <c r="C3096" s="509" t="s">
        <v>328</v>
      </c>
      <c r="D3096" s="512">
        <v>333498</v>
      </c>
    </row>
    <row r="3097" spans="1:4" ht="15" x14ac:dyDescent="0.35">
      <c r="A3097" s="509">
        <v>10485</v>
      </c>
      <c r="B3097" s="510" t="s">
        <v>3478</v>
      </c>
      <c r="C3097" s="509" t="s">
        <v>328</v>
      </c>
      <c r="D3097" s="512">
        <v>430100</v>
      </c>
    </row>
    <row r="3098" spans="1:4" ht="15" x14ac:dyDescent="0.35">
      <c r="A3098" s="509">
        <v>10486</v>
      </c>
      <c r="B3098" s="510" t="s">
        <v>3479</v>
      </c>
      <c r="C3098" s="509" t="s">
        <v>328</v>
      </c>
      <c r="D3098" s="512">
        <v>516707</v>
      </c>
    </row>
    <row r="3099" spans="1:4" ht="15" x14ac:dyDescent="0.35">
      <c r="A3099" s="509">
        <v>10487</v>
      </c>
      <c r="B3099" s="510" t="s">
        <v>3480</v>
      </c>
      <c r="C3099" s="509" t="s">
        <v>328</v>
      </c>
      <c r="D3099" s="512">
        <v>562323</v>
      </c>
    </row>
    <row r="3100" spans="1:4" ht="15" x14ac:dyDescent="0.35">
      <c r="A3100" s="509">
        <v>10488</v>
      </c>
      <c r="B3100" s="510" t="s">
        <v>3481</v>
      </c>
      <c r="C3100" s="509" t="s">
        <v>328</v>
      </c>
      <c r="D3100" s="512">
        <v>357064</v>
      </c>
    </row>
    <row r="3101" spans="1:4" ht="15" x14ac:dyDescent="0.35">
      <c r="A3101" s="509">
        <v>10489</v>
      </c>
      <c r="B3101" s="510" t="s">
        <v>3482</v>
      </c>
      <c r="C3101" s="509" t="s">
        <v>328</v>
      </c>
      <c r="D3101" s="512">
        <v>464009</v>
      </c>
    </row>
    <row r="3102" spans="1:4" ht="15" x14ac:dyDescent="0.35">
      <c r="A3102" s="509">
        <v>10490</v>
      </c>
      <c r="B3102" s="510" t="s">
        <v>3483</v>
      </c>
      <c r="C3102" s="509" t="s">
        <v>328</v>
      </c>
      <c r="D3102" s="512">
        <v>559730</v>
      </c>
    </row>
    <row r="3103" spans="1:4" ht="15" x14ac:dyDescent="0.35">
      <c r="A3103" s="509">
        <v>10491</v>
      </c>
      <c r="B3103" s="510" t="s">
        <v>3484</v>
      </c>
      <c r="C3103" s="509" t="s">
        <v>328</v>
      </c>
      <c r="D3103" s="512">
        <v>606402</v>
      </c>
    </row>
    <row r="3104" spans="1:4" ht="15" x14ac:dyDescent="0.35">
      <c r="A3104" s="509">
        <v>10492</v>
      </c>
      <c r="B3104" s="510" t="s">
        <v>3485</v>
      </c>
      <c r="C3104" s="509" t="s">
        <v>328</v>
      </c>
      <c r="D3104" s="512">
        <v>402672</v>
      </c>
    </row>
    <row r="3105" spans="1:4" ht="15" x14ac:dyDescent="0.35">
      <c r="A3105" s="509">
        <v>10493</v>
      </c>
      <c r="B3105" s="510" t="s">
        <v>3486</v>
      </c>
      <c r="C3105" s="509" t="s">
        <v>328</v>
      </c>
      <c r="D3105" s="512">
        <v>521702</v>
      </c>
    </row>
    <row r="3106" spans="1:4" ht="15" x14ac:dyDescent="0.35">
      <c r="A3106" s="509">
        <v>10494</v>
      </c>
      <c r="B3106" s="510" t="s">
        <v>3487</v>
      </c>
      <c r="C3106" s="509" t="s">
        <v>328</v>
      </c>
      <c r="D3106" s="512">
        <v>625388</v>
      </c>
    </row>
    <row r="3107" spans="1:4" ht="15" x14ac:dyDescent="0.35">
      <c r="A3107" s="509">
        <v>10495</v>
      </c>
      <c r="B3107" s="510" t="s">
        <v>3488</v>
      </c>
      <c r="C3107" s="509" t="s">
        <v>328</v>
      </c>
      <c r="D3107" s="512">
        <v>761846</v>
      </c>
    </row>
    <row r="3108" spans="1:4" ht="15" x14ac:dyDescent="0.35">
      <c r="A3108" s="509">
        <v>10496</v>
      </c>
      <c r="B3108" s="510" t="s">
        <v>3489</v>
      </c>
      <c r="C3108" s="509" t="s">
        <v>328</v>
      </c>
      <c r="D3108" s="512">
        <v>431957</v>
      </c>
    </row>
    <row r="3109" spans="1:4" ht="15" x14ac:dyDescent="0.35">
      <c r="A3109" s="509">
        <v>10497</v>
      </c>
      <c r="B3109" s="510" t="s">
        <v>3490</v>
      </c>
      <c r="C3109" s="509" t="s">
        <v>328</v>
      </c>
      <c r="D3109" s="512">
        <v>563200</v>
      </c>
    </row>
    <row r="3110" spans="1:4" ht="15" x14ac:dyDescent="0.35">
      <c r="A3110" s="509">
        <v>10498</v>
      </c>
      <c r="B3110" s="510" t="s">
        <v>3491</v>
      </c>
      <c r="C3110" s="509" t="s">
        <v>328</v>
      </c>
      <c r="D3110" s="512">
        <v>679448</v>
      </c>
    </row>
    <row r="3111" spans="1:4" ht="15" x14ac:dyDescent="0.35">
      <c r="A3111" s="509">
        <v>10499</v>
      </c>
      <c r="B3111" s="510" t="s">
        <v>3492</v>
      </c>
      <c r="C3111" s="509" t="s">
        <v>328</v>
      </c>
      <c r="D3111" s="512">
        <v>822624</v>
      </c>
    </row>
    <row r="3112" spans="1:4" ht="15" x14ac:dyDescent="0.35">
      <c r="A3112" s="509">
        <v>10500</v>
      </c>
      <c r="B3112" s="510" t="s">
        <v>3493</v>
      </c>
      <c r="C3112" s="509" t="s">
        <v>328</v>
      </c>
      <c r="D3112" s="512">
        <v>470171</v>
      </c>
    </row>
    <row r="3113" spans="1:4" ht="15" x14ac:dyDescent="0.35">
      <c r="A3113" s="509">
        <v>10501</v>
      </c>
      <c r="B3113" s="510" t="s">
        <v>3494</v>
      </c>
      <c r="C3113" s="509" t="s">
        <v>328</v>
      </c>
      <c r="D3113" s="512">
        <v>628273</v>
      </c>
    </row>
    <row r="3114" spans="1:4" ht="15" x14ac:dyDescent="0.35">
      <c r="A3114" s="509">
        <v>10502</v>
      </c>
      <c r="B3114" s="510" t="s">
        <v>3495</v>
      </c>
      <c r="C3114" s="509" t="s">
        <v>328</v>
      </c>
      <c r="D3114" s="511">
        <v>731560</v>
      </c>
    </row>
    <row r="3115" spans="1:4" ht="15" x14ac:dyDescent="0.35">
      <c r="A3115" s="509">
        <v>10503</v>
      </c>
      <c r="B3115" s="510" t="s">
        <v>3496</v>
      </c>
      <c r="C3115" s="509" t="s">
        <v>328</v>
      </c>
      <c r="D3115" s="511">
        <v>892620</v>
      </c>
    </row>
    <row r="3116" spans="1:4" ht="15" x14ac:dyDescent="0.35">
      <c r="A3116" s="509">
        <v>10504</v>
      </c>
      <c r="B3116" s="510" t="s">
        <v>3497</v>
      </c>
      <c r="C3116" s="509" t="s">
        <v>328</v>
      </c>
      <c r="D3116" s="511">
        <v>502938</v>
      </c>
    </row>
    <row r="3117" spans="1:4" ht="15" x14ac:dyDescent="0.35">
      <c r="A3117" s="509">
        <v>10505</v>
      </c>
      <c r="B3117" s="510" t="s">
        <v>3498</v>
      </c>
      <c r="C3117" s="509" t="s">
        <v>328</v>
      </c>
      <c r="D3117" s="512">
        <v>664035</v>
      </c>
    </row>
    <row r="3118" spans="1:4" ht="15" x14ac:dyDescent="0.35">
      <c r="A3118" s="509">
        <v>10506</v>
      </c>
      <c r="B3118" s="510" t="s">
        <v>3499</v>
      </c>
      <c r="C3118" s="509" t="s">
        <v>328</v>
      </c>
      <c r="D3118" s="511">
        <v>791397</v>
      </c>
    </row>
    <row r="3119" spans="1:4" ht="15" x14ac:dyDescent="0.35">
      <c r="A3119" s="509">
        <v>10507</v>
      </c>
      <c r="B3119" s="510" t="s">
        <v>3500</v>
      </c>
      <c r="C3119" s="509" t="s">
        <v>328</v>
      </c>
      <c r="D3119" s="511">
        <v>962462</v>
      </c>
    </row>
    <row r="3120" spans="1:4" ht="15" x14ac:dyDescent="0.35">
      <c r="A3120" s="509">
        <v>10508</v>
      </c>
      <c r="B3120" s="510" t="s">
        <v>3501</v>
      </c>
      <c r="C3120" s="509" t="s">
        <v>328</v>
      </c>
      <c r="D3120" s="512">
        <v>775086</v>
      </c>
    </row>
    <row r="3121" spans="1:4" ht="15" x14ac:dyDescent="0.35">
      <c r="A3121" s="509">
        <v>10509</v>
      </c>
      <c r="B3121" s="510" t="s">
        <v>3502</v>
      </c>
      <c r="C3121" s="509" t="s">
        <v>328</v>
      </c>
      <c r="D3121" s="511">
        <v>1155887</v>
      </c>
    </row>
    <row r="3122" spans="1:4" ht="15" x14ac:dyDescent="0.35">
      <c r="A3122" s="509">
        <v>10510</v>
      </c>
      <c r="B3122" s="510" t="s">
        <v>3503</v>
      </c>
      <c r="C3122" s="509" t="s">
        <v>328</v>
      </c>
      <c r="D3122" s="512">
        <v>1482411</v>
      </c>
    </row>
    <row r="3123" spans="1:4" ht="15" x14ac:dyDescent="0.35">
      <c r="A3123" s="509">
        <v>10511</v>
      </c>
      <c r="B3123" s="510" t="s">
        <v>3504</v>
      </c>
      <c r="C3123" s="509" t="s">
        <v>328</v>
      </c>
      <c r="D3123" s="512">
        <v>1969460</v>
      </c>
    </row>
    <row r="3124" spans="1:4" ht="15" x14ac:dyDescent="0.35">
      <c r="A3124" s="509">
        <v>10512</v>
      </c>
      <c r="B3124" s="510" t="s">
        <v>3505</v>
      </c>
      <c r="C3124" s="509" t="s">
        <v>328</v>
      </c>
      <c r="D3124" s="512">
        <v>2754669</v>
      </c>
    </row>
    <row r="3125" spans="1:4" ht="15" x14ac:dyDescent="0.35">
      <c r="A3125" s="509">
        <v>10513</v>
      </c>
      <c r="B3125" s="510" t="s">
        <v>3506</v>
      </c>
      <c r="C3125" s="509" t="s">
        <v>328</v>
      </c>
      <c r="D3125" s="512">
        <v>4401649</v>
      </c>
    </row>
    <row r="3126" spans="1:4" ht="15" x14ac:dyDescent="0.35">
      <c r="A3126" s="509">
        <v>10514</v>
      </c>
      <c r="B3126" s="510" t="s">
        <v>3507</v>
      </c>
      <c r="C3126" s="509" t="s">
        <v>328</v>
      </c>
      <c r="D3126" s="511">
        <v>7186863</v>
      </c>
    </row>
    <row r="3127" spans="1:4" ht="15" x14ac:dyDescent="0.35">
      <c r="A3127" s="509">
        <v>10515</v>
      </c>
      <c r="B3127" s="510" t="s">
        <v>3508</v>
      </c>
      <c r="C3127" s="509" t="s">
        <v>328</v>
      </c>
      <c r="D3127" s="512">
        <v>7190907</v>
      </c>
    </row>
    <row r="3128" spans="1:4" ht="15" x14ac:dyDescent="0.35">
      <c r="A3128" s="509">
        <v>10516</v>
      </c>
      <c r="B3128" s="510" t="s">
        <v>3509</v>
      </c>
      <c r="C3128" s="509" t="s">
        <v>328</v>
      </c>
      <c r="D3128" s="512">
        <v>8473166</v>
      </c>
    </row>
    <row r="3129" spans="1:4" ht="15" x14ac:dyDescent="0.35">
      <c r="A3129" s="509">
        <v>10529</v>
      </c>
      <c r="B3129" s="510" t="s">
        <v>3510</v>
      </c>
      <c r="C3129" s="509" t="s">
        <v>32</v>
      </c>
      <c r="D3129" s="512">
        <v>874099</v>
      </c>
    </row>
    <row r="3130" spans="1:4" ht="15" x14ac:dyDescent="0.35">
      <c r="A3130" s="509">
        <v>10530</v>
      </c>
      <c r="B3130" s="510" t="s">
        <v>3511</v>
      </c>
      <c r="C3130" s="509" t="s">
        <v>32</v>
      </c>
      <c r="D3130" s="512">
        <v>61575</v>
      </c>
    </row>
    <row r="3131" spans="1:4" ht="15" x14ac:dyDescent="0.35">
      <c r="A3131" s="509">
        <v>10531</v>
      </c>
      <c r="B3131" s="510" t="s">
        <v>3512</v>
      </c>
      <c r="C3131" s="509" t="s">
        <v>32</v>
      </c>
      <c r="D3131" s="512">
        <v>40357</v>
      </c>
    </row>
    <row r="3132" spans="1:4" ht="15" x14ac:dyDescent="0.35">
      <c r="A3132" s="509">
        <v>10540</v>
      </c>
      <c r="B3132" s="510" t="s">
        <v>3513</v>
      </c>
      <c r="C3132" s="509" t="s">
        <v>32</v>
      </c>
      <c r="D3132" s="511">
        <v>88075</v>
      </c>
    </row>
    <row r="3133" spans="1:4" ht="15" x14ac:dyDescent="0.35">
      <c r="A3133" s="509">
        <v>10541</v>
      </c>
      <c r="B3133" s="510" t="s">
        <v>3514</v>
      </c>
      <c r="C3133" s="509" t="s">
        <v>32</v>
      </c>
      <c r="D3133" s="512">
        <v>231203</v>
      </c>
    </row>
    <row r="3134" spans="1:4" ht="15" x14ac:dyDescent="0.35">
      <c r="A3134" s="509">
        <v>10542</v>
      </c>
      <c r="B3134" s="510" t="s">
        <v>3515</v>
      </c>
      <c r="C3134" s="509" t="s">
        <v>32</v>
      </c>
      <c r="D3134" s="512">
        <v>361468</v>
      </c>
    </row>
    <row r="3135" spans="1:4" ht="15" x14ac:dyDescent="0.35">
      <c r="A3135" s="509">
        <v>10543</v>
      </c>
      <c r="B3135" s="510" t="s">
        <v>3516</v>
      </c>
      <c r="C3135" s="509" t="s">
        <v>30</v>
      </c>
      <c r="D3135" s="512">
        <v>914039</v>
      </c>
    </row>
    <row r="3136" spans="1:4" ht="15" x14ac:dyDescent="0.35">
      <c r="A3136" s="509">
        <v>10544</v>
      </c>
      <c r="B3136" s="510" t="s">
        <v>3517</v>
      </c>
      <c r="C3136" s="509" t="s">
        <v>328</v>
      </c>
      <c r="D3136" s="512">
        <v>189541</v>
      </c>
    </row>
    <row r="3137" spans="1:4" ht="15" x14ac:dyDescent="0.35">
      <c r="A3137" s="509">
        <v>10545</v>
      </c>
      <c r="B3137" s="510" t="s">
        <v>3518</v>
      </c>
      <c r="C3137" s="509" t="s">
        <v>21</v>
      </c>
      <c r="D3137" s="512">
        <v>14361</v>
      </c>
    </row>
    <row r="3138" spans="1:4" ht="15" x14ac:dyDescent="0.35">
      <c r="A3138" s="509">
        <v>10546</v>
      </c>
      <c r="B3138" s="510" t="s">
        <v>3519</v>
      </c>
      <c r="C3138" s="509" t="s">
        <v>21</v>
      </c>
      <c r="D3138" s="512">
        <v>3241</v>
      </c>
    </row>
    <row r="3139" spans="1:4" ht="15" x14ac:dyDescent="0.35">
      <c r="A3139" s="509">
        <v>10547</v>
      </c>
      <c r="B3139" s="510" t="s">
        <v>3520</v>
      </c>
      <c r="C3139" s="509" t="s">
        <v>21</v>
      </c>
      <c r="D3139" s="512">
        <v>2887</v>
      </c>
    </row>
    <row r="3140" spans="1:4" ht="15" x14ac:dyDescent="0.35">
      <c r="A3140" s="509">
        <v>10548</v>
      </c>
      <c r="B3140" s="510" t="s">
        <v>3521</v>
      </c>
      <c r="C3140" s="509" t="s">
        <v>328</v>
      </c>
      <c r="D3140" s="512">
        <v>1965</v>
      </c>
    </row>
    <row r="3141" spans="1:4" ht="15" x14ac:dyDescent="0.35">
      <c r="A3141" s="509">
        <v>10549</v>
      </c>
      <c r="B3141" s="510" t="s">
        <v>3522</v>
      </c>
      <c r="C3141" s="509" t="s">
        <v>32</v>
      </c>
      <c r="D3141" s="512">
        <v>6038</v>
      </c>
    </row>
    <row r="3142" spans="1:4" ht="15" x14ac:dyDescent="0.35">
      <c r="A3142" s="509">
        <v>10550</v>
      </c>
      <c r="B3142" s="510" t="s">
        <v>3523</v>
      </c>
      <c r="C3142" s="509" t="s">
        <v>32</v>
      </c>
      <c r="D3142" s="512">
        <v>6955</v>
      </c>
    </row>
    <row r="3143" spans="1:4" ht="15" x14ac:dyDescent="0.35">
      <c r="A3143" s="509">
        <v>10551</v>
      </c>
      <c r="B3143" s="510" t="s">
        <v>3524</v>
      </c>
      <c r="C3143" s="509" t="s">
        <v>21</v>
      </c>
      <c r="D3143" s="512">
        <v>5130</v>
      </c>
    </row>
    <row r="3144" spans="1:4" ht="15" x14ac:dyDescent="0.35">
      <c r="A3144" s="509">
        <v>10552</v>
      </c>
      <c r="B3144" s="510" t="s">
        <v>3525</v>
      </c>
      <c r="C3144" s="509" t="s">
        <v>21</v>
      </c>
      <c r="D3144" s="512">
        <v>9761</v>
      </c>
    </row>
    <row r="3145" spans="1:4" ht="15" x14ac:dyDescent="0.35">
      <c r="A3145" s="509">
        <v>10553</v>
      </c>
      <c r="B3145" s="510" t="s">
        <v>3526</v>
      </c>
      <c r="C3145" s="509" t="s">
        <v>21</v>
      </c>
      <c r="D3145" s="512">
        <v>54638</v>
      </c>
    </row>
    <row r="3146" spans="1:4" ht="15" x14ac:dyDescent="0.35">
      <c r="A3146" s="509">
        <v>10554</v>
      </c>
      <c r="B3146" s="510" t="s">
        <v>3527</v>
      </c>
      <c r="C3146" s="509" t="s">
        <v>3528</v>
      </c>
      <c r="D3146" s="512">
        <v>82435</v>
      </c>
    </row>
    <row r="3147" spans="1:4" ht="15" x14ac:dyDescent="0.35">
      <c r="A3147" s="509">
        <v>10555</v>
      </c>
      <c r="B3147" s="510" t="s">
        <v>3529</v>
      </c>
      <c r="C3147" s="509" t="s">
        <v>3528</v>
      </c>
      <c r="D3147" s="512">
        <v>152167</v>
      </c>
    </row>
    <row r="3148" spans="1:4" ht="15" x14ac:dyDescent="0.35">
      <c r="A3148" s="509">
        <v>10556</v>
      </c>
      <c r="B3148" s="510" t="s">
        <v>3530</v>
      </c>
      <c r="C3148" s="509" t="s">
        <v>3528</v>
      </c>
      <c r="D3148" s="511">
        <v>138267</v>
      </c>
    </row>
    <row r="3149" spans="1:4" ht="15" x14ac:dyDescent="0.35">
      <c r="A3149" s="509">
        <v>10557</v>
      </c>
      <c r="B3149" s="510" t="s">
        <v>3531</v>
      </c>
      <c r="C3149" s="509" t="s">
        <v>3532</v>
      </c>
      <c r="D3149" s="511">
        <v>1342</v>
      </c>
    </row>
    <row r="3150" spans="1:4" ht="15" x14ac:dyDescent="0.35">
      <c r="A3150" s="509">
        <v>10558</v>
      </c>
      <c r="B3150" s="510" t="s">
        <v>3533</v>
      </c>
      <c r="C3150" s="509" t="s">
        <v>21</v>
      </c>
      <c r="D3150" s="512">
        <v>46944</v>
      </c>
    </row>
    <row r="3151" spans="1:4" ht="15" x14ac:dyDescent="0.35">
      <c r="A3151" s="509">
        <v>10559</v>
      </c>
      <c r="B3151" s="510" t="s">
        <v>3534</v>
      </c>
      <c r="C3151" s="509" t="s">
        <v>21</v>
      </c>
      <c r="D3151" s="511">
        <v>1867</v>
      </c>
    </row>
    <row r="3152" spans="1:4" ht="15" x14ac:dyDescent="0.35">
      <c r="A3152" s="509">
        <v>10596</v>
      </c>
      <c r="B3152" s="510" t="s">
        <v>6601</v>
      </c>
      <c r="C3152" s="509" t="s">
        <v>32</v>
      </c>
      <c r="D3152" s="511">
        <v>321945</v>
      </c>
    </row>
    <row r="3153" spans="1:4" ht="15" x14ac:dyDescent="0.35">
      <c r="A3153" s="509">
        <v>10597</v>
      </c>
      <c r="B3153" s="510" t="s">
        <v>6602</v>
      </c>
      <c r="C3153" s="509" t="s">
        <v>32</v>
      </c>
      <c r="D3153" s="511">
        <v>242650</v>
      </c>
    </row>
    <row r="3154" spans="1:4" ht="15" x14ac:dyDescent="0.35">
      <c r="A3154" s="509">
        <v>10598</v>
      </c>
      <c r="B3154" s="510" t="s">
        <v>6603</v>
      </c>
      <c r="C3154" s="509" t="s">
        <v>32</v>
      </c>
      <c r="D3154" s="511">
        <v>340003</v>
      </c>
    </row>
    <row r="3155" spans="1:4" ht="15" x14ac:dyDescent="0.35">
      <c r="A3155" s="509">
        <v>10599</v>
      </c>
      <c r="B3155" s="510" t="s">
        <v>6604</v>
      </c>
      <c r="C3155" s="509" t="s">
        <v>32</v>
      </c>
      <c r="D3155" s="511">
        <v>122609</v>
      </c>
    </row>
    <row r="3156" spans="1:4" ht="15" x14ac:dyDescent="0.35">
      <c r="A3156" s="509">
        <v>10600</v>
      </c>
      <c r="B3156" s="510" t="s">
        <v>6605</v>
      </c>
      <c r="C3156" s="509" t="s">
        <v>32</v>
      </c>
      <c r="D3156" s="511">
        <v>108702</v>
      </c>
    </row>
    <row r="3157" spans="1:4" ht="15" x14ac:dyDescent="0.35">
      <c r="A3157" s="509">
        <v>10601</v>
      </c>
      <c r="B3157" s="510" t="s">
        <v>6606</v>
      </c>
      <c r="C3157" s="509" t="s">
        <v>32</v>
      </c>
      <c r="D3157" s="512">
        <v>244844</v>
      </c>
    </row>
    <row r="3158" spans="1:4" ht="15" x14ac:dyDescent="0.35">
      <c r="A3158" s="509">
        <v>10602</v>
      </c>
      <c r="B3158" s="510" t="s">
        <v>6607</v>
      </c>
      <c r="C3158" s="509" t="s">
        <v>32</v>
      </c>
      <c r="D3158" s="512">
        <v>117393</v>
      </c>
    </row>
    <row r="3159" spans="1:4" ht="15" x14ac:dyDescent="0.35">
      <c r="A3159" s="509">
        <v>10603</v>
      </c>
      <c r="B3159" s="510" t="s">
        <v>6608</v>
      </c>
      <c r="C3159" s="509" t="s">
        <v>32</v>
      </c>
      <c r="D3159" s="512">
        <v>754878</v>
      </c>
    </row>
    <row r="3160" spans="1:4" ht="15" x14ac:dyDescent="0.35">
      <c r="A3160" s="509">
        <v>10604</v>
      </c>
      <c r="B3160" s="510" t="s">
        <v>6609</v>
      </c>
      <c r="C3160" s="509" t="s">
        <v>32</v>
      </c>
      <c r="D3160" s="512">
        <v>720890</v>
      </c>
    </row>
    <row r="3161" spans="1:4" ht="15" x14ac:dyDescent="0.35">
      <c r="A3161" s="509">
        <v>10605</v>
      </c>
      <c r="B3161" s="510" t="s">
        <v>6610</v>
      </c>
      <c r="C3161" s="509" t="s">
        <v>32</v>
      </c>
      <c r="D3161" s="512">
        <v>397070</v>
      </c>
    </row>
    <row r="3162" spans="1:4" ht="15" x14ac:dyDescent="0.35">
      <c r="A3162" s="509">
        <v>10606</v>
      </c>
      <c r="B3162" s="510" t="s">
        <v>6611</v>
      </c>
      <c r="C3162" s="509" t="s">
        <v>32</v>
      </c>
      <c r="D3162" s="511">
        <v>185801</v>
      </c>
    </row>
    <row r="3163" spans="1:4" ht="15" x14ac:dyDescent="0.35">
      <c r="A3163" s="509">
        <v>10607</v>
      </c>
      <c r="B3163" s="510" t="s">
        <v>6612</v>
      </c>
      <c r="C3163" s="509" t="s">
        <v>32</v>
      </c>
      <c r="D3163" s="511">
        <v>884551</v>
      </c>
    </row>
    <row r="3164" spans="1:4" ht="15" x14ac:dyDescent="0.35">
      <c r="A3164" s="509">
        <v>10608</v>
      </c>
      <c r="B3164" s="510" t="s">
        <v>6613</v>
      </c>
      <c r="C3164" s="509" t="s">
        <v>32</v>
      </c>
      <c r="D3164" s="511">
        <v>806775</v>
      </c>
    </row>
    <row r="3165" spans="1:4" ht="15" x14ac:dyDescent="0.35">
      <c r="A3165" s="509">
        <v>10609</v>
      </c>
      <c r="B3165" s="510" t="s">
        <v>6614</v>
      </c>
      <c r="C3165" s="509" t="s">
        <v>32</v>
      </c>
      <c r="D3165" s="511">
        <v>893332</v>
      </c>
    </row>
    <row r="3166" spans="1:4" ht="15" x14ac:dyDescent="0.35">
      <c r="A3166" s="509">
        <v>10610</v>
      </c>
      <c r="B3166" s="510" t="s">
        <v>6615</v>
      </c>
      <c r="C3166" s="509" t="s">
        <v>32</v>
      </c>
      <c r="D3166" s="511">
        <v>145513</v>
      </c>
    </row>
    <row r="3167" spans="1:4" ht="15" x14ac:dyDescent="0.35">
      <c r="A3167" s="509">
        <v>10611</v>
      </c>
      <c r="B3167" s="510" t="s">
        <v>6595</v>
      </c>
      <c r="C3167" s="509" t="s">
        <v>2721</v>
      </c>
      <c r="D3167" s="511">
        <v>180258</v>
      </c>
    </row>
    <row r="3168" spans="1:4" ht="15" x14ac:dyDescent="0.35">
      <c r="A3168" s="509">
        <v>10612</v>
      </c>
      <c r="B3168" s="510" t="s">
        <v>1318</v>
      </c>
      <c r="C3168" s="509" t="s">
        <v>328</v>
      </c>
      <c r="D3168" s="511">
        <v>196392</v>
      </c>
    </row>
    <row r="3169" spans="1:4" ht="15" x14ac:dyDescent="0.35">
      <c r="A3169" s="509">
        <v>10613</v>
      </c>
      <c r="B3169" s="510" t="s">
        <v>6616</v>
      </c>
      <c r="C3169" s="509" t="s">
        <v>30</v>
      </c>
      <c r="D3169" s="511">
        <v>945928</v>
      </c>
    </row>
    <row r="3170" spans="1:4" ht="15" x14ac:dyDescent="0.35">
      <c r="A3170" s="509">
        <v>10614</v>
      </c>
      <c r="B3170" s="510" t="s">
        <v>6617</v>
      </c>
      <c r="C3170" s="509" t="s">
        <v>30</v>
      </c>
      <c r="D3170" s="511">
        <v>949141</v>
      </c>
    </row>
    <row r="3171" spans="1:4" ht="15" x14ac:dyDescent="0.35">
      <c r="A3171" s="509">
        <v>10636</v>
      </c>
      <c r="B3171" s="510" t="s">
        <v>6618</v>
      </c>
      <c r="C3171" s="509" t="s">
        <v>6619</v>
      </c>
      <c r="D3171" s="511">
        <v>26840595</v>
      </c>
    </row>
    <row r="3172" spans="1:4" ht="15" x14ac:dyDescent="0.35">
      <c r="A3172" s="509">
        <v>10637</v>
      </c>
      <c r="B3172" s="510" t="s">
        <v>6620</v>
      </c>
      <c r="C3172" s="509" t="s">
        <v>6619</v>
      </c>
      <c r="D3172" s="511">
        <v>26631155</v>
      </c>
    </row>
    <row r="3173" spans="1:4" ht="15" x14ac:dyDescent="0.35">
      <c r="A3173" s="509">
        <v>10638</v>
      </c>
      <c r="B3173" s="510" t="s">
        <v>6621</v>
      </c>
      <c r="C3173" s="509" t="s">
        <v>6619</v>
      </c>
      <c r="D3173" s="511">
        <v>29947355</v>
      </c>
    </row>
    <row r="3174" spans="1:4" ht="15" x14ac:dyDescent="0.35">
      <c r="A3174" s="509">
        <v>10639</v>
      </c>
      <c r="B3174" s="510" t="s">
        <v>6622</v>
      </c>
      <c r="C3174" s="509" t="s">
        <v>6619</v>
      </c>
      <c r="D3174" s="511">
        <v>12093</v>
      </c>
    </row>
  </sheetData>
  <autoFilter ref="A1:E2794" xr:uid="{48BB549F-9131-40AF-B446-9D1884ED7CFE}">
    <sortState xmlns:xlrd2="http://schemas.microsoft.com/office/spreadsheetml/2017/richdata2" ref="A2:E2794">
      <sortCondition ref="A1:A2794"/>
    </sortState>
  </autoFilter>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818FD-4C09-4F8D-9B8D-A6227EA3229D}">
  <sheetPr>
    <tabColor rgb="FF00B0F0"/>
  </sheetPr>
  <dimension ref="A1:T106"/>
  <sheetViews>
    <sheetView view="pageBreakPreview" zoomScale="60" zoomScaleNormal="70" workbookViewId="0">
      <selection activeCell="C17" sqref="C17:L21"/>
    </sheetView>
  </sheetViews>
  <sheetFormatPr baseColWidth="10" defaultColWidth="11.44140625" defaultRowHeight="14.4" x14ac:dyDescent="0.3"/>
  <cols>
    <col min="2" max="2" width="43.109375" customWidth="1"/>
    <col min="3" max="3" width="35.6640625" customWidth="1"/>
    <col min="4" max="6" width="0" hidden="1" customWidth="1"/>
    <col min="7" max="7" width="17.44140625" customWidth="1"/>
    <col min="8" max="8" width="16.109375" customWidth="1"/>
    <col min="10" max="11" width="18.6640625" customWidth="1"/>
    <col min="12" max="12" width="11.44140625" customWidth="1"/>
    <col min="13" max="13" width="14.109375" bestFit="1" customWidth="1"/>
    <col min="14" max="14" width="13.33203125" customWidth="1"/>
    <col min="18" max="18" width="13.109375" bestFit="1" customWidth="1"/>
    <col min="20" max="20" width="32.5546875" bestFit="1" customWidth="1"/>
  </cols>
  <sheetData>
    <row r="1" spans="1:20" x14ac:dyDescent="0.3">
      <c r="A1" s="922" t="s">
        <v>5787</v>
      </c>
      <c r="B1" s="923"/>
      <c r="C1" s="923"/>
      <c r="D1" s="923"/>
      <c r="E1" s="923"/>
      <c r="F1" s="923"/>
      <c r="G1" s="923"/>
      <c r="H1" s="923"/>
      <c r="I1" s="923"/>
      <c r="J1" s="923"/>
      <c r="K1" s="923"/>
      <c r="L1" s="923"/>
      <c r="M1" s="923"/>
      <c r="N1" s="923"/>
      <c r="O1" s="923"/>
      <c r="P1" s="923"/>
      <c r="Q1" s="923"/>
      <c r="R1" s="923"/>
      <c r="S1" s="923"/>
      <c r="T1" s="924"/>
    </row>
    <row r="2" spans="1:20" x14ac:dyDescent="0.3">
      <c r="A2" s="1" t="s">
        <v>5788</v>
      </c>
      <c r="B2" s="1" t="s">
        <v>5789</v>
      </c>
      <c r="C2" s="1" t="s">
        <v>5790</v>
      </c>
      <c r="D2" s="1" t="s">
        <v>5791</v>
      </c>
      <c r="E2" s="1" t="s">
        <v>5792</v>
      </c>
      <c r="F2" s="1" t="s">
        <v>5793</v>
      </c>
      <c r="G2" s="1" t="s">
        <v>5794</v>
      </c>
      <c r="H2" s="1" t="s">
        <v>5795</v>
      </c>
      <c r="I2" s="1" t="s">
        <v>5796</v>
      </c>
      <c r="J2" s="1" t="s">
        <v>5797</v>
      </c>
      <c r="K2" s="1" t="s">
        <v>5798</v>
      </c>
      <c r="L2" s="1" t="s">
        <v>5799</v>
      </c>
      <c r="M2" s="1" t="s">
        <v>5800</v>
      </c>
      <c r="N2" s="1" t="s">
        <v>5801</v>
      </c>
      <c r="O2" s="1" t="s">
        <v>5802</v>
      </c>
      <c r="P2" s="1" t="s">
        <v>5803</v>
      </c>
      <c r="Q2" s="1" t="s">
        <v>5804</v>
      </c>
      <c r="R2" s="1" t="s">
        <v>5805</v>
      </c>
      <c r="S2" s="1" t="s">
        <v>5806</v>
      </c>
      <c r="T2" s="1" t="s">
        <v>5807</v>
      </c>
    </row>
    <row r="3" spans="1:20" x14ac:dyDescent="0.3">
      <c r="A3" s="2" t="s">
        <v>5808</v>
      </c>
      <c r="B3" s="95" t="s">
        <v>5809</v>
      </c>
      <c r="C3" s="2" t="s">
        <v>5810</v>
      </c>
      <c r="D3" s="2" t="s">
        <v>5811</v>
      </c>
      <c r="E3" s="2" t="s">
        <v>5812</v>
      </c>
      <c r="F3" s="2" t="s">
        <v>5813</v>
      </c>
      <c r="G3" s="2">
        <v>3001062</v>
      </c>
      <c r="H3" s="2" t="s">
        <v>5814</v>
      </c>
      <c r="I3" s="2" t="s">
        <v>5815</v>
      </c>
      <c r="J3" s="2" t="s">
        <v>5816</v>
      </c>
      <c r="K3" s="2">
        <v>155.79</v>
      </c>
      <c r="L3" s="2">
        <v>4.2</v>
      </c>
      <c r="M3" s="2" t="s">
        <v>5817</v>
      </c>
      <c r="N3" s="2">
        <v>4</v>
      </c>
      <c r="O3" s="2">
        <v>1</v>
      </c>
      <c r="P3" s="2">
        <v>1</v>
      </c>
      <c r="Q3" s="2">
        <v>0</v>
      </c>
      <c r="R3" s="2">
        <v>1</v>
      </c>
      <c r="S3" s="2">
        <f t="shared" ref="S3:S34" si="0">+(N3/4)*0.5+O3*0.1+P3*0.1+Q3*0.1+R3*0.2</f>
        <v>0.89999999999999991</v>
      </c>
      <c r="T3" s="2" t="str">
        <f t="shared" ref="T3:T34" si="1">+VLOOKUP(N3,$G$102:$H$106,2,FALSE)</f>
        <v>RECONSTRUCCION</v>
      </c>
    </row>
    <row r="4" spans="1:20" x14ac:dyDescent="0.3">
      <c r="A4" s="2" t="s">
        <v>5808</v>
      </c>
      <c r="B4" s="95" t="s">
        <v>5818</v>
      </c>
      <c r="C4" s="2" t="s">
        <v>5819</v>
      </c>
      <c r="D4" s="2" t="s">
        <v>5811</v>
      </c>
      <c r="E4" s="2" t="s">
        <v>5812</v>
      </c>
      <c r="F4" s="2" t="s">
        <v>5813</v>
      </c>
      <c r="G4" s="2">
        <v>3002246</v>
      </c>
      <c r="H4" s="2" t="s">
        <v>5814</v>
      </c>
      <c r="I4" s="2" t="s">
        <v>5816</v>
      </c>
      <c r="J4" s="2" t="s">
        <v>5816</v>
      </c>
      <c r="K4" s="2">
        <v>13.04</v>
      </c>
      <c r="L4" s="2">
        <v>4.25</v>
      </c>
      <c r="M4" s="2" t="s">
        <v>5817</v>
      </c>
      <c r="N4" s="2">
        <v>4</v>
      </c>
      <c r="O4" s="2">
        <v>1</v>
      </c>
      <c r="P4" s="2">
        <v>1</v>
      </c>
      <c r="Q4" s="2">
        <v>0</v>
      </c>
      <c r="R4" s="2">
        <v>1</v>
      </c>
      <c r="S4" s="2">
        <f t="shared" si="0"/>
        <v>0.89999999999999991</v>
      </c>
      <c r="T4" s="2" t="str">
        <f t="shared" si="1"/>
        <v>RECONSTRUCCION</v>
      </c>
    </row>
    <row r="5" spans="1:20" x14ac:dyDescent="0.3">
      <c r="A5" s="2" t="s">
        <v>5808</v>
      </c>
      <c r="B5" s="95" t="s">
        <v>5820</v>
      </c>
      <c r="C5" s="2" t="s">
        <v>5819</v>
      </c>
      <c r="D5" s="2" t="s">
        <v>5811</v>
      </c>
      <c r="E5" s="2" t="s">
        <v>5812</v>
      </c>
      <c r="F5" s="2" t="s">
        <v>5813</v>
      </c>
      <c r="G5" s="2">
        <v>3002450</v>
      </c>
      <c r="H5" s="2" t="s">
        <v>5814</v>
      </c>
      <c r="I5" s="2" t="s">
        <v>5816</v>
      </c>
      <c r="J5" s="2" t="s">
        <v>5821</v>
      </c>
      <c r="K5" s="2">
        <v>49.84</v>
      </c>
      <c r="L5" s="2">
        <v>5.09</v>
      </c>
      <c r="M5" s="2" t="s">
        <v>5817</v>
      </c>
      <c r="N5" s="2">
        <v>4</v>
      </c>
      <c r="O5" s="2">
        <v>1</v>
      </c>
      <c r="P5" s="2">
        <v>1</v>
      </c>
      <c r="Q5" s="2">
        <v>0</v>
      </c>
      <c r="R5" s="2">
        <v>1</v>
      </c>
      <c r="S5" s="2">
        <f t="shared" si="0"/>
        <v>0.89999999999999991</v>
      </c>
      <c r="T5" s="2" t="str">
        <f t="shared" si="1"/>
        <v>RECONSTRUCCION</v>
      </c>
    </row>
    <row r="6" spans="1:20" x14ac:dyDescent="0.3">
      <c r="A6" s="2" t="s">
        <v>5808</v>
      </c>
      <c r="B6" s="95">
        <v>20245310077562</v>
      </c>
      <c r="C6" s="2" t="s">
        <v>5822</v>
      </c>
      <c r="D6" s="2" t="s">
        <v>5811</v>
      </c>
      <c r="E6" s="2" t="s">
        <v>5812</v>
      </c>
      <c r="F6" s="2" t="s">
        <v>5823</v>
      </c>
      <c r="G6" s="2">
        <v>3000220</v>
      </c>
      <c r="H6" s="2" t="s">
        <v>5823</v>
      </c>
      <c r="I6" s="2" t="s">
        <v>5824</v>
      </c>
      <c r="J6" s="2" t="s">
        <v>5825</v>
      </c>
      <c r="K6" s="2">
        <v>110.1</v>
      </c>
      <c r="L6" s="2">
        <v>8.26</v>
      </c>
      <c r="M6" s="2" t="s">
        <v>5817</v>
      </c>
      <c r="N6" s="2">
        <v>4</v>
      </c>
      <c r="O6" s="2">
        <v>0</v>
      </c>
      <c r="P6" s="2">
        <v>1</v>
      </c>
      <c r="Q6" s="2">
        <v>0</v>
      </c>
      <c r="R6" s="2">
        <v>1</v>
      </c>
      <c r="S6" s="2">
        <f t="shared" si="0"/>
        <v>0.8</v>
      </c>
      <c r="T6" s="2" t="str">
        <f t="shared" si="1"/>
        <v>RECONSTRUCCION</v>
      </c>
    </row>
    <row r="7" spans="1:20" x14ac:dyDescent="0.3">
      <c r="A7" s="2" t="s">
        <v>5808</v>
      </c>
      <c r="B7" s="95">
        <v>20245310071382</v>
      </c>
      <c r="C7" s="2" t="s">
        <v>5826</v>
      </c>
      <c r="D7" s="2" t="s">
        <v>5827</v>
      </c>
      <c r="E7" s="2" t="s">
        <v>5812</v>
      </c>
      <c r="F7" s="2" t="s">
        <v>5828</v>
      </c>
      <c r="G7" s="2">
        <v>3002911</v>
      </c>
      <c r="H7" s="2" t="s">
        <v>5829</v>
      </c>
      <c r="I7" s="2"/>
      <c r="J7" s="2"/>
      <c r="K7" s="2">
        <v>83.58</v>
      </c>
      <c r="L7" s="2">
        <v>5.74</v>
      </c>
      <c r="M7" s="2" t="s">
        <v>5817</v>
      </c>
      <c r="N7" s="2">
        <v>4</v>
      </c>
      <c r="O7" s="2">
        <v>0</v>
      </c>
      <c r="P7" s="2">
        <v>1</v>
      </c>
      <c r="Q7" s="2">
        <v>0</v>
      </c>
      <c r="R7" s="2">
        <v>1</v>
      </c>
      <c r="S7" s="2">
        <f t="shared" si="0"/>
        <v>0.8</v>
      </c>
      <c r="T7" s="2" t="str">
        <f t="shared" si="1"/>
        <v>RECONSTRUCCION</v>
      </c>
    </row>
    <row r="8" spans="1:20" x14ac:dyDescent="0.3">
      <c r="A8" s="2" t="s">
        <v>5808</v>
      </c>
      <c r="B8" s="95">
        <v>20245310071382</v>
      </c>
      <c r="C8" s="2" t="s">
        <v>5826</v>
      </c>
      <c r="D8" s="2" t="s">
        <v>5827</v>
      </c>
      <c r="E8" s="2" t="s">
        <v>5812</v>
      </c>
      <c r="F8" s="2" t="s">
        <v>5828</v>
      </c>
      <c r="G8" s="2">
        <v>3002932</v>
      </c>
      <c r="H8" s="2" t="s">
        <v>5829</v>
      </c>
      <c r="I8" s="2"/>
      <c r="J8" s="2"/>
      <c r="K8" s="2">
        <v>178.31</v>
      </c>
      <c r="L8" s="2">
        <v>7.77</v>
      </c>
      <c r="M8" s="2" t="s">
        <v>5817</v>
      </c>
      <c r="N8" s="2">
        <v>4</v>
      </c>
      <c r="O8" s="2">
        <v>0</v>
      </c>
      <c r="P8" s="2">
        <v>1</v>
      </c>
      <c r="Q8" s="2">
        <v>0</v>
      </c>
      <c r="R8" s="2">
        <v>1</v>
      </c>
      <c r="S8" s="2">
        <f t="shared" si="0"/>
        <v>0.8</v>
      </c>
      <c r="T8" s="2" t="str">
        <f t="shared" si="1"/>
        <v>RECONSTRUCCION</v>
      </c>
    </row>
    <row r="9" spans="1:20" x14ac:dyDescent="0.3">
      <c r="A9" s="2"/>
      <c r="B9" s="2" t="s">
        <v>5830</v>
      </c>
      <c r="C9" s="2"/>
      <c r="D9" s="2"/>
      <c r="E9" s="2"/>
      <c r="F9" s="2"/>
      <c r="G9" s="2">
        <v>3001330</v>
      </c>
      <c r="H9" s="2" t="s">
        <v>5831</v>
      </c>
      <c r="I9" s="2" t="s">
        <v>5832</v>
      </c>
      <c r="J9" s="2" t="s">
        <v>5833</v>
      </c>
      <c r="K9" s="2">
        <v>35.409999999999997</v>
      </c>
      <c r="L9" s="2">
        <v>5.41</v>
      </c>
      <c r="M9" s="2" t="s">
        <v>5817</v>
      </c>
      <c r="N9" s="2">
        <v>3</v>
      </c>
      <c r="O9" s="2">
        <v>1</v>
      </c>
      <c r="P9" s="2">
        <v>1</v>
      </c>
      <c r="Q9" s="2">
        <v>0</v>
      </c>
      <c r="R9" s="2">
        <v>1</v>
      </c>
      <c r="S9" s="2">
        <f t="shared" si="0"/>
        <v>0.77499999999999991</v>
      </c>
      <c r="T9" s="2" t="str">
        <f t="shared" si="1"/>
        <v>REHABILITACION</v>
      </c>
    </row>
    <row r="10" spans="1:20" x14ac:dyDescent="0.3">
      <c r="A10" s="2" t="s">
        <v>5808</v>
      </c>
      <c r="B10" s="95" t="s">
        <v>5834</v>
      </c>
      <c r="C10" s="2" t="s">
        <v>5835</v>
      </c>
      <c r="D10" s="2" t="s">
        <v>5827</v>
      </c>
      <c r="E10" s="2" t="s">
        <v>5836</v>
      </c>
      <c r="F10" s="2" t="s">
        <v>5837</v>
      </c>
      <c r="G10" s="2">
        <v>3001849</v>
      </c>
      <c r="H10" s="2" t="s">
        <v>5838</v>
      </c>
      <c r="I10" s="2" t="s">
        <v>5839</v>
      </c>
      <c r="J10" s="2" t="s">
        <v>5840</v>
      </c>
      <c r="K10" s="2">
        <v>257.02</v>
      </c>
      <c r="L10" s="2">
        <v>4.25</v>
      </c>
      <c r="M10" s="2" t="s">
        <v>5841</v>
      </c>
      <c r="N10" s="2">
        <v>4</v>
      </c>
      <c r="O10" s="2">
        <v>0</v>
      </c>
      <c r="P10" s="2">
        <v>0</v>
      </c>
      <c r="Q10" s="2">
        <v>0</v>
      </c>
      <c r="R10" s="2">
        <v>1</v>
      </c>
      <c r="S10" s="2">
        <f t="shared" si="0"/>
        <v>0.7</v>
      </c>
      <c r="T10" s="2" t="str">
        <f t="shared" si="1"/>
        <v>RECONSTRUCCION</v>
      </c>
    </row>
    <row r="11" spans="1:20" x14ac:dyDescent="0.3">
      <c r="A11" s="2"/>
      <c r="B11" s="2" t="s">
        <v>5842</v>
      </c>
      <c r="C11" s="2"/>
      <c r="D11" s="2"/>
      <c r="E11" s="2"/>
      <c r="F11" s="2"/>
      <c r="G11" s="2">
        <v>3001875</v>
      </c>
      <c r="H11" s="2" t="s">
        <v>5843</v>
      </c>
      <c r="I11" s="2" t="s">
        <v>5844</v>
      </c>
      <c r="J11" s="2" t="s">
        <v>5845</v>
      </c>
      <c r="K11" s="2">
        <v>34</v>
      </c>
      <c r="L11" s="2">
        <v>7.37</v>
      </c>
      <c r="M11" s="2" t="s">
        <v>5846</v>
      </c>
      <c r="N11" s="2">
        <v>4</v>
      </c>
      <c r="O11" s="2">
        <v>1</v>
      </c>
      <c r="P11" s="2">
        <v>1</v>
      </c>
      <c r="Q11" s="2">
        <v>0</v>
      </c>
      <c r="R11" s="2">
        <v>0</v>
      </c>
      <c r="S11" s="2">
        <f t="shared" si="0"/>
        <v>0.7</v>
      </c>
      <c r="T11" s="2" t="str">
        <f t="shared" si="1"/>
        <v>RECONSTRUCCION</v>
      </c>
    </row>
    <row r="12" spans="1:20" x14ac:dyDescent="0.3">
      <c r="A12" s="2"/>
      <c r="B12" s="2" t="s">
        <v>5842</v>
      </c>
      <c r="C12" s="2"/>
      <c r="D12" s="2"/>
      <c r="E12" s="2"/>
      <c r="F12" s="2"/>
      <c r="G12" s="2">
        <v>3001882</v>
      </c>
      <c r="H12" s="2" t="s">
        <v>5843</v>
      </c>
      <c r="I12" s="2" t="s">
        <v>5845</v>
      </c>
      <c r="J12" s="2" t="s">
        <v>5847</v>
      </c>
      <c r="K12" s="2">
        <v>85.99</v>
      </c>
      <c r="L12" s="2">
        <v>6.98</v>
      </c>
      <c r="M12" s="2" t="s">
        <v>5846</v>
      </c>
      <c r="N12" s="2">
        <v>4</v>
      </c>
      <c r="O12" s="2">
        <v>1</v>
      </c>
      <c r="P12" s="2">
        <v>1</v>
      </c>
      <c r="Q12" s="2">
        <v>0</v>
      </c>
      <c r="R12" s="2">
        <v>0</v>
      </c>
      <c r="S12" s="2">
        <f t="shared" si="0"/>
        <v>0.7</v>
      </c>
      <c r="T12" s="2" t="str">
        <f t="shared" si="1"/>
        <v>RECONSTRUCCION</v>
      </c>
    </row>
    <row r="13" spans="1:20" x14ac:dyDescent="0.3">
      <c r="A13" s="2"/>
      <c r="B13" s="2" t="s">
        <v>5842</v>
      </c>
      <c r="C13" s="2"/>
      <c r="D13" s="2"/>
      <c r="E13" s="2"/>
      <c r="F13" s="2"/>
      <c r="G13" s="2">
        <v>3002470</v>
      </c>
      <c r="H13" s="2" t="s">
        <v>5843</v>
      </c>
      <c r="I13" s="2" t="s">
        <v>5847</v>
      </c>
      <c r="J13" s="2" t="s">
        <v>5848</v>
      </c>
      <c r="K13" s="2">
        <v>49.16</v>
      </c>
      <c r="L13" s="2">
        <v>7.21</v>
      </c>
      <c r="M13" s="2" t="s">
        <v>5846</v>
      </c>
      <c r="N13" s="2">
        <v>4</v>
      </c>
      <c r="O13" s="2">
        <v>1</v>
      </c>
      <c r="P13" s="2">
        <v>1</v>
      </c>
      <c r="Q13" s="2">
        <v>0</v>
      </c>
      <c r="R13" s="2">
        <v>0</v>
      </c>
      <c r="S13" s="2">
        <f t="shared" si="0"/>
        <v>0.7</v>
      </c>
      <c r="T13" s="2" t="str">
        <f t="shared" si="1"/>
        <v>RECONSTRUCCION</v>
      </c>
    </row>
    <row r="14" spans="1:20" x14ac:dyDescent="0.3">
      <c r="A14" s="2" t="s">
        <v>5808</v>
      </c>
      <c r="B14" s="95">
        <v>20245310069302</v>
      </c>
      <c r="C14" s="2" t="s">
        <v>5849</v>
      </c>
      <c r="D14" s="2" t="s">
        <v>5811</v>
      </c>
      <c r="E14" s="2" t="s">
        <v>5812</v>
      </c>
      <c r="F14" s="2" t="s">
        <v>5850</v>
      </c>
      <c r="G14" s="2">
        <v>3002823</v>
      </c>
      <c r="H14" s="2" t="s">
        <v>5851</v>
      </c>
      <c r="I14" s="2" t="s">
        <v>5852</v>
      </c>
      <c r="J14" s="2" t="s">
        <v>5853</v>
      </c>
      <c r="K14" s="2">
        <v>102.23</v>
      </c>
      <c r="L14" s="2">
        <v>2.4700000000000002</v>
      </c>
      <c r="M14" s="2" t="s">
        <v>5841</v>
      </c>
      <c r="N14" s="2">
        <v>4</v>
      </c>
      <c r="O14" s="2">
        <v>0</v>
      </c>
      <c r="P14" s="2">
        <v>0</v>
      </c>
      <c r="Q14" s="2">
        <v>0</v>
      </c>
      <c r="R14" s="2">
        <v>1</v>
      </c>
      <c r="S14" s="2">
        <f t="shared" si="0"/>
        <v>0.7</v>
      </c>
      <c r="T14" s="2" t="str">
        <f t="shared" si="1"/>
        <v>RECONSTRUCCION</v>
      </c>
    </row>
    <row r="15" spans="1:20" x14ac:dyDescent="0.3">
      <c r="A15" s="2"/>
      <c r="B15" s="2" t="s">
        <v>5842</v>
      </c>
      <c r="C15" s="2"/>
      <c r="D15" s="2"/>
      <c r="E15" s="2"/>
      <c r="F15" s="2"/>
      <c r="G15" s="2">
        <v>3002896</v>
      </c>
      <c r="H15" s="2" t="s">
        <v>5843</v>
      </c>
      <c r="I15" s="2" t="s">
        <v>5847</v>
      </c>
      <c r="J15" s="2" t="s">
        <v>5854</v>
      </c>
      <c r="K15" s="2">
        <v>57.96</v>
      </c>
      <c r="L15" s="2">
        <v>10.06</v>
      </c>
      <c r="M15" s="2" t="s">
        <v>5846</v>
      </c>
      <c r="N15" s="2">
        <v>4</v>
      </c>
      <c r="O15" s="2">
        <v>1</v>
      </c>
      <c r="P15" s="2">
        <v>1</v>
      </c>
      <c r="Q15" s="2">
        <v>0</v>
      </c>
      <c r="R15" s="2">
        <v>0</v>
      </c>
      <c r="S15" s="2">
        <f t="shared" si="0"/>
        <v>0.7</v>
      </c>
      <c r="T15" s="2" t="str">
        <f t="shared" si="1"/>
        <v>RECONSTRUCCION</v>
      </c>
    </row>
    <row r="16" spans="1:20" x14ac:dyDescent="0.3">
      <c r="A16" s="2" t="s">
        <v>5808</v>
      </c>
      <c r="B16" s="95">
        <v>20245310067582</v>
      </c>
      <c r="C16" s="2" t="s">
        <v>5855</v>
      </c>
      <c r="D16" s="2" t="s">
        <v>5827</v>
      </c>
      <c r="E16" s="2" t="s">
        <v>5812</v>
      </c>
      <c r="F16" s="2" t="s">
        <v>5856</v>
      </c>
      <c r="G16" s="2">
        <v>3001317</v>
      </c>
      <c r="H16" s="2" t="s">
        <v>5857</v>
      </c>
      <c r="I16" s="2" t="s">
        <v>5858</v>
      </c>
      <c r="J16" s="2" t="s">
        <v>5859</v>
      </c>
      <c r="K16" s="2">
        <v>23.04</v>
      </c>
      <c r="L16" s="2">
        <v>6.99</v>
      </c>
      <c r="M16" s="2" t="s">
        <v>5846</v>
      </c>
      <c r="N16" s="2">
        <v>3</v>
      </c>
      <c r="O16" s="2">
        <v>0</v>
      </c>
      <c r="P16" s="2">
        <v>1</v>
      </c>
      <c r="Q16" s="2">
        <v>0</v>
      </c>
      <c r="R16" s="2">
        <v>1</v>
      </c>
      <c r="S16" s="2">
        <f t="shared" si="0"/>
        <v>0.67500000000000004</v>
      </c>
      <c r="T16" s="2" t="str">
        <f t="shared" si="1"/>
        <v>REHABILITACION</v>
      </c>
    </row>
    <row r="17" spans="1:20" x14ac:dyDescent="0.3">
      <c r="A17" s="2" t="s">
        <v>5808</v>
      </c>
      <c r="B17" s="95">
        <v>20255310009732</v>
      </c>
      <c r="C17" s="2" t="s">
        <v>5860</v>
      </c>
      <c r="D17" s="2" t="s">
        <v>5827</v>
      </c>
      <c r="E17" s="2" t="s">
        <v>5836</v>
      </c>
      <c r="F17" s="2" t="s">
        <v>5861</v>
      </c>
      <c r="G17" s="103">
        <v>3001395</v>
      </c>
      <c r="H17" s="2" t="s">
        <v>5862</v>
      </c>
      <c r="I17" s="2"/>
      <c r="J17" s="2"/>
      <c r="K17" s="2">
        <v>158.85</v>
      </c>
      <c r="L17" s="2">
        <v>7.49</v>
      </c>
      <c r="M17" s="2" t="s">
        <v>5846</v>
      </c>
      <c r="N17" s="2">
        <v>3</v>
      </c>
      <c r="O17" s="2">
        <v>0</v>
      </c>
      <c r="P17" s="2">
        <v>1</v>
      </c>
      <c r="Q17" s="2">
        <v>0</v>
      </c>
      <c r="R17" s="2">
        <v>1</v>
      </c>
      <c r="S17" s="2">
        <f t="shared" si="0"/>
        <v>0.67500000000000004</v>
      </c>
      <c r="T17" s="2" t="str">
        <f t="shared" si="1"/>
        <v>REHABILITACION</v>
      </c>
    </row>
    <row r="18" spans="1:20" x14ac:dyDescent="0.3">
      <c r="A18" s="2" t="s">
        <v>5808</v>
      </c>
      <c r="B18" s="95">
        <v>20244603975872</v>
      </c>
      <c r="C18" s="2" t="s">
        <v>5863</v>
      </c>
      <c r="D18" s="2" t="s">
        <v>5827</v>
      </c>
      <c r="E18" s="2" t="s">
        <v>5864</v>
      </c>
      <c r="F18" s="2" t="s">
        <v>5865</v>
      </c>
      <c r="G18" s="2">
        <v>3002833</v>
      </c>
      <c r="H18" s="2" t="s">
        <v>5866</v>
      </c>
      <c r="I18" s="2" t="s">
        <v>5867</v>
      </c>
      <c r="J18" s="2" t="s">
        <v>5868</v>
      </c>
      <c r="K18" s="2">
        <v>85.78</v>
      </c>
      <c r="L18" s="2">
        <v>5.0599999999999996</v>
      </c>
      <c r="M18" s="2" t="s">
        <v>5846</v>
      </c>
      <c r="N18" s="2">
        <v>3</v>
      </c>
      <c r="O18" s="2">
        <v>0</v>
      </c>
      <c r="P18" s="2">
        <v>1</v>
      </c>
      <c r="Q18" s="2">
        <v>0</v>
      </c>
      <c r="R18" s="2">
        <v>1</v>
      </c>
      <c r="S18" s="2">
        <f t="shared" si="0"/>
        <v>0.67500000000000004</v>
      </c>
      <c r="T18" s="2" t="str">
        <f t="shared" si="1"/>
        <v>REHABILITACION</v>
      </c>
    </row>
    <row r="19" spans="1:20" x14ac:dyDescent="0.3">
      <c r="A19" s="2"/>
      <c r="B19" s="2" t="s">
        <v>5869</v>
      </c>
      <c r="C19" s="2"/>
      <c r="D19" s="2"/>
      <c r="E19" s="2"/>
      <c r="F19" s="2"/>
      <c r="G19" s="2">
        <v>3001079</v>
      </c>
      <c r="H19" s="2" t="s">
        <v>5870</v>
      </c>
      <c r="I19" s="2" t="s">
        <v>5871</v>
      </c>
      <c r="J19" s="2" t="s">
        <v>5831</v>
      </c>
      <c r="K19" s="2">
        <v>87.52</v>
      </c>
      <c r="L19" s="2">
        <v>3.83</v>
      </c>
      <c r="M19" s="2" t="s">
        <v>5846</v>
      </c>
      <c r="N19" s="2">
        <v>2</v>
      </c>
      <c r="O19" s="2">
        <v>1</v>
      </c>
      <c r="P19" s="2">
        <v>1</v>
      </c>
      <c r="Q19" s="2">
        <v>0</v>
      </c>
      <c r="R19" s="2">
        <v>1</v>
      </c>
      <c r="S19" s="2">
        <f t="shared" si="0"/>
        <v>0.64999999999999991</v>
      </c>
      <c r="T19" s="2" t="str">
        <f t="shared" si="1"/>
        <v>MANTENIMIENTO PERIODICO</v>
      </c>
    </row>
    <row r="20" spans="1:20" x14ac:dyDescent="0.3">
      <c r="A20" s="2"/>
      <c r="B20" s="2" t="s">
        <v>5872</v>
      </c>
      <c r="C20" s="2"/>
      <c r="D20" s="2"/>
      <c r="E20" s="2"/>
      <c r="F20" s="2"/>
      <c r="G20" s="2">
        <v>3001197</v>
      </c>
      <c r="H20" s="2" t="s">
        <v>5873</v>
      </c>
      <c r="I20" s="2" t="s">
        <v>5874</v>
      </c>
      <c r="J20" s="2" t="s">
        <v>5875</v>
      </c>
      <c r="K20" s="2">
        <v>115.41</v>
      </c>
      <c r="L20" s="2">
        <v>6.99</v>
      </c>
      <c r="M20" s="2" t="s">
        <v>5846</v>
      </c>
      <c r="N20" s="2">
        <v>2</v>
      </c>
      <c r="O20" s="2">
        <v>1</v>
      </c>
      <c r="P20" s="2">
        <v>1</v>
      </c>
      <c r="Q20" s="2">
        <v>0</v>
      </c>
      <c r="R20" s="2">
        <v>1</v>
      </c>
      <c r="S20" s="2">
        <f t="shared" si="0"/>
        <v>0.64999999999999991</v>
      </c>
      <c r="T20" s="2" t="str">
        <f t="shared" si="1"/>
        <v>MANTENIMIENTO PERIODICO</v>
      </c>
    </row>
    <row r="21" spans="1:20" x14ac:dyDescent="0.3">
      <c r="A21" s="2"/>
      <c r="B21" s="2" t="s">
        <v>5876</v>
      </c>
      <c r="C21" s="2"/>
      <c r="D21" s="2"/>
      <c r="E21" s="2"/>
      <c r="F21" s="2"/>
      <c r="G21" s="2">
        <v>3001222</v>
      </c>
      <c r="H21" s="2" t="s">
        <v>5873</v>
      </c>
      <c r="I21" s="2" t="s">
        <v>5877</v>
      </c>
      <c r="J21" s="2" t="s">
        <v>5874</v>
      </c>
      <c r="K21" s="2">
        <v>24.47</v>
      </c>
      <c r="L21" s="2">
        <v>6.99</v>
      </c>
      <c r="M21" s="2" t="s">
        <v>5846</v>
      </c>
      <c r="N21" s="2">
        <v>2</v>
      </c>
      <c r="O21" s="2">
        <v>1</v>
      </c>
      <c r="P21" s="2">
        <v>1</v>
      </c>
      <c r="Q21" s="2">
        <v>0</v>
      </c>
      <c r="R21" s="2">
        <v>1</v>
      </c>
      <c r="S21" s="2">
        <f t="shared" si="0"/>
        <v>0.64999999999999991</v>
      </c>
      <c r="T21" s="2" t="str">
        <f t="shared" si="1"/>
        <v>MANTENIMIENTO PERIODICO</v>
      </c>
    </row>
    <row r="22" spans="1:20" x14ac:dyDescent="0.3">
      <c r="A22" s="2"/>
      <c r="B22" s="2" t="s">
        <v>5878</v>
      </c>
      <c r="C22" s="2"/>
      <c r="D22" s="2"/>
      <c r="E22" s="2"/>
      <c r="F22" s="2"/>
      <c r="G22" s="2">
        <v>3001283</v>
      </c>
      <c r="H22" s="2" t="s">
        <v>5831</v>
      </c>
      <c r="I22" s="2" t="s">
        <v>5879</v>
      </c>
      <c r="J22" s="2" t="s">
        <v>5880</v>
      </c>
      <c r="K22" s="2">
        <v>67.28</v>
      </c>
      <c r="L22" s="2">
        <v>5.55</v>
      </c>
      <c r="M22" s="2" t="s">
        <v>5817</v>
      </c>
      <c r="N22" s="2">
        <v>2</v>
      </c>
      <c r="O22" s="2">
        <v>1</v>
      </c>
      <c r="P22" s="2">
        <v>1</v>
      </c>
      <c r="Q22" s="2">
        <v>0</v>
      </c>
      <c r="R22" s="2">
        <v>1</v>
      </c>
      <c r="S22" s="2">
        <f t="shared" si="0"/>
        <v>0.64999999999999991</v>
      </c>
      <c r="T22" s="2" t="str">
        <f t="shared" si="1"/>
        <v>MANTENIMIENTO PERIODICO</v>
      </c>
    </row>
    <row r="23" spans="1:20" x14ac:dyDescent="0.3">
      <c r="A23" s="2"/>
      <c r="B23" s="2" t="s">
        <v>5881</v>
      </c>
      <c r="C23" s="2"/>
      <c r="D23" s="2"/>
      <c r="E23" s="2"/>
      <c r="F23" s="2"/>
      <c r="G23" s="2">
        <v>3001304</v>
      </c>
      <c r="H23" s="2" t="s">
        <v>5831</v>
      </c>
      <c r="I23" s="2" t="s">
        <v>5833</v>
      </c>
      <c r="J23" s="2" t="s">
        <v>5879</v>
      </c>
      <c r="K23" s="2">
        <v>22.41</v>
      </c>
      <c r="L23" s="2">
        <v>6.64</v>
      </c>
      <c r="M23" s="2" t="s">
        <v>5817</v>
      </c>
      <c r="N23" s="2">
        <v>2</v>
      </c>
      <c r="O23" s="2">
        <v>1</v>
      </c>
      <c r="P23" s="2">
        <v>1</v>
      </c>
      <c r="Q23" s="2">
        <v>0</v>
      </c>
      <c r="R23" s="2">
        <v>1</v>
      </c>
      <c r="S23" s="2">
        <f t="shared" si="0"/>
        <v>0.64999999999999991</v>
      </c>
      <c r="T23" s="2" t="str">
        <f t="shared" si="1"/>
        <v>MANTENIMIENTO PERIODICO</v>
      </c>
    </row>
    <row r="24" spans="1:20" x14ac:dyDescent="0.3">
      <c r="A24" s="2" t="s">
        <v>5808</v>
      </c>
      <c r="B24" s="95">
        <v>20245310089612</v>
      </c>
      <c r="C24" s="2" t="s">
        <v>5882</v>
      </c>
      <c r="D24" s="2" t="s">
        <v>5827</v>
      </c>
      <c r="E24" s="2" t="s">
        <v>5812</v>
      </c>
      <c r="F24" s="2" t="s">
        <v>5883</v>
      </c>
      <c r="G24" s="2">
        <v>3001479</v>
      </c>
      <c r="H24" s="2" t="s">
        <v>5884</v>
      </c>
      <c r="I24" s="2" t="s">
        <v>5885</v>
      </c>
      <c r="J24" s="2" t="s">
        <v>5886</v>
      </c>
      <c r="K24" s="2">
        <v>119.34</v>
      </c>
      <c r="L24" s="2">
        <v>7.55</v>
      </c>
      <c r="M24" s="2" t="s">
        <v>5846</v>
      </c>
      <c r="N24" s="2">
        <v>2</v>
      </c>
      <c r="O24" s="2">
        <v>1</v>
      </c>
      <c r="P24" s="2">
        <v>1</v>
      </c>
      <c r="Q24" s="2">
        <v>0</v>
      </c>
      <c r="R24" s="2">
        <v>1</v>
      </c>
      <c r="S24" s="2">
        <f t="shared" si="0"/>
        <v>0.64999999999999991</v>
      </c>
      <c r="T24" s="2" t="str">
        <f t="shared" si="1"/>
        <v>MANTENIMIENTO PERIODICO</v>
      </c>
    </row>
    <row r="25" spans="1:20" x14ac:dyDescent="0.3">
      <c r="A25" s="2" t="s">
        <v>5808</v>
      </c>
      <c r="B25" s="95">
        <v>20255310002742</v>
      </c>
      <c r="C25" s="2" t="s">
        <v>5887</v>
      </c>
      <c r="D25" s="2" t="s">
        <v>5827</v>
      </c>
      <c r="E25" s="2" t="s">
        <v>5812</v>
      </c>
      <c r="F25" s="2" t="s">
        <v>5888</v>
      </c>
      <c r="G25" s="2">
        <v>3002274</v>
      </c>
      <c r="H25" s="2" t="s">
        <v>5859</v>
      </c>
      <c r="I25" s="2" t="s">
        <v>5857</v>
      </c>
      <c r="J25" s="2" t="s">
        <v>5889</v>
      </c>
      <c r="K25" s="2">
        <v>27.04</v>
      </c>
      <c r="L25" s="2">
        <v>7.67</v>
      </c>
      <c r="M25" s="2" t="s">
        <v>5846</v>
      </c>
      <c r="N25" s="2">
        <v>2</v>
      </c>
      <c r="O25" s="2">
        <v>1</v>
      </c>
      <c r="P25" s="2">
        <v>1</v>
      </c>
      <c r="Q25" s="2">
        <v>0</v>
      </c>
      <c r="R25" s="2">
        <v>1</v>
      </c>
      <c r="S25" s="2">
        <f t="shared" si="0"/>
        <v>0.64999999999999991</v>
      </c>
      <c r="T25" s="2" t="str">
        <f t="shared" si="1"/>
        <v>MANTENIMIENTO PERIODICO</v>
      </c>
    </row>
    <row r="26" spans="1:20" x14ac:dyDescent="0.3">
      <c r="A26" s="2"/>
      <c r="B26" s="2" t="s">
        <v>5890</v>
      </c>
      <c r="C26" s="2"/>
      <c r="D26" s="2"/>
      <c r="E26" s="2"/>
      <c r="F26" s="2"/>
      <c r="G26" s="2">
        <v>3002605</v>
      </c>
      <c r="H26" s="2" t="s">
        <v>5873</v>
      </c>
      <c r="I26" s="2" t="s">
        <v>5877</v>
      </c>
      <c r="J26" s="2" t="s">
        <v>5891</v>
      </c>
      <c r="K26" s="2">
        <v>14.46</v>
      </c>
      <c r="L26" s="2">
        <v>7.46</v>
      </c>
      <c r="M26" s="2" t="s">
        <v>5846</v>
      </c>
      <c r="N26" s="2">
        <v>2</v>
      </c>
      <c r="O26" s="2">
        <v>1</v>
      </c>
      <c r="P26" s="2">
        <v>1</v>
      </c>
      <c r="Q26" s="2">
        <v>0</v>
      </c>
      <c r="R26" s="2">
        <v>1</v>
      </c>
      <c r="S26" s="2">
        <f t="shared" si="0"/>
        <v>0.64999999999999991</v>
      </c>
      <c r="T26" s="2" t="str">
        <f t="shared" si="1"/>
        <v>MANTENIMIENTO PERIODICO</v>
      </c>
    </row>
    <row r="27" spans="1:20" x14ac:dyDescent="0.3">
      <c r="A27" s="2"/>
      <c r="B27" s="2" t="s">
        <v>5842</v>
      </c>
      <c r="C27" s="2"/>
      <c r="D27" s="2"/>
      <c r="E27" s="2"/>
      <c r="F27" s="2"/>
      <c r="G27" s="2">
        <v>3001465</v>
      </c>
      <c r="H27" s="2" t="s">
        <v>5892</v>
      </c>
      <c r="I27" s="2" t="s">
        <v>5893</v>
      </c>
      <c r="J27" s="2" t="s">
        <v>5894</v>
      </c>
      <c r="K27" s="2">
        <v>36.64</v>
      </c>
      <c r="L27" s="2">
        <v>6.09</v>
      </c>
      <c r="M27" s="2" t="s">
        <v>5846</v>
      </c>
      <c r="N27" s="2">
        <v>4</v>
      </c>
      <c r="O27" s="2">
        <v>0</v>
      </c>
      <c r="P27" s="2">
        <v>1</v>
      </c>
      <c r="Q27" s="2">
        <v>0</v>
      </c>
      <c r="R27" s="2">
        <v>0</v>
      </c>
      <c r="S27" s="2">
        <f t="shared" si="0"/>
        <v>0.6</v>
      </c>
      <c r="T27" s="2" t="str">
        <f t="shared" si="1"/>
        <v>RECONSTRUCCION</v>
      </c>
    </row>
    <row r="28" spans="1:20" x14ac:dyDescent="0.3">
      <c r="A28" s="2" t="s">
        <v>5808</v>
      </c>
      <c r="B28" s="95">
        <v>20245310076062</v>
      </c>
      <c r="C28" s="2" t="s">
        <v>5895</v>
      </c>
      <c r="D28" s="2" t="s">
        <v>5827</v>
      </c>
      <c r="E28" s="2" t="s">
        <v>5812</v>
      </c>
      <c r="F28" s="2" t="s">
        <v>5896</v>
      </c>
      <c r="G28" s="2">
        <v>3000012</v>
      </c>
      <c r="H28" s="2" t="s">
        <v>5897</v>
      </c>
      <c r="I28" s="2" t="s">
        <v>5898</v>
      </c>
      <c r="J28" s="2" t="s">
        <v>5899</v>
      </c>
      <c r="K28" s="2">
        <v>63.18</v>
      </c>
      <c r="L28" s="2">
        <v>5.76</v>
      </c>
      <c r="M28" s="2" t="s">
        <v>5817</v>
      </c>
      <c r="N28" s="2">
        <v>3</v>
      </c>
      <c r="O28" s="2">
        <v>0</v>
      </c>
      <c r="P28" s="2">
        <v>0</v>
      </c>
      <c r="Q28" s="2">
        <v>0</v>
      </c>
      <c r="R28" s="2">
        <v>1</v>
      </c>
      <c r="S28" s="2">
        <f t="shared" si="0"/>
        <v>0.57499999999999996</v>
      </c>
      <c r="T28" s="2" t="str">
        <f t="shared" si="1"/>
        <v>REHABILITACION</v>
      </c>
    </row>
    <row r="29" spans="1:20" x14ac:dyDescent="0.3">
      <c r="A29" s="2"/>
      <c r="B29" s="2" t="s">
        <v>5842</v>
      </c>
      <c r="C29" s="2"/>
      <c r="D29" s="2"/>
      <c r="E29" s="2"/>
      <c r="F29" s="2"/>
      <c r="G29" s="2">
        <v>3001709</v>
      </c>
      <c r="H29" s="2" t="s">
        <v>5892</v>
      </c>
      <c r="I29" s="2" t="s">
        <v>5900</v>
      </c>
      <c r="J29" s="2" t="s">
        <v>5901</v>
      </c>
      <c r="K29" s="2">
        <v>30.31</v>
      </c>
      <c r="L29" s="2">
        <v>7.43</v>
      </c>
      <c r="M29" s="2" t="s">
        <v>5846</v>
      </c>
      <c r="N29" s="2">
        <v>3</v>
      </c>
      <c r="O29" s="2">
        <v>1</v>
      </c>
      <c r="P29" s="2">
        <v>1</v>
      </c>
      <c r="Q29" s="2">
        <v>0</v>
      </c>
      <c r="R29" s="2">
        <v>0</v>
      </c>
      <c r="S29" s="2">
        <f t="shared" si="0"/>
        <v>0.57499999999999996</v>
      </c>
      <c r="T29" s="2" t="str">
        <f t="shared" si="1"/>
        <v>REHABILITACION</v>
      </c>
    </row>
    <row r="30" spans="1:20" x14ac:dyDescent="0.3">
      <c r="A30" s="2"/>
      <c r="B30" s="2" t="s">
        <v>5842</v>
      </c>
      <c r="C30" s="2"/>
      <c r="D30" s="2"/>
      <c r="E30" s="2"/>
      <c r="F30" s="2"/>
      <c r="G30" s="2">
        <v>3001711</v>
      </c>
      <c r="H30" s="2" t="s">
        <v>5902</v>
      </c>
      <c r="I30" s="2" t="s">
        <v>5903</v>
      </c>
      <c r="J30" s="2" t="s">
        <v>5892</v>
      </c>
      <c r="K30" s="2">
        <v>50.12</v>
      </c>
      <c r="L30" s="2">
        <v>6.91</v>
      </c>
      <c r="M30" s="2" t="s">
        <v>5846</v>
      </c>
      <c r="N30" s="2">
        <v>3</v>
      </c>
      <c r="O30" s="2">
        <v>1</v>
      </c>
      <c r="P30" s="2">
        <v>1</v>
      </c>
      <c r="Q30" s="2">
        <v>0</v>
      </c>
      <c r="R30" s="2">
        <v>0</v>
      </c>
      <c r="S30" s="2">
        <f t="shared" si="0"/>
        <v>0.57499999999999996</v>
      </c>
      <c r="T30" s="2" t="str">
        <f t="shared" si="1"/>
        <v>REHABILITACION</v>
      </c>
    </row>
    <row r="31" spans="1:20" x14ac:dyDescent="0.3">
      <c r="A31" s="2"/>
      <c r="B31" s="2" t="s">
        <v>5842</v>
      </c>
      <c r="C31" s="2"/>
      <c r="D31" s="2"/>
      <c r="E31" s="2"/>
      <c r="F31" s="2"/>
      <c r="G31" s="2">
        <v>3001785</v>
      </c>
      <c r="H31" s="2" t="s">
        <v>5854</v>
      </c>
      <c r="I31" s="2" t="s">
        <v>5904</v>
      </c>
      <c r="J31" s="2" t="s">
        <v>5900</v>
      </c>
      <c r="K31" s="2">
        <v>104.45</v>
      </c>
      <c r="L31" s="2">
        <v>5.94</v>
      </c>
      <c r="M31" s="2" t="s">
        <v>5846</v>
      </c>
      <c r="N31" s="2">
        <v>3</v>
      </c>
      <c r="O31" s="2">
        <v>1</v>
      </c>
      <c r="P31" s="2">
        <v>1</v>
      </c>
      <c r="Q31" s="2">
        <v>0</v>
      </c>
      <c r="R31" s="2">
        <v>0</v>
      </c>
      <c r="S31" s="2">
        <f t="shared" si="0"/>
        <v>0.57499999999999996</v>
      </c>
      <c r="T31" s="2" t="str">
        <f t="shared" si="1"/>
        <v>REHABILITACION</v>
      </c>
    </row>
    <row r="32" spans="1:20" x14ac:dyDescent="0.3">
      <c r="A32" s="2"/>
      <c r="B32" s="2" t="s">
        <v>5842</v>
      </c>
      <c r="C32" s="2"/>
      <c r="D32" s="2"/>
      <c r="E32" s="2"/>
      <c r="F32" s="2"/>
      <c r="G32" s="2">
        <v>3002256</v>
      </c>
      <c r="H32" s="2" t="s">
        <v>5905</v>
      </c>
      <c r="I32" s="2" t="s">
        <v>5906</v>
      </c>
      <c r="J32" s="2" t="s">
        <v>5907</v>
      </c>
      <c r="K32" s="2">
        <v>34.36</v>
      </c>
      <c r="L32" s="2">
        <v>10.52</v>
      </c>
      <c r="M32" s="2" t="s">
        <v>5846</v>
      </c>
      <c r="N32" s="2">
        <v>3</v>
      </c>
      <c r="O32" s="2">
        <v>1</v>
      </c>
      <c r="P32" s="2">
        <v>1</v>
      </c>
      <c r="Q32" s="2">
        <v>0</v>
      </c>
      <c r="R32" s="2">
        <v>0</v>
      </c>
      <c r="S32" s="2">
        <f t="shared" si="0"/>
        <v>0.57499999999999996</v>
      </c>
      <c r="T32" s="2" t="str">
        <f t="shared" si="1"/>
        <v>REHABILITACION</v>
      </c>
    </row>
    <row r="33" spans="1:20" x14ac:dyDescent="0.3">
      <c r="A33" s="2" t="s">
        <v>5808</v>
      </c>
      <c r="B33" s="95" t="s">
        <v>5908</v>
      </c>
      <c r="C33" s="2" t="s">
        <v>5909</v>
      </c>
      <c r="D33" s="2" t="s">
        <v>5827</v>
      </c>
      <c r="E33" s="2" t="s">
        <v>5910</v>
      </c>
      <c r="F33" s="2" t="s">
        <v>5911</v>
      </c>
      <c r="G33" s="103">
        <v>3002546</v>
      </c>
      <c r="H33" s="2" t="s">
        <v>5912</v>
      </c>
      <c r="I33" s="2" t="s">
        <v>5913</v>
      </c>
      <c r="J33" s="2" t="s">
        <v>5914</v>
      </c>
      <c r="K33" s="2">
        <v>54.48</v>
      </c>
      <c r="L33" s="2">
        <v>5.97</v>
      </c>
      <c r="M33" s="2" t="s">
        <v>5846</v>
      </c>
      <c r="N33" s="2">
        <v>3</v>
      </c>
      <c r="O33" s="2">
        <v>0</v>
      </c>
      <c r="P33" s="2">
        <v>0</v>
      </c>
      <c r="Q33" s="2">
        <v>0</v>
      </c>
      <c r="R33" s="2">
        <v>1</v>
      </c>
      <c r="S33" s="2">
        <f t="shared" si="0"/>
        <v>0.57499999999999996</v>
      </c>
      <c r="T33" s="2" t="str">
        <f t="shared" si="1"/>
        <v>REHABILITACION</v>
      </c>
    </row>
    <row r="34" spans="1:20" x14ac:dyDescent="0.3">
      <c r="A34" s="2" t="s">
        <v>5808</v>
      </c>
      <c r="B34" s="95" t="s">
        <v>5908</v>
      </c>
      <c r="C34" s="2" t="s">
        <v>5909</v>
      </c>
      <c r="D34" s="2" t="s">
        <v>5827</v>
      </c>
      <c r="E34" s="2" t="s">
        <v>5910</v>
      </c>
      <c r="F34" s="2" t="s">
        <v>5911</v>
      </c>
      <c r="G34" s="103">
        <v>3002819</v>
      </c>
      <c r="H34" s="2" t="s">
        <v>5912</v>
      </c>
      <c r="I34" s="2" t="s">
        <v>5913</v>
      </c>
      <c r="J34" s="2" t="s">
        <v>5914</v>
      </c>
      <c r="K34" s="2">
        <v>36.4</v>
      </c>
      <c r="L34" s="2">
        <v>5.77</v>
      </c>
      <c r="M34" s="2" t="s">
        <v>5846</v>
      </c>
      <c r="N34" s="2">
        <v>3</v>
      </c>
      <c r="O34" s="2">
        <v>0</v>
      </c>
      <c r="P34" s="2">
        <v>0</v>
      </c>
      <c r="Q34" s="2">
        <v>0</v>
      </c>
      <c r="R34" s="2">
        <v>1</v>
      </c>
      <c r="S34" s="2">
        <f t="shared" si="0"/>
        <v>0.57499999999999996</v>
      </c>
      <c r="T34" s="2" t="str">
        <f t="shared" si="1"/>
        <v>REHABILITACION</v>
      </c>
    </row>
    <row r="35" spans="1:20" x14ac:dyDescent="0.3">
      <c r="A35" s="2"/>
      <c r="B35" s="2" t="s">
        <v>5842</v>
      </c>
      <c r="C35" s="2"/>
      <c r="D35" s="2"/>
      <c r="E35" s="2"/>
      <c r="F35" s="2"/>
      <c r="G35" s="2">
        <v>3003016</v>
      </c>
      <c r="H35" s="2" t="s">
        <v>5854</v>
      </c>
      <c r="I35" s="2" t="s">
        <v>5915</v>
      </c>
      <c r="J35" s="2" t="s">
        <v>5916</v>
      </c>
      <c r="K35" s="2">
        <v>132.37</v>
      </c>
      <c r="L35" s="2">
        <v>6.71</v>
      </c>
      <c r="M35" s="2" t="s">
        <v>5846</v>
      </c>
      <c r="N35" s="2">
        <v>3</v>
      </c>
      <c r="O35" s="2">
        <v>1</v>
      </c>
      <c r="P35" s="2">
        <v>1</v>
      </c>
      <c r="Q35" s="2">
        <v>0</v>
      </c>
      <c r="R35" s="2">
        <v>0</v>
      </c>
      <c r="S35" s="2">
        <f t="shared" ref="S35:S66" si="2">+(N35/4)*0.5+O35*0.1+P35*0.1+Q35*0.1+R35*0.2</f>
        <v>0.57499999999999996</v>
      </c>
      <c r="T35" s="2" t="str">
        <f t="shared" ref="T35:T66" si="3">+VLOOKUP(N35,$G$102:$H$106,2,FALSE)</f>
        <v>REHABILITACION</v>
      </c>
    </row>
    <row r="36" spans="1:20" x14ac:dyDescent="0.3">
      <c r="A36" s="2" t="s">
        <v>5808</v>
      </c>
      <c r="B36" s="95">
        <v>20245310071302</v>
      </c>
      <c r="C36" s="2" t="s">
        <v>5917</v>
      </c>
      <c r="D36" s="2" t="s">
        <v>5811</v>
      </c>
      <c r="E36" s="2" t="s">
        <v>5812</v>
      </c>
      <c r="F36" s="2" t="s">
        <v>5918</v>
      </c>
      <c r="G36" s="2">
        <v>3000297</v>
      </c>
      <c r="H36" s="2" t="s">
        <v>5919</v>
      </c>
      <c r="I36" s="2" t="s">
        <v>5920</v>
      </c>
      <c r="J36" s="2" t="s">
        <v>5921</v>
      </c>
      <c r="K36" s="2">
        <v>70.760000000000005</v>
      </c>
      <c r="L36" s="2">
        <v>7.13</v>
      </c>
      <c r="M36" s="2" t="s">
        <v>5817</v>
      </c>
      <c r="N36" s="2">
        <v>2</v>
      </c>
      <c r="O36" s="2">
        <v>0</v>
      </c>
      <c r="P36" s="2">
        <v>1</v>
      </c>
      <c r="Q36" s="2">
        <v>0</v>
      </c>
      <c r="R36" s="2">
        <v>1</v>
      </c>
      <c r="S36" s="2">
        <f t="shared" si="2"/>
        <v>0.55000000000000004</v>
      </c>
      <c r="T36" s="2" t="str">
        <f t="shared" si="3"/>
        <v>MANTENIMIENTO PERIODICO</v>
      </c>
    </row>
    <row r="37" spans="1:20" x14ac:dyDescent="0.3">
      <c r="A37" s="2" t="s">
        <v>5808</v>
      </c>
      <c r="B37" s="95">
        <v>20245310071302</v>
      </c>
      <c r="C37" s="2" t="s">
        <v>5917</v>
      </c>
      <c r="D37" s="2" t="s">
        <v>5811</v>
      </c>
      <c r="E37" s="2" t="s">
        <v>5812</v>
      </c>
      <c r="F37" s="2" t="s">
        <v>5918</v>
      </c>
      <c r="G37" s="2">
        <v>3000328</v>
      </c>
      <c r="H37" s="2" t="s">
        <v>5919</v>
      </c>
      <c r="I37" s="2" t="s">
        <v>5922</v>
      </c>
      <c r="J37" s="2" t="s">
        <v>5920</v>
      </c>
      <c r="K37" s="2">
        <v>107.97</v>
      </c>
      <c r="L37" s="2">
        <v>6.7</v>
      </c>
      <c r="M37" s="2" t="s">
        <v>5817</v>
      </c>
      <c r="N37" s="2">
        <v>2</v>
      </c>
      <c r="O37" s="2">
        <v>0</v>
      </c>
      <c r="P37" s="2">
        <v>1</v>
      </c>
      <c r="Q37" s="2">
        <v>0</v>
      </c>
      <c r="R37" s="2">
        <v>1</v>
      </c>
      <c r="S37" s="2">
        <f t="shared" si="2"/>
        <v>0.55000000000000004</v>
      </c>
      <c r="T37" s="2" t="str">
        <f t="shared" si="3"/>
        <v>MANTENIMIENTO PERIODICO</v>
      </c>
    </row>
    <row r="38" spans="1:20" x14ac:dyDescent="0.3">
      <c r="A38" s="2" t="s">
        <v>5808</v>
      </c>
      <c r="B38" s="95">
        <v>20245310071302</v>
      </c>
      <c r="C38" s="2" t="s">
        <v>5917</v>
      </c>
      <c r="D38" s="2" t="s">
        <v>5811</v>
      </c>
      <c r="E38" s="2" t="s">
        <v>5812</v>
      </c>
      <c r="F38" s="2" t="s">
        <v>5918</v>
      </c>
      <c r="G38" s="2">
        <v>3000337</v>
      </c>
      <c r="H38" s="2" t="s">
        <v>5919</v>
      </c>
      <c r="I38" s="2" t="s">
        <v>5923</v>
      </c>
      <c r="J38" s="2" t="s">
        <v>5922</v>
      </c>
      <c r="K38" s="2">
        <v>58.48</v>
      </c>
      <c r="L38" s="2">
        <v>6.83</v>
      </c>
      <c r="M38" s="2" t="s">
        <v>5817</v>
      </c>
      <c r="N38" s="2">
        <v>2</v>
      </c>
      <c r="O38" s="2">
        <v>0</v>
      </c>
      <c r="P38" s="2">
        <v>1</v>
      </c>
      <c r="Q38" s="2">
        <v>0</v>
      </c>
      <c r="R38" s="2">
        <v>1</v>
      </c>
      <c r="S38" s="2">
        <f t="shared" si="2"/>
        <v>0.55000000000000004</v>
      </c>
      <c r="T38" s="2" t="str">
        <f t="shared" si="3"/>
        <v>MANTENIMIENTO PERIODICO</v>
      </c>
    </row>
    <row r="39" spans="1:20" x14ac:dyDescent="0.3">
      <c r="A39" s="2" t="s">
        <v>5808</v>
      </c>
      <c r="B39" s="95">
        <v>20245310071302</v>
      </c>
      <c r="C39" s="2" t="s">
        <v>5917</v>
      </c>
      <c r="D39" s="2" t="s">
        <v>5811</v>
      </c>
      <c r="E39" s="2" t="s">
        <v>5812</v>
      </c>
      <c r="F39" s="2" t="s">
        <v>5918</v>
      </c>
      <c r="G39" s="2">
        <v>3000349</v>
      </c>
      <c r="H39" s="2" t="s">
        <v>5919</v>
      </c>
      <c r="I39" s="2" t="s">
        <v>5924</v>
      </c>
      <c r="J39" s="2" t="s">
        <v>5923</v>
      </c>
      <c r="K39" s="2">
        <v>66.06</v>
      </c>
      <c r="L39" s="2">
        <v>6.85</v>
      </c>
      <c r="M39" s="2" t="s">
        <v>5817</v>
      </c>
      <c r="N39" s="2">
        <v>2</v>
      </c>
      <c r="O39" s="2">
        <v>0</v>
      </c>
      <c r="P39" s="2">
        <v>1</v>
      </c>
      <c r="Q39" s="2">
        <v>0</v>
      </c>
      <c r="R39" s="2">
        <v>1</v>
      </c>
      <c r="S39" s="2">
        <f t="shared" si="2"/>
        <v>0.55000000000000004</v>
      </c>
      <c r="T39" s="2" t="str">
        <f t="shared" si="3"/>
        <v>MANTENIMIENTO PERIODICO</v>
      </c>
    </row>
    <row r="40" spans="1:20" x14ac:dyDescent="0.3">
      <c r="A40" s="2" t="s">
        <v>5808</v>
      </c>
      <c r="B40" s="95">
        <v>20245310071302</v>
      </c>
      <c r="C40" s="2" t="s">
        <v>5917</v>
      </c>
      <c r="D40" s="2" t="s">
        <v>5811</v>
      </c>
      <c r="E40" s="2" t="s">
        <v>5812</v>
      </c>
      <c r="F40" s="2" t="s">
        <v>5918</v>
      </c>
      <c r="G40" s="2">
        <v>3000373</v>
      </c>
      <c r="H40" s="2" t="s">
        <v>5919</v>
      </c>
      <c r="I40" s="2" t="s">
        <v>5925</v>
      </c>
      <c r="J40" s="2" t="s">
        <v>5924</v>
      </c>
      <c r="K40" s="2">
        <v>100.89</v>
      </c>
      <c r="L40" s="2">
        <v>7.07</v>
      </c>
      <c r="M40" s="2" t="s">
        <v>5817</v>
      </c>
      <c r="N40" s="2">
        <v>2</v>
      </c>
      <c r="O40" s="2">
        <v>0</v>
      </c>
      <c r="P40" s="2">
        <v>1</v>
      </c>
      <c r="Q40" s="2">
        <v>0</v>
      </c>
      <c r="R40" s="2">
        <v>1</v>
      </c>
      <c r="S40" s="2">
        <f t="shared" si="2"/>
        <v>0.55000000000000004</v>
      </c>
      <c r="T40" s="2" t="str">
        <f t="shared" si="3"/>
        <v>MANTENIMIENTO PERIODICO</v>
      </c>
    </row>
    <row r="41" spans="1:20" x14ac:dyDescent="0.3">
      <c r="A41" s="2" t="s">
        <v>5808</v>
      </c>
      <c r="B41" s="95">
        <v>20255310009732</v>
      </c>
      <c r="C41" s="2" t="s">
        <v>5860</v>
      </c>
      <c r="D41" s="2" t="s">
        <v>5827</v>
      </c>
      <c r="E41" s="2" t="s">
        <v>5836</v>
      </c>
      <c r="F41" s="2" t="s">
        <v>5861</v>
      </c>
      <c r="G41" s="103">
        <v>3001270</v>
      </c>
      <c r="H41" s="2" t="s">
        <v>5862</v>
      </c>
      <c r="I41" s="2"/>
      <c r="J41" s="2"/>
      <c r="K41" s="2">
        <v>40.19</v>
      </c>
      <c r="L41" s="2">
        <v>6.03</v>
      </c>
      <c r="M41" s="2" t="s">
        <v>5846</v>
      </c>
      <c r="N41" s="2">
        <v>2</v>
      </c>
      <c r="O41" s="2">
        <v>0</v>
      </c>
      <c r="P41" s="2">
        <v>1</v>
      </c>
      <c r="Q41" s="2">
        <v>0</v>
      </c>
      <c r="R41" s="2">
        <v>1</v>
      </c>
      <c r="S41" s="2">
        <f t="shared" si="2"/>
        <v>0.55000000000000004</v>
      </c>
      <c r="T41" s="2" t="str">
        <f t="shared" si="3"/>
        <v>MANTENIMIENTO PERIODICO</v>
      </c>
    </row>
    <row r="42" spans="1:20" x14ac:dyDescent="0.3">
      <c r="A42" s="2" t="s">
        <v>5808</v>
      </c>
      <c r="B42" s="95">
        <v>20244603605572</v>
      </c>
      <c r="C42" s="2" t="s">
        <v>5926</v>
      </c>
      <c r="D42" s="2" t="s">
        <v>5811</v>
      </c>
      <c r="E42" s="2" t="s">
        <v>5812</v>
      </c>
      <c r="F42" s="2" t="s">
        <v>5927</v>
      </c>
      <c r="G42" s="2">
        <v>3001819</v>
      </c>
      <c r="H42" s="2" t="s">
        <v>5928</v>
      </c>
      <c r="I42" s="2" t="s">
        <v>5929</v>
      </c>
      <c r="J42" s="2" t="s">
        <v>5930</v>
      </c>
      <c r="K42" s="2">
        <v>54.8</v>
      </c>
      <c r="L42" s="2">
        <v>6.07</v>
      </c>
      <c r="M42" s="2" t="s">
        <v>5846</v>
      </c>
      <c r="N42" s="2">
        <v>2</v>
      </c>
      <c r="O42" s="2">
        <v>1</v>
      </c>
      <c r="P42" s="2">
        <v>0</v>
      </c>
      <c r="Q42" s="2">
        <v>0</v>
      </c>
      <c r="R42" s="2">
        <v>1</v>
      </c>
      <c r="S42" s="2">
        <f t="shared" si="2"/>
        <v>0.55000000000000004</v>
      </c>
      <c r="T42" s="2" t="str">
        <f t="shared" si="3"/>
        <v>MANTENIMIENTO PERIODICO</v>
      </c>
    </row>
    <row r="43" spans="1:20" x14ac:dyDescent="0.3">
      <c r="A43" s="2" t="s">
        <v>5808</v>
      </c>
      <c r="B43" s="95">
        <v>20244603605572</v>
      </c>
      <c r="C43" s="2" t="s">
        <v>5926</v>
      </c>
      <c r="D43" s="2" t="s">
        <v>5811</v>
      </c>
      <c r="E43" s="2" t="s">
        <v>5812</v>
      </c>
      <c r="F43" s="2" t="s">
        <v>5931</v>
      </c>
      <c r="G43" s="2">
        <v>3001822</v>
      </c>
      <c r="H43" s="2" t="s">
        <v>5932</v>
      </c>
      <c r="I43" s="2" t="s">
        <v>5928</v>
      </c>
      <c r="J43" s="2" t="s">
        <v>5933</v>
      </c>
      <c r="K43" s="2">
        <v>42.05</v>
      </c>
      <c r="L43" s="2">
        <v>7.01</v>
      </c>
      <c r="M43" s="2" t="s">
        <v>5846</v>
      </c>
      <c r="N43" s="2">
        <v>2</v>
      </c>
      <c r="O43" s="2">
        <v>1</v>
      </c>
      <c r="P43" s="2">
        <v>0</v>
      </c>
      <c r="Q43" s="2">
        <v>0</v>
      </c>
      <c r="R43" s="2">
        <v>1</v>
      </c>
      <c r="S43" s="2">
        <f t="shared" si="2"/>
        <v>0.55000000000000004</v>
      </c>
      <c r="T43" s="2" t="str">
        <f t="shared" si="3"/>
        <v>MANTENIMIENTO PERIODICO</v>
      </c>
    </row>
    <row r="44" spans="1:20" x14ac:dyDescent="0.3">
      <c r="A44" s="2" t="s">
        <v>5808</v>
      </c>
      <c r="B44" s="95">
        <v>20255310009732</v>
      </c>
      <c r="C44" s="2" t="s">
        <v>5860</v>
      </c>
      <c r="D44" s="2" t="s">
        <v>5827</v>
      </c>
      <c r="E44" s="2" t="s">
        <v>5836</v>
      </c>
      <c r="F44" s="2" t="s">
        <v>5861</v>
      </c>
      <c r="G44" s="103">
        <v>3002186</v>
      </c>
      <c r="H44" s="2" t="s">
        <v>5862</v>
      </c>
      <c r="I44" s="2"/>
      <c r="J44" s="2"/>
      <c r="K44" s="2">
        <v>210.3</v>
      </c>
      <c r="L44" s="2">
        <v>6.14</v>
      </c>
      <c r="M44" s="2" t="s">
        <v>5846</v>
      </c>
      <c r="N44" s="2">
        <v>2</v>
      </c>
      <c r="O44" s="2">
        <v>0</v>
      </c>
      <c r="P44" s="2">
        <v>1</v>
      </c>
      <c r="Q44" s="2">
        <v>0</v>
      </c>
      <c r="R44" s="2">
        <v>1</v>
      </c>
      <c r="S44" s="2">
        <f t="shared" si="2"/>
        <v>0.55000000000000004</v>
      </c>
      <c r="T44" s="2" t="str">
        <f t="shared" si="3"/>
        <v>MANTENIMIENTO PERIODICO</v>
      </c>
    </row>
    <row r="45" spans="1:20" x14ac:dyDescent="0.3">
      <c r="A45" s="2" t="s">
        <v>5808</v>
      </c>
      <c r="B45" s="95">
        <v>20244603452212</v>
      </c>
      <c r="C45" s="2" t="s">
        <v>5934</v>
      </c>
      <c r="D45" s="2" t="s">
        <v>5827</v>
      </c>
      <c r="E45" s="2" t="s">
        <v>5812</v>
      </c>
      <c r="F45" s="2" t="s">
        <v>5935</v>
      </c>
      <c r="G45" s="2">
        <v>3002657</v>
      </c>
      <c r="H45" s="2" t="s">
        <v>5936</v>
      </c>
      <c r="I45" s="2" t="s">
        <v>5937</v>
      </c>
      <c r="J45" s="2" t="s">
        <v>5937</v>
      </c>
      <c r="K45" s="2">
        <v>20.28</v>
      </c>
      <c r="L45" s="2">
        <v>13.89</v>
      </c>
      <c r="M45" s="2" t="s">
        <v>5817</v>
      </c>
      <c r="N45" s="2">
        <v>2</v>
      </c>
      <c r="O45" s="2">
        <v>0</v>
      </c>
      <c r="P45" s="2">
        <v>1</v>
      </c>
      <c r="Q45" s="2">
        <v>0</v>
      </c>
      <c r="R45" s="2">
        <v>1</v>
      </c>
      <c r="S45" s="2">
        <f t="shared" si="2"/>
        <v>0.55000000000000004</v>
      </c>
      <c r="T45" s="2" t="str">
        <f t="shared" si="3"/>
        <v>MANTENIMIENTO PERIODICO</v>
      </c>
    </row>
    <row r="46" spans="1:20" x14ac:dyDescent="0.3">
      <c r="A46" s="2"/>
      <c r="B46" s="2" t="s">
        <v>5938</v>
      </c>
      <c r="C46" s="2"/>
      <c r="D46" s="2"/>
      <c r="E46" s="2"/>
      <c r="F46" s="2"/>
      <c r="G46" s="2">
        <v>3001051</v>
      </c>
      <c r="H46" s="2" t="s">
        <v>5831</v>
      </c>
      <c r="I46" s="2" t="s">
        <v>5939</v>
      </c>
      <c r="J46" s="2" t="s">
        <v>5940</v>
      </c>
      <c r="K46" s="2">
        <v>57.01</v>
      </c>
      <c r="L46" s="2">
        <v>5.0599999999999996</v>
      </c>
      <c r="M46" s="2" t="s">
        <v>5817</v>
      </c>
      <c r="N46" s="2">
        <v>1</v>
      </c>
      <c r="O46" s="2">
        <v>1</v>
      </c>
      <c r="P46" s="2">
        <v>1</v>
      </c>
      <c r="Q46" s="2">
        <v>0</v>
      </c>
      <c r="R46" s="2">
        <v>1</v>
      </c>
      <c r="S46" s="2">
        <f t="shared" si="2"/>
        <v>0.52500000000000002</v>
      </c>
      <c r="T46" s="2" t="str">
        <f t="shared" si="3"/>
        <v>MANTENIMIENTO RUTINARIO</v>
      </c>
    </row>
    <row r="47" spans="1:20" x14ac:dyDescent="0.3">
      <c r="A47" s="2" t="s">
        <v>5808</v>
      </c>
      <c r="B47" s="95">
        <v>20245310096022</v>
      </c>
      <c r="C47" s="2" t="s">
        <v>5917</v>
      </c>
      <c r="D47" s="2" t="s">
        <v>5811</v>
      </c>
      <c r="E47" s="2" t="s">
        <v>5812</v>
      </c>
      <c r="F47" s="2"/>
      <c r="G47" s="2">
        <v>3001112</v>
      </c>
      <c r="H47" s="2" t="s">
        <v>5941</v>
      </c>
      <c r="I47" s="2" t="s">
        <v>5930</v>
      </c>
      <c r="J47" s="2" t="s">
        <v>5815</v>
      </c>
      <c r="K47" s="2">
        <v>165.6</v>
      </c>
      <c r="L47" s="2">
        <v>5.92</v>
      </c>
      <c r="M47" s="2" t="s">
        <v>5817</v>
      </c>
      <c r="N47" s="2">
        <v>1</v>
      </c>
      <c r="O47" s="2">
        <v>1</v>
      </c>
      <c r="P47" s="2">
        <v>1</v>
      </c>
      <c r="Q47" s="2">
        <v>0</v>
      </c>
      <c r="R47" s="2">
        <v>1</v>
      </c>
      <c r="S47" s="2">
        <f t="shared" si="2"/>
        <v>0.52500000000000002</v>
      </c>
      <c r="T47" s="2" t="str">
        <f t="shared" si="3"/>
        <v>MANTENIMIENTO RUTINARIO</v>
      </c>
    </row>
    <row r="48" spans="1:20" x14ac:dyDescent="0.3">
      <c r="A48" s="2"/>
      <c r="B48" s="2" t="s">
        <v>5942</v>
      </c>
      <c r="C48" s="2"/>
      <c r="D48" s="2"/>
      <c r="E48" s="2"/>
      <c r="F48" s="2"/>
      <c r="G48" s="2">
        <v>3001113</v>
      </c>
      <c r="H48" s="2" t="s">
        <v>5831</v>
      </c>
      <c r="I48" s="2" t="s">
        <v>5943</v>
      </c>
      <c r="J48" s="2" t="s">
        <v>5939</v>
      </c>
      <c r="K48" s="2">
        <v>79</v>
      </c>
      <c r="L48" s="2">
        <v>4.1399999999999997</v>
      </c>
      <c r="M48" s="2" t="s">
        <v>5817</v>
      </c>
      <c r="N48" s="2">
        <v>1</v>
      </c>
      <c r="O48" s="2">
        <v>1</v>
      </c>
      <c r="P48" s="2">
        <v>1</v>
      </c>
      <c r="Q48" s="2">
        <v>0</v>
      </c>
      <c r="R48" s="2">
        <v>1</v>
      </c>
      <c r="S48" s="2">
        <f t="shared" si="2"/>
        <v>0.52500000000000002</v>
      </c>
      <c r="T48" s="2" t="str">
        <f t="shared" si="3"/>
        <v>MANTENIMIENTO RUTINARIO</v>
      </c>
    </row>
    <row r="49" spans="1:20" x14ac:dyDescent="0.3">
      <c r="A49" s="2" t="s">
        <v>5808</v>
      </c>
      <c r="B49" s="95">
        <v>20244602997012</v>
      </c>
      <c r="C49" s="2" t="s">
        <v>5944</v>
      </c>
      <c r="D49" s="2" t="s">
        <v>5811</v>
      </c>
      <c r="E49" s="2" t="s">
        <v>5812</v>
      </c>
      <c r="F49" s="2" t="s">
        <v>5945</v>
      </c>
      <c r="G49" s="2">
        <v>3001116</v>
      </c>
      <c r="H49" s="2" t="s">
        <v>5814</v>
      </c>
      <c r="I49" s="2" t="s">
        <v>5946</v>
      </c>
      <c r="J49" s="2" t="s">
        <v>5815</v>
      </c>
      <c r="K49" s="2">
        <v>71.760000000000005</v>
      </c>
      <c r="L49" s="2">
        <v>9.35</v>
      </c>
      <c r="M49" s="2" t="s">
        <v>5817</v>
      </c>
      <c r="N49" s="2">
        <v>1</v>
      </c>
      <c r="O49" s="2">
        <v>1</v>
      </c>
      <c r="P49" s="2">
        <v>1</v>
      </c>
      <c r="Q49" s="2">
        <v>0</v>
      </c>
      <c r="R49" s="2">
        <v>1</v>
      </c>
      <c r="S49" s="2">
        <f t="shared" si="2"/>
        <v>0.52500000000000002</v>
      </c>
      <c r="T49" s="2" t="str">
        <f t="shared" si="3"/>
        <v>MANTENIMIENTO RUTINARIO</v>
      </c>
    </row>
    <row r="50" spans="1:20" x14ac:dyDescent="0.3">
      <c r="A50" s="2" t="s">
        <v>5808</v>
      </c>
      <c r="B50" s="95">
        <v>20245310096022</v>
      </c>
      <c r="C50" s="2" t="s">
        <v>5917</v>
      </c>
      <c r="D50" s="2" t="s">
        <v>5811</v>
      </c>
      <c r="E50" s="2" t="s">
        <v>5812</v>
      </c>
      <c r="F50" s="2"/>
      <c r="G50" s="2">
        <v>3001131</v>
      </c>
      <c r="H50" s="2" t="s">
        <v>5941</v>
      </c>
      <c r="I50" s="2" t="s">
        <v>5947</v>
      </c>
      <c r="J50" s="2" t="s">
        <v>5930</v>
      </c>
      <c r="K50" s="2">
        <v>28.63</v>
      </c>
      <c r="L50" s="2">
        <v>6.53</v>
      </c>
      <c r="M50" s="2" t="s">
        <v>5817</v>
      </c>
      <c r="N50" s="2">
        <v>1</v>
      </c>
      <c r="O50" s="2">
        <v>1</v>
      </c>
      <c r="P50" s="2">
        <v>1</v>
      </c>
      <c r="Q50" s="2">
        <v>0</v>
      </c>
      <c r="R50" s="2">
        <v>1</v>
      </c>
      <c r="S50" s="2">
        <f t="shared" si="2"/>
        <v>0.52500000000000002</v>
      </c>
      <c r="T50" s="2" t="str">
        <f t="shared" si="3"/>
        <v>MANTENIMIENTO RUTINARIO</v>
      </c>
    </row>
    <row r="51" spans="1:20" x14ac:dyDescent="0.3">
      <c r="A51" s="2" t="s">
        <v>5808</v>
      </c>
      <c r="B51" s="95">
        <v>20244602997012</v>
      </c>
      <c r="C51" s="2" t="s">
        <v>5944</v>
      </c>
      <c r="D51" s="2" t="s">
        <v>5811</v>
      </c>
      <c r="E51" s="2" t="s">
        <v>5812</v>
      </c>
      <c r="F51" s="2" t="s">
        <v>5945</v>
      </c>
      <c r="G51" s="2">
        <v>3001153</v>
      </c>
      <c r="H51" s="2" t="s">
        <v>5814</v>
      </c>
      <c r="I51" s="2" t="s">
        <v>5948</v>
      </c>
      <c r="J51" s="2" t="s">
        <v>5946</v>
      </c>
      <c r="K51" s="2">
        <v>47.04</v>
      </c>
      <c r="L51" s="2">
        <v>7.82</v>
      </c>
      <c r="M51" s="2" t="s">
        <v>5817</v>
      </c>
      <c r="N51" s="2">
        <v>1</v>
      </c>
      <c r="O51" s="2">
        <v>1</v>
      </c>
      <c r="P51" s="2">
        <v>1</v>
      </c>
      <c r="Q51" s="2">
        <v>0</v>
      </c>
      <c r="R51" s="2">
        <v>1</v>
      </c>
      <c r="S51" s="2">
        <f t="shared" si="2"/>
        <v>0.52500000000000002</v>
      </c>
      <c r="T51" s="2" t="str">
        <f t="shared" si="3"/>
        <v>MANTENIMIENTO RUTINARIO</v>
      </c>
    </row>
    <row r="52" spans="1:20" x14ac:dyDescent="0.3">
      <c r="A52" s="2" t="s">
        <v>5808</v>
      </c>
      <c r="B52" s="95">
        <v>20245310096022</v>
      </c>
      <c r="C52" s="2" t="s">
        <v>5917</v>
      </c>
      <c r="D52" s="2" t="s">
        <v>5811</v>
      </c>
      <c r="E52" s="2" t="s">
        <v>5812</v>
      </c>
      <c r="F52" s="2"/>
      <c r="G52" s="2">
        <v>3001157</v>
      </c>
      <c r="H52" s="2" t="s">
        <v>5941</v>
      </c>
      <c r="I52" s="2" t="s">
        <v>5949</v>
      </c>
      <c r="J52" s="2" t="s">
        <v>5947</v>
      </c>
      <c r="K52" s="2">
        <v>49.04</v>
      </c>
      <c r="L52" s="2">
        <v>6.97</v>
      </c>
      <c r="M52" s="2" t="s">
        <v>5817</v>
      </c>
      <c r="N52" s="2">
        <v>1</v>
      </c>
      <c r="O52" s="2">
        <v>1</v>
      </c>
      <c r="P52" s="2">
        <v>1</v>
      </c>
      <c r="Q52" s="2">
        <v>0</v>
      </c>
      <c r="R52" s="2">
        <v>1</v>
      </c>
      <c r="S52" s="2">
        <f t="shared" si="2"/>
        <v>0.52500000000000002</v>
      </c>
      <c r="T52" s="2" t="str">
        <f t="shared" si="3"/>
        <v>MANTENIMIENTO RUTINARIO</v>
      </c>
    </row>
    <row r="53" spans="1:20" x14ac:dyDescent="0.3">
      <c r="A53" s="2"/>
      <c r="B53" s="2" t="s">
        <v>5950</v>
      </c>
      <c r="C53" s="2"/>
      <c r="D53" s="2"/>
      <c r="E53" s="2"/>
      <c r="F53" s="2"/>
      <c r="G53" s="2">
        <v>3001161</v>
      </c>
      <c r="H53" s="2" t="s">
        <v>5831</v>
      </c>
      <c r="I53" s="2" t="s">
        <v>5951</v>
      </c>
      <c r="J53" s="2" t="s">
        <v>5943</v>
      </c>
      <c r="K53" s="2">
        <v>80.42</v>
      </c>
      <c r="L53" s="2">
        <v>5.44</v>
      </c>
      <c r="M53" s="2" t="s">
        <v>5817</v>
      </c>
      <c r="N53" s="2">
        <v>1</v>
      </c>
      <c r="O53" s="2">
        <v>1</v>
      </c>
      <c r="P53" s="2">
        <v>1</v>
      </c>
      <c r="Q53" s="2">
        <v>0</v>
      </c>
      <c r="R53" s="2">
        <v>1</v>
      </c>
      <c r="S53" s="2">
        <f t="shared" si="2"/>
        <v>0.52500000000000002</v>
      </c>
      <c r="T53" s="2" t="str">
        <f t="shared" si="3"/>
        <v>MANTENIMIENTO RUTINARIO</v>
      </c>
    </row>
    <row r="54" spans="1:20" x14ac:dyDescent="0.3">
      <c r="A54" s="2" t="s">
        <v>5808</v>
      </c>
      <c r="B54" s="95">
        <v>20244602997012</v>
      </c>
      <c r="C54" s="2" t="s">
        <v>5944</v>
      </c>
      <c r="D54" s="2" t="s">
        <v>5811</v>
      </c>
      <c r="E54" s="2" t="s">
        <v>5812</v>
      </c>
      <c r="F54" s="2" t="s">
        <v>5945</v>
      </c>
      <c r="G54" s="2">
        <v>3001181</v>
      </c>
      <c r="H54" s="2" t="s">
        <v>5814</v>
      </c>
      <c r="I54" s="2" t="s">
        <v>5952</v>
      </c>
      <c r="J54" s="2" t="s">
        <v>5948</v>
      </c>
      <c r="K54" s="2">
        <v>34.14</v>
      </c>
      <c r="L54" s="2">
        <v>6.75</v>
      </c>
      <c r="M54" s="2" t="s">
        <v>5817</v>
      </c>
      <c r="N54" s="2">
        <v>1</v>
      </c>
      <c r="O54" s="2">
        <v>1</v>
      </c>
      <c r="P54" s="2">
        <v>1</v>
      </c>
      <c r="Q54" s="2">
        <v>0</v>
      </c>
      <c r="R54" s="2">
        <v>1</v>
      </c>
      <c r="S54" s="2">
        <f t="shared" si="2"/>
        <v>0.52500000000000002</v>
      </c>
      <c r="T54" s="2" t="str">
        <f t="shared" si="3"/>
        <v>MANTENIMIENTO RUTINARIO</v>
      </c>
    </row>
    <row r="55" spans="1:20" x14ac:dyDescent="0.3">
      <c r="A55" s="2"/>
      <c r="B55" s="2" t="s">
        <v>5953</v>
      </c>
      <c r="C55" s="2"/>
      <c r="D55" s="2"/>
      <c r="E55" s="2"/>
      <c r="F55" s="2"/>
      <c r="G55" s="2">
        <v>3001187</v>
      </c>
      <c r="H55" s="2" t="s">
        <v>5831</v>
      </c>
      <c r="I55" s="2" t="s">
        <v>5954</v>
      </c>
      <c r="J55" s="2" t="s">
        <v>5951</v>
      </c>
      <c r="K55" s="2">
        <v>33.340000000000003</v>
      </c>
      <c r="L55" s="2">
        <v>7.63</v>
      </c>
      <c r="M55" s="2" t="s">
        <v>5817</v>
      </c>
      <c r="N55" s="2">
        <v>1</v>
      </c>
      <c r="O55" s="2">
        <v>1</v>
      </c>
      <c r="P55" s="2">
        <v>1</v>
      </c>
      <c r="Q55" s="2">
        <v>0</v>
      </c>
      <c r="R55" s="2">
        <v>1</v>
      </c>
      <c r="S55" s="2">
        <f t="shared" si="2"/>
        <v>0.52500000000000002</v>
      </c>
      <c r="T55" s="2" t="str">
        <f t="shared" si="3"/>
        <v>MANTENIMIENTO RUTINARIO</v>
      </c>
    </row>
    <row r="56" spans="1:20" x14ac:dyDescent="0.3">
      <c r="A56" s="2" t="s">
        <v>5808</v>
      </c>
      <c r="B56" s="95" t="s">
        <v>5955</v>
      </c>
      <c r="C56" s="2" t="s">
        <v>5956</v>
      </c>
      <c r="D56" s="2" t="s">
        <v>5811</v>
      </c>
      <c r="E56" s="2" t="s">
        <v>5812</v>
      </c>
      <c r="F56" s="2" t="s">
        <v>5957</v>
      </c>
      <c r="G56" s="2">
        <v>3001204</v>
      </c>
      <c r="H56" s="2" t="s">
        <v>5814</v>
      </c>
      <c r="I56" s="2" t="s">
        <v>5958</v>
      </c>
      <c r="J56" s="2" t="s">
        <v>5959</v>
      </c>
      <c r="K56" s="2">
        <v>46.62</v>
      </c>
      <c r="L56" s="2">
        <v>5.78</v>
      </c>
      <c r="M56" s="2" t="s">
        <v>5817</v>
      </c>
      <c r="N56" s="2">
        <v>1</v>
      </c>
      <c r="O56" s="2">
        <v>1</v>
      </c>
      <c r="P56" s="2">
        <v>1</v>
      </c>
      <c r="Q56" s="2">
        <v>0</v>
      </c>
      <c r="R56" s="2">
        <v>1</v>
      </c>
      <c r="S56" s="2">
        <f t="shared" si="2"/>
        <v>0.52500000000000002</v>
      </c>
      <c r="T56" s="2" t="str">
        <f t="shared" si="3"/>
        <v>MANTENIMIENTO RUTINARIO</v>
      </c>
    </row>
    <row r="57" spans="1:20" x14ac:dyDescent="0.3">
      <c r="A57" s="2"/>
      <c r="B57" s="2" t="s">
        <v>5960</v>
      </c>
      <c r="C57" s="2"/>
      <c r="D57" s="2"/>
      <c r="E57" s="2"/>
      <c r="F57" s="2"/>
      <c r="G57" s="2">
        <v>3001215</v>
      </c>
      <c r="H57" s="2" t="s">
        <v>5831</v>
      </c>
      <c r="I57" s="2" t="s">
        <v>5880</v>
      </c>
      <c r="J57" s="2" t="s">
        <v>5954</v>
      </c>
      <c r="K57" s="2">
        <v>30.85</v>
      </c>
      <c r="L57" s="2">
        <v>6.23</v>
      </c>
      <c r="M57" s="2" t="s">
        <v>5846</v>
      </c>
      <c r="N57" s="2">
        <v>1</v>
      </c>
      <c r="O57" s="2">
        <v>1</v>
      </c>
      <c r="P57" s="2">
        <v>1</v>
      </c>
      <c r="Q57" s="2">
        <v>0</v>
      </c>
      <c r="R57" s="2">
        <v>1</v>
      </c>
      <c r="S57" s="2">
        <f t="shared" si="2"/>
        <v>0.52500000000000002</v>
      </c>
      <c r="T57" s="2" t="str">
        <f t="shared" si="3"/>
        <v>MANTENIMIENTO RUTINARIO</v>
      </c>
    </row>
    <row r="58" spans="1:20" x14ac:dyDescent="0.3">
      <c r="A58" s="2" t="s">
        <v>5808</v>
      </c>
      <c r="B58" s="95">
        <v>20244602997012</v>
      </c>
      <c r="C58" s="2" t="s">
        <v>5944</v>
      </c>
      <c r="D58" s="2" t="s">
        <v>5811</v>
      </c>
      <c r="E58" s="2" t="s">
        <v>5812</v>
      </c>
      <c r="F58" s="2" t="s">
        <v>5945</v>
      </c>
      <c r="G58" s="2">
        <v>3001229</v>
      </c>
      <c r="H58" s="2" t="s">
        <v>5814</v>
      </c>
      <c r="I58" s="2" t="s">
        <v>5961</v>
      </c>
      <c r="J58" s="2" t="s">
        <v>5929</v>
      </c>
      <c r="K58" s="2">
        <v>28.9</v>
      </c>
      <c r="L58" s="2">
        <v>6.18</v>
      </c>
      <c r="M58" s="2" t="s">
        <v>5817</v>
      </c>
      <c r="N58" s="2">
        <v>1</v>
      </c>
      <c r="O58" s="2">
        <v>1</v>
      </c>
      <c r="P58" s="2">
        <v>1</v>
      </c>
      <c r="Q58" s="2">
        <v>0</v>
      </c>
      <c r="R58" s="2">
        <v>1</v>
      </c>
      <c r="S58" s="2">
        <f t="shared" si="2"/>
        <v>0.52500000000000002</v>
      </c>
      <c r="T58" s="2" t="str">
        <f t="shared" si="3"/>
        <v>MANTENIMIENTO RUTINARIO</v>
      </c>
    </row>
    <row r="59" spans="1:20" x14ac:dyDescent="0.3">
      <c r="A59" s="2" t="s">
        <v>5808</v>
      </c>
      <c r="B59" s="95">
        <v>20244602997012</v>
      </c>
      <c r="C59" s="2" t="s">
        <v>5944</v>
      </c>
      <c r="D59" s="2" t="s">
        <v>5811</v>
      </c>
      <c r="E59" s="2" t="s">
        <v>5812</v>
      </c>
      <c r="F59" s="2" t="s">
        <v>5945</v>
      </c>
      <c r="G59" s="2">
        <v>3001292</v>
      </c>
      <c r="H59" s="2" t="s">
        <v>5814</v>
      </c>
      <c r="I59" s="2" t="s">
        <v>5949</v>
      </c>
      <c r="J59" s="2" t="s">
        <v>5961</v>
      </c>
      <c r="K59" s="2">
        <v>56.35</v>
      </c>
      <c r="L59" s="2">
        <v>6.29</v>
      </c>
      <c r="M59" s="2" t="s">
        <v>5817</v>
      </c>
      <c r="N59" s="2">
        <v>1</v>
      </c>
      <c r="O59" s="2">
        <v>1</v>
      </c>
      <c r="P59" s="2">
        <v>1</v>
      </c>
      <c r="Q59" s="2">
        <v>0</v>
      </c>
      <c r="R59" s="2">
        <v>1</v>
      </c>
      <c r="S59" s="2">
        <f t="shared" si="2"/>
        <v>0.52500000000000002</v>
      </c>
      <c r="T59" s="2" t="str">
        <f t="shared" si="3"/>
        <v>MANTENIMIENTO RUTINARIO</v>
      </c>
    </row>
    <row r="60" spans="1:20" x14ac:dyDescent="0.3">
      <c r="A60" s="2"/>
      <c r="B60" s="2" t="s">
        <v>5962</v>
      </c>
      <c r="C60" s="2"/>
      <c r="D60" s="2"/>
      <c r="E60" s="2"/>
      <c r="F60" s="2"/>
      <c r="G60" s="2">
        <v>3001363</v>
      </c>
      <c r="H60" s="2" t="s">
        <v>5831</v>
      </c>
      <c r="I60" s="2" t="s">
        <v>5963</v>
      </c>
      <c r="J60" s="2" t="s">
        <v>5832</v>
      </c>
      <c r="K60" s="2">
        <v>35.270000000000003</v>
      </c>
      <c r="L60" s="2">
        <v>3.75</v>
      </c>
      <c r="M60" s="2" t="s">
        <v>5817</v>
      </c>
      <c r="N60" s="2">
        <v>1</v>
      </c>
      <c r="O60" s="2">
        <v>1</v>
      </c>
      <c r="P60" s="2">
        <v>1</v>
      </c>
      <c r="Q60" s="2">
        <v>0</v>
      </c>
      <c r="R60" s="2">
        <v>1</v>
      </c>
      <c r="S60" s="2">
        <f t="shared" si="2"/>
        <v>0.52500000000000002</v>
      </c>
      <c r="T60" s="2" t="str">
        <f t="shared" si="3"/>
        <v>MANTENIMIENTO RUTINARIO</v>
      </c>
    </row>
    <row r="61" spans="1:20" x14ac:dyDescent="0.3">
      <c r="A61" s="2" t="s">
        <v>5808</v>
      </c>
      <c r="B61" s="95">
        <v>20245310067582</v>
      </c>
      <c r="C61" s="2" t="s">
        <v>5855</v>
      </c>
      <c r="D61" s="2" t="s">
        <v>5827</v>
      </c>
      <c r="E61" s="2" t="s">
        <v>5812</v>
      </c>
      <c r="F61" s="2" t="s">
        <v>5856</v>
      </c>
      <c r="G61" s="2">
        <v>3001398</v>
      </c>
      <c r="H61" s="2" t="s">
        <v>5964</v>
      </c>
      <c r="I61" s="2" t="s">
        <v>5965</v>
      </c>
      <c r="J61" s="2" t="s">
        <v>5816</v>
      </c>
      <c r="K61" s="2">
        <v>146.08000000000001</v>
      </c>
      <c r="L61" s="2">
        <v>7.02</v>
      </c>
      <c r="M61" s="2" t="s">
        <v>5817</v>
      </c>
      <c r="N61" s="2">
        <v>1</v>
      </c>
      <c r="O61" s="2">
        <v>1</v>
      </c>
      <c r="P61" s="2">
        <v>1</v>
      </c>
      <c r="Q61" s="2">
        <v>0</v>
      </c>
      <c r="R61" s="2">
        <v>1</v>
      </c>
      <c r="S61" s="2">
        <f t="shared" si="2"/>
        <v>0.52500000000000002</v>
      </c>
      <c r="T61" s="2" t="str">
        <f t="shared" si="3"/>
        <v>MANTENIMIENTO RUTINARIO</v>
      </c>
    </row>
    <row r="62" spans="1:20" x14ac:dyDescent="0.3">
      <c r="A62" s="2"/>
      <c r="B62" s="2" t="s">
        <v>5966</v>
      </c>
      <c r="C62" s="2"/>
      <c r="D62" s="2"/>
      <c r="E62" s="2"/>
      <c r="F62" s="2"/>
      <c r="G62" s="2">
        <v>3001445</v>
      </c>
      <c r="H62" s="2" t="s">
        <v>5831</v>
      </c>
      <c r="I62" s="2" t="s">
        <v>5967</v>
      </c>
      <c r="J62" s="2" t="s">
        <v>5963</v>
      </c>
      <c r="K62" s="2">
        <v>91.4</v>
      </c>
      <c r="L62" s="2">
        <v>4.0999999999999996</v>
      </c>
      <c r="M62" s="2" t="s">
        <v>5817</v>
      </c>
      <c r="N62" s="2">
        <v>1</v>
      </c>
      <c r="O62" s="2">
        <v>1</v>
      </c>
      <c r="P62" s="2">
        <v>1</v>
      </c>
      <c r="Q62" s="2">
        <v>0</v>
      </c>
      <c r="R62" s="2">
        <v>1</v>
      </c>
      <c r="S62" s="2">
        <f t="shared" si="2"/>
        <v>0.52500000000000002</v>
      </c>
      <c r="T62" s="2" t="str">
        <f t="shared" si="3"/>
        <v>MANTENIMIENTO RUTINARIO</v>
      </c>
    </row>
    <row r="63" spans="1:20" x14ac:dyDescent="0.3">
      <c r="A63" s="2" t="s">
        <v>5808</v>
      </c>
      <c r="B63" s="95" t="s">
        <v>5968</v>
      </c>
      <c r="C63" s="2" t="s">
        <v>5969</v>
      </c>
      <c r="D63" s="2" t="s">
        <v>5827</v>
      </c>
      <c r="E63" s="2" t="s">
        <v>5812</v>
      </c>
      <c r="F63" s="2" t="s">
        <v>5970</v>
      </c>
      <c r="G63" s="2">
        <v>3002828</v>
      </c>
      <c r="H63" s="2" t="s">
        <v>5889</v>
      </c>
      <c r="I63" s="2" t="s">
        <v>5971</v>
      </c>
      <c r="J63" s="2" t="s">
        <v>5867</v>
      </c>
      <c r="K63" s="2">
        <v>52.16</v>
      </c>
      <c r="L63" s="2">
        <v>7.69</v>
      </c>
      <c r="M63" s="2" t="s">
        <v>5846</v>
      </c>
      <c r="N63" s="2">
        <v>1</v>
      </c>
      <c r="O63" s="2">
        <v>1</v>
      </c>
      <c r="P63" s="2">
        <v>1</v>
      </c>
      <c r="Q63" s="2">
        <v>0</v>
      </c>
      <c r="R63" s="2">
        <v>1</v>
      </c>
      <c r="S63" s="2">
        <f t="shared" si="2"/>
        <v>0.52500000000000002</v>
      </c>
      <c r="T63" s="2" t="str">
        <f t="shared" si="3"/>
        <v>MANTENIMIENTO RUTINARIO</v>
      </c>
    </row>
    <row r="64" spans="1:20" x14ac:dyDescent="0.3">
      <c r="A64" s="2"/>
      <c r="B64" s="2" t="s">
        <v>5842</v>
      </c>
      <c r="C64" s="2"/>
      <c r="D64" s="2"/>
      <c r="E64" s="2"/>
      <c r="F64" s="2"/>
      <c r="G64" s="2">
        <v>3001464</v>
      </c>
      <c r="H64" s="2" t="s">
        <v>5894</v>
      </c>
      <c r="I64" s="2" t="s">
        <v>5845</v>
      </c>
      <c r="J64" s="2" t="s">
        <v>5892</v>
      </c>
      <c r="K64" s="2">
        <v>23.01</v>
      </c>
      <c r="L64" s="2">
        <v>5.31</v>
      </c>
      <c r="M64" s="2" t="s">
        <v>5846</v>
      </c>
      <c r="N64" s="2">
        <v>4</v>
      </c>
      <c r="O64" s="2">
        <v>0</v>
      </c>
      <c r="P64" s="2">
        <v>0</v>
      </c>
      <c r="Q64" s="2">
        <v>0</v>
      </c>
      <c r="R64" s="2">
        <v>0</v>
      </c>
      <c r="S64" s="2">
        <f t="shared" si="2"/>
        <v>0.5</v>
      </c>
      <c r="T64" s="2" t="str">
        <f t="shared" si="3"/>
        <v>RECONSTRUCCION</v>
      </c>
    </row>
    <row r="65" spans="1:20" x14ac:dyDescent="0.3">
      <c r="A65" s="2" t="s">
        <v>5808</v>
      </c>
      <c r="B65" s="95">
        <v>20244603775062</v>
      </c>
      <c r="C65" s="2" t="s">
        <v>5972</v>
      </c>
      <c r="D65" s="2" t="s">
        <v>5811</v>
      </c>
      <c r="E65" s="2" t="s">
        <v>5812</v>
      </c>
      <c r="F65" s="2" t="s">
        <v>5973</v>
      </c>
      <c r="G65" s="2">
        <v>17000424</v>
      </c>
      <c r="H65" s="2" t="s">
        <v>5974</v>
      </c>
      <c r="I65" s="2" t="s">
        <v>5975</v>
      </c>
      <c r="J65" s="2" t="s">
        <v>5976</v>
      </c>
      <c r="K65" s="2">
        <v>41.6</v>
      </c>
      <c r="L65" s="2">
        <v>6.02</v>
      </c>
      <c r="M65" s="2" t="s">
        <v>5846</v>
      </c>
      <c r="N65" s="2">
        <v>4</v>
      </c>
      <c r="O65" s="2">
        <v>0</v>
      </c>
      <c r="P65" s="2">
        <v>0</v>
      </c>
      <c r="Q65" s="2">
        <v>0</v>
      </c>
      <c r="R65" s="2">
        <v>0</v>
      </c>
      <c r="S65" s="2">
        <f t="shared" si="2"/>
        <v>0.5</v>
      </c>
      <c r="T65" s="2" t="str">
        <f t="shared" si="3"/>
        <v>RECONSTRUCCION</v>
      </c>
    </row>
    <row r="66" spans="1:20" x14ac:dyDescent="0.3">
      <c r="A66" s="2"/>
      <c r="B66" s="2" t="s">
        <v>5842</v>
      </c>
      <c r="C66" s="2"/>
      <c r="D66" s="2"/>
      <c r="E66" s="2"/>
      <c r="F66" s="2"/>
      <c r="G66" s="2">
        <v>3001418</v>
      </c>
      <c r="H66" s="2" t="s">
        <v>5977</v>
      </c>
      <c r="I66" s="2" t="s">
        <v>5978</v>
      </c>
      <c r="J66" s="2" t="s">
        <v>5979</v>
      </c>
      <c r="K66" s="2">
        <v>141.44999999999999</v>
      </c>
      <c r="L66" s="2">
        <v>5.46</v>
      </c>
      <c r="M66" s="2" t="s">
        <v>5846</v>
      </c>
      <c r="N66" s="2">
        <v>3</v>
      </c>
      <c r="O66" s="2">
        <v>0</v>
      </c>
      <c r="P66" s="2">
        <v>1</v>
      </c>
      <c r="Q66" s="2">
        <v>0</v>
      </c>
      <c r="R66" s="2">
        <v>0</v>
      </c>
      <c r="S66" s="2">
        <f t="shared" si="2"/>
        <v>0.47499999999999998</v>
      </c>
      <c r="T66" s="2" t="str">
        <f t="shared" si="3"/>
        <v>REHABILITACION</v>
      </c>
    </row>
    <row r="67" spans="1:20" x14ac:dyDescent="0.3">
      <c r="A67" s="2"/>
      <c r="B67" s="2" t="s">
        <v>5842</v>
      </c>
      <c r="C67" s="2"/>
      <c r="D67" s="2"/>
      <c r="E67" s="2"/>
      <c r="F67" s="2"/>
      <c r="G67" s="2">
        <v>3001455</v>
      </c>
      <c r="H67" s="2" t="s">
        <v>5978</v>
      </c>
      <c r="I67" s="2" t="s">
        <v>5977</v>
      </c>
      <c r="J67" s="2" t="s">
        <v>5845</v>
      </c>
      <c r="K67" s="2">
        <v>77.66</v>
      </c>
      <c r="L67" s="2">
        <v>5.56</v>
      </c>
      <c r="M67" s="2" t="s">
        <v>5846</v>
      </c>
      <c r="N67" s="2">
        <v>3</v>
      </c>
      <c r="O67" s="2">
        <v>0</v>
      </c>
      <c r="P67" s="2">
        <v>1</v>
      </c>
      <c r="Q67" s="2">
        <v>0</v>
      </c>
      <c r="R67" s="2">
        <v>0</v>
      </c>
      <c r="S67" s="2">
        <f t="shared" ref="S67:S98" si="4">+(N67/4)*0.5+O67*0.1+P67*0.1+Q67*0.1+R67*0.2</f>
        <v>0.47499999999999998</v>
      </c>
      <c r="T67" s="2" t="str">
        <f t="shared" ref="T67:T98" si="5">+VLOOKUP(N67,$G$102:$H$106,2,FALSE)</f>
        <v>REHABILITACION</v>
      </c>
    </row>
    <row r="68" spans="1:20" x14ac:dyDescent="0.3">
      <c r="A68" s="2" t="s">
        <v>5808</v>
      </c>
      <c r="B68" s="95">
        <v>20255310011182</v>
      </c>
      <c r="C68" s="2" t="s">
        <v>5980</v>
      </c>
      <c r="D68" s="2" t="s">
        <v>5827</v>
      </c>
      <c r="E68" s="2" t="s">
        <v>5910</v>
      </c>
      <c r="F68" s="2" t="s">
        <v>5911</v>
      </c>
      <c r="G68" s="103">
        <v>3000307</v>
      </c>
      <c r="H68" s="2" t="s">
        <v>5912</v>
      </c>
      <c r="I68" s="2" t="s">
        <v>5913</v>
      </c>
      <c r="J68" s="2" t="s">
        <v>5914</v>
      </c>
      <c r="K68" s="2">
        <v>33.090000000000003</v>
      </c>
      <c r="L68" s="2">
        <v>4.71</v>
      </c>
      <c r="M68" s="2" t="s">
        <v>5817</v>
      </c>
      <c r="N68" s="2">
        <v>2</v>
      </c>
      <c r="O68" s="2">
        <v>0</v>
      </c>
      <c r="P68" s="2">
        <v>0</v>
      </c>
      <c r="Q68" s="2">
        <v>0</v>
      </c>
      <c r="R68" s="2">
        <v>1</v>
      </c>
      <c r="S68" s="2">
        <f t="shared" si="4"/>
        <v>0.45</v>
      </c>
      <c r="T68" s="2" t="str">
        <f t="shared" si="5"/>
        <v>MANTENIMIENTO PERIODICO</v>
      </c>
    </row>
    <row r="69" spans="1:20" x14ac:dyDescent="0.3">
      <c r="A69" s="2" t="s">
        <v>5808</v>
      </c>
      <c r="B69" s="95">
        <v>20245310096022</v>
      </c>
      <c r="C69" s="2" t="s">
        <v>5917</v>
      </c>
      <c r="D69" s="2" t="s">
        <v>5811</v>
      </c>
      <c r="E69" s="2" t="s">
        <v>5812</v>
      </c>
      <c r="F69" s="2"/>
      <c r="G69" s="2">
        <v>3000961</v>
      </c>
      <c r="H69" s="2" t="s">
        <v>5816</v>
      </c>
      <c r="I69" s="2" t="s">
        <v>5981</v>
      </c>
      <c r="J69" s="2" t="s">
        <v>5941</v>
      </c>
      <c r="K69" s="2">
        <v>71.84</v>
      </c>
      <c r="L69" s="2">
        <v>12.41</v>
      </c>
      <c r="M69" s="2" t="s">
        <v>5817</v>
      </c>
      <c r="N69" s="2">
        <v>2</v>
      </c>
      <c r="O69" s="2">
        <v>0</v>
      </c>
      <c r="P69" s="2">
        <v>0</v>
      </c>
      <c r="Q69" s="2">
        <v>0</v>
      </c>
      <c r="R69" s="2">
        <v>1</v>
      </c>
      <c r="S69" s="2">
        <f t="shared" si="4"/>
        <v>0.45</v>
      </c>
      <c r="T69" s="2" t="str">
        <f t="shared" si="5"/>
        <v>MANTENIMIENTO PERIODICO</v>
      </c>
    </row>
    <row r="70" spans="1:20" x14ac:dyDescent="0.3">
      <c r="A70" s="2" t="s">
        <v>5808</v>
      </c>
      <c r="B70" s="95">
        <v>20245310096022</v>
      </c>
      <c r="C70" s="2" t="s">
        <v>5917</v>
      </c>
      <c r="D70" s="2" t="s">
        <v>5811</v>
      </c>
      <c r="E70" s="2" t="s">
        <v>5812</v>
      </c>
      <c r="F70" s="2"/>
      <c r="G70" s="2">
        <v>3000985</v>
      </c>
      <c r="H70" s="2" t="s">
        <v>5816</v>
      </c>
      <c r="I70" s="2" t="s">
        <v>5814</v>
      </c>
      <c r="J70" s="2" t="s">
        <v>5981</v>
      </c>
      <c r="K70" s="2">
        <v>62.36</v>
      </c>
      <c r="L70" s="2">
        <v>8</v>
      </c>
      <c r="M70" s="2" t="s">
        <v>5817</v>
      </c>
      <c r="N70" s="2">
        <v>2</v>
      </c>
      <c r="O70" s="2">
        <v>0</v>
      </c>
      <c r="P70" s="2">
        <v>0</v>
      </c>
      <c r="Q70" s="2">
        <v>0</v>
      </c>
      <c r="R70" s="2">
        <v>1</v>
      </c>
      <c r="S70" s="2">
        <f t="shared" si="4"/>
        <v>0.45</v>
      </c>
      <c r="T70" s="2" t="str">
        <f t="shared" si="5"/>
        <v>MANTENIMIENTO PERIODICO</v>
      </c>
    </row>
    <row r="71" spans="1:20" x14ac:dyDescent="0.3">
      <c r="A71" s="2" t="s">
        <v>5808</v>
      </c>
      <c r="B71" s="95">
        <v>20245310078292</v>
      </c>
      <c r="C71" s="2" t="s">
        <v>5982</v>
      </c>
      <c r="D71" s="2" t="s">
        <v>5827</v>
      </c>
      <c r="E71" s="2" t="s">
        <v>5983</v>
      </c>
      <c r="F71" s="2" t="s">
        <v>5984</v>
      </c>
      <c r="G71" s="2">
        <v>3001169</v>
      </c>
      <c r="H71" s="2" t="s">
        <v>5985</v>
      </c>
      <c r="I71" s="2" t="s">
        <v>5986</v>
      </c>
      <c r="J71" s="2" t="s">
        <v>5975</v>
      </c>
      <c r="K71" s="2">
        <v>61.34</v>
      </c>
      <c r="L71" s="2">
        <v>7.77</v>
      </c>
      <c r="M71" s="2" t="s">
        <v>5846</v>
      </c>
      <c r="N71" s="2">
        <v>2</v>
      </c>
      <c r="O71" s="2">
        <v>0</v>
      </c>
      <c r="P71" s="2">
        <v>0</v>
      </c>
      <c r="Q71" s="2">
        <v>0</v>
      </c>
      <c r="R71" s="2">
        <v>1</v>
      </c>
      <c r="S71" s="2">
        <f t="shared" si="4"/>
        <v>0.45</v>
      </c>
      <c r="T71" s="2" t="str">
        <f t="shared" si="5"/>
        <v>MANTENIMIENTO PERIODICO</v>
      </c>
    </row>
    <row r="72" spans="1:20" x14ac:dyDescent="0.3">
      <c r="A72" s="2" t="s">
        <v>5808</v>
      </c>
      <c r="B72" s="95">
        <v>20254600178112</v>
      </c>
      <c r="C72" s="2" t="s">
        <v>5987</v>
      </c>
      <c r="D72" s="2" t="s">
        <v>5827</v>
      </c>
      <c r="E72" s="2" t="s">
        <v>5812</v>
      </c>
      <c r="F72" s="2" t="s">
        <v>5988</v>
      </c>
      <c r="G72" s="2">
        <v>3001352</v>
      </c>
      <c r="H72" s="2" t="s">
        <v>5989</v>
      </c>
      <c r="I72" s="2" t="s">
        <v>5867</v>
      </c>
      <c r="J72" s="2" t="s">
        <v>5867</v>
      </c>
      <c r="K72" s="2">
        <v>54.84</v>
      </c>
      <c r="L72" s="2">
        <v>6.24</v>
      </c>
      <c r="M72" s="2" t="s">
        <v>5846</v>
      </c>
      <c r="N72" s="2">
        <v>2</v>
      </c>
      <c r="O72" s="2">
        <v>0</v>
      </c>
      <c r="P72" s="2">
        <v>0</v>
      </c>
      <c r="Q72" s="2">
        <v>0</v>
      </c>
      <c r="R72" s="2">
        <v>1</v>
      </c>
      <c r="S72" s="2">
        <f t="shared" si="4"/>
        <v>0.45</v>
      </c>
      <c r="T72" s="2" t="str">
        <f t="shared" si="5"/>
        <v>MANTENIMIENTO PERIODICO</v>
      </c>
    </row>
    <row r="73" spans="1:20" x14ac:dyDescent="0.3">
      <c r="A73" s="2" t="s">
        <v>5808</v>
      </c>
      <c r="B73" s="95">
        <v>20255310000962</v>
      </c>
      <c r="C73" s="2" t="s">
        <v>5990</v>
      </c>
      <c r="D73" s="2" t="s">
        <v>5827</v>
      </c>
      <c r="E73" s="2" t="s">
        <v>5812</v>
      </c>
      <c r="F73" s="2" t="s">
        <v>5991</v>
      </c>
      <c r="G73" s="2">
        <v>3001486</v>
      </c>
      <c r="H73" s="2" t="s">
        <v>5886</v>
      </c>
      <c r="I73" s="2" t="s">
        <v>5816</v>
      </c>
      <c r="J73" s="2"/>
      <c r="K73" s="2">
        <v>25.66</v>
      </c>
      <c r="L73" s="2">
        <v>5.94</v>
      </c>
      <c r="M73" s="2" t="s">
        <v>5846</v>
      </c>
      <c r="N73" s="2">
        <v>2</v>
      </c>
      <c r="O73" s="2">
        <v>0</v>
      </c>
      <c r="P73" s="2">
        <v>0</v>
      </c>
      <c r="Q73" s="2">
        <v>0</v>
      </c>
      <c r="R73" s="2">
        <v>1</v>
      </c>
      <c r="S73" s="2">
        <f t="shared" si="4"/>
        <v>0.45</v>
      </c>
      <c r="T73" s="2" t="str">
        <f t="shared" si="5"/>
        <v>MANTENIMIENTO PERIODICO</v>
      </c>
    </row>
    <row r="74" spans="1:20" x14ac:dyDescent="0.3">
      <c r="A74" s="2" t="s">
        <v>5808</v>
      </c>
      <c r="B74" s="95">
        <v>20255310013212</v>
      </c>
      <c r="C74" s="2" t="s">
        <v>5992</v>
      </c>
      <c r="D74" s="2" t="s">
        <v>5827</v>
      </c>
      <c r="E74" s="2" t="s">
        <v>5812</v>
      </c>
      <c r="F74" s="2" t="s">
        <v>5993</v>
      </c>
      <c r="G74" s="2">
        <v>3001757</v>
      </c>
      <c r="H74" s="2" t="s">
        <v>5815</v>
      </c>
      <c r="I74" s="2" t="s">
        <v>5994</v>
      </c>
      <c r="J74" s="2" t="s">
        <v>5995</v>
      </c>
      <c r="K74" s="2">
        <v>65.22</v>
      </c>
      <c r="L74" s="2">
        <v>4.92</v>
      </c>
      <c r="M74" s="2" t="s">
        <v>5846</v>
      </c>
      <c r="N74" s="2">
        <v>2</v>
      </c>
      <c r="O74" s="2">
        <v>0</v>
      </c>
      <c r="P74" s="2">
        <v>0</v>
      </c>
      <c r="Q74" s="2">
        <v>0</v>
      </c>
      <c r="R74" s="2">
        <v>1</v>
      </c>
      <c r="S74" s="2">
        <f t="shared" si="4"/>
        <v>0.45</v>
      </c>
      <c r="T74" s="2" t="str">
        <f t="shared" si="5"/>
        <v>MANTENIMIENTO PERIODICO</v>
      </c>
    </row>
    <row r="75" spans="1:20" x14ac:dyDescent="0.3">
      <c r="A75" s="2" t="s">
        <v>5808</v>
      </c>
      <c r="B75" s="95">
        <v>20255310011352</v>
      </c>
      <c r="C75" s="2" t="s">
        <v>5996</v>
      </c>
      <c r="D75" s="2" t="s">
        <v>5827</v>
      </c>
      <c r="E75" s="2" t="s">
        <v>5836</v>
      </c>
      <c r="F75" s="2" t="s">
        <v>5997</v>
      </c>
      <c r="G75" s="2">
        <v>3001840</v>
      </c>
      <c r="H75" s="2" t="s">
        <v>5998</v>
      </c>
      <c r="I75" s="2" t="s">
        <v>5999</v>
      </c>
      <c r="J75" s="2" t="s">
        <v>6000</v>
      </c>
      <c r="K75" s="2">
        <v>51.51</v>
      </c>
      <c r="L75" s="2">
        <v>3.59</v>
      </c>
      <c r="M75" s="2" t="s">
        <v>5846</v>
      </c>
      <c r="N75" s="2">
        <v>2</v>
      </c>
      <c r="O75" s="2">
        <v>0</v>
      </c>
      <c r="P75" s="2">
        <v>0</v>
      </c>
      <c r="Q75" s="2">
        <v>0</v>
      </c>
      <c r="R75" s="2">
        <v>1</v>
      </c>
      <c r="S75" s="2">
        <f t="shared" si="4"/>
        <v>0.45</v>
      </c>
      <c r="T75" s="2" t="str">
        <f t="shared" si="5"/>
        <v>MANTENIMIENTO PERIODICO</v>
      </c>
    </row>
    <row r="76" spans="1:20" x14ac:dyDescent="0.3">
      <c r="A76" s="2"/>
      <c r="B76" s="2" t="s">
        <v>5842</v>
      </c>
      <c r="C76" s="2"/>
      <c r="D76" s="2"/>
      <c r="E76" s="2"/>
      <c r="F76" s="2"/>
      <c r="G76" s="2">
        <v>3001365</v>
      </c>
      <c r="H76" s="2" t="s">
        <v>6001</v>
      </c>
      <c r="I76" s="2" t="s">
        <v>6002</v>
      </c>
      <c r="J76" s="2" t="s">
        <v>6003</v>
      </c>
      <c r="K76" s="2">
        <v>53.42</v>
      </c>
      <c r="L76" s="2">
        <v>7.68</v>
      </c>
      <c r="M76" s="2" t="s">
        <v>5846</v>
      </c>
      <c r="N76" s="2">
        <v>2</v>
      </c>
      <c r="O76" s="2">
        <v>1</v>
      </c>
      <c r="P76" s="2">
        <v>1</v>
      </c>
      <c r="Q76" s="2">
        <v>0</v>
      </c>
      <c r="R76" s="2">
        <v>0</v>
      </c>
      <c r="S76" s="2">
        <f t="shared" si="4"/>
        <v>0.44999999999999996</v>
      </c>
      <c r="T76" s="2" t="str">
        <f t="shared" si="5"/>
        <v>MANTENIMIENTO PERIODICO</v>
      </c>
    </row>
    <row r="77" spans="1:20" x14ac:dyDescent="0.3">
      <c r="A77" s="2"/>
      <c r="B77" s="2" t="s">
        <v>5842</v>
      </c>
      <c r="C77" s="2"/>
      <c r="D77" s="2"/>
      <c r="E77" s="2"/>
      <c r="F77" s="2"/>
      <c r="G77" s="2">
        <v>3001689</v>
      </c>
      <c r="H77" s="2" t="s">
        <v>6004</v>
      </c>
      <c r="I77" s="2" t="s">
        <v>5854</v>
      </c>
      <c r="J77" s="2" t="s">
        <v>6005</v>
      </c>
      <c r="K77" s="2">
        <v>87.52</v>
      </c>
      <c r="L77" s="2">
        <v>5.74</v>
      </c>
      <c r="M77" s="2" t="s">
        <v>5817</v>
      </c>
      <c r="N77" s="2">
        <v>2</v>
      </c>
      <c r="O77" s="2">
        <v>1</v>
      </c>
      <c r="P77" s="2">
        <v>1</v>
      </c>
      <c r="Q77" s="2">
        <v>0</v>
      </c>
      <c r="R77" s="2">
        <v>0</v>
      </c>
      <c r="S77" s="2">
        <f t="shared" si="4"/>
        <v>0.44999999999999996</v>
      </c>
      <c r="T77" s="2" t="str">
        <f t="shared" si="5"/>
        <v>MANTENIMIENTO PERIODICO</v>
      </c>
    </row>
    <row r="78" spans="1:20" x14ac:dyDescent="0.3">
      <c r="A78" s="2"/>
      <c r="B78" s="2" t="s">
        <v>5842</v>
      </c>
      <c r="C78" s="2"/>
      <c r="D78" s="2"/>
      <c r="E78" s="2"/>
      <c r="F78" s="2"/>
      <c r="G78" s="2">
        <v>3001724</v>
      </c>
      <c r="H78" s="2" t="s">
        <v>6004</v>
      </c>
      <c r="I78" s="2" t="s">
        <v>6005</v>
      </c>
      <c r="J78" s="2" t="s">
        <v>6006</v>
      </c>
      <c r="K78" s="2">
        <v>36.71</v>
      </c>
      <c r="L78" s="2">
        <v>5.95</v>
      </c>
      <c r="M78" s="2" t="s">
        <v>5846</v>
      </c>
      <c r="N78" s="2">
        <v>2</v>
      </c>
      <c r="O78" s="2">
        <v>1</v>
      </c>
      <c r="P78" s="2">
        <v>1</v>
      </c>
      <c r="Q78" s="2">
        <v>0</v>
      </c>
      <c r="R78" s="2">
        <v>0</v>
      </c>
      <c r="S78" s="2">
        <f t="shared" si="4"/>
        <v>0.44999999999999996</v>
      </c>
      <c r="T78" s="2" t="str">
        <f t="shared" si="5"/>
        <v>MANTENIMIENTO PERIODICO</v>
      </c>
    </row>
    <row r="79" spans="1:20" x14ac:dyDescent="0.3">
      <c r="A79" s="2"/>
      <c r="B79" s="2" t="s">
        <v>5842</v>
      </c>
      <c r="C79" s="2"/>
      <c r="D79" s="2"/>
      <c r="E79" s="2"/>
      <c r="F79" s="2"/>
      <c r="G79" s="2">
        <v>3001733</v>
      </c>
      <c r="H79" s="2" t="s">
        <v>6004</v>
      </c>
      <c r="I79" s="2" t="s">
        <v>6006</v>
      </c>
      <c r="J79" s="2" t="s">
        <v>6007</v>
      </c>
      <c r="K79" s="2">
        <v>11.74</v>
      </c>
      <c r="L79" s="2">
        <v>5.91</v>
      </c>
      <c r="M79" s="2" t="s">
        <v>5846</v>
      </c>
      <c r="N79" s="2">
        <v>2</v>
      </c>
      <c r="O79" s="2">
        <v>1</v>
      </c>
      <c r="P79" s="2">
        <v>1</v>
      </c>
      <c r="Q79" s="2">
        <v>0</v>
      </c>
      <c r="R79" s="2">
        <v>0</v>
      </c>
      <c r="S79" s="2">
        <f t="shared" si="4"/>
        <v>0.44999999999999996</v>
      </c>
      <c r="T79" s="2" t="str">
        <f t="shared" si="5"/>
        <v>MANTENIMIENTO PERIODICO</v>
      </c>
    </row>
    <row r="80" spans="1:20" x14ac:dyDescent="0.3">
      <c r="A80" s="2"/>
      <c r="B80" s="2" t="s">
        <v>5842</v>
      </c>
      <c r="C80" s="2"/>
      <c r="D80" s="2"/>
      <c r="E80" s="2"/>
      <c r="F80" s="2"/>
      <c r="G80" s="2">
        <v>3001751</v>
      </c>
      <c r="H80" s="2" t="s">
        <v>6004</v>
      </c>
      <c r="I80" s="2" t="s">
        <v>6007</v>
      </c>
      <c r="J80" s="2" t="s">
        <v>6008</v>
      </c>
      <c r="K80" s="2">
        <v>8.64</v>
      </c>
      <c r="L80" s="2">
        <v>5.88</v>
      </c>
      <c r="M80" s="2" t="s">
        <v>5846</v>
      </c>
      <c r="N80" s="2">
        <v>2</v>
      </c>
      <c r="O80" s="2">
        <v>1</v>
      </c>
      <c r="P80" s="2">
        <v>1</v>
      </c>
      <c r="Q80" s="2">
        <v>0</v>
      </c>
      <c r="R80" s="2">
        <v>0</v>
      </c>
      <c r="S80" s="2">
        <f t="shared" si="4"/>
        <v>0.44999999999999996</v>
      </c>
      <c r="T80" s="2" t="str">
        <f t="shared" si="5"/>
        <v>MANTENIMIENTO PERIODICO</v>
      </c>
    </row>
    <row r="81" spans="1:20" x14ac:dyDescent="0.3">
      <c r="A81" s="2"/>
      <c r="B81" s="2" t="s">
        <v>5842</v>
      </c>
      <c r="C81" s="2"/>
      <c r="D81" s="2"/>
      <c r="E81" s="2"/>
      <c r="F81" s="2"/>
      <c r="G81" s="2">
        <v>3001754</v>
      </c>
      <c r="H81" s="2" t="s">
        <v>5903</v>
      </c>
      <c r="I81" s="2" t="s">
        <v>5904</v>
      </c>
      <c r="J81" s="2" t="s">
        <v>5902</v>
      </c>
      <c r="K81" s="2">
        <v>72.08</v>
      </c>
      <c r="L81" s="2">
        <v>6.71</v>
      </c>
      <c r="M81" s="2" t="s">
        <v>5846</v>
      </c>
      <c r="N81" s="2">
        <v>2</v>
      </c>
      <c r="O81" s="2">
        <v>1</v>
      </c>
      <c r="P81" s="2">
        <v>1</v>
      </c>
      <c r="Q81" s="2">
        <v>0</v>
      </c>
      <c r="R81" s="2">
        <v>0</v>
      </c>
      <c r="S81" s="2">
        <f t="shared" si="4"/>
        <v>0.44999999999999996</v>
      </c>
      <c r="T81" s="2" t="str">
        <f t="shared" si="5"/>
        <v>MANTENIMIENTO PERIODICO</v>
      </c>
    </row>
    <row r="82" spans="1:20" x14ac:dyDescent="0.3">
      <c r="A82" s="2"/>
      <c r="B82" s="2" t="s">
        <v>5842</v>
      </c>
      <c r="C82" s="2"/>
      <c r="D82" s="2"/>
      <c r="E82" s="2"/>
      <c r="F82" s="2"/>
      <c r="G82" s="2">
        <v>3001756</v>
      </c>
      <c r="H82" s="2" t="s">
        <v>6004</v>
      </c>
      <c r="I82" s="2" t="s">
        <v>6009</v>
      </c>
      <c r="J82" s="2" t="s">
        <v>6010</v>
      </c>
      <c r="K82" s="2">
        <v>23.49</v>
      </c>
      <c r="L82" s="2">
        <v>6.03</v>
      </c>
      <c r="M82" s="2" t="s">
        <v>5846</v>
      </c>
      <c r="N82" s="2">
        <v>2</v>
      </c>
      <c r="O82" s="2">
        <v>1</v>
      </c>
      <c r="P82" s="2">
        <v>1</v>
      </c>
      <c r="Q82" s="2">
        <v>0</v>
      </c>
      <c r="R82" s="2">
        <v>0</v>
      </c>
      <c r="S82" s="2">
        <f t="shared" si="4"/>
        <v>0.44999999999999996</v>
      </c>
      <c r="T82" s="2" t="str">
        <f t="shared" si="5"/>
        <v>MANTENIMIENTO PERIODICO</v>
      </c>
    </row>
    <row r="83" spans="1:20" x14ac:dyDescent="0.3">
      <c r="A83" s="2"/>
      <c r="B83" s="2" t="s">
        <v>5842</v>
      </c>
      <c r="C83" s="2"/>
      <c r="D83" s="2"/>
      <c r="E83" s="2"/>
      <c r="F83" s="2"/>
      <c r="G83" s="2">
        <v>3001762</v>
      </c>
      <c r="H83" s="2" t="s">
        <v>6004</v>
      </c>
      <c r="I83" s="2" t="s">
        <v>6011</v>
      </c>
      <c r="J83" s="2" t="s">
        <v>6009</v>
      </c>
      <c r="K83" s="2">
        <v>13.23</v>
      </c>
      <c r="L83" s="2">
        <v>5.25</v>
      </c>
      <c r="M83" s="2" t="s">
        <v>5846</v>
      </c>
      <c r="N83" s="2">
        <v>2</v>
      </c>
      <c r="O83" s="2">
        <v>1</v>
      </c>
      <c r="P83" s="2">
        <v>1</v>
      </c>
      <c r="Q83" s="2">
        <v>0</v>
      </c>
      <c r="R83" s="2">
        <v>0</v>
      </c>
      <c r="S83" s="2">
        <f t="shared" si="4"/>
        <v>0.44999999999999996</v>
      </c>
      <c r="T83" s="2" t="str">
        <f t="shared" si="5"/>
        <v>MANTENIMIENTO PERIODICO</v>
      </c>
    </row>
    <row r="84" spans="1:20" x14ac:dyDescent="0.3">
      <c r="A84" s="2"/>
      <c r="B84" s="2" t="s">
        <v>5842</v>
      </c>
      <c r="C84" s="2"/>
      <c r="D84" s="2"/>
      <c r="E84" s="2"/>
      <c r="F84" s="2"/>
      <c r="G84" s="2">
        <v>3001774</v>
      </c>
      <c r="H84" s="2" t="s">
        <v>6012</v>
      </c>
      <c r="I84" s="2" t="s">
        <v>5900</v>
      </c>
      <c r="J84" s="2" t="s">
        <v>6013</v>
      </c>
      <c r="K84" s="2">
        <v>93.62</v>
      </c>
      <c r="L84" s="2">
        <v>6.01</v>
      </c>
      <c r="M84" s="2" t="s">
        <v>5846</v>
      </c>
      <c r="N84" s="2">
        <v>2</v>
      </c>
      <c r="O84" s="2">
        <v>1</v>
      </c>
      <c r="P84" s="2">
        <v>1</v>
      </c>
      <c r="Q84" s="2">
        <v>0</v>
      </c>
      <c r="R84" s="2">
        <v>0</v>
      </c>
      <c r="S84" s="2">
        <f t="shared" si="4"/>
        <v>0.44999999999999996</v>
      </c>
      <c r="T84" s="2" t="str">
        <f t="shared" si="5"/>
        <v>MANTENIMIENTO PERIODICO</v>
      </c>
    </row>
    <row r="85" spans="1:20" x14ac:dyDescent="0.3">
      <c r="A85" s="2"/>
      <c r="B85" s="2" t="s">
        <v>5842</v>
      </c>
      <c r="C85" s="2"/>
      <c r="D85" s="2"/>
      <c r="E85" s="2"/>
      <c r="F85" s="2"/>
      <c r="G85" s="2">
        <v>3001790</v>
      </c>
      <c r="H85" s="2" t="s">
        <v>5903</v>
      </c>
      <c r="I85" s="2" t="s">
        <v>6014</v>
      </c>
      <c r="J85" s="2" t="s">
        <v>6015</v>
      </c>
      <c r="K85" s="2">
        <v>73.400000000000006</v>
      </c>
      <c r="L85" s="2">
        <v>6.58</v>
      </c>
      <c r="M85" s="2" t="s">
        <v>5846</v>
      </c>
      <c r="N85" s="2">
        <v>2</v>
      </c>
      <c r="O85" s="2">
        <v>1</v>
      </c>
      <c r="P85" s="2">
        <v>1</v>
      </c>
      <c r="Q85" s="2">
        <v>0</v>
      </c>
      <c r="R85" s="2">
        <v>0</v>
      </c>
      <c r="S85" s="2">
        <f t="shared" si="4"/>
        <v>0.44999999999999996</v>
      </c>
      <c r="T85" s="2" t="str">
        <f t="shared" si="5"/>
        <v>MANTENIMIENTO PERIODICO</v>
      </c>
    </row>
    <row r="86" spans="1:20" x14ac:dyDescent="0.3">
      <c r="A86" s="2"/>
      <c r="B86" s="2" t="s">
        <v>5842</v>
      </c>
      <c r="C86" s="2"/>
      <c r="D86" s="2"/>
      <c r="E86" s="2"/>
      <c r="F86" s="2"/>
      <c r="G86" s="2">
        <v>3002257</v>
      </c>
      <c r="H86" s="2" t="s">
        <v>5903</v>
      </c>
      <c r="I86" s="2" t="s">
        <v>5843</v>
      </c>
      <c r="J86" s="2" t="s">
        <v>6014</v>
      </c>
      <c r="K86" s="2">
        <v>167.56</v>
      </c>
      <c r="L86" s="2">
        <v>6.57</v>
      </c>
      <c r="M86" s="2" t="s">
        <v>5846</v>
      </c>
      <c r="N86" s="2">
        <v>2</v>
      </c>
      <c r="O86" s="2">
        <v>1</v>
      </c>
      <c r="P86" s="2">
        <v>1</v>
      </c>
      <c r="Q86" s="2">
        <v>0</v>
      </c>
      <c r="R86" s="2">
        <v>0</v>
      </c>
      <c r="S86" s="2">
        <f t="shared" si="4"/>
        <v>0.44999999999999996</v>
      </c>
      <c r="T86" s="2" t="str">
        <f t="shared" si="5"/>
        <v>MANTENIMIENTO PERIODICO</v>
      </c>
    </row>
    <row r="87" spans="1:20" x14ac:dyDescent="0.3">
      <c r="A87" s="2"/>
      <c r="B87" s="2" t="s">
        <v>5842</v>
      </c>
      <c r="C87" s="2"/>
      <c r="D87" s="2"/>
      <c r="E87" s="2"/>
      <c r="F87" s="2"/>
      <c r="G87" s="2">
        <v>3002273</v>
      </c>
      <c r="H87" s="2" t="s">
        <v>6001</v>
      </c>
      <c r="I87" s="2" t="s">
        <v>5844</v>
      </c>
      <c r="J87" s="2" t="s">
        <v>6002</v>
      </c>
      <c r="K87" s="2">
        <v>26.98</v>
      </c>
      <c r="L87" s="2">
        <v>7.36</v>
      </c>
      <c r="M87" s="2" t="s">
        <v>5846</v>
      </c>
      <c r="N87" s="2">
        <v>2</v>
      </c>
      <c r="O87" s="2">
        <v>1</v>
      </c>
      <c r="P87" s="2">
        <v>1</v>
      </c>
      <c r="Q87" s="2">
        <v>0</v>
      </c>
      <c r="R87" s="2">
        <v>0</v>
      </c>
      <c r="S87" s="2">
        <f t="shared" si="4"/>
        <v>0.44999999999999996</v>
      </c>
      <c r="T87" s="2" t="str">
        <f t="shared" si="5"/>
        <v>MANTENIMIENTO PERIODICO</v>
      </c>
    </row>
    <row r="88" spans="1:20" x14ac:dyDescent="0.3">
      <c r="A88" s="2"/>
      <c r="B88" s="2" t="s">
        <v>5842</v>
      </c>
      <c r="C88" s="2"/>
      <c r="D88" s="2"/>
      <c r="E88" s="2"/>
      <c r="F88" s="2"/>
      <c r="G88" s="2">
        <v>3002474</v>
      </c>
      <c r="H88" s="2" t="s">
        <v>6001</v>
      </c>
      <c r="I88" s="2" t="s">
        <v>6016</v>
      </c>
      <c r="J88" s="2" t="s">
        <v>6017</v>
      </c>
      <c r="K88" s="2">
        <v>64.88</v>
      </c>
      <c r="L88" s="2">
        <v>6.79</v>
      </c>
      <c r="M88" s="2" t="s">
        <v>5846</v>
      </c>
      <c r="N88" s="2">
        <v>2</v>
      </c>
      <c r="O88" s="2">
        <v>1</v>
      </c>
      <c r="P88" s="2">
        <v>1</v>
      </c>
      <c r="Q88" s="2">
        <v>0</v>
      </c>
      <c r="R88" s="2">
        <v>0</v>
      </c>
      <c r="S88" s="2">
        <f t="shared" si="4"/>
        <v>0.44999999999999996</v>
      </c>
      <c r="T88" s="2" t="str">
        <f t="shared" si="5"/>
        <v>MANTENIMIENTO PERIODICO</v>
      </c>
    </row>
    <row r="89" spans="1:20" x14ac:dyDescent="0.3">
      <c r="A89" s="2"/>
      <c r="B89" s="2" t="s">
        <v>5842</v>
      </c>
      <c r="C89" s="2"/>
      <c r="D89" s="2"/>
      <c r="E89" s="2"/>
      <c r="F89" s="2"/>
      <c r="G89" s="2">
        <v>3003017</v>
      </c>
      <c r="H89" s="2" t="s">
        <v>5854</v>
      </c>
      <c r="I89" s="2" t="s">
        <v>5916</v>
      </c>
      <c r="J89" s="2" t="s">
        <v>5904</v>
      </c>
      <c r="K89" s="2">
        <v>32.1</v>
      </c>
      <c r="L89" s="2">
        <v>6.66</v>
      </c>
      <c r="M89" s="2" t="s">
        <v>5846</v>
      </c>
      <c r="N89" s="2">
        <v>2</v>
      </c>
      <c r="O89" s="2">
        <v>1</v>
      </c>
      <c r="P89" s="2">
        <v>1</v>
      </c>
      <c r="Q89" s="2">
        <v>0</v>
      </c>
      <c r="R89" s="2">
        <v>0</v>
      </c>
      <c r="S89" s="2">
        <f t="shared" si="4"/>
        <v>0.44999999999999996</v>
      </c>
      <c r="T89" s="2" t="str">
        <f t="shared" si="5"/>
        <v>MANTENIMIENTO PERIODICO</v>
      </c>
    </row>
    <row r="90" spans="1:20" x14ac:dyDescent="0.3">
      <c r="A90" s="2" t="s">
        <v>5808</v>
      </c>
      <c r="B90" s="95" t="s">
        <v>6018</v>
      </c>
      <c r="C90" s="2" t="s">
        <v>6019</v>
      </c>
      <c r="D90" s="2" t="s">
        <v>5827</v>
      </c>
      <c r="E90" s="2" t="s">
        <v>5812</v>
      </c>
      <c r="F90" s="2" t="s">
        <v>6020</v>
      </c>
      <c r="G90" s="2">
        <v>3000148</v>
      </c>
      <c r="H90" s="2" t="s">
        <v>6021</v>
      </c>
      <c r="I90" s="2" t="s">
        <v>5824</v>
      </c>
      <c r="J90" s="2" t="s">
        <v>6022</v>
      </c>
      <c r="K90" s="2">
        <v>35.65</v>
      </c>
      <c r="L90" s="2">
        <v>6.26</v>
      </c>
      <c r="M90" s="2" t="s">
        <v>5846</v>
      </c>
      <c r="N90" s="2">
        <v>1</v>
      </c>
      <c r="O90" s="2">
        <v>0</v>
      </c>
      <c r="P90" s="2">
        <v>1</v>
      </c>
      <c r="Q90" s="2">
        <v>0</v>
      </c>
      <c r="R90" s="2">
        <v>1</v>
      </c>
      <c r="S90" s="2">
        <f t="shared" si="4"/>
        <v>0.42500000000000004</v>
      </c>
      <c r="T90" s="2" t="str">
        <f t="shared" si="5"/>
        <v>MANTENIMIENTO RUTINARIO</v>
      </c>
    </row>
    <row r="91" spans="1:20" x14ac:dyDescent="0.3">
      <c r="A91" s="2" t="s">
        <v>5808</v>
      </c>
      <c r="B91" s="95" t="s">
        <v>6023</v>
      </c>
      <c r="C91" s="2" t="s">
        <v>6019</v>
      </c>
      <c r="D91" s="2" t="s">
        <v>5827</v>
      </c>
      <c r="E91" s="2" t="s">
        <v>5812</v>
      </c>
      <c r="F91" s="2" t="s">
        <v>6020</v>
      </c>
      <c r="G91" s="2">
        <v>3000165</v>
      </c>
      <c r="H91" s="2" t="s">
        <v>6021</v>
      </c>
      <c r="I91" s="2" t="s">
        <v>6024</v>
      </c>
      <c r="J91" s="2" t="s">
        <v>5824</v>
      </c>
      <c r="K91" s="2">
        <v>103.57</v>
      </c>
      <c r="L91" s="2">
        <v>5.38</v>
      </c>
      <c r="M91" s="2" t="s">
        <v>5846</v>
      </c>
      <c r="N91" s="2">
        <v>1</v>
      </c>
      <c r="O91" s="2">
        <v>0</v>
      </c>
      <c r="P91" s="2">
        <v>1</v>
      </c>
      <c r="Q91" s="2">
        <v>0</v>
      </c>
      <c r="R91" s="2">
        <v>1</v>
      </c>
      <c r="S91" s="2">
        <f t="shared" si="4"/>
        <v>0.42500000000000004</v>
      </c>
      <c r="T91" s="2" t="str">
        <f t="shared" si="5"/>
        <v>MANTENIMIENTO RUTINARIO</v>
      </c>
    </row>
    <row r="92" spans="1:20" x14ac:dyDescent="0.3">
      <c r="A92" s="2"/>
      <c r="B92" s="2" t="s">
        <v>5842</v>
      </c>
      <c r="C92" s="2"/>
      <c r="D92" s="2"/>
      <c r="E92" s="2"/>
      <c r="F92" s="2"/>
      <c r="G92" s="2">
        <v>3002471</v>
      </c>
      <c r="H92" s="2" t="s">
        <v>6025</v>
      </c>
      <c r="I92" s="2" t="s">
        <v>6004</v>
      </c>
      <c r="J92" s="2" t="s">
        <v>6026</v>
      </c>
      <c r="K92" s="2">
        <v>20.03</v>
      </c>
      <c r="L92" s="2">
        <v>5.87</v>
      </c>
      <c r="M92" s="2" t="s">
        <v>5817</v>
      </c>
      <c r="N92" s="2">
        <v>2</v>
      </c>
      <c r="O92" s="2">
        <v>0</v>
      </c>
      <c r="P92" s="2">
        <v>1</v>
      </c>
      <c r="Q92" s="2">
        <v>0</v>
      </c>
      <c r="R92" s="2">
        <v>0</v>
      </c>
      <c r="S92" s="2">
        <f t="shared" si="4"/>
        <v>0.35</v>
      </c>
      <c r="T92" s="2" t="str">
        <f t="shared" si="5"/>
        <v>MANTENIMIENTO PERIODICO</v>
      </c>
    </row>
    <row r="93" spans="1:20" x14ac:dyDescent="0.3">
      <c r="A93" s="2" t="s">
        <v>5808</v>
      </c>
      <c r="B93" s="95">
        <v>20255310010092</v>
      </c>
      <c r="C93" s="2" t="s">
        <v>6027</v>
      </c>
      <c r="D93" s="2" t="s">
        <v>5827</v>
      </c>
      <c r="E93" s="2" t="s">
        <v>5836</v>
      </c>
      <c r="F93" s="2" t="s">
        <v>6028</v>
      </c>
      <c r="G93" s="2">
        <v>3000609</v>
      </c>
      <c r="H93" s="2" t="s">
        <v>6029</v>
      </c>
      <c r="I93" s="2" t="s">
        <v>5814</v>
      </c>
      <c r="J93" s="2" t="s">
        <v>5941</v>
      </c>
      <c r="K93" s="2">
        <v>102.6</v>
      </c>
      <c r="L93" s="2">
        <v>7.67</v>
      </c>
      <c r="M93" s="2" t="s">
        <v>5817</v>
      </c>
      <c r="N93" s="2">
        <v>1</v>
      </c>
      <c r="O93" s="2">
        <v>0</v>
      </c>
      <c r="P93" s="2">
        <v>0</v>
      </c>
      <c r="Q93" s="2">
        <v>0</v>
      </c>
      <c r="R93" s="2">
        <v>1</v>
      </c>
      <c r="S93" s="2">
        <f t="shared" si="4"/>
        <v>0.32500000000000001</v>
      </c>
      <c r="T93" s="2" t="str">
        <f t="shared" si="5"/>
        <v>MANTENIMIENTO RUTINARIO</v>
      </c>
    </row>
    <row r="94" spans="1:20" x14ac:dyDescent="0.3">
      <c r="A94" s="2" t="s">
        <v>5808</v>
      </c>
      <c r="B94" s="95" t="s">
        <v>6030</v>
      </c>
      <c r="C94" s="2" t="s">
        <v>6031</v>
      </c>
      <c r="D94" s="2" t="s">
        <v>5811</v>
      </c>
      <c r="E94" s="2" t="s">
        <v>5812</v>
      </c>
      <c r="F94" s="2" t="s">
        <v>6032</v>
      </c>
      <c r="G94" s="2">
        <v>3000667</v>
      </c>
      <c r="H94" s="2" t="s">
        <v>6033</v>
      </c>
      <c r="I94" s="2" t="s">
        <v>6034</v>
      </c>
      <c r="J94" s="2" t="s">
        <v>6035</v>
      </c>
      <c r="K94" s="2">
        <v>106.68</v>
      </c>
      <c r="L94" s="2">
        <v>6.19</v>
      </c>
      <c r="M94" s="2" t="s">
        <v>5846</v>
      </c>
      <c r="N94" s="2">
        <v>1</v>
      </c>
      <c r="O94" s="2">
        <v>0</v>
      </c>
      <c r="P94" s="2">
        <v>0</v>
      </c>
      <c r="Q94" s="2">
        <v>0</v>
      </c>
      <c r="R94" s="2">
        <v>1</v>
      </c>
      <c r="S94" s="2">
        <f t="shared" si="4"/>
        <v>0.32500000000000001</v>
      </c>
      <c r="T94" s="2" t="str">
        <f t="shared" si="5"/>
        <v>MANTENIMIENTO RUTINARIO</v>
      </c>
    </row>
    <row r="95" spans="1:20" x14ac:dyDescent="0.3">
      <c r="A95" s="2" t="s">
        <v>5808</v>
      </c>
      <c r="B95" s="95">
        <v>20245310092542</v>
      </c>
      <c r="C95" s="2" t="s">
        <v>6036</v>
      </c>
      <c r="D95" s="2" t="s">
        <v>5827</v>
      </c>
      <c r="E95" s="2" t="s">
        <v>5812</v>
      </c>
      <c r="F95" s="2" t="s">
        <v>6037</v>
      </c>
      <c r="G95" s="2">
        <v>3000943</v>
      </c>
      <c r="H95" s="2" t="s">
        <v>5941</v>
      </c>
      <c r="I95" s="2" t="s">
        <v>5816</v>
      </c>
      <c r="J95" s="2" t="s">
        <v>5821</v>
      </c>
      <c r="K95" s="2">
        <v>71.599999999999994</v>
      </c>
      <c r="L95" s="2">
        <v>6.79</v>
      </c>
      <c r="M95" s="2" t="s">
        <v>5846</v>
      </c>
      <c r="N95" s="2">
        <v>1</v>
      </c>
      <c r="O95" s="2">
        <v>0</v>
      </c>
      <c r="P95" s="2">
        <v>0</v>
      </c>
      <c r="Q95" s="2">
        <v>0</v>
      </c>
      <c r="R95" s="2">
        <v>1</v>
      </c>
      <c r="S95" s="2">
        <f t="shared" si="4"/>
        <v>0.32500000000000001</v>
      </c>
      <c r="T95" s="2" t="str">
        <f t="shared" si="5"/>
        <v>MANTENIMIENTO RUTINARIO</v>
      </c>
    </row>
    <row r="96" spans="1:20" x14ac:dyDescent="0.3">
      <c r="A96" s="2" t="s">
        <v>5808</v>
      </c>
      <c r="B96" s="95">
        <v>20245310094622</v>
      </c>
      <c r="C96" s="2" t="s">
        <v>6038</v>
      </c>
      <c r="D96" s="2" t="s">
        <v>5811</v>
      </c>
      <c r="E96" s="2" t="s">
        <v>5812</v>
      </c>
      <c r="F96" s="2" t="s">
        <v>6039</v>
      </c>
      <c r="G96" s="2">
        <v>3001124</v>
      </c>
      <c r="H96" s="2" t="s">
        <v>6040</v>
      </c>
      <c r="I96" s="2" t="s">
        <v>6041</v>
      </c>
      <c r="J96" s="2" t="s">
        <v>6042</v>
      </c>
      <c r="K96" s="2">
        <v>66.5</v>
      </c>
      <c r="L96" s="2">
        <v>4.6500000000000004</v>
      </c>
      <c r="M96" s="2" t="s">
        <v>5846</v>
      </c>
      <c r="N96" s="2">
        <v>1</v>
      </c>
      <c r="O96" s="2">
        <v>0</v>
      </c>
      <c r="P96" s="2">
        <v>0</v>
      </c>
      <c r="Q96" s="2">
        <v>0</v>
      </c>
      <c r="R96" s="2">
        <v>1</v>
      </c>
      <c r="S96" s="2">
        <f t="shared" si="4"/>
        <v>0.32500000000000001</v>
      </c>
      <c r="T96" s="2" t="str">
        <f t="shared" si="5"/>
        <v>MANTENIMIENTO RUTINARIO</v>
      </c>
    </row>
    <row r="97" spans="1:20" x14ac:dyDescent="0.3">
      <c r="A97" s="2" t="s">
        <v>5808</v>
      </c>
      <c r="B97" s="95">
        <v>20245320009883</v>
      </c>
      <c r="C97" s="2" t="s">
        <v>6043</v>
      </c>
      <c r="D97" s="2" t="s">
        <v>5827</v>
      </c>
      <c r="E97" s="2" t="s">
        <v>5812</v>
      </c>
      <c r="F97" s="2"/>
      <c r="G97" s="2">
        <v>3001354</v>
      </c>
      <c r="H97" s="2" t="s">
        <v>6044</v>
      </c>
      <c r="I97" s="2" t="s">
        <v>6045</v>
      </c>
      <c r="J97" s="2" t="s">
        <v>5821</v>
      </c>
      <c r="K97" s="2">
        <v>82.14</v>
      </c>
      <c r="L97" s="2">
        <v>5.59</v>
      </c>
      <c r="M97" s="2" t="s">
        <v>5817</v>
      </c>
      <c r="N97" s="2">
        <v>1</v>
      </c>
      <c r="O97" s="2">
        <v>0</v>
      </c>
      <c r="P97" s="2">
        <v>0</v>
      </c>
      <c r="Q97" s="2">
        <v>0</v>
      </c>
      <c r="R97" s="2">
        <v>1</v>
      </c>
      <c r="S97" s="2">
        <f t="shared" si="4"/>
        <v>0.32500000000000001</v>
      </c>
      <c r="T97" s="2" t="str">
        <f t="shared" si="5"/>
        <v>MANTENIMIENTO RUTINARIO</v>
      </c>
    </row>
    <row r="98" spans="1:20" x14ac:dyDescent="0.3">
      <c r="A98" s="2"/>
      <c r="B98" s="2" t="s">
        <v>5842</v>
      </c>
      <c r="C98" s="2"/>
      <c r="D98" s="2"/>
      <c r="E98" s="2"/>
      <c r="F98" s="2"/>
      <c r="G98" s="2">
        <v>3001436</v>
      </c>
      <c r="H98" s="2" t="s">
        <v>5894</v>
      </c>
      <c r="I98" s="2" t="s">
        <v>6046</v>
      </c>
      <c r="J98" s="2" t="s">
        <v>5845</v>
      </c>
      <c r="K98" s="2">
        <v>80.72</v>
      </c>
      <c r="L98" s="2">
        <v>5.27</v>
      </c>
      <c r="M98" s="2" t="s">
        <v>5846</v>
      </c>
      <c r="N98" s="2">
        <v>2</v>
      </c>
      <c r="O98" s="2">
        <v>0</v>
      </c>
      <c r="P98" s="2">
        <v>0</v>
      </c>
      <c r="Q98" s="2">
        <v>0</v>
      </c>
      <c r="R98" s="2">
        <v>0</v>
      </c>
      <c r="S98" s="2">
        <f t="shared" si="4"/>
        <v>0.25</v>
      </c>
      <c r="T98" s="2" t="str">
        <f t="shared" si="5"/>
        <v>MANTENIMIENTO PERIODICO</v>
      </c>
    </row>
    <row r="102" spans="1:20" x14ac:dyDescent="0.3">
      <c r="G102">
        <v>0</v>
      </c>
      <c r="H102" t="s">
        <v>6047</v>
      </c>
    </row>
    <row r="103" spans="1:20" x14ac:dyDescent="0.3">
      <c r="G103">
        <v>1</v>
      </c>
      <c r="H103" t="s">
        <v>6048</v>
      </c>
    </row>
    <row r="104" spans="1:20" x14ac:dyDescent="0.3">
      <c r="G104">
        <v>2</v>
      </c>
      <c r="H104" t="s">
        <v>6049</v>
      </c>
    </row>
    <row r="105" spans="1:20" x14ac:dyDescent="0.3">
      <c r="G105">
        <v>3</v>
      </c>
      <c r="H105" t="s">
        <v>6050</v>
      </c>
    </row>
    <row r="106" spans="1:20" x14ac:dyDescent="0.3">
      <c r="G106">
        <v>4</v>
      </c>
      <c r="H106" t="s">
        <v>6051</v>
      </c>
    </row>
  </sheetData>
  <autoFilter ref="A2:T98" xr:uid="{3BC105ED-E37F-4E8B-A33E-AF7BD8F5AE97}">
    <sortState xmlns:xlrd2="http://schemas.microsoft.com/office/spreadsheetml/2017/richdata2" ref="A3:T98">
      <sortCondition descending="1" ref="S2:S98"/>
    </sortState>
  </autoFilter>
  <mergeCells count="1">
    <mergeCell ref="A1:T1"/>
  </mergeCells>
  <conditionalFormatting sqref="G3:G98">
    <cfRule type="duplicateValues" dxfId="2" priority="6"/>
  </conditionalFormatting>
  <pageMargins left="0.7" right="0.7" top="0.75" bottom="0.75" header="0.3" footer="0.3"/>
  <pageSetup paperSize="9" scale="2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38B56-752C-4484-BBE0-9DDF9E9D3B64}">
  <sheetPr>
    <tabColor rgb="FF00B0F0"/>
  </sheetPr>
  <dimension ref="A1:O36"/>
  <sheetViews>
    <sheetView view="pageBreakPreview" zoomScale="60" zoomScaleNormal="70" workbookViewId="0">
      <selection activeCell="C17" sqref="C17:L21"/>
    </sheetView>
  </sheetViews>
  <sheetFormatPr baseColWidth="10" defaultColWidth="11.44140625" defaultRowHeight="14.4" x14ac:dyDescent="0.3"/>
  <cols>
    <col min="2" max="2" width="32.109375" bestFit="1" customWidth="1"/>
    <col min="3" max="3" width="35.6640625" customWidth="1"/>
    <col min="4" max="6" width="0" hidden="1" customWidth="1"/>
    <col min="7" max="7" width="17.44140625" customWidth="1"/>
    <col min="8" max="8" width="29.5546875" bestFit="1" customWidth="1"/>
    <col min="10" max="11" width="18.6640625" customWidth="1"/>
    <col min="12" max="12" width="11.44140625" customWidth="1"/>
    <col min="13" max="13" width="14.109375" bestFit="1" customWidth="1"/>
    <col min="14" max="14" width="14.109375" customWidth="1"/>
    <col min="15" max="15" width="32.5546875" bestFit="1" customWidth="1"/>
  </cols>
  <sheetData>
    <row r="1" spans="1:15" x14ac:dyDescent="0.3">
      <c r="A1" s="922" t="s">
        <v>6052</v>
      </c>
      <c r="B1" s="923"/>
      <c r="C1" s="923"/>
      <c r="D1" s="923"/>
      <c r="E1" s="923"/>
      <c r="F1" s="923"/>
      <c r="G1" s="923"/>
      <c r="H1" s="923"/>
      <c r="I1" s="923"/>
      <c r="J1" s="923"/>
      <c r="K1" s="923"/>
      <c r="L1" s="923"/>
      <c r="M1" s="923"/>
      <c r="N1" s="923"/>
      <c r="O1" s="924"/>
    </row>
    <row r="2" spans="1:15" x14ac:dyDescent="0.3">
      <c r="A2" s="1" t="s">
        <v>5788</v>
      </c>
      <c r="B2" s="1" t="s">
        <v>5789</v>
      </c>
      <c r="C2" s="1" t="s">
        <v>5790</v>
      </c>
      <c r="D2" s="1" t="s">
        <v>5791</v>
      </c>
      <c r="E2" s="1" t="s">
        <v>5792</v>
      </c>
      <c r="F2" s="1" t="s">
        <v>5793</v>
      </c>
      <c r="G2" s="1" t="s">
        <v>5794</v>
      </c>
      <c r="H2" s="1" t="s">
        <v>5795</v>
      </c>
      <c r="I2" s="1" t="s">
        <v>5796</v>
      </c>
      <c r="J2" s="1" t="s">
        <v>5797</v>
      </c>
      <c r="K2" s="1" t="s">
        <v>5798</v>
      </c>
      <c r="L2" s="1" t="s">
        <v>5799</v>
      </c>
      <c r="M2" s="1" t="s">
        <v>5800</v>
      </c>
      <c r="N2" s="1" t="s">
        <v>5807</v>
      </c>
      <c r="O2" s="1" t="s">
        <v>5807</v>
      </c>
    </row>
    <row r="3" spans="1:15" x14ac:dyDescent="0.3">
      <c r="A3" s="2" t="s">
        <v>5808</v>
      </c>
      <c r="B3" s="95"/>
      <c r="C3" s="2" t="s">
        <v>6053</v>
      </c>
      <c r="D3" s="2"/>
      <c r="E3" s="2"/>
      <c r="F3" s="2"/>
      <c r="G3" s="2">
        <v>3002488</v>
      </c>
      <c r="H3" s="2" t="s">
        <v>6054</v>
      </c>
      <c r="I3" s="2" t="s">
        <v>6055</v>
      </c>
      <c r="J3" s="2"/>
      <c r="K3" s="2">
        <v>737</v>
      </c>
      <c r="L3" s="2">
        <v>4.5</v>
      </c>
      <c r="M3" s="2" t="s">
        <v>5817</v>
      </c>
      <c r="N3" s="2" t="s">
        <v>6051</v>
      </c>
      <c r="O3" s="2" t="s">
        <v>6051</v>
      </c>
    </row>
    <row r="4" spans="1:15" x14ac:dyDescent="0.3">
      <c r="A4" s="2" t="s">
        <v>5808</v>
      </c>
      <c r="B4" s="95"/>
      <c r="C4" s="2" t="s">
        <v>6053</v>
      </c>
      <c r="D4" s="2"/>
      <c r="E4" s="2"/>
      <c r="F4" s="2"/>
      <c r="G4" s="2">
        <v>3002758</v>
      </c>
      <c r="H4" s="2" t="s">
        <v>6054</v>
      </c>
      <c r="I4" s="2" t="s">
        <v>6055</v>
      </c>
      <c r="J4" s="2"/>
      <c r="K4" s="2">
        <v>33</v>
      </c>
      <c r="L4" s="2">
        <v>4.5</v>
      </c>
      <c r="M4" s="2" t="s">
        <v>5817</v>
      </c>
      <c r="N4" s="2" t="s">
        <v>6051</v>
      </c>
      <c r="O4" s="2" t="s">
        <v>6051</v>
      </c>
    </row>
    <row r="5" spans="1:15" x14ac:dyDescent="0.3">
      <c r="A5" s="2" t="s">
        <v>5808</v>
      </c>
      <c r="B5" s="95">
        <v>20255320073021</v>
      </c>
      <c r="C5" s="2" t="s">
        <v>6056</v>
      </c>
      <c r="D5" s="2"/>
      <c r="E5" s="2"/>
      <c r="F5" s="2"/>
      <c r="G5" s="2">
        <v>3002715</v>
      </c>
      <c r="H5" s="2" t="s">
        <v>6054</v>
      </c>
      <c r="I5" s="2" t="s">
        <v>6055</v>
      </c>
      <c r="J5" s="2"/>
      <c r="K5" s="2">
        <v>784</v>
      </c>
      <c r="L5" s="2">
        <v>2.87</v>
      </c>
      <c r="M5" s="2" t="s">
        <v>5841</v>
      </c>
      <c r="N5" s="2" t="s">
        <v>6051</v>
      </c>
      <c r="O5" s="2" t="s">
        <v>6051</v>
      </c>
    </row>
    <row r="6" spans="1:15" x14ac:dyDescent="0.3">
      <c r="A6" s="2" t="s">
        <v>5808</v>
      </c>
      <c r="B6" s="95">
        <v>20255320073021</v>
      </c>
      <c r="C6" s="2" t="s">
        <v>6056</v>
      </c>
      <c r="D6" s="2"/>
      <c r="E6" s="2"/>
      <c r="F6" s="2"/>
      <c r="G6" s="2">
        <v>3002726</v>
      </c>
      <c r="H6" s="2" t="s">
        <v>6054</v>
      </c>
      <c r="I6" s="2" t="s">
        <v>6055</v>
      </c>
      <c r="J6" s="2"/>
      <c r="K6" s="2">
        <v>586.6</v>
      </c>
      <c r="L6" s="2">
        <v>3.61</v>
      </c>
      <c r="M6" s="2" t="s">
        <v>5841</v>
      </c>
      <c r="N6" s="2" t="s">
        <v>6051</v>
      </c>
      <c r="O6" s="2" t="s">
        <v>6051</v>
      </c>
    </row>
    <row r="7" spans="1:15" x14ac:dyDescent="0.3">
      <c r="A7" s="2" t="s">
        <v>5808</v>
      </c>
      <c r="B7" s="95">
        <v>20255320073021</v>
      </c>
      <c r="C7" s="2" t="s">
        <v>6056</v>
      </c>
      <c r="D7" s="2"/>
      <c r="E7" s="2"/>
      <c r="F7" s="2"/>
      <c r="G7" s="2">
        <v>3002727</v>
      </c>
      <c r="H7" s="2" t="s">
        <v>6054</v>
      </c>
      <c r="I7" s="2" t="s">
        <v>6055</v>
      </c>
      <c r="J7" s="2"/>
      <c r="K7" s="2">
        <v>143.4</v>
      </c>
      <c r="L7" s="2">
        <v>3.6</v>
      </c>
      <c r="M7" s="2" t="s">
        <v>5841</v>
      </c>
      <c r="N7" s="2" t="s">
        <v>6051</v>
      </c>
      <c r="O7" s="2" t="s">
        <v>6051</v>
      </c>
    </row>
    <row r="8" spans="1:15" x14ac:dyDescent="0.3">
      <c r="A8" s="2" t="s">
        <v>5808</v>
      </c>
      <c r="B8" s="95">
        <v>20255320073021</v>
      </c>
      <c r="C8" s="2" t="s">
        <v>6056</v>
      </c>
      <c r="D8" s="2"/>
      <c r="E8" s="2"/>
      <c r="F8" s="2"/>
      <c r="G8" s="2">
        <v>3002728</v>
      </c>
      <c r="H8" s="2" t="s">
        <v>6054</v>
      </c>
      <c r="I8" s="2" t="s">
        <v>6055</v>
      </c>
      <c r="J8" s="2"/>
      <c r="K8" s="2">
        <v>418.4</v>
      </c>
      <c r="L8" s="2">
        <v>3.6</v>
      </c>
      <c r="M8" s="2" t="s">
        <v>5841</v>
      </c>
      <c r="N8" s="2" t="s">
        <v>6051</v>
      </c>
      <c r="O8" s="2" t="s">
        <v>6051</v>
      </c>
    </row>
    <row r="9" spans="1:15" x14ac:dyDescent="0.3">
      <c r="A9" s="2" t="s">
        <v>5808</v>
      </c>
      <c r="B9" s="95">
        <v>20255320073021</v>
      </c>
      <c r="C9" s="2" t="s">
        <v>6056</v>
      </c>
      <c r="D9" s="2"/>
      <c r="E9" s="2"/>
      <c r="F9" s="2"/>
      <c r="G9" s="2">
        <v>3002735</v>
      </c>
      <c r="H9" s="2" t="s">
        <v>6054</v>
      </c>
      <c r="I9" s="2" t="s">
        <v>6055</v>
      </c>
      <c r="J9" s="2"/>
      <c r="K9" s="2">
        <v>742.08</v>
      </c>
      <c r="L9" s="2">
        <v>2.91</v>
      </c>
      <c r="M9" s="2" t="s">
        <v>5817</v>
      </c>
      <c r="N9" s="2" t="s">
        <v>6051</v>
      </c>
      <c r="O9" s="2" t="s">
        <v>6051</v>
      </c>
    </row>
    <row r="10" spans="1:15" x14ac:dyDescent="0.3">
      <c r="A10" s="2" t="s">
        <v>5808</v>
      </c>
      <c r="B10" s="95">
        <v>20255320073021</v>
      </c>
      <c r="C10" s="2" t="s">
        <v>6056</v>
      </c>
      <c r="D10" s="2"/>
      <c r="E10" s="2"/>
      <c r="F10" s="2"/>
      <c r="G10" s="2">
        <v>3002752</v>
      </c>
      <c r="H10" s="2" t="s">
        <v>6054</v>
      </c>
      <c r="I10" s="2" t="s">
        <v>6055</v>
      </c>
      <c r="J10" s="2"/>
      <c r="K10" s="2">
        <v>116.36</v>
      </c>
      <c r="L10" s="2">
        <v>3.2</v>
      </c>
      <c r="M10" s="2" t="s">
        <v>5841</v>
      </c>
      <c r="N10" s="2" t="s">
        <v>6051</v>
      </c>
      <c r="O10" s="2" t="s">
        <v>6051</v>
      </c>
    </row>
    <row r="11" spans="1:15" x14ac:dyDescent="0.3">
      <c r="A11" s="2" t="s">
        <v>5808</v>
      </c>
      <c r="B11" s="95">
        <v>20255320073021</v>
      </c>
      <c r="C11" s="2" t="s">
        <v>6056</v>
      </c>
      <c r="D11" s="2"/>
      <c r="E11" s="2"/>
      <c r="F11" s="2"/>
      <c r="G11" s="2">
        <v>3002764</v>
      </c>
      <c r="H11" s="2" t="s">
        <v>6054</v>
      </c>
      <c r="I11" s="2" t="s">
        <v>6055</v>
      </c>
      <c r="J11" s="2"/>
      <c r="K11" s="2">
        <v>563.52</v>
      </c>
      <c r="L11" s="2">
        <v>2</v>
      </c>
      <c r="M11" s="2" t="s">
        <v>5841</v>
      </c>
      <c r="N11" s="2" t="s">
        <v>6051</v>
      </c>
      <c r="O11" s="2" t="s">
        <v>6051</v>
      </c>
    </row>
    <row r="12" spans="1:15" x14ac:dyDescent="0.3">
      <c r="A12" s="2" t="s">
        <v>5808</v>
      </c>
      <c r="B12" s="95">
        <v>20255320073021</v>
      </c>
      <c r="C12" s="2" t="s">
        <v>6056</v>
      </c>
      <c r="D12" s="2"/>
      <c r="E12" s="2"/>
      <c r="F12" s="2"/>
      <c r="G12" s="2">
        <v>3003037</v>
      </c>
      <c r="H12" s="2" t="s">
        <v>6054</v>
      </c>
      <c r="I12" s="2" t="s">
        <v>6055</v>
      </c>
      <c r="J12" s="2"/>
      <c r="K12" s="2">
        <v>334.08</v>
      </c>
      <c r="L12" s="2">
        <v>2.2799999999999998</v>
      </c>
      <c r="M12" s="2" t="s">
        <v>5841</v>
      </c>
      <c r="N12" s="2" t="s">
        <v>6051</v>
      </c>
      <c r="O12" s="2" t="s">
        <v>6051</v>
      </c>
    </row>
    <row r="13" spans="1:15" x14ac:dyDescent="0.3">
      <c r="A13" s="2" t="s">
        <v>5808</v>
      </c>
      <c r="B13" s="95">
        <v>20255320073021</v>
      </c>
      <c r="C13" s="2" t="s">
        <v>6056</v>
      </c>
      <c r="D13" s="2"/>
      <c r="E13" s="2"/>
      <c r="F13" s="2"/>
      <c r="G13" s="2">
        <v>3003038</v>
      </c>
      <c r="H13" s="2" t="s">
        <v>6054</v>
      </c>
      <c r="I13" s="2" t="s">
        <v>6055</v>
      </c>
      <c r="J13" s="2"/>
      <c r="K13" s="2">
        <v>229.82</v>
      </c>
      <c r="L13" s="2">
        <v>3.98</v>
      </c>
      <c r="M13" s="2" t="s">
        <v>5841</v>
      </c>
      <c r="N13" s="2" t="s">
        <v>6051</v>
      </c>
      <c r="O13" s="2" t="s">
        <v>6051</v>
      </c>
    </row>
    <row r="14" spans="1:15" x14ac:dyDescent="0.3">
      <c r="A14" s="2" t="s">
        <v>5808</v>
      </c>
      <c r="B14" s="95">
        <v>20255320073021</v>
      </c>
      <c r="C14" s="2" t="s">
        <v>6056</v>
      </c>
      <c r="D14" s="2"/>
      <c r="E14" s="2"/>
      <c r="F14" s="2"/>
      <c r="G14" s="2">
        <v>3003039</v>
      </c>
      <c r="H14" s="2" t="s">
        <v>6054</v>
      </c>
      <c r="I14" s="2" t="s">
        <v>6055</v>
      </c>
      <c r="J14" s="2"/>
      <c r="K14" s="2">
        <v>118.06</v>
      </c>
      <c r="L14" s="2">
        <v>3.99</v>
      </c>
      <c r="M14" s="2" t="s">
        <v>5841</v>
      </c>
      <c r="N14" s="2" t="s">
        <v>6051</v>
      </c>
      <c r="O14" s="2" t="s">
        <v>6051</v>
      </c>
    </row>
    <row r="15" spans="1:15" x14ac:dyDescent="0.3">
      <c r="A15" s="2" t="s">
        <v>5808</v>
      </c>
      <c r="B15" s="95">
        <v>20255320073021</v>
      </c>
      <c r="C15" s="2" t="s">
        <v>6056</v>
      </c>
      <c r="D15" s="2"/>
      <c r="E15" s="2"/>
      <c r="F15" s="2"/>
      <c r="G15" s="2">
        <v>3003041</v>
      </c>
      <c r="H15" s="2" t="s">
        <v>6054</v>
      </c>
      <c r="I15" s="2" t="s">
        <v>6055</v>
      </c>
      <c r="J15" s="2"/>
      <c r="K15" s="2">
        <v>1028.0999999999999</v>
      </c>
      <c r="L15" s="2">
        <v>4.4000000000000004</v>
      </c>
      <c r="M15" s="2" t="s">
        <v>5841</v>
      </c>
      <c r="N15" s="2" t="s">
        <v>6051</v>
      </c>
      <c r="O15" s="2" t="s">
        <v>6051</v>
      </c>
    </row>
    <row r="16" spans="1:15" x14ac:dyDescent="0.3">
      <c r="A16" s="2" t="s">
        <v>5808</v>
      </c>
      <c r="B16" s="95">
        <v>20255320073021</v>
      </c>
      <c r="C16" s="2" t="s">
        <v>6056</v>
      </c>
      <c r="D16" s="2"/>
      <c r="E16" s="2"/>
      <c r="F16" s="2"/>
      <c r="G16" s="2">
        <v>3003044</v>
      </c>
      <c r="H16" s="2" t="s">
        <v>6054</v>
      </c>
      <c r="I16" s="2" t="s">
        <v>6055</v>
      </c>
      <c r="J16" s="2"/>
      <c r="K16" s="2">
        <v>1407.79</v>
      </c>
      <c r="L16" s="2">
        <v>4.4000000000000004</v>
      </c>
      <c r="M16" s="2" t="s">
        <v>5841</v>
      </c>
      <c r="N16" s="2" t="s">
        <v>6051</v>
      </c>
      <c r="O16" s="2" t="s">
        <v>6051</v>
      </c>
    </row>
    <row r="17" spans="1:15" x14ac:dyDescent="0.3">
      <c r="A17" s="2" t="s">
        <v>5808</v>
      </c>
      <c r="B17" s="95">
        <v>20255320073021</v>
      </c>
      <c r="C17" s="2" t="s">
        <v>6056</v>
      </c>
      <c r="D17" s="2"/>
      <c r="E17" s="2"/>
      <c r="F17" s="2"/>
      <c r="G17" s="2">
        <v>3003045</v>
      </c>
      <c r="H17" s="2" t="s">
        <v>6054</v>
      </c>
      <c r="I17" s="2" t="s">
        <v>6055</v>
      </c>
      <c r="J17" s="2"/>
      <c r="K17" s="2">
        <v>533.64</v>
      </c>
      <c r="L17" s="2">
        <v>2</v>
      </c>
      <c r="M17" s="2" t="s">
        <v>5841</v>
      </c>
      <c r="N17" s="2" t="s">
        <v>6051</v>
      </c>
      <c r="O17" s="2" t="s">
        <v>6051</v>
      </c>
    </row>
    <row r="18" spans="1:15" x14ac:dyDescent="0.3">
      <c r="A18" s="2" t="s">
        <v>5808</v>
      </c>
      <c r="B18" s="95">
        <v>20255320005021</v>
      </c>
      <c r="C18" s="2" t="s">
        <v>6057</v>
      </c>
      <c r="D18" s="2"/>
      <c r="E18" s="2"/>
      <c r="F18" s="2"/>
      <c r="G18" s="2">
        <v>3002710</v>
      </c>
      <c r="H18" s="2" t="s">
        <v>6054</v>
      </c>
      <c r="I18" s="2" t="s">
        <v>6058</v>
      </c>
      <c r="J18" s="2"/>
      <c r="K18" s="2">
        <v>767.85</v>
      </c>
      <c r="L18" s="2">
        <v>6.01</v>
      </c>
      <c r="M18" s="2" t="s">
        <v>5817</v>
      </c>
      <c r="N18" s="2" t="s">
        <v>6051</v>
      </c>
      <c r="O18" s="2" t="s">
        <v>6051</v>
      </c>
    </row>
    <row r="19" spans="1:15" x14ac:dyDescent="0.3">
      <c r="A19" s="2" t="s">
        <v>5808</v>
      </c>
      <c r="B19" s="95">
        <v>20255320005021</v>
      </c>
      <c r="C19" s="2" t="s">
        <v>6057</v>
      </c>
      <c r="D19" s="2"/>
      <c r="E19" s="2"/>
      <c r="F19" s="2"/>
      <c r="G19" s="2">
        <v>3002736</v>
      </c>
      <c r="H19" s="2" t="s">
        <v>6054</v>
      </c>
      <c r="I19" s="2" t="s">
        <v>6058</v>
      </c>
      <c r="J19" s="2"/>
      <c r="K19" s="2">
        <v>638.88</v>
      </c>
      <c r="L19" s="2">
        <v>4.4000000000000004</v>
      </c>
      <c r="M19" s="2" t="s">
        <v>5841</v>
      </c>
      <c r="N19" s="2" t="s">
        <v>6051</v>
      </c>
      <c r="O19" s="2" t="s">
        <v>6051</v>
      </c>
    </row>
    <row r="20" spans="1:15" x14ac:dyDescent="0.3">
      <c r="A20" s="2" t="s">
        <v>5808</v>
      </c>
      <c r="B20" s="95">
        <v>20255310018612</v>
      </c>
      <c r="C20" s="2" t="s">
        <v>6059</v>
      </c>
      <c r="D20" s="2"/>
      <c r="E20" s="2"/>
      <c r="F20" s="2"/>
      <c r="G20" s="2">
        <v>3002703</v>
      </c>
      <c r="H20" s="2" t="s">
        <v>6054</v>
      </c>
      <c r="I20" s="2" t="s">
        <v>6058</v>
      </c>
      <c r="J20" s="2"/>
      <c r="K20" s="2">
        <v>1109.7</v>
      </c>
      <c r="L20" s="2">
        <v>3.04</v>
      </c>
      <c r="M20" s="2" t="s">
        <v>5817</v>
      </c>
      <c r="N20" s="2" t="s">
        <v>6051</v>
      </c>
      <c r="O20" s="2" t="s">
        <v>6051</v>
      </c>
    </row>
    <row r="21" spans="1:15" x14ac:dyDescent="0.3">
      <c r="A21" s="2" t="s">
        <v>5808</v>
      </c>
      <c r="B21" s="95">
        <v>20255310018612</v>
      </c>
      <c r="C21" s="2" t="s">
        <v>6059</v>
      </c>
      <c r="D21" s="2"/>
      <c r="E21" s="2"/>
      <c r="F21" s="2"/>
      <c r="G21" s="2">
        <v>3002712</v>
      </c>
      <c r="H21" s="2" t="s">
        <v>6054</v>
      </c>
      <c r="I21" s="2" t="s">
        <v>6058</v>
      </c>
      <c r="J21" s="2"/>
      <c r="K21" s="2">
        <v>918.74</v>
      </c>
      <c r="L21" s="2">
        <v>3.89</v>
      </c>
      <c r="M21" s="2" t="s">
        <v>5817</v>
      </c>
      <c r="N21" s="2" t="s">
        <v>6051</v>
      </c>
      <c r="O21" s="2" t="s">
        <v>6051</v>
      </c>
    </row>
    <row r="22" spans="1:15" x14ac:dyDescent="0.3">
      <c r="A22" s="2" t="s">
        <v>5808</v>
      </c>
      <c r="B22" s="95">
        <v>20255310018612</v>
      </c>
      <c r="C22" s="2" t="s">
        <v>6059</v>
      </c>
      <c r="D22" s="2"/>
      <c r="E22" s="2"/>
      <c r="F22" s="2"/>
      <c r="G22" s="2">
        <v>3002713</v>
      </c>
      <c r="H22" s="2" t="s">
        <v>6054</v>
      </c>
      <c r="I22" s="2" t="s">
        <v>6058</v>
      </c>
      <c r="J22" s="2"/>
      <c r="K22" s="2">
        <v>251.34</v>
      </c>
      <c r="L22" s="2">
        <v>2.62</v>
      </c>
      <c r="M22" s="2" t="s">
        <v>5841</v>
      </c>
      <c r="N22" s="2" t="s">
        <v>6051</v>
      </c>
      <c r="O22" s="2" t="s">
        <v>6051</v>
      </c>
    </row>
    <row r="23" spans="1:15" x14ac:dyDescent="0.3">
      <c r="A23" s="2" t="s">
        <v>5808</v>
      </c>
      <c r="B23" s="95">
        <v>20255310018612</v>
      </c>
      <c r="C23" s="2" t="s">
        <v>6059</v>
      </c>
      <c r="D23" s="2"/>
      <c r="E23" s="2"/>
      <c r="F23" s="2"/>
      <c r="G23" s="2">
        <v>3002716</v>
      </c>
      <c r="H23" s="2" t="s">
        <v>6054</v>
      </c>
      <c r="I23" s="2" t="s">
        <v>6058</v>
      </c>
      <c r="J23" s="2"/>
      <c r="K23" s="2">
        <v>1568.21</v>
      </c>
      <c r="L23" s="2">
        <v>2.66</v>
      </c>
      <c r="M23" s="2" t="s">
        <v>5841</v>
      </c>
      <c r="N23" s="2" t="s">
        <v>6051</v>
      </c>
      <c r="O23" s="2" t="s">
        <v>6051</v>
      </c>
    </row>
    <row r="24" spans="1:15" x14ac:dyDescent="0.3">
      <c r="A24" s="2" t="s">
        <v>5808</v>
      </c>
      <c r="B24" s="95">
        <v>20255310018612</v>
      </c>
      <c r="C24" s="2" t="s">
        <v>6059</v>
      </c>
      <c r="D24" s="2"/>
      <c r="E24" s="2"/>
      <c r="F24" s="2"/>
      <c r="G24" s="103">
        <v>3002717</v>
      </c>
      <c r="H24" s="2" t="s">
        <v>6054</v>
      </c>
      <c r="I24" s="2" t="s">
        <v>6058</v>
      </c>
      <c r="J24" s="2"/>
      <c r="K24" s="2">
        <v>861.38</v>
      </c>
      <c r="L24" s="2">
        <v>3.09</v>
      </c>
      <c r="M24" s="2" t="s">
        <v>5841</v>
      </c>
      <c r="N24" s="2" t="s">
        <v>6051</v>
      </c>
      <c r="O24" s="2" t="s">
        <v>6051</v>
      </c>
    </row>
    <row r="25" spans="1:15" x14ac:dyDescent="0.3">
      <c r="A25" s="2" t="s">
        <v>5808</v>
      </c>
      <c r="B25" s="95">
        <v>20255310018612</v>
      </c>
      <c r="C25" s="2" t="s">
        <v>6059</v>
      </c>
      <c r="D25" s="2"/>
      <c r="E25" s="2"/>
      <c r="F25" s="2"/>
      <c r="G25" s="2">
        <v>3002761</v>
      </c>
      <c r="H25" s="2" t="s">
        <v>6054</v>
      </c>
      <c r="I25" s="2" t="s">
        <v>6058</v>
      </c>
      <c r="J25" s="2"/>
      <c r="K25" s="2">
        <v>346</v>
      </c>
      <c r="L25" s="2">
        <v>3.2</v>
      </c>
      <c r="M25" s="2" t="s">
        <v>5841</v>
      </c>
      <c r="N25" s="2" t="s">
        <v>6051</v>
      </c>
      <c r="O25" s="2" t="s">
        <v>6051</v>
      </c>
    </row>
    <row r="26" spans="1:15" x14ac:dyDescent="0.3">
      <c r="A26" s="2" t="s">
        <v>5808</v>
      </c>
      <c r="B26" s="95">
        <v>20255310018612</v>
      </c>
      <c r="C26" s="2" t="s">
        <v>6059</v>
      </c>
      <c r="D26" s="2"/>
      <c r="E26" s="2"/>
      <c r="F26" s="2"/>
      <c r="G26" s="2">
        <v>3002780</v>
      </c>
      <c r="H26" s="2" t="s">
        <v>6054</v>
      </c>
      <c r="I26" s="2" t="s">
        <v>6058</v>
      </c>
      <c r="J26" s="2"/>
      <c r="K26" s="2">
        <v>210.26</v>
      </c>
      <c r="L26" s="2">
        <v>2.61</v>
      </c>
      <c r="M26" s="2" t="s">
        <v>5841</v>
      </c>
      <c r="N26" s="2" t="s">
        <v>6051</v>
      </c>
      <c r="O26" s="2" t="s">
        <v>6051</v>
      </c>
    </row>
    <row r="27" spans="1:15" x14ac:dyDescent="0.3">
      <c r="A27" s="2" t="s">
        <v>5808</v>
      </c>
      <c r="B27" s="95">
        <v>20255310018612</v>
      </c>
      <c r="C27" s="2" t="s">
        <v>6059</v>
      </c>
      <c r="D27" s="2"/>
      <c r="E27" s="2"/>
      <c r="F27" s="2"/>
      <c r="G27" s="2">
        <v>3002786</v>
      </c>
      <c r="H27" s="2" t="s">
        <v>6054</v>
      </c>
      <c r="I27" s="2" t="s">
        <v>6058</v>
      </c>
      <c r="J27" s="2"/>
      <c r="K27" s="2">
        <v>278.2</v>
      </c>
      <c r="L27" s="2">
        <v>4.05</v>
      </c>
      <c r="M27" s="2" t="s">
        <v>5841</v>
      </c>
      <c r="N27" s="2" t="s">
        <v>6051</v>
      </c>
      <c r="O27" s="2" t="s">
        <v>6051</v>
      </c>
    </row>
    <row r="28" spans="1:15" x14ac:dyDescent="0.3">
      <c r="B28" s="104"/>
    </row>
    <row r="32" spans="1:15" x14ac:dyDescent="0.3">
      <c r="G32">
        <v>0</v>
      </c>
      <c r="H32" t="s">
        <v>6047</v>
      </c>
    </row>
    <row r="33" spans="7:8" x14ac:dyDescent="0.3">
      <c r="G33">
        <v>1</v>
      </c>
      <c r="H33" t="s">
        <v>6048</v>
      </c>
    </row>
    <row r="34" spans="7:8" x14ac:dyDescent="0.3">
      <c r="G34">
        <v>2</v>
      </c>
      <c r="H34" t="s">
        <v>6049</v>
      </c>
    </row>
    <row r="35" spans="7:8" x14ac:dyDescent="0.3">
      <c r="G35">
        <v>3</v>
      </c>
      <c r="H35" t="s">
        <v>6050</v>
      </c>
    </row>
    <row r="36" spans="7:8" x14ac:dyDescent="0.3">
      <c r="G36">
        <v>4</v>
      </c>
      <c r="H36" t="s">
        <v>6051</v>
      </c>
    </row>
  </sheetData>
  <autoFilter ref="A2:O25" xr:uid="{3BC105ED-E37F-4E8B-A33E-AF7BD8F5AE97}">
    <sortState xmlns:xlrd2="http://schemas.microsoft.com/office/spreadsheetml/2017/richdata2" ref="A3:O27">
      <sortCondition ref="C2:C25"/>
    </sortState>
  </autoFilter>
  <mergeCells count="1">
    <mergeCell ref="A1:O1"/>
  </mergeCells>
  <conditionalFormatting sqref="G3:G28">
    <cfRule type="duplicateValues" dxfId="1" priority="8"/>
  </conditionalFormatting>
  <pageMargins left="0.7" right="0.7" top="0.75" bottom="0.75" header="0.3" footer="0.3"/>
  <pageSetup scale="3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CC79B-C2E6-478B-AAE3-95B3C86A2261}">
  <sheetPr>
    <tabColor rgb="FFFF0000"/>
  </sheetPr>
  <dimension ref="A1:AD195"/>
  <sheetViews>
    <sheetView showGridLines="0" view="pageBreakPreview" topLeftCell="L164" zoomScale="55" zoomScaleNormal="100" zoomScaleSheetLayoutView="55" zoomScalePageLayoutView="55" workbookViewId="0">
      <selection activeCell="G40" sqref="G40"/>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2.6640625" style="4" bestFit="1" customWidth="1"/>
    <col min="13" max="13" width="31.6640625" style="4" customWidth="1"/>
    <col min="14" max="17" width="25.6640625" style="4" customWidth="1"/>
    <col min="18" max="18" width="28.6640625" style="4" bestFit="1" customWidth="1"/>
    <col min="19" max="30" width="25.6640625" style="4" customWidth="1"/>
    <col min="31" max="16384" width="11.44140625" style="4"/>
  </cols>
  <sheetData>
    <row r="1" spans="1:30" ht="16.2" thickBot="1" x14ac:dyDescent="0.35">
      <c r="A1" s="3"/>
      <c r="B1" s="3"/>
      <c r="C1" s="3"/>
      <c r="D1" s="3"/>
      <c r="E1" s="3"/>
      <c r="F1" s="3"/>
      <c r="G1" s="3"/>
      <c r="H1" s="3"/>
      <c r="I1" s="3"/>
      <c r="J1" s="3"/>
      <c r="K1" s="3"/>
      <c r="L1" s="3"/>
      <c r="M1" s="3" t="s">
        <v>6060</v>
      </c>
      <c r="N1" s="3"/>
      <c r="O1" s="3"/>
      <c r="P1" s="3"/>
      <c r="Q1" s="3"/>
      <c r="R1" s="3" t="s">
        <v>6061</v>
      </c>
      <c r="S1" s="3"/>
      <c r="T1" s="3"/>
      <c r="U1" s="3"/>
      <c r="V1" s="3"/>
      <c r="W1" s="3"/>
      <c r="X1" s="3"/>
      <c r="Y1" s="3"/>
      <c r="Z1" s="3"/>
      <c r="AA1" s="3"/>
      <c r="AB1" s="3"/>
      <c r="AC1" s="3"/>
      <c r="AD1" s="3"/>
    </row>
    <row r="2" spans="1:30"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c r="Y2" s="3"/>
      <c r="Z2" s="3"/>
      <c r="AA2" s="3"/>
      <c r="AB2" s="3"/>
      <c r="AC2" s="3"/>
      <c r="AD2" s="3"/>
    </row>
    <row r="3" spans="1:30"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c r="Y3" s="3"/>
      <c r="Z3" s="3"/>
      <c r="AA3" s="3"/>
      <c r="AB3" s="3"/>
      <c r="AC3" s="3"/>
      <c r="AD3" s="3"/>
    </row>
    <row r="4" spans="1:30" ht="15.6" x14ac:dyDescent="0.3">
      <c r="A4" s="3"/>
      <c r="B4" s="8"/>
      <c r="C4" s="10" t="s">
        <v>1</v>
      </c>
      <c r="D4" s="11" t="s">
        <v>2</v>
      </c>
      <c r="E4" s="3"/>
      <c r="F4" s="3"/>
      <c r="G4" s="3"/>
      <c r="H4" s="3"/>
      <c r="I4" s="3"/>
      <c r="J4" s="3"/>
      <c r="K4" s="9"/>
      <c r="L4" s="3"/>
      <c r="M4" s="3" t="s">
        <v>6067</v>
      </c>
      <c r="N4" s="3"/>
      <c r="O4" s="3"/>
      <c r="P4" s="3"/>
      <c r="Q4" s="3"/>
      <c r="R4" s="3"/>
      <c r="S4" s="3"/>
      <c r="T4" s="3"/>
      <c r="U4" s="3"/>
      <c r="V4" s="3"/>
      <c r="W4" s="3"/>
      <c r="X4" s="3"/>
      <c r="Y4" s="3"/>
      <c r="Z4" s="3"/>
      <c r="AA4" s="3"/>
      <c r="AB4" s="3"/>
      <c r="AC4" s="3"/>
      <c r="AD4" s="3"/>
    </row>
    <row r="5" spans="1:30"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c r="Y5" s="3"/>
      <c r="Z5" s="3"/>
      <c r="AA5" s="3"/>
      <c r="AB5" s="3"/>
      <c r="AC5" s="3"/>
      <c r="AD5" s="3"/>
    </row>
    <row r="6" spans="1:30"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c r="Y6" s="3"/>
      <c r="Z6" s="3"/>
      <c r="AA6" s="3"/>
      <c r="AB6" s="3"/>
      <c r="AC6" s="3"/>
      <c r="AD6" s="3"/>
    </row>
    <row r="7" spans="1:30" s="15" customFormat="1" ht="16.5" customHeight="1" x14ac:dyDescent="0.3">
      <c r="A7" s="12"/>
      <c r="B7" s="13"/>
      <c r="C7" s="588" t="s">
        <v>5</v>
      </c>
      <c r="D7" s="589"/>
      <c r="E7" s="589"/>
      <c r="F7" s="590"/>
      <c r="G7" s="590"/>
      <c r="H7" s="590"/>
      <c r="I7" s="591"/>
      <c r="J7" s="592"/>
      <c r="K7" s="14"/>
      <c r="L7" s="12"/>
      <c r="M7" s="92"/>
      <c r="O7" s="92" t="e">
        <f>+P181</f>
        <v>#N/A</v>
      </c>
      <c r="Q7" s="92"/>
      <c r="R7" s="12"/>
      <c r="S7" s="92" t="e">
        <f>+T181</f>
        <v>#N/A</v>
      </c>
      <c r="T7" s="12"/>
      <c r="U7" s="92" t="e">
        <f>+V181</f>
        <v>#N/A</v>
      </c>
      <c r="V7" s="12"/>
      <c r="W7" s="92" t="e">
        <f>+X181</f>
        <v>#N/A</v>
      </c>
      <c r="X7" s="12"/>
      <c r="Y7" s="92"/>
      <c r="Z7" s="12"/>
      <c r="AA7" s="92" t="e">
        <f>+AB181</f>
        <v>#N/A</v>
      </c>
      <c r="AB7" s="12"/>
      <c r="AC7" s="92"/>
      <c r="AD7" s="12"/>
    </row>
    <row r="8" spans="1:30" ht="15.6" x14ac:dyDescent="0.3">
      <c r="A8" s="3"/>
      <c r="B8" s="16"/>
      <c r="C8" s="596" t="s">
        <v>6</v>
      </c>
      <c r="D8" s="597"/>
      <c r="E8" s="597"/>
      <c r="F8" s="593"/>
      <c r="G8" s="593"/>
      <c r="H8" s="593"/>
      <c r="I8" s="594"/>
      <c r="J8" s="595"/>
      <c r="K8" s="9"/>
      <c r="L8" s="80" t="s">
        <v>5794</v>
      </c>
      <c r="M8" s="74"/>
      <c r="N8" s="3"/>
      <c r="O8" s="1">
        <v>3001465</v>
      </c>
      <c r="P8" s="3"/>
      <c r="Q8" s="74"/>
      <c r="R8" s="3"/>
      <c r="S8" s="1">
        <v>3001875</v>
      </c>
      <c r="T8" s="3"/>
      <c r="U8" s="1">
        <v>3001882</v>
      </c>
      <c r="V8" s="3"/>
      <c r="W8" s="1">
        <v>3002470</v>
      </c>
      <c r="X8" s="3"/>
      <c r="Y8" s="1"/>
      <c r="Z8" s="3"/>
      <c r="AA8" s="1">
        <v>3002896</v>
      </c>
      <c r="AB8" s="3"/>
      <c r="AC8" s="74"/>
      <c r="AD8" s="3"/>
    </row>
    <row r="9" spans="1:30" ht="15.6" x14ac:dyDescent="0.3">
      <c r="A9" s="3"/>
      <c r="B9" s="16"/>
      <c r="C9" s="596" t="s">
        <v>6070</v>
      </c>
      <c r="D9" s="597"/>
      <c r="E9" s="597"/>
      <c r="F9" s="593"/>
      <c r="G9" s="593"/>
      <c r="H9" s="593"/>
      <c r="I9" s="594"/>
      <c r="J9" s="595"/>
      <c r="K9" s="9"/>
      <c r="L9" s="80" t="s">
        <v>6071</v>
      </c>
      <c r="M9" s="74"/>
      <c r="O9" s="74" t="str">
        <f>++VLOOKUP(O8,'LISTADO CIV RIGIDOS'!$D$2:$K$59,7)</f>
        <v>RIGIDO</v>
      </c>
      <c r="Q9" s="74"/>
      <c r="S9" s="74" t="str">
        <f>++VLOOKUP(S8,'LISTADO CIV RIGIDOS'!$D$2:$K$59,7)</f>
        <v>RIGIDO</v>
      </c>
      <c r="U9" s="74" t="str">
        <f>++VLOOKUP(U8,'LISTADO CIV RIGIDOS'!$D$2:$K$59,7)</f>
        <v>RIGIDO</v>
      </c>
      <c r="W9" s="74" t="str">
        <f>++VLOOKUP(W8,'LISTADO CIV RIGIDOS'!$D$2:$K$59,7)</f>
        <v>RIGIDO</v>
      </c>
      <c r="Y9" s="74"/>
      <c r="AA9" s="74" t="str">
        <f>++VLOOKUP(AA8,'LISTADO CIV RIGIDOS'!$D$2:$K$59,7)</f>
        <v>RIGIDO</v>
      </c>
      <c r="AC9" s="74"/>
    </row>
    <row r="10" spans="1:30" ht="15.6" x14ac:dyDescent="0.3">
      <c r="A10" s="3"/>
      <c r="B10" s="16"/>
      <c r="C10" s="599" t="s">
        <v>8</v>
      </c>
      <c r="D10" s="593"/>
      <c r="E10" s="593"/>
      <c r="F10" s="593"/>
      <c r="G10" s="593"/>
      <c r="H10" s="593"/>
      <c r="I10" s="594"/>
      <c r="J10" s="595"/>
      <c r="K10" s="9"/>
      <c r="L10" s="80" t="s">
        <v>6072</v>
      </c>
      <c r="M10" s="74"/>
      <c r="O10" s="74" t="str">
        <f>++VLOOKUP(O8,'LISTADO CIV RIGIDOS'!$D$2:$K$59,8)</f>
        <v>RECONSTRUCCION</v>
      </c>
      <c r="Q10" s="74"/>
      <c r="S10" s="74" t="str">
        <f>++VLOOKUP(S8,'LISTADO CIV RIGIDOS'!$D$2:$K$59,8)</f>
        <v>RECONSTRUCCION</v>
      </c>
      <c r="U10" s="74" t="str">
        <f>++VLOOKUP(U8,'LISTADO CIV RIGIDOS'!$D$2:$K$59,8)</f>
        <v>RECONSTRUCCION</v>
      </c>
      <c r="W10" s="74" t="str">
        <f>++VLOOKUP(W8,'LISTADO CIV RIGIDOS'!$D$2:$K$59,8)</f>
        <v>RECONSTRUCCION</v>
      </c>
      <c r="Y10" s="74"/>
      <c r="AA10" s="74" t="str">
        <f>++VLOOKUP(AA8,'LISTADO CIV RIGIDOS'!$D$2:$K$59,8)</f>
        <v>RECONSTRUCCION</v>
      </c>
      <c r="AC10" s="74"/>
    </row>
    <row r="11" spans="1:30" ht="15.6" x14ac:dyDescent="0.3">
      <c r="A11" s="3"/>
      <c r="B11" s="16"/>
      <c r="C11" s="599"/>
      <c r="D11" s="593"/>
      <c r="E11" s="593"/>
      <c r="F11" s="593"/>
      <c r="G11" s="593"/>
      <c r="H11" s="593"/>
      <c r="I11" s="594"/>
      <c r="J11" s="595"/>
      <c r="K11" s="9"/>
      <c r="L11" s="80" t="s">
        <v>6073</v>
      </c>
      <c r="M11" s="74"/>
      <c r="O11" s="74">
        <f>++VLOOKUP(O8,'LISTADO CIV RIGIDOS'!$D$2:$K$59,5)</f>
        <v>36.64</v>
      </c>
      <c r="Q11" s="74"/>
      <c r="S11" s="74">
        <f>++VLOOKUP(S8,'LISTADO CIV RIGIDOS'!$D$2:$K$59,5)</f>
        <v>34</v>
      </c>
      <c r="U11" s="74">
        <f>++VLOOKUP(U8,'LISTADO CIV RIGIDOS'!$D$2:$K$59,5)</f>
        <v>85.99</v>
      </c>
      <c r="W11" s="74">
        <f>++VLOOKUP(W8,'LISTADO CIV RIGIDOS'!$D$2:$K$59,5)</f>
        <v>49.16</v>
      </c>
      <c r="Y11" s="74"/>
      <c r="AA11" s="74">
        <f>++VLOOKUP(AA8,'LISTADO CIV RIGIDOS'!$D$2:$K$59,5)</f>
        <v>57.96</v>
      </c>
      <c r="AC11" s="74"/>
    </row>
    <row r="12" spans="1:30" ht="16.2" thickBot="1" x14ac:dyDescent="0.35">
      <c r="A12" s="3"/>
      <c r="B12" s="16"/>
      <c r="C12" s="600"/>
      <c r="D12" s="601"/>
      <c r="E12" s="601"/>
      <c r="F12" s="601"/>
      <c r="G12" s="601"/>
      <c r="H12" s="601"/>
      <c r="I12" s="602"/>
      <c r="J12" s="603"/>
      <c r="K12" s="9"/>
      <c r="L12" s="80" t="s">
        <v>6074</v>
      </c>
      <c r="M12" s="74"/>
      <c r="O12" s="74">
        <f>++VLOOKUP(O8,'LISTADO CIV RIGIDOS'!$D$2:$K$59,6)</f>
        <v>6.09</v>
      </c>
      <c r="Q12" s="74"/>
      <c r="S12" s="74">
        <f>++VLOOKUP(S8,'LISTADO CIV RIGIDOS'!$D$2:$K$59,6)</f>
        <v>7.37</v>
      </c>
      <c r="U12" s="74">
        <f>++VLOOKUP(U8,'LISTADO CIV RIGIDOS'!$D$2:$K$59,6)</f>
        <v>6.98</v>
      </c>
      <c r="W12" s="74">
        <f>++VLOOKUP(W8,'LISTADO CIV RIGIDOS'!$D$2:$K$59,6)</f>
        <v>7.21</v>
      </c>
      <c r="Y12" s="74"/>
      <c r="AA12" s="74">
        <f>++VLOOKUP(AA8,'LISTADO CIV RIGIDOS'!$D$2:$K$59,6)</f>
        <v>10.06</v>
      </c>
      <c r="AC12" s="74"/>
    </row>
    <row r="13" spans="1:30" ht="30" customHeight="1" thickBot="1" x14ac:dyDescent="0.35">
      <c r="A13" s="3"/>
      <c r="B13" s="8"/>
      <c r="C13" s="604"/>
      <c r="D13" s="605"/>
      <c r="E13" s="605"/>
      <c r="F13" s="605"/>
      <c r="G13" s="605"/>
      <c r="H13" s="605"/>
      <c r="I13" s="605"/>
      <c r="J13" s="606"/>
      <c r="K13" s="9"/>
      <c r="L13" s="80" t="s">
        <v>6075</v>
      </c>
      <c r="M13" s="75"/>
      <c r="O13" s="75">
        <f t="shared" ref="O13" si="0">+ROUND(O11*O12,2)</f>
        <v>223.14</v>
      </c>
      <c r="Q13" s="75"/>
      <c r="S13" s="75">
        <f t="shared" ref="S13" si="1">+ROUND(S11*S12,2)</f>
        <v>250.58</v>
      </c>
      <c r="U13" s="75">
        <f t="shared" ref="U13" si="2">+ROUND(U11*U12,2)</f>
        <v>600.21</v>
      </c>
      <c r="W13" s="75">
        <f t="shared" ref="W13" si="3">+ROUND(W11*W12,2)</f>
        <v>354.44</v>
      </c>
      <c r="Y13" s="75"/>
      <c r="AA13" s="75">
        <f t="shared" ref="AA13" si="4">+ROUND(AA11*AA12,2)</f>
        <v>583.08000000000004</v>
      </c>
      <c r="AC13" s="75"/>
    </row>
    <row r="14" spans="1:30" ht="16.5" customHeight="1" x14ac:dyDescent="0.3">
      <c r="A14" s="3"/>
      <c r="B14" s="8"/>
      <c r="C14" s="607" t="s">
        <v>10</v>
      </c>
      <c r="D14" s="609" t="s">
        <v>11</v>
      </c>
      <c r="E14" s="607" t="s">
        <v>12</v>
      </c>
      <c r="F14" s="611" t="s">
        <v>13</v>
      </c>
      <c r="G14" s="611" t="s">
        <v>14</v>
      </c>
      <c r="H14" s="598" t="s">
        <v>15</v>
      </c>
      <c r="I14" s="598" t="s">
        <v>27</v>
      </c>
      <c r="J14" s="925" t="s">
        <v>16</v>
      </c>
      <c r="K14" s="9"/>
      <c r="L14" s="3"/>
      <c r="M14" s="547"/>
      <c r="N14" s="548"/>
      <c r="O14" s="547" t="s">
        <v>14</v>
      </c>
      <c r="P14" s="548" t="s">
        <v>16</v>
      </c>
      <c r="Q14" s="547"/>
      <c r="R14" s="548"/>
      <c r="S14" s="547" t="s">
        <v>14</v>
      </c>
      <c r="T14" s="548" t="s">
        <v>16</v>
      </c>
      <c r="U14" s="547" t="s">
        <v>14</v>
      </c>
      <c r="V14" s="548" t="s">
        <v>16</v>
      </c>
      <c r="W14" s="547" t="s">
        <v>14</v>
      </c>
      <c r="X14" s="548" t="s">
        <v>16</v>
      </c>
      <c r="Y14" s="547"/>
      <c r="Z14" s="548"/>
      <c r="AA14" s="547" t="s">
        <v>14</v>
      </c>
      <c r="AB14" s="548" t="s">
        <v>16</v>
      </c>
      <c r="AC14" s="544"/>
      <c r="AD14" s="542"/>
    </row>
    <row r="15" spans="1:30"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c r="Y15" s="547"/>
      <c r="Z15" s="548"/>
      <c r="AA15" s="547"/>
      <c r="AB15" s="548"/>
      <c r="AC15" s="545"/>
      <c r="AD15" s="543"/>
    </row>
    <row r="16" spans="1:30"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c r="Y16" s="76"/>
      <c r="Z16" s="76"/>
      <c r="AA16" s="76"/>
      <c r="AB16" s="76"/>
      <c r="AC16" s="76"/>
      <c r="AD16" s="76"/>
    </row>
    <row r="17" spans="1:30" ht="30" customHeight="1" x14ac:dyDescent="0.3">
      <c r="A17" s="3"/>
      <c r="B17" s="8"/>
      <c r="C17" s="60">
        <v>3007</v>
      </c>
      <c r="D17" s="60">
        <v>1001</v>
      </c>
      <c r="E17" s="60" t="str">
        <f>+VLOOKUP(C17,'PRECIOS IDU 2025'!$A$1:$E$3189,2,FALSE)</f>
        <v>REPLANTEO GENERAL</v>
      </c>
      <c r="F17" s="60" t="str">
        <f>+VLOOKUP(C17,'PRECIOS IDU 2025'!$A$1:$E$3189,3,FALSE)</f>
        <v>M2</v>
      </c>
      <c r="G17" s="108">
        <f t="shared" ref="G17:G38" si="5">+ROUND(M17+O17+Q17+S17+U17+W17+Y17+AA17+AC17,2)</f>
        <v>0</v>
      </c>
      <c r="H17" s="69">
        <f>+VLOOKUP(C17,'PRECIOS IDU 2025'!$A$1:$E$3189,4,FALSE)</f>
        <v>909</v>
      </c>
      <c r="I17" s="69">
        <f t="shared" ref="I17:I38" si="6">+ROUND(H17*(1+$J$192),0)</f>
        <v>1182</v>
      </c>
      <c r="J17" s="69">
        <f>+ROUND(I17*G17,0)</f>
        <v>0</v>
      </c>
      <c r="K17" s="9"/>
      <c r="L17" s="3"/>
      <c r="M17" s="76"/>
      <c r="N17" s="78"/>
      <c r="O17" s="76"/>
      <c r="P17" s="78">
        <f>+ROUND(O17*$I17,0)</f>
        <v>0</v>
      </c>
      <c r="Q17" s="76"/>
      <c r="R17" s="78"/>
      <c r="S17" s="76"/>
      <c r="T17" s="78">
        <f>+ROUND(S17*$I17,0)</f>
        <v>0</v>
      </c>
      <c r="U17" s="76"/>
      <c r="V17" s="78">
        <f>+ROUND(U17*$I17,0)</f>
        <v>0</v>
      </c>
      <c r="W17" s="76"/>
      <c r="X17" s="78">
        <f>+ROUND(W17*$I17,0)</f>
        <v>0</v>
      </c>
      <c r="Y17" s="76"/>
      <c r="Z17" s="78"/>
      <c r="AA17" s="76"/>
      <c r="AB17" s="78">
        <f>+ROUND(AA17*$I17,0)</f>
        <v>0</v>
      </c>
      <c r="AC17" s="76"/>
      <c r="AD17" s="78"/>
    </row>
    <row r="18" spans="1:30"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si="5"/>
        <v>0</v>
      </c>
      <c r="H18" s="69">
        <f>+VLOOKUP(C18,'PRECIOS IDU 2025'!$A$1:$E$3189,4,FALSE)</f>
        <v>2659</v>
      </c>
      <c r="I18" s="69">
        <f t="shared" si="6"/>
        <v>3457</v>
      </c>
      <c r="J18" s="69">
        <f>+ROUND(I18*G18,0)</f>
        <v>0</v>
      </c>
      <c r="K18" s="9"/>
      <c r="L18" s="3"/>
      <c r="M18" s="76"/>
      <c r="N18" s="78"/>
      <c r="O18" s="76"/>
      <c r="P18" s="78">
        <f t="shared" ref="P18" si="7">+ROUND(O18*$I18,0)</f>
        <v>0</v>
      </c>
      <c r="Q18" s="76"/>
      <c r="R18" s="78"/>
      <c r="S18" s="76"/>
      <c r="T18" s="78">
        <f t="shared" ref="T18" si="8">+ROUND(S18*$I18,0)</f>
        <v>0</v>
      </c>
      <c r="U18" s="76"/>
      <c r="V18" s="78">
        <f t="shared" ref="V18" si="9">+ROUND(U18*$I18,0)</f>
        <v>0</v>
      </c>
      <c r="W18" s="76"/>
      <c r="X18" s="78">
        <f t="shared" ref="X18" si="10">+ROUND(W18*$I18,0)</f>
        <v>0</v>
      </c>
      <c r="Y18" s="76"/>
      <c r="Z18" s="78"/>
      <c r="AA18" s="76"/>
      <c r="AB18" s="78">
        <f t="shared" ref="AB18" si="11">+ROUND(AA18*$I18,0)</f>
        <v>0</v>
      </c>
      <c r="AC18" s="76"/>
      <c r="AD18" s="78"/>
    </row>
    <row r="19" spans="1:30"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5"/>
        <v>0</v>
      </c>
      <c r="H19" s="69">
        <f>+VLOOKUP(C19,'PRECIOS IDU 2025'!$A$1:$E$3189,4,FALSE)</f>
        <v>38781</v>
      </c>
      <c r="I19" s="69">
        <f t="shared" si="6"/>
        <v>50415</v>
      </c>
      <c r="J19" s="69">
        <f t="shared" ref="J19:J38" si="12">+ROUND(I19*G19,0)</f>
        <v>0</v>
      </c>
      <c r="K19" s="9"/>
      <c r="L19" s="3"/>
      <c r="M19" s="76"/>
      <c r="N19" s="78"/>
      <c r="O19" s="76"/>
      <c r="P19" s="78">
        <f t="shared" ref="P19" si="13">+ROUND(O19*$I19,0)</f>
        <v>0</v>
      </c>
      <c r="Q19" s="76"/>
      <c r="R19" s="78"/>
      <c r="S19" s="76"/>
      <c r="T19" s="78">
        <f t="shared" ref="T19" si="14">+ROUND(S19*$I19,0)</f>
        <v>0</v>
      </c>
      <c r="U19" s="76"/>
      <c r="V19" s="78">
        <f t="shared" ref="V19" si="15">+ROUND(U19*$I19,0)</f>
        <v>0</v>
      </c>
      <c r="W19" s="76"/>
      <c r="X19" s="78">
        <f t="shared" ref="X19" si="16">+ROUND(W19*$I19,0)</f>
        <v>0</v>
      </c>
      <c r="Y19" s="76"/>
      <c r="Z19" s="78"/>
      <c r="AA19" s="76"/>
      <c r="AB19" s="78">
        <f t="shared" ref="AB19" si="17">+ROUND(AA19*$I19,0)</f>
        <v>0</v>
      </c>
      <c r="AC19" s="76"/>
      <c r="AD19" s="78"/>
    </row>
    <row r="20" spans="1:30"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5"/>
        <v>0</v>
      </c>
      <c r="H20" s="69">
        <f>+VLOOKUP(C20,'PRECIOS IDU 2025'!$A$1:$E$3189,4,FALSE)</f>
        <v>5741</v>
      </c>
      <c r="I20" s="69">
        <f t="shared" si="6"/>
        <v>7463</v>
      </c>
      <c r="J20" s="69">
        <f t="shared" si="12"/>
        <v>0</v>
      </c>
      <c r="K20" s="9"/>
      <c r="L20" s="3"/>
      <c r="M20" s="76"/>
      <c r="N20" s="78"/>
      <c r="O20" s="76"/>
      <c r="P20" s="78">
        <f t="shared" ref="P20" si="18">+ROUND(O20*$I20,0)</f>
        <v>0</v>
      </c>
      <c r="Q20" s="76"/>
      <c r="R20" s="78"/>
      <c r="S20" s="76"/>
      <c r="T20" s="78">
        <f t="shared" ref="T20" si="19">+ROUND(S20*$I20,0)</f>
        <v>0</v>
      </c>
      <c r="U20" s="76"/>
      <c r="V20" s="78">
        <f t="shared" ref="V20" si="20">+ROUND(U20*$I20,0)</f>
        <v>0</v>
      </c>
      <c r="W20" s="76"/>
      <c r="X20" s="78">
        <f t="shared" ref="X20" si="21">+ROUND(W20*$I20,0)</f>
        <v>0</v>
      </c>
      <c r="Y20" s="76"/>
      <c r="Z20" s="78"/>
      <c r="AA20" s="76"/>
      <c r="AB20" s="78">
        <f t="shared" ref="AB20" si="22">+ROUND(AA20*$I20,0)</f>
        <v>0</v>
      </c>
      <c r="AC20" s="76"/>
      <c r="AD20" s="78"/>
    </row>
    <row r="21" spans="1:30"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5"/>
        <v>0</v>
      </c>
      <c r="H21" s="69">
        <f>+VLOOKUP(C21,'PRECIOS IDU 2025'!$A$1:$E$3189,4,FALSE)</f>
        <v>46379</v>
      </c>
      <c r="I21" s="69">
        <f t="shared" si="6"/>
        <v>60293</v>
      </c>
      <c r="J21" s="69">
        <f t="shared" ref="J21" si="23">+ROUND(I21*G21,0)</f>
        <v>0</v>
      </c>
      <c r="K21" s="9"/>
      <c r="L21" s="3"/>
      <c r="M21" s="76"/>
      <c r="N21" s="78"/>
      <c r="O21" s="76"/>
      <c r="P21" s="78">
        <f t="shared" ref="P21" si="24">+ROUND(O21*$I21,0)</f>
        <v>0</v>
      </c>
      <c r="Q21" s="76"/>
      <c r="R21" s="78"/>
      <c r="S21" s="76"/>
      <c r="T21" s="78">
        <f t="shared" ref="T21" si="25">+ROUND(S21*$I21,0)</f>
        <v>0</v>
      </c>
      <c r="U21" s="76"/>
      <c r="V21" s="78">
        <f t="shared" ref="V21" si="26">+ROUND(U21*$I21,0)</f>
        <v>0</v>
      </c>
      <c r="W21" s="76"/>
      <c r="X21" s="78">
        <f t="shared" ref="X21" si="27">+ROUND(W21*$I21,0)</f>
        <v>0</v>
      </c>
      <c r="Y21" s="76"/>
      <c r="Z21" s="78"/>
      <c r="AA21" s="76"/>
      <c r="AB21" s="78">
        <f t="shared" ref="AB21" si="28">+ROUND(AA21*$I21,0)</f>
        <v>0</v>
      </c>
      <c r="AC21" s="76"/>
      <c r="AD21" s="78"/>
    </row>
    <row r="22" spans="1:30"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5"/>
        <v>0</v>
      </c>
      <c r="H22" s="69">
        <f>+VLOOKUP(C22,'PRECIOS IDU 2025'!$A$1:$E$3189,4,FALSE)</f>
        <v>45600</v>
      </c>
      <c r="I22" s="69">
        <f t="shared" si="6"/>
        <v>59280</v>
      </c>
      <c r="J22" s="69">
        <f t="shared" si="12"/>
        <v>0</v>
      </c>
      <c r="K22" s="9"/>
      <c r="L22" s="3"/>
      <c r="M22" s="76"/>
      <c r="N22" s="78"/>
      <c r="O22" s="76"/>
      <c r="P22" s="78">
        <f t="shared" ref="P22" si="29">+ROUND(O22*$I22,0)</f>
        <v>0</v>
      </c>
      <c r="Q22" s="76"/>
      <c r="R22" s="78"/>
      <c r="S22" s="76"/>
      <c r="T22" s="78">
        <f t="shared" ref="T22" si="30">+ROUND(S22*$I22,0)</f>
        <v>0</v>
      </c>
      <c r="U22" s="76"/>
      <c r="V22" s="78">
        <f t="shared" ref="V22" si="31">+ROUND(U22*$I22,0)</f>
        <v>0</v>
      </c>
      <c r="W22" s="76"/>
      <c r="X22" s="78">
        <f t="shared" ref="X22" si="32">+ROUND(W22*$I22,0)</f>
        <v>0</v>
      </c>
      <c r="Y22" s="76"/>
      <c r="Z22" s="78"/>
      <c r="AA22" s="76"/>
      <c r="AB22" s="78">
        <f t="shared" ref="AB22" si="33">+ROUND(AA22*$I22,0)</f>
        <v>0</v>
      </c>
      <c r="AC22" s="76"/>
      <c r="AD22" s="78"/>
    </row>
    <row r="23" spans="1:30" ht="15.6" x14ac:dyDescent="0.3">
      <c r="A23" s="3"/>
      <c r="B23" s="8"/>
      <c r="C23" s="60">
        <v>3800</v>
      </c>
      <c r="D23" s="60">
        <v>1007</v>
      </c>
      <c r="E23" s="60" t="str">
        <f>+VLOOKUP(C23,'PRECIOS IDU 2025'!$A$1:$E$3189,2,FALSE)</f>
        <v>NIVELACION Y COMPACTACIÓN DE SUBRASANTE</v>
      </c>
      <c r="F23" s="60" t="str">
        <f>+VLOOKUP(C23,'PRECIOS IDU 2025'!$A$1:$E$3189,3,FALSE)</f>
        <v>M2</v>
      </c>
      <c r="G23" s="108">
        <f t="shared" si="5"/>
        <v>0</v>
      </c>
      <c r="H23" s="69">
        <f>+VLOOKUP(C23,'PRECIOS IDU 2025'!$A$1:$E$3189,4,FALSE)</f>
        <v>1757</v>
      </c>
      <c r="I23" s="69">
        <f t="shared" si="6"/>
        <v>2284</v>
      </c>
      <c r="J23" s="69">
        <f t="shared" ref="J23" si="34">+ROUND(I23*G23,0)</f>
        <v>0</v>
      </c>
      <c r="K23" s="9"/>
      <c r="L23" s="3"/>
      <c r="M23" s="76"/>
      <c r="N23" s="78"/>
      <c r="O23" s="76"/>
      <c r="P23" s="78">
        <f t="shared" ref="P23" si="35">+ROUND(O23*$I23,0)</f>
        <v>0</v>
      </c>
      <c r="Q23" s="76"/>
      <c r="R23" s="78"/>
      <c r="S23" s="76"/>
      <c r="T23" s="78">
        <f t="shared" ref="T23" si="36">+ROUND(S23*$I23,0)</f>
        <v>0</v>
      </c>
      <c r="U23" s="76"/>
      <c r="V23" s="78">
        <f t="shared" ref="V23" si="37">+ROUND(U23*$I23,0)</f>
        <v>0</v>
      </c>
      <c r="W23" s="76"/>
      <c r="X23" s="78">
        <f t="shared" ref="X23" si="38">+ROUND(W23*$I23,0)</f>
        <v>0</v>
      </c>
      <c r="Y23" s="76"/>
      <c r="Z23" s="78"/>
      <c r="AA23" s="76"/>
      <c r="AB23" s="78">
        <f t="shared" ref="AB23" si="39">+ROUND(AA23*$I23,0)</f>
        <v>0</v>
      </c>
      <c r="AC23" s="76"/>
      <c r="AD23" s="78"/>
    </row>
    <row r="24" spans="1:30"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5"/>
        <v>0</v>
      </c>
      <c r="H24" s="69">
        <f>+VLOOKUP(C24,'PRECIOS IDU 2025'!$A$1:$E$3189,4,FALSE)</f>
        <v>184030</v>
      </c>
      <c r="I24" s="69">
        <f t="shared" si="6"/>
        <v>239239</v>
      </c>
      <c r="J24" s="69">
        <f t="shared" ref="J24" si="40">+ROUND(I24*G24,0)</f>
        <v>0</v>
      </c>
      <c r="K24" s="9"/>
      <c r="L24" s="3"/>
      <c r="M24" s="76"/>
      <c r="N24" s="78"/>
      <c r="O24" s="76"/>
      <c r="P24" s="78">
        <f t="shared" ref="P24" si="41">+ROUND(O24*$I24,0)</f>
        <v>0</v>
      </c>
      <c r="Q24" s="76"/>
      <c r="R24" s="78"/>
      <c r="S24" s="76"/>
      <c r="T24" s="78">
        <f t="shared" ref="T24" si="42">+ROUND(S24*$I24,0)</f>
        <v>0</v>
      </c>
      <c r="U24" s="76"/>
      <c r="V24" s="78">
        <f t="shared" ref="V24" si="43">+ROUND(U24*$I24,0)</f>
        <v>0</v>
      </c>
      <c r="W24" s="76"/>
      <c r="X24" s="78">
        <f t="shared" ref="X24" si="44">+ROUND(W24*$I24,0)</f>
        <v>0</v>
      </c>
      <c r="Y24" s="76"/>
      <c r="Z24" s="78"/>
      <c r="AA24" s="76"/>
      <c r="AB24" s="78">
        <f t="shared" ref="AB24" si="45">+ROUND(AA24*$I24,0)</f>
        <v>0</v>
      </c>
      <c r="AC24" s="76"/>
      <c r="AD24" s="78"/>
    </row>
    <row r="25" spans="1:30"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5"/>
        <v>0</v>
      </c>
      <c r="H25" s="69">
        <f>+VLOOKUP(C25,'PRECIOS IDU 2025'!$A$1:$E$3189,4,FALSE)</f>
        <v>73638</v>
      </c>
      <c r="I25" s="69">
        <f t="shared" si="6"/>
        <v>95729</v>
      </c>
      <c r="J25" s="69">
        <f t="shared" ref="J25" si="46">+ROUND(I25*G25,0)</f>
        <v>0</v>
      </c>
      <c r="K25" s="9"/>
      <c r="L25" s="3"/>
      <c r="M25" s="76"/>
      <c r="N25" s="78"/>
      <c r="O25" s="76"/>
      <c r="P25" s="78">
        <f t="shared" ref="P25" si="47">+ROUND(O25*$I25,0)</f>
        <v>0</v>
      </c>
      <c r="Q25" s="76"/>
      <c r="R25" s="78"/>
      <c r="S25" s="76"/>
      <c r="T25" s="78">
        <f t="shared" ref="T25" si="48">+ROUND(S25*$I25,0)</f>
        <v>0</v>
      </c>
      <c r="U25" s="76"/>
      <c r="V25" s="78">
        <f t="shared" ref="V25" si="49">+ROUND(U25*$I25,0)</f>
        <v>0</v>
      </c>
      <c r="W25" s="76"/>
      <c r="X25" s="78">
        <f t="shared" ref="X25" si="50">+ROUND(W25*$I25,0)</f>
        <v>0</v>
      </c>
      <c r="Y25" s="76"/>
      <c r="Z25" s="78"/>
      <c r="AA25" s="76"/>
      <c r="AB25" s="78">
        <f t="shared" ref="AB25" si="51">+ROUND(AA25*$I25,0)</f>
        <v>0</v>
      </c>
      <c r="AC25" s="76"/>
      <c r="AD25" s="78"/>
    </row>
    <row r="26" spans="1:30"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5"/>
        <v>0</v>
      </c>
      <c r="H26" s="69">
        <f>+VLOOKUP(C26,'PRECIOS IDU 2025'!$A$1:$E$3189,4,FALSE)</f>
        <v>13158</v>
      </c>
      <c r="I26" s="69">
        <f t="shared" si="6"/>
        <v>17105</v>
      </c>
      <c r="J26" s="69">
        <f t="shared" si="12"/>
        <v>0</v>
      </c>
      <c r="K26" s="9"/>
      <c r="L26" s="3"/>
      <c r="M26" s="76"/>
      <c r="N26" s="78"/>
      <c r="O26" s="76"/>
      <c r="P26" s="78">
        <f t="shared" ref="P26" si="52">+ROUND(O26*$I26,0)</f>
        <v>0</v>
      </c>
      <c r="Q26" s="76"/>
      <c r="R26" s="78"/>
      <c r="S26" s="76"/>
      <c r="T26" s="78">
        <f t="shared" ref="T26" si="53">+ROUND(S26*$I26,0)</f>
        <v>0</v>
      </c>
      <c r="U26" s="76"/>
      <c r="V26" s="78">
        <f t="shared" ref="V26" si="54">+ROUND(U26*$I26,0)</f>
        <v>0</v>
      </c>
      <c r="W26" s="76"/>
      <c r="X26" s="78">
        <f t="shared" ref="X26" si="55">+ROUND(W26*$I26,0)</f>
        <v>0</v>
      </c>
      <c r="Y26" s="76"/>
      <c r="Z26" s="78"/>
      <c r="AA26" s="76"/>
      <c r="AB26" s="78">
        <f t="shared" ref="AB26" si="56">+ROUND(AA26*$I26,0)</f>
        <v>0</v>
      </c>
      <c r="AC26" s="76"/>
      <c r="AD26" s="78"/>
    </row>
    <row r="27" spans="1:30"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5"/>
        <v>0</v>
      </c>
      <c r="H27" s="69">
        <f>+VLOOKUP(C27,'PRECIOS IDU 2025'!$A$1:$E$3189,4,FALSE)</f>
        <v>30940</v>
      </c>
      <c r="I27" s="69">
        <f t="shared" si="6"/>
        <v>40222</v>
      </c>
      <c r="J27" s="69">
        <f t="shared" ref="J27" si="57">+ROUND(I27*G27,0)</f>
        <v>0</v>
      </c>
      <c r="K27" s="9"/>
      <c r="L27" s="3"/>
      <c r="M27" s="76"/>
      <c r="N27" s="78"/>
      <c r="O27" s="76"/>
      <c r="P27" s="78">
        <f t="shared" ref="P27" si="58">+ROUND(O27*$I27,0)</f>
        <v>0</v>
      </c>
      <c r="Q27" s="76"/>
      <c r="R27" s="78"/>
      <c r="S27" s="76"/>
      <c r="T27" s="78">
        <f t="shared" ref="T27" si="59">+ROUND(S27*$I27,0)</f>
        <v>0</v>
      </c>
      <c r="U27" s="76"/>
      <c r="V27" s="78">
        <f t="shared" ref="V27" si="60">+ROUND(U27*$I27,0)</f>
        <v>0</v>
      </c>
      <c r="W27" s="76"/>
      <c r="X27" s="78">
        <f t="shared" ref="X27" si="61">+ROUND(W27*$I27,0)</f>
        <v>0</v>
      </c>
      <c r="Y27" s="76"/>
      <c r="Z27" s="78"/>
      <c r="AA27" s="76"/>
      <c r="AB27" s="78">
        <f t="shared" ref="AB27" si="62">+ROUND(AA27*$I27,0)</f>
        <v>0</v>
      </c>
      <c r="AC27" s="76"/>
      <c r="AD27" s="78"/>
    </row>
    <row r="28" spans="1:30"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5"/>
        <v>0</v>
      </c>
      <c r="H28" s="69">
        <f>+VLOOKUP(C28,'PRECIOS IDU 2025'!$A$1:$E$3189,4,FALSE)</f>
        <v>175866</v>
      </c>
      <c r="I28" s="69">
        <f t="shared" si="6"/>
        <v>228626</v>
      </c>
      <c r="J28" s="69">
        <f t="shared" si="12"/>
        <v>0</v>
      </c>
      <c r="K28" s="9"/>
      <c r="L28" s="3"/>
      <c r="M28" s="76"/>
      <c r="N28" s="78"/>
      <c r="O28" s="76"/>
      <c r="P28" s="78">
        <f t="shared" ref="P28" si="63">+ROUND(O28*$I28,0)</f>
        <v>0</v>
      </c>
      <c r="Q28" s="76"/>
      <c r="R28" s="78"/>
      <c r="S28" s="76"/>
      <c r="T28" s="78">
        <f t="shared" ref="T28" si="64">+ROUND(S28*$I28,0)</f>
        <v>0</v>
      </c>
      <c r="U28" s="76"/>
      <c r="V28" s="78">
        <f t="shared" ref="V28" si="65">+ROUND(U28*$I28,0)</f>
        <v>0</v>
      </c>
      <c r="W28" s="76"/>
      <c r="X28" s="78">
        <f t="shared" ref="X28" si="66">+ROUND(W28*$I28,0)</f>
        <v>0</v>
      </c>
      <c r="Y28" s="76"/>
      <c r="Z28" s="78"/>
      <c r="AA28" s="76"/>
      <c r="AB28" s="78">
        <f t="shared" ref="AB28" si="67">+ROUND(AA28*$I28,0)</f>
        <v>0</v>
      </c>
      <c r="AC28" s="76"/>
      <c r="AD28" s="78"/>
    </row>
    <row r="29" spans="1:30"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5"/>
        <v>0</v>
      </c>
      <c r="H29" s="69">
        <f>+VLOOKUP(C29,'PRECIOS IDU 2025'!$A$1:$E$3189,4,FALSE)</f>
        <v>166345</v>
      </c>
      <c r="I29" s="69">
        <f t="shared" si="6"/>
        <v>216249</v>
      </c>
      <c r="J29" s="69">
        <f t="shared" si="12"/>
        <v>0</v>
      </c>
      <c r="K29" s="9"/>
      <c r="L29" s="3"/>
      <c r="M29" s="76"/>
      <c r="N29" s="78"/>
      <c r="O29" s="76"/>
      <c r="P29" s="78">
        <f t="shared" ref="P29" si="68">+ROUND(O29*$I29,0)</f>
        <v>0</v>
      </c>
      <c r="Q29" s="76"/>
      <c r="R29" s="78"/>
      <c r="S29" s="76"/>
      <c r="T29" s="78">
        <f t="shared" ref="T29" si="69">+ROUND(S29*$I29,0)</f>
        <v>0</v>
      </c>
      <c r="U29" s="76"/>
      <c r="V29" s="78">
        <f t="shared" ref="V29" si="70">+ROUND(U29*$I29,0)</f>
        <v>0</v>
      </c>
      <c r="W29" s="76"/>
      <c r="X29" s="78">
        <f t="shared" ref="X29" si="71">+ROUND(W29*$I29,0)</f>
        <v>0</v>
      </c>
      <c r="Y29" s="76"/>
      <c r="Z29" s="78"/>
      <c r="AA29" s="76"/>
      <c r="AB29" s="78">
        <f t="shared" ref="AB29" si="72">+ROUND(AA29*$I29,0)</f>
        <v>0</v>
      </c>
      <c r="AC29" s="76"/>
      <c r="AD29" s="78"/>
    </row>
    <row r="30" spans="1:30"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5"/>
        <v>0</v>
      </c>
      <c r="H30" s="69">
        <f>+VLOOKUP(C30,'PRECIOS IDU 2025'!$A$1:$E$3189,4,FALSE)</f>
        <v>191915</v>
      </c>
      <c r="I30" s="69">
        <f t="shared" si="6"/>
        <v>249490</v>
      </c>
      <c r="J30" s="69">
        <f t="shared" ref="J30:J31" si="73">+ROUND(I30*G30,0)</f>
        <v>0</v>
      </c>
      <c r="K30" s="9"/>
      <c r="L30" s="3"/>
      <c r="M30" s="76"/>
      <c r="N30" s="78"/>
      <c r="O30" s="76"/>
      <c r="P30" s="78">
        <f t="shared" ref="P30" si="74">+ROUND(O30*$I30,0)</f>
        <v>0</v>
      </c>
      <c r="Q30" s="76"/>
      <c r="R30" s="78"/>
      <c r="S30" s="76"/>
      <c r="T30" s="78">
        <f t="shared" ref="T30" si="75">+ROUND(S30*$I30,0)</f>
        <v>0</v>
      </c>
      <c r="U30" s="76"/>
      <c r="V30" s="78">
        <f t="shared" ref="V30" si="76">+ROUND(U30*$I30,0)</f>
        <v>0</v>
      </c>
      <c r="W30" s="76"/>
      <c r="X30" s="78">
        <f t="shared" ref="X30" si="77">+ROUND(W30*$I30,0)</f>
        <v>0</v>
      </c>
      <c r="Y30" s="76"/>
      <c r="Z30" s="78"/>
      <c r="AA30" s="76"/>
      <c r="AB30" s="78">
        <f t="shared" ref="AB30" si="78">+ROUND(AA30*$I30,0)</f>
        <v>0</v>
      </c>
      <c r="AC30" s="76"/>
      <c r="AD30" s="78"/>
    </row>
    <row r="31" spans="1:30"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5"/>
        <v>0</v>
      </c>
      <c r="H31" s="69">
        <f>+VLOOKUP(C31,'PRECIOS IDU 2025'!$A$1:$E$3189,4,FALSE)</f>
        <v>192883</v>
      </c>
      <c r="I31" s="69">
        <f t="shared" si="6"/>
        <v>250748</v>
      </c>
      <c r="J31" s="69">
        <f t="shared" si="73"/>
        <v>0</v>
      </c>
      <c r="K31" s="9"/>
      <c r="L31" s="3"/>
      <c r="M31" s="76"/>
      <c r="N31" s="78"/>
      <c r="O31" s="76"/>
      <c r="P31" s="78">
        <f t="shared" ref="P31" si="79">+ROUND(O31*$I31,0)</f>
        <v>0</v>
      </c>
      <c r="Q31" s="76"/>
      <c r="R31" s="78"/>
      <c r="S31" s="76"/>
      <c r="T31" s="78">
        <f t="shared" ref="T31" si="80">+ROUND(S31*$I31,0)</f>
        <v>0</v>
      </c>
      <c r="U31" s="76"/>
      <c r="V31" s="78">
        <f t="shared" ref="V31" si="81">+ROUND(U31*$I31,0)</f>
        <v>0</v>
      </c>
      <c r="W31" s="76"/>
      <c r="X31" s="78">
        <f t="shared" ref="X31" si="82">+ROUND(W31*$I31,0)</f>
        <v>0</v>
      </c>
      <c r="Y31" s="76"/>
      <c r="Z31" s="78"/>
      <c r="AA31" s="76"/>
      <c r="AB31" s="78">
        <f t="shared" ref="AB31" si="83">+ROUND(AA31*$I31,0)</f>
        <v>0</v>
      </c>
      <c r="AC31" s="76"/>
      <c r="AD31" s="78"/>
    </row>
    <row r="32" spans="1:30"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5"/>
        <v>0</v>
      </c>
      <c r="H32" s="69">
        <f>+VLOOKUP(C32,'PRECIOS IDU 2025'!$A$1:$E$3189,4,FALSE)</f>
        <v>3189</v>
      </c>
      <c r="I32" s="69">
        <f t="shared" si="6"/>
        <v>4146</v>
      </c>
      <c r="J32" s="69">
        <f t="shared" ref="J32:J33" si="84">+ROUND(I32*G32,0)</f>
        <v>0</v>
      </c>
      <c r="K32" s="9"/>
      <c r="L32" s="3"/>
      <c r="M32" s="76"/>
      <c r="N32" s="78"/>
      <c r="O32" s="76"/>
      <c r="P32" s="78">
        <f t="shared" ref="P32" si="85">+ROUND(O32*$I32,0)</f>
        <v>0</v>
      </c>
      <c r="Q32" s="76"/>
      <c r="R32" s="78"/>
      <c r="S32" s="76"/>
      <c r="T32" s="78">
        <f t="shared" ref="T32" si="86">+ROUND(S32*$I32,0)</f>
        <v>0</v>
      </c>
      <c r="U32" s="76"/>
      <c r="V32" s="78">
        <f t="shared" ref="V32" si="87">+ROUND(U32*$I32,0)</f>
        <v>0</v>
      </c>
      <c r="W32" s="76"/>
      <c r="X32" s="78">
        <f t="shared" ref="X32" si="88">+ROUND(W32*$I32,0)</f>
        <v>0</v>
      </c>
      <c r="Y32" s="76"/>
      <c r="Z32" s="78"/>
      <c r="AA32" s="76"/>
      <c r="AB32" s="78">
        <f t="shared" ref="AB32" si="89">+ROUND(AA32*$I32,0)</f>
        <v>0</v>
      </c>
      <c r="AC32" s="76"/>
      <c r="AD32" s="78"/>
    </row>
    <row r="33" spans="1:30"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5"/>
        <v>0</v>
      </c>
      <c r="H33" s="69">
        <f>+VLOOKUP(C33,'PRECIOS IDU 2025'!$A$1:$E$3189,4,FALSE)</f>
        <v>3885</v>
      </c>
      <c r="I33" s="69">
        <f t="shared" si="6"/>
        <v>5051</v>
      </c>
      <c r="J33" s="69">
        <f t="shared" si="84"/>
        <v>0</v>
      </c>
      <c r="K33" s="9"/>
      <c r="L33" s="3"/>
      <c r="M33" s="76"/>
      <c r="N33" s="78"/>
      <c r="O33" s="76"/>
      <c r="P33" s="78">
        <f t="shared" ref="P33" si="90">+ROUND(O33*$I33,0)</f>
        <v>0</v>
      </c>
      <c r="Q33" s="76"/>
      <c r="R33" s="78"/>
      <c r="S33" s="76"/>
      <c r="T33" s="78">
        <f t="shared" ref="T33" si="91">+ROUND(S33*$I33,0)</f>
        <v>0</v>
      </c>
      <c r="U33" s="76"/>
      <c r="V33" s="78">
        <f t="shared" ref="V33" si="92">+ROUND(U33*$I33,0)</f>
        <v>0</v>
      </c>
      <c r="W33" s="76"/>
      <c r="X33" s="78">
        <f t="shared" ref="X33" si="93">+ROUND(W33*$I33,0)</f>
        <v>0</v>
      </c>
      <c r="Y33" s="76"/>
      <c r="Z33" s="78"/>
      <c r="AA33" s="76"/>
      <c r="AB33" s="78">
        <f t="shared" ref="AB33" si="94">+ROUND(AA33*$I33,0)</f>
        <v>0</v>
      </c>
      <c r="AC33" s="76"/>
      <c r="AD33" s="78"/>
    </row>
    <row r="34" spans="1:30"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5"/>
        <v>0</v>
      </c>
      <c r="H34" s="69">
        <f>+VLOOKUP(C34,'PRECIOS IDU 2025'!$A$1:$E$3189,4,FALSE)</f>
        <v>1341971</v>
      </c>
      <c r="I34" s="69">
        <f t="shared" si="6"/>
        <v>1744562</v>
      </c>
      <c r="J34" s="69">
        <f t="shared" si="12"/>
        <v>0</v>
      </c>
      <c r="K34" s="9"/>
      <c r="L34" s="3"/>
      <c r="M34" s="76"/>
      <c r="N34" s="78"/>
      <c r="O34" s="76"/>
      <c r="P34" s="78">
        <f t="shared" ref="P34" si="95">+ROUND(O34*$I34,0)</f>
        <v>0</v>
      </c>
      <c r="Q34" s="76"/>
      <c r="R34" s="78"/>
      <c r="S34" s="76"/>
      <c r="T34" s="78">
        <f t="shared" ref="T34" si="96">+ROUND(S34*$I34,0)</f>
        <v>0</v>
      </c>
      <c r="U34" s="76"/>
      <c r="V34" s="78">
        <f t="shared" ref="V34" si="97">+ROUND(U34*$I34,0)</f>
        <v>0</v>
      </c>
      <c r="W34" s="76"/>
      <c r="X34" s="78">
        <f t="shared" ref="X34" si="98">+ROUND(W34*$I34,0)</f>
        <v>0</v>
      </c>
      <c r="Y34" s="76"/>
      <c r="Z34" s="78"/>
      <c r="AA34" s="76"/>
      <c r="AB34" s="78">
        <f t="shared" ref="AB34" si="99">+ROUND(AA34*$I34,0)</f>
        <v>0</v>
      </c>
      <c r="AC34" s="76"/>
      <c r="AD34" s="78"/>
    </row>
    <row r="35" spans="1:30"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5"/>
        <v>0</v>
      </c>
      <c r="H35" s="69">
        <f>+VLOOKUP(C35,'PRECIOS IDU 2025'!$A$1:$E$3189,4,FALSE)</f>
        <v>1241977</v>
      </c>
      <c r="I35" s="69">
        <f t="shared" si="6"/>
        <v>1614570</v>
      </c>
      <c r="J35" s="69">
        <f t="shared" si="12"/>
        <v>0</v>
      </c>
      <c r="K35" s="9"/>
      <c r="L35" s="3"/>
      <c r="M35" s="76"/>
      <c r="N35" s="78"/>
      <c r="O35" s="76"/>
      <c r="P35" s="78">
        <f t="shared" ref="P35" si="100">+ROUND(O35*$I35,0)</f>
        <v>0</v>
      </c>
      <c r="Q35" s="76"/>
      <c r="R35" s="78"/>
      <c r="S35" s="76"/>
      <c r="T35" s="78">
        <f t="shared" ref="T35" si="101">+ROUND(S35*$I35,0)</f>
        <v>0</v>
      </c>
      <c r="U35" s="76"/>
      <c r="V35" s="78">
        <f t="shared" ref="V35" si="102">+ROUND(U35*$I35,0)</f>
        <v>0</v>
      </c>
      <c r="W35" s="76"/>
      <c r="X35" s="78">
        <f t="shared" ref="X35" si="103">+ROUND(W35*$I35,0)</f>
        <v>0</v>
      </c>
      <c r="Y35" s="76"/>
      <c r="Z35" s="78"/>
      <c r="AA35" s="76"/>
      <c r="AB35" s="78">
        <f t="shared" ref="AB35" si="104">+ROUND(AA35*$I35,0)</f>
        <v>0</v>
      </c>
      <c r="AC35" s="76"/>
      <c r="AD35" s="78"/>
    </row>
    <row r="36" spans="1:30"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5"/>
        <v>0</v>
      </c>
      <c r="H36" s="69">
        <f>+VLOOKUP(C36,'PRECIOS IDU 2025'!$A$1:$E$3189,4,FALSE)</f>
        <v>1556215</v>
      </c>
      <c r="I36" s="69">
        <f t="shared" ref="I36:I37" si="105">+ROUND(H36*(1+$J$192),0)</f>
        <v>2023080</v>
      </c>
      <c r="J36" s="69">
        <f t="shared" ref="J36:J37" si="106">+ROUND(I36*G36,0)</f>
        <v>0</v>
      </c>
      <c r="K36" s="9"/>
      <c r="L36" s="3"/>
      <c r="M36" s="76"/>
      <c r="N36" s="78"/>
      <c r="O36" s="76"/>
      <c r="P36" s="78"/>
      <c r="Q36" s="76"/>
      <c r="R36" s="78"/>
      <c r="S36" s="76"/>
      <c r="T36" s="78"/>
      <c r="U36" s="76"/>
      <c r="V36" s="78"/>
      <c r="W36" s="76"/>
      <c r="X36" s="78"/>
      <c r="Y36" s="76"/>
      <c r="Z36" s="78"/>
      <c r="AA36" s="76"/>
      <c r="AB36" s="78"/>
      <c r="AC36" s="76"/>
      <c r="AD36" s="78"/>
    </row>
    <row r="37" spans="1:30" ht="41.4"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5"/>
        <v>0</v>
      </c>
      <c r="H37" s="69">
        <f>+VLOOKUP(C37,'PRECIOS IDU 2025'!$A$1:$E$3189,4,FALSE)</f>
        <v>142844</v>
      </c>
      <c r="I37" s="69">
        <f t="shared" si="105"/>
        <v>185697</v>
      </c>
      <c r="J37" s="69">
        <f t="shared" si="106"/>
        <v>0</v>
      </c>
      <c r="K37" s="9"/>
      <c r="L37" s="3"/>
      <c r="M37" s="76"/>
      <c r="N37" s="78"/>
      <c r="O37" s="76"/>
      <c r="P37" s="78"/>
      <c r="Q37" s="76"/>
      <c r="R37" s="78"/>
      <c r="S37" s="76"/>
      <c r="T37" s="78"/>
      <c r="U37" s="76"/>
      <c r="V37" s="78"/>
      <c r="W37" s="76"/>
      <c r="X37" s="78"/>
      <c r="Y37" s="76"/>
      <c r="Z37" s="78"/>
      <c r="AA37" s="76"/>
      <c r="AB37" s="78"/>
      <c r="AC37" s="76"/>
      <c r="AD37" s="78"/>
    </row>
    <row r="38" spans="1:30"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5"/>
        <v>0</v>
      </c>
      <c r="H38" s="69">
        <f>+VLOOKUP(C38,'PRECIOS IDU 2025'!$A$1:$E$3189,4,FALSE)</f>
        <v>749962</v>
      </c>
      <c r="I38" s="69">
        <f t="shared" si="6"/>
        <v>974951</v>
      </c>
      <c r="J38" s="69">
        <f t="shared" si="12"/>
        <v>0</v>
      </c>
      <c r="K38" s="9"/>
      <c r="L38" s="3"/>
      <c r="M38" s="76"/>
      <c r="N38" s="78"/>
      <c r="O38" s="76"/>
      <c r="P38" s="78">
        <f t="shared" ref="P38" si="107">+ROUND(O38*$I38,0)</f>
        <v>0</v>
      </c>
      <c r="Q38" s="76"/>
      <c r="R38" s="78"/>
      <c r="S38" s="76"/>
      <c r="T38" s="78">
        <f t="shared" ref="T38" si="108">+ROUND(S38*$I38,0)</f>
        <v>0</v>
      </c>
      <c r="U38" s="76"/>
      <c r="V38" s="78">
        <f t="shared" ref="V38" si="109">+ROUND(U38*$I38,0)</f>
        <v>0</v>
      </c>
      <c r="W38" s="76"/>
      <c r="X38" s="78">
        <f t="shared" ref="X38" si="110">+ROUND(W38*$I38,0)</f>
        <v>0</v>
      </c>
      <c r="Y38" s="76"/>
      <c r="Z38" s="78"/>
      <c r="AA38" s="76"/>
      <c r="AB38" s="78">
        <f t="shared" ref="AB38" si="111">+ROUND(AA38*$I38,0)</f>
        <v>0</v>
      </c>
      <c r="AC38" s="76"/>
      <c r="AD38" s="78"/>
    </row>
    <row r="39" spans="1:30" ht="30" customHeight="1" x14ac:dyDescent="0.3">
      <c r="A39" s="3"/>
      <c r="B39" s="8"/>
      <c r="C39" s="61" t="s">
        <v>6077</v>
      </c>
      <c r="D39" s="62"/>
      <c r="E39" s="62"/>
      <c r="F39" s="62"/>
      <c r="G39" s="62"/>
      <c r="H39" s="62"/>
      <c r="I39" s="62"/>
      <c r="J39" s="63"/>
      <c r="K39" s="9"/>
      <c r="L39" s="3"/>
      <c r="M39" s="76"/>
      <c r="N39" s="78"/>
      <c r="O39" s="76"/>
      <c r="P39" s="78">
        <f t="shared" ref="P39" si="112">+ROUND(O39*$I39,0)</f>
        <v>0</v>
      </c>
      <c r="Q39" s="76"/>
      <c r="R39" s="78"/>
      <c r="S39" s="76"/>
      <c r="T39" s="78">
        <f t="shared" ref="T39" si="113">+ROUND(S39*$I39,0)</f>
        <v>0</v>
      </c>
      <c r="U39" s="76"/>
      <c r="V39" s="78">
        <f t="shared" ref="V39" si="114">+ROUND(U39*$I39,0)</f>
        <v>0</v>
      </c>
      <c r="W39" s="76"/>
      <c r="X39" s="78">
        <f t="shared" ref="X39" si="115">+ROUND(W39*$I39,0)</f>
        <v>0</v>
      </c>
      <c r="Y39" s="76"/>
      <c r="Z39" s="78"/>
      <c r="AA39" s="76"/>
      <c r="AB39" s="78">
        <f t="shared" ref="AB39" si="116">+ROUND(AA39*$I39,0)</f>
        <v>0</v>
      </c>
      <c r="AC39" s="76"/>
      <c r="AD39" s="78"/>
    </row>
    <row r="40" spans="1:30" ht="30" customHeight="1" x14ac:dyDescent="0.3">
      <c r="A40" s="3"/>
      <c r="B40" s="8"/>
      <c r="C40" s="60">
        <v>3007</v>
      </c>
      <c r="D40" s="60">
        <v>2001</v>
      </c>
      <c r="E40" s="60" t="str">
        <f>+VLOOKUP(C40,'PRECIOS IDU 2025'!$A$1:$E$3189,2,FALSE)</f>
        <v>REPLANTEO GENERAL</v>
      </c>
      <c r="F40" s="60" t="str">
        <f>+VLOOKUP(C40,'PRECIOS IDU 2025'!$A$1:$E$3189,3,FALSE)</f>
        <v>M2</v>
      </c>
      <c r="G40" s="296"/>
      <c r="H40" s="69">
        <f>+VLOOKUP(C40,'PRECIOS IDU 2025'!$A$1:$E$3189,4,FALSE)</f>
        <v>909</v>
      </c>
      <c r="I40" s="69">
        <f t="shared" ref="I40:I67" si="117">+ROUND(H40*(1+$J$192),0)</f>
        <v>1182</v>
      </c>
      <c r="J40" s="69">
        <f t="shared" ref="J40:J67" si="118">+ROUND(I40*G40,0)</f>
        <v>0</v>
      </c>
      <c r="K40" s="9">
        <v>210100</v>
      </c>
      <c r="L40" s="3"/>
      <c r="M40" s="76"/>
      <c r="N40" s="78"/>
      <c r="O40" s="76">
        <v>223.14</v>
      </c>
      <c r="P40" s="78">
        <f t="shared" ref="P40" si="119">+ROUND(O40*$I40,0)</f>
        <v>263751</v>
      </c>
      <c r="Q40" s="76"/>
      <c r="R40" s="78"/>
      <c r="S40" s="76">
        <f>+S13</f>
        <v>250.58</v>
      </c>
      <c r="T40" s="78">
        <f t="shared" ref="T40" si="120">+ROUND(S40*$I40,0)</f>
        <v>296186</v>
      </c>
      <c r="U40" s="76">
        <f>+U13</f>
        <v>600.21</v>
      </c>
      <c r="V40" s="78">
        <f t="shared" ref="V40" si="121">+ROUND(U40*$I40,0)</f>
        <v>709448</v>
      </c>
      <c r="W40" s="76">
        <f>+W13</f>
        <v>354.44</v>
      </c>
      <c r="X40" s="78">
        <f t="shared" ref="X40" si="122">+ROUND(W40*$I40,0)</f>
        <v>418948</v>
      </c>
      <c r="Y40" s="76"/>
      <c r="Z40" s="78"/>
      <c r="AA40" s="76">
        <f>+AA13</f>
        <v>583.08000000000004</v>
      </c>
      <c r="AB40" s="78">
        <f t="shared" ref="AB40" si="123">+ROUND(AA40*$I40,0)</f>
        <v>689201</v>
      </c>
      <c r="AC40" s="76"/>
      <c r="AD40" s="78"/>
    </row>
    <row r="41" spans="1:30"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ref="G41:G67" si="124">+ROUND(M41+O41+Q41+S41+U41+W41+Y41+AA41+AC41,2)</f>
        <v>71.06</v>
      </c>
      <c r="H41" s="69">
        <f>+VLOOKUP(C41,'PRECIOS IDU 2025'!$A$1:$E$3189,4,FALSE)</f>
        <v>2659</v>
      </c>
      <c r="I41" s="69">
        <f t="shared" si="117"/>
        <v>3457</v>
      </c>
      <c r="J41" s="69">
        <f t="shared" si="118"/>
        <v>245654</v>
      </c>
      <c r="K41" s="9"/>
      <c r="L41" s="3"/>
      <c r="M41" s="76"/>
      <c r="N41" s="78"/>
      <c r="O41" s="76">
        <v>33.470999999999997</v>
      </c>
      <c r="P41" s="78">
        <f t="shared" ref="P41" si="125">+ROUND(O41*$I41,0)</f>
        <v>115709</v>
      </c>
      <c r="Q41" s="76"/>
      <c r="R41" s="78"/>
      <c r="S41" s="76">
        <f>+S13*S3</f>
        <v>37.587000000000003</v>
      </c>
      <c r="T41" s="78">
        <f t="shared" ref="T41" si="126">+ROUND(S41*$I41,0)</f>
        <v>129938</v>
      </c>
      <c r="U41" s="76">
        <f>+U13*U3</f>
        <v>0</v>
      </c>
      <c r="V41" s="78">
        <f t="shared" ref="V41" si="127">+ROUND(U41*$I41,0)</f>
        <v>0</v>
      </c>
      <c r="W41" s="76">
        <f>+W13*W3</f>
        <v>0</v>
      </c>
      <c r="X41" s="78">
        <f t="shared" ref="X41" si="128">+ROUND(W41*$I41,0)</f>
        <v>0</v>
      </c>
      <c r="Y41" s="76"/>
      <c r="Z41" s="78"/>
      <c r="AA41" s="76">
        <f>+AA13*AA3</f>
        <v>0</v>
      </c>
      <c r="AB41" s="78">
        <f t="shared" ref="AB41" si="129">+ROUND(AA41*$I41,0)</f>
        <v>0</v>
      </c>
      <c r="AC41" s="76"/>
      <c r="AD41" s="78"/>
    </row>
    <row r="42" spans="1:30"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124"/>
        <v>26.38</v>
      </c>
      <c r="H42" s="69">
        <f>+VLOOKUP(C42,'PRECIOS IDU 2025'!$A$1:$E$3189,4,FALSE)</f>
        <v>38781</v>
      </c>
      <c r="I42" s="69">
        <f t="shared" si="117"/>
        <v>50415</v>
      </c>
      <c r="J42" s="69">
        <f t="shared" si="118"/>
        <v>1329948</v>
      </c>
      <c r="K42" s="9"/>
      <c r="L42" s="3"/>
      <c r="M42" s="76"/>
      <c r="N42" s="78"/>
      <c r="O42" s="76">
        <v>3.6640000000000001</v>
      </c>
      <c r="P42" s="78">
        <f t="shared" ref="P42" si="130">+ROUND(O42*$I42,0)</f>
        <v>184721</v>
      </c>
      <c r="Q42" s="76"/>
      <c r="R42" s="78"/>
      <c r="S42" s="76">
        <f>+S11*2*0.05</f>
        <v>3.4000000000000004</v>
      </c>
      <c r="T42" s="78">
        <f t="shared" ref="T42" si="131">+ROUND(S42*$I42,0)</f>
        <v>171411</v>
      </c>
      <c r="U42" s="76">
        <f>+U11*2*0.05</f>
        <v>8.5990000000000002</v>
      </c>
      <c r="V42" s="78">
        <f t="shared" ref="V42" si="132">+ROUND(U42*$I42,0)</f>
        <v>433519</v>
      </c>
      <c r="W42" s="76">
        <f>+W11*2*0.05</f>
        <v>4.9160000000000004</v>
      </c>
      <c r="X42" s="78">
        <f t="shared" ref="X42" si="133">+ROUND(W42*$I42,0)</f>
        <v>247840</v>
      </c>
      <c r="Y42" s="76"/>
      <c r="Z42" s="78"/>
      <c r="AA42" s="76">
        <f>+AA11*2*0.05</f>
        <v>5.7960000000000003</v>
      </c>
      <c r="AB42" s="78">
        <f t="shared" ref="AB42" si="134">+ROUND(AA42*$I42,0)</f>
        <v>292205</v>
      </c>
      <c r="AC42" s="76"/>
      <c r="AD42" s="78"/>
    </row>
    <row r="43" spans="1:30"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124"/>
        <v>527.5</v>
      </c>
      <c r="H43" s="69">
        <f>+VLOOKUP(C43,'PRECIOS IDU 2025'!$A$1:$E$3189,4,FALSE)</f>
        <v>187178</v>
      </c>
      <c r="I43" s="69">
        <f t="shared" si="117"/>
        <v>243331</v>
      </c>
      <c r="J43" s="69">
        <f t="shared" ref="J43" si="135">+ROUND(I43*G43,0)</f>
        <v>128357103</v>
      </c>
      <c r="K43" s="9"/>
      <c r="L43" s="3"/>
      <c r="M43" s="76"/>
      <c r="N43" s="78"/>
      <c r="O43" s="76">
        <v>73.28</v>
      </c>
      <c r="P43" s="78">
        <f t="shared" ref="P43" si="136">+ROUND(O43*$I43,0)</f>
        <v>17831296</v>
      </c>
      <c r="Q43" s="76"/>
      <c r="R43" s="78"/>
      <c r="S43" s="76">
        <f>+S11*2</f>
        <v>68</v>
      </c>
      <c r="T43" s="78">
        <f t="shared" ref="T43" si="137">+ROUND(S43*$I43,0)</f>
        <v>16546508</v>
      </c>
      <c r="U43" s="76">
        <f>+U11*2</f>
        <v>171.98</v>
      </c>
      <c r="V43" s="78">
        <f t="shared" ref="V43" si="138">+ROUND(U43*$I43,0)</f>
        <v>41848065</v>
      </c>
      <c r="W43" s="76">
        <f>+W11*2</f>
        <v>98.32</v>
      </c>
      <c r="X43" s="78">
        <f t="shared" ref="X43" si="139">+ROUND(W43*$I43,0)</f>
        <v>23924304</v>
      </c>
      <c r="Y43" s="76"/>
      <c r="Z43" s="78"/>
      <c r="AA43" s="76">
        <f>+AA11*2</f>
        <v>115.92</v>
      </c>
      <c r="AB43" s="78">
        <f t="shared" ref="AB43" si="140">+ROUND(AA43*$I43,0)</f>
        <v>28206930</v>
      </c>
      <c r="AC43" s="76"/>
      <c r="AD43" s="78"/>
    </row>
    <row r="44" spans="1:30"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124"/>
        <v>235.49</v>
      </c>
      <c r="H44" s="69">
        <f>+VLOOKUP(C44,'PRECIOS IDU 2025'!$A$1:$E$3189,4,FALSE)</f>
        <v>5741</v>
      </c>
      <c r="I44" s="69">
        <f t="shared" si="117"/>
        <v>7463</v>
      </c>
      <c r="J44" s="69">
        <f t="shared" si="118"/>
        <v>1757462</v>
      </c>
      <c r="K44" s="9"/>
      <c r="L44" s="3"/>
      <c r="M44" s="76"/>
      <c r="N44" s="78"/>
      <c r="O44" s="76">
        <v>122.72699999999998</v>
      </c>
      <c r="P44" s="78">
        <f t="shared" ref="P44" si="141">+ROUND(O44*$I44,0)</f>
        <v>915912</v>
      </c>
      <c r="Q44" s="76"/>
      <c r="R44" s="78"/>
      <c r="S44" s="76">
        <f>+S13*SUM(S3:T3)</f>
        <v>112.761</v>
      </c>
      <c r="T44" s="78">
        <f t="shared" ref="T44" si="142">+ROUND(S44*$I44,0)</f>
        <v>841535</v>
      </c>
      <c r="U44" s="76">
        <f>+U13*SUM(U3:X3)</f>
        <v>0</v>
      </c>
      <c r="V44" s="78">
        <f t="shared" ref="V44" si="143">+ROUND(U44*$I44,0)</f>
        <v>0</v>
      </c>
      <c r="W44" s="76">
        <f>+W13*SUM(W3:Z3)</f>
        <v>0</v>
      </c>
      <c r="X44" s="78">
        <f t="shared" ref="X44" si="144">+ROUND(W44*$I44,0)</f>
        <v>0</v>
      </c>
      <c r="Y44" s="76"/>
      <c r="Z44" s="78"/>
      <c r="AA44" s="76">
        <f>+AA13*SUM(AA3:AD3)</f>
        <v>0</v>
      </c>
      <c r="AB44" s="78">
        <f t="shared" ref="AB44" si="145">+ROUND(AA44*$I44,0)</f>
        <v>0</v>
      </c>
      <c r="AC44" s="76"/>
      <c r="AD44" s="78"/>
    </row>
    <row r="45" spans="1:30"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124"/>
        <v>11.77</v>
      </c>
      <c r="H45" s="69">
        <f>+VLOOKUP(C45,'PRECIOS IDU 2025'!$A$1:$E$3189,4,FALSE)</f>
        <v>46379</v>
      </c>
      <c r="I45" s="69">
        <f t="shared" si="117"/>
        <v>60293</v>
      </c>
      <c r="J45" s="69">
        <f t="shared" si="118"/>
        <v>709649</v>
      </c>
      <c r="K45" s="9"/>
      <c r="L45" s="3"/>
      <c r="M45" s="76"/>
      <c r="N45" s="78"/>
      <c r="O45" s="76">
        <v>6.1363499999999993</v>
      </c>
      <c r="P45" s="78">
        <f t="shared" ref="P45" si="146">+ROUND(O45*$I45,0)</f>
        <v>369979</v>
      </c>
      <c r="Q45" s="76"/>
      <c r="R45" s="78"/>
      <c r="S45" s="76">
        <f>+S44*0.05</f>
        <v>5.6380499999999998</v>
      </c>
      <c r="T45" s="78">
        <f t="shared" ref="T45" si="147">+ROUND(S45*$I45,0)</f>
        <v>339935</v>
      </c>
      <c r="U45" s="76">
        <f>+U44*0.05</f>
        <v>0</v>
      </c>
      <c r="V45" s="78">
        <f t="shared" ref="V45" si="148">+ROUND(U45*$I45,0)</f>
        <v>0</v>
      </c>
      <c r="W45" s="76">
        <f>+W44*0.05</f>
        <v>0</v>
      </c>
      <c r="X45" s="78">
        <f t="shared" ref="X45" si="149">+ROUND(W45*$I45,0)</f>
        <v>0</v>
      </c>
      <c r="Y45" s="76"/>
      <c r="Z45" s="78"/>
      <c r="AA45" s="76">
        <f>+AA44*0.05</f>
        <v>0</v>
      </c>
      <c r="AB45" s="78">
        <f t="shared" ref="AB45" si="150">+ROUND(AA45*$I45,0)</f>
        <v>0</v>
      </c>
      <c r="AC45" s="76"/>
      <c r="AD45" s="78"/>
    </row>
    <row r="46" spans="1:30"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124"/>
        <v>1041.48</v>
      </c>
      <c r="H46" s="69">
        <f>+VLOOKUP(C46,'PRECIOS IDU 2025'!$A$1:$E$3189,4,FALSE)</f>
        <v>45600</v>
      </c>
      <c r="I46" s="69">
        <f t="shared" si="117"/>
        <v>59280</v>
      </c>
      <c r="J46" s="69">
        <f t="shared" si="118"/>
        <v>61738934</v>
      </c>
      <c r="K46" s="9"/>
      <c r="L46" s="3"/>
      <c r="M46" s="76"/>
      <c r="N46" s="78"/>
      <c r="O46" s="76">
        <v>267.549555</v>
      </c>
      <c r="P46" s="78">
        <f t="shared" ref="P46" si="151">+ROUND(O46*$I46,0)</f>
        <v>15860338</v>
      </c>
      <c r="Q46" s="76"/>
      <c r="R46" s="78"/>
      <c r="S46" s="76">
        <f>++SUM(S42:S45)*1.3</f>
        <v>246.738765</v>
      </c>
      <c r="T46" s="78">
        <f t="shared" ref="T46" si="152">+ROUND(S46*$I46,0)</f>
        <v>14626674</v>
      </c>
      <c r="U46" s="76">
        <f>++SUM(U42:U45)*1.3</f>
        <v>234.75269999999998</v>
      </c>
      <c r="V46" s="78">
        <f t="shared" ref="V46" si="153">+ROUND(U46*$I46,0)</f>
        <v>13916140</v>
      </c>
      <c r="W46" s="76">
        <f>++SUM(W42:W45)*1.3</f>
        <v>134.20679999999999</v>
      </c>
      <c r="X46" s="78">
        <f t="shared" ref="X46" si="154">+ROUND(W46*$I46,0)</f>
        <v>7955779</v>
      </c>
      <c r="Y46" s="76"/>
      <c r="Z46" s="78"/>
      <c r="AA46" s="76">
        <f>++SUM(AA42:AA45)*1.3</f>
        <v>158.23080000000002</v>
      </c>
      <c r="AB46" s="78">
        <f t="shared" ref="AB46" si="155">+ROUND(AA46*$I46,0)</f>
        <v>9379922</v>
      </c>
      <c r="AC46" s="76"/>
      <c r="AD46" s="78"/>
    </row>
    <row r="47" spans="1:30"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124"/>
        <v>2011.45</v>
      </c>
      <c r="H47" s="69">
        <f>+VLOOKUP(C47,'PRECIOS IDU 2025'!$A$1:$E$3189,4,FALSE)</f>
        <v>1757</v>
      </c>
      <c r="I47" s="69">
        <f t="shared" si="117"/>
        <v>2284</v>
      </c>
      <c r="J47" s="69">
        <f t="shared" ref="J47" si="156">+ROUND(I47*G47,0)</f>
        <v>4594152</v>
      </c>
      <c r="K47" s="9"/>
      <c r="L47" s="3"/>
      <c r="M47" s="76"/>
      <c r="N47" s="78"/>
      <c r="O47" s="76">
        <v>223.14</v>
      </c>
      <c r="P47" s="78">
        <f t="shared" ref="P47" si="157">+ROUND(O47*$I47,0)</f>
        <v>509652</v>
      </c>
      <c r="Q47" s="76"/>
      <c r="R47" s="78"/>
      <c r="S47" s="76">
        <f>+S13</f>
        <v>250.58</v>
      </c>
      <c r="T47" s="78">
        <f t="shared" ref="T47" si="158">+ROUND(S47*$I47,0)</f>
        <v>572325</v>
      </c>
      <c r="U47" s="76">
        <f>+U13</f>
        <v>600.21</v>
      </c>
      <c r="V47" s="78">
        <f t="shared" ref="V47" si="159">+ROUND(U47*$I47,0)</f>
        <v>1370880</v>
      </c>
      <c r="W47" s="76">
        <f>+W13</f>
        <v>354.44</v>
      </c>
      <c r="X47" s="78">
        <f t="shared" ref="X47" si="160">+ROUND(W47*$I47,0)</f>
        <v>809541</v>
      </c>
      <c r="Y47" s="76"/>
      <c r="Z47" s="78"/>
      <c r="AA47" s="76">
        <f>+AA13</f>
        <v>583.08000000000004</v>
      </c>
      <c r="AB47" s="78">
        <f t="shared" ref="AB47" si="161">+ROUND(AA47*$I47,0)</f>
        <v>1331755</v>
      </c>
      <c r="AC47" s="76"/>
      <c r="AD47" s="78"/>
    </row>
    <row r="48" spans="1:30"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124"/>
        <v>603.44000000000005</v>
      </c>
      <c r="H48" s="69">
        <f>+VLOOKUP(C48,'PRECIOS IDU 2025'!$A$1:$E$3189,4,FALSE)</f>
        <v>184030</v>
      </c>
      <c r="I48" s="69">
        <f t="shared" si="117"/>
        <v>239239</v>
      </c>
      <c r="J48" s="69">
        <f t="shared" si="118"/>
        <v>144366382</v>
      </c>
      <c r="K48" s="9"/>
      <c r="L48" s="3"/>
      <c r="M48" s="76"/>
      <c r="N48" s="78"/>
      <c r="O48" s="76">
        <v>66.941999999999993</v>
      </c>
      <c r="P48" s="78">
        <f t="shared" ref="P48" si="162">+ROUND(O48*$I48,0)</f>
        <v>16015137</v>
      </c>
      <c r="Q48" s="76"/>
      <c r="R48" s="78"/>
      <c r="S48" s="76">
        <f>+S13*$P$3</f>
        <v>75.174000000000007</v>
      </c>
      <c r="T48" s="78">
        <f t="shared" ref="T48" si="163">+ROUND(S48*$I48,0)</f>
        <v>17984553</v>
      </c>
      <c r="U48" s="76">
        <f>+U13*$P$3</f>
        <v>180.06300000000002</v>
      </c>
      <c r="V48" s="78">
        <f t="shared" ref="V48" si="164">+ROUND(U48*$I48,0)</f>
        <v>43078092</v>
      </c>
      <c r="W48" s="76">
        <f>+W13*$P$3</f>
        <v>106.33199999999999</v>
      </c>
      <c r="X48" s="78">
        <f t="shared" ref="X48" si="165">+ROUND(W48*$I48,0)</f>
        <v>25438761</v>
      </c>
      <c r="Y48" s="76"/>
      <c r="Z48" s="78"/>
      <c r="AA48" s="76">
        <f>+AA13*$P$3</f>
        <v>174.92400000000001</v>
      </c>
      <c r="AB48" s="78">
        <f t="shared" ref="AB48" si="166">+ROUND(AA48*$I48,0)</f>
        <v>41848643</v>
      </c>
      <c r="AC48" s="76"/>
      <c r="AD48" s="78"/>
    </row>
    <row r="49" spans="1:30"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124"/>
        <v>0</v>
      </c>
      <c r="H49" s="69">
        <f>+VLOOKUP(C49,'PRECIOS IDU 2025'!$A$1:$E$3189,4,FALSE)</f>
        <v>73638</v>
      </c>
      <c r="I49" s="69">
        <f t="shared" si="117"/>
        <v>95729</v>
      </c>
      <c r="J49" s="69">
        <f t="shared" si="118"/>
        <v>0</v>
      </c>
      <c r="K49" s="9"/>
      <c r="L49" s="3"/>
      <c r="M49" s="76"/>
      <c r="N49" s="78"/>
      <c r="O49" s="76"/>
      <c r="P49" s="78">
        <f t="shared" ref="P49" si="167">+ROUND(O49*$I49,0)</f>
        <v>0</v>
      </c>
      <c r="Q49" s="76"/>
      <c r="R49" s="78"/>
      <c r="S49" s="76"/>
      <c r="T49" s="78">
        <f t="shared" ref="T49" si="168">+ROUND(S49*$I49,0)</f>
        <v>0</v>
      </c>
      <c r="U49" s="76"/>
      <c r="V49" s="78">
        <f t="shared" ref="V49" si="169">+ROUND(U49*$I49,0)</f>
        <v>0</v>
      </c>
      <c r="W49" s="76"/>
      <c r="X49" s="78">
        <f t="shared" ref="X49" si="170">+ROUND(W49*$I49,0)</f>
        <v>0</v>
      </c>
      <c r="Y49" s="76"/>
      <c r="Z49" s="78"/>
      <c r="AA49" s="76"/>
      <c r="AB49" s="78">
        <f t="shared" ref="AB49" si="171">+ROUND(AA49*$I49,0)</f>
        <v>0</v>
      </c>
      <c r="AC49" s="76"/>
      <c r="AD49" s="78"/>
    </row>
    <row r="50" spans="1:30"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124"/>
        <v>2011.45</v>
      </c>
      <c r="H50" s="69">
        <f>+VLOOKUP(C50,'PRECIOS IDU 2025'!$A$1:$E$3189,4,FALSE)</f>
        <v>13158</v>
      </c>
      <c r="I50" s="69">
        <f t="shared" si="117"/>
        <v>17105</v>
      </c>
      <c r="J50" s="69">
        <f t="shared" si="118"/>
        <v>34405852</v>
      </c>
      <c r="K50" s="9"/>
      <c r="L50" s="3"/>
      <c r="M50" s="76"/>
      <c r="N50" s="78"/>
      <c r="O50" s="76">
        <v>223.14</v>
      </c>
      <c r="P50" s="78">
        <f t="shared" ref="P50" si="172">+ROUND(O50*$I50,0)</f>
        <v>3816810</v>
      </c>
      <c r="Q50" s="76"/>
      <c r="R50" s="78"/>
      <c r="S50" s="76">
        <f>+S13</f>
        <v>250.58</v>
      </c>
      <c r="T50" s="78">
        <f t="shared" ref="T50" si="173">+ROUND(S50*$I50,0)</f>
        <v>4286171</v>
      </c>
      <c r="U50" s="76">
        <f>+U13</f>
        <v>600.21</v>
      </c>
      <c r="V50" s="78">
        <f t="shared" ref="V50" si="174">+ROUND(U50*$I50,0)</f>
        <v>10266592</v>
      </c>
      <c r="W50" s="76">
        <f>+W13</f>
        <v>354.44</v>
      </c>
      <c r="X50" s="78">
        <f t="shared" ref="X50" si="175">+ROUND(W50*$I50,0)</f>
        <v>6062696</v>
      </c>
      <c r="Y50" s="76"/>
      <c r="Z50" s="78"/>
      <c r="AA50" s="76">
        <f>+AA13</f>
        <v>583.08000000000004</v>
      </c>
      <c r="AB50" s="78">
        <f t="shared" ref="AB50" si="176">+ROUND(AA50*$I50,0)</f>
        <v>9973583</v>
      </c>
      <c r="AC50" s="76"/>
      <c r="AD50" s="78"/>
    </row>
    <row r="51" spans="1:30"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124"/>
        <v>2011.45</v>
      </c>
      <c r="H51" s="69">
        <f>+VLOOKUP(C51,'PRECIOS IDU 2025'!$A$1:$E$3189,4,FALSE)</f>
        <v>30940</v>
      </c>
      <c r="I51" s="69">
        <f t="shared" si="117"/>
        <v>40222</v>
      </c>
      <c r="J51" s="69">
        <f t="shared" si="118"/>
        <v>80904542</v>
      </c>
      <c r="K51" s="9"/>
      <c r="L51" s="3"/>
      <c r="M51" s="76"/>
      <c r="N51" s="78"/>
      <c r="O51" s="76">
        <v>223.14</v>
      </c>
      <c r="P51" s="78">
        <f t="shared" ref="P51" si="177">+ROUND(O51*$I51,0)</f>
        <v>8975137</v>
      </c>
      <c r="Q51" s="76"/>
      <c r="R51" s="78"/>
      <c r="S51" s="76">
        <f>+S13</f>
        <v>250.58</v>
      </c>
      <c r="T51" s="78">
        <f t="shared" ref="T51" si="178">+ROUND(S51*$I51,0)</f>
        <v>10078829</v>
      </c>
      <c r="U51" s="76">
        <f>+U13</f>
        <v>600.21</v>
      </c>
      <c r="V51" s="78">
        <f t="shared" ref="V51" si="179">+ROUND(U51*$I51,0)</f>
        <v>24141647</v>
      </c>
      <c r="W51" s="76">
        <f>+W13</f>
        <v>354.44</v>
      </c>
      <c r="X51" s="78">
        <f t="shared" ref="X51" si="180">+ROUND(W51*$I51,0)</f>
        <v>14256286</v>
      </c>
      <c r="Y51" s="76"/>
      <c r="Z51" s="78"/>
      <c r="AA51" s="76">
        <f>+AA13</f>
        <v>583.08000000000004</v>
      </c>
      <c r="AB51" s="78">
        <f t="shared" ref="AB51" si="181">+ROUND(AA51*$I51,0)</f>
        <v>23452644</v>
      </c>
      <c r="AC51" s="76"/>
      <c r="AD51" s="78"/>
    </row>
    <row r="52" spans="1:30"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124"/>
        <v>211.2</v>
      </c>
      <c r="H52" s="69">
        <f>+VLOOKUP(C52,'PRECIOS IDU 2025'!$A$1:$E$3189,4,FALSE)</f>
        <v>170143</v>
      </c>
      <c r="I52" s="69">
        <f t="shared" si="117"/>
        <v>221186</v>
      </c>
      <c r="J52" s="69">
        <f t="shared" si="118"/>
        <v>46714483</v>
      </c>
      <c r="K52" s="9"/>
      <c r="L52" s="3"/>
      <c r="M52" s="76"/>
      <c r="N52" s="78"/>
      <c r="O52" s="76">
        <v>23.429699999999997</v>
      </c>
      <c r="P52" s="78">
        <f t="shared" ref="P52" si="182">+ROUND(O52*$I52,0)</f>
        <v>5182322</v>
      </c>
      <c r="Q52" s="76"/>
      <c r="R52" s="78"/>
      <c r="S52" s="76">
        <f>+S13*$O$3*0.7</f>
        <v>26.3109</v>
      </c>
      <c r="T52" s="78">
        <f t="shared" ref="T52" si="183">+ROUND(S52*$I52,0)</f>
        <v>5819603</v>
      </c>
      <c r="U52" s="76">
        <f>+U13*$O$3*0.7</f>
        <v>63.02205</v>
      </c>
      <c r="V52" s="78">
        <f t="shared" ref="V52" si="184">+ROUND(U52*$I52,0)</f>
        <v>13939595</v>
      </c>
      <c r="W52" s="76">
        <f>+W13*$O$3*0.7</f>
        <v>37.216199999999994</v>
      </c>
      <c r="X52" s="78">
        <f t="shared" ref="X52" si="185">+ROUND(W52*$I52,0)</f>
        <v>8231702</v>
      </c>
      <c r="Y52" s="76"/>
      <c r="Z52" s="78"/>
      <c r="AA52" s="76">
        <f>+AA13*$O$3*0.7</f>
        <v>61.223399999999998</v>
      </c>
      <c r="AB52" s="78">
        <f t="shared" ref="AB52" si="186">+ROUND(AA52*$I52,0)</f>
        <v>13541759</v>
      </c>
      <c r="AC52" s="76"/>
      <c r="AD52" s="78"/>
    </row>
    <row r="53" spans="1:30"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124"/>
        <v>90.52</v>
      </c>
      <c r="H53" s="69">
        <f>+VLOOKUP(C53,'PRECIOS IDU 2025'!$A$1:$E$3189,4,FALSE)</f>
        <v>163490</v>
      </c>
      <c r="I53" s="69">
        <f t="shared" si="117"/>
        <v>212537</v>
      </c>
      <c r="J53" s="69">
        <f t="shared" si="118"/>
        <v>19238849</v>
      </c>
      <c r="K53" s="9"/>
      <c r="L53" s="3"/>
      <c r="M53" s="76"/>
      <c r="N53" s="78"/>
      <c r="O53" s="76">
        <v>10.041299999999998</v>
      </c>
      <c r="P53" s="78">
        <f t="shared" ref="P53" si="187">+ROUND(O53*$I53,0)</f>
        <v>2134148</v>
      </c>
      <c r="Q53" s="76"/>
      <c r="R53" s="78"/>
      <c r="S53" s="76">
        <f>+S13*$O$3*0.3</f>
        <v>11.276100000000001</v>
      </c>
      <c r="T53" s="78">
        <f t="shared" ref="T53" si="188">+ROUND(S53*$I53,0)</f>
        <v>2396588</v>
      </c>
      <c r="U53" s="76">
        <f>+U13*$O$3*0.3</f>
        <v>27.009450000000001</v>
      </c>
      <c r="V53" s="78">
        <f t="shared" ref="V53" si="189">+ROUND(U53*$I53,0)</f>
        <v>5740507</v>
      </c>
      <c r="W53" s="76">
        <f>+W13*$O$3*0.3</f>
        <v>15.949799999999998</v>
      </c>
      <c r="X53" s="78">
        <f t="shared" ref="X53" si="190">+ROUND(W53*$I53,0)</f>
        <v>3389923</v>
      </c>
      <c r="Y53" s="76"/>
      <c r="Z53" s="78"/>
      <c r="AA53" s="76">
        <f>+AA13*$O$3*0.3</f>
        <v>26.238600000000002</v>
      </c>
      <c r="AB53" s="78">
        <f t="shared" ref="AB53" si="191">+ROUND(AA53*$I53,0)</f>
        <v>5576673</v>
      </c>
      <c r="AC53" s="76"/>
      <c r="AD53" s="78"/>
    </row>
    <row r="54" spans="1:30"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124"/>
        <v>2011.45</v>
      </c>
      <c r="H54" s="69">
        <f>+VLOOKUP(C54,'PRECIOS IDU 2025'!$A$1:$E$3189,4,FALSE)</f>
        <v>3189</v>
      </c>
      <c r="I54" s="69">
        <f t="shared" si="117"/>
        <v>4146</v>
      </c>
      <c r="J54" s="69">
        <f t="shared" si="118"/>
        <v>8339472</v>
      </c>
      <c r="K54" s="9"/>
      <c r="L54" s="3"/>
      <c r="M54" s="76"/>
      <c r="N54" s="78"/>
      <c r="O54" s="76">
        <v>223.14</v>
      </c>
      <c r="P54" s="78">
        <f t="shared" ref="P54" si="192">+ROUND(O54*$I54,0)</f>
        <v>925138</v>
      </c>
      <c r="Q54" s="76"/>
      <c r="R54" s="78"/>
      <c r="S54" s="76">
        <f>+S13</f>
        <v>250.58</v>
      </c>
      <c r="T54" s="78">
        <f t="shared" ref="T54" si="193">+ROUND(S54*$I54,0)</f>
        <v>1038905</v>
      </c>
      <c r="U54" s="76">
        <f>+U13</f>
        <v>600.21</v>
      </c>
      <c r="V54" s="78">
        <f t="shared" ref="V54" si="194">+ROUND(U54*$I54,0)</f>
        <v>2488471</v>
      </c>
      <c r="W54" s="76">
        <f>+W13</f>
        <v>354.44</v>
      </c>
      <c r="X54" s="78">
        <f t="shared" ref="X54" si="195">+ROUND(W54*$I54,0)</f>
        <v>1469508</v>
      </c>
      <c r="Y54" s="76"/>
      <c r="Z54" s="78"/>
      <c r="AA54" s="76">
        <f>+AA13</f>
        <v>583.08000000000004</v>
      </c>
      <c r="AB54" s="78">
        <f t="shared" ref="AB54" si="196">+ROUND(AA54*$I54,0)</f>
        <v>2417450</v>
      </c>
      <c r="AC54" s="76"/>
      <c r="AD54" s="78"/>
    </row>
    <row r="55" spans="1:30"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124"/>
        <v>100.57</v>
      </c>
      <c r="H55" s="69">
        <f>+VLOOKUP(C55,'PRECIOS IDU 2025'!$A$1:$E$3189,4,FALSE)</f>
        <v>3885</v>
      </c>
      <c r="I55" s="69">
        <f t="shared" si="117"/>
        <v>5051</v>
      </c>
      <c r="J55" s="69">
        <f t="shared" si="118"/>
        <v>507979</v>
      </c>
      <c r="K55" s="9"/>
      <c r="L55" s="3"/>
      <c r="M55" s="76"/>
      <c r="N55" s="78"/>
      <c r="O55" s="76">
        <v>11.157</v>
      </c>
      <c r="P55" s="78">
        <f t="shared" ref="P55" si="197">+ROUND(O55*$I55,0)</f>
        <v>56354</v>
      </c>
      <c r="Q55" s="76"/>
      <c r="R55" s="78"/>
      <c r="S55" s="76">
        <f>+S54*0.05</f>
        <v>12.529000000000002</v>
      </c>
      <c r="T55" s="78">
        <f t="shared" ref="T55" si="198">+ROUND(S55*$I55,0)</f>
        <v>63284</v>
      </c>
      <c r="U55" s="76">
        <f>+U54*0.05</f>
        <v>30.010500000000004</v>
      </c>
      <c r="V55" s="78">
        <f t="shared" ref="V55" si="199">+ROUND(U55*$I55,0)</f>
        <v>151583</v>
      </c>
      <c r="W55" s="76">
        <f>+W54*0.05</f>
        <v>17.722000000000001</v>
      </c>
      <c r="X55" s="78">
        <f t="shared" ref="X55" si="200">+ROUND(W55*$I55,0)</f>
        <v>89514</v>
      </c>
      <c r="Y55" s="76"/>
      <c r="Z55" s="78"/>
      <c r="AA55" s="76">
        <f>+AA54*0.05</f>
        <v>29.154000000000003</v>
      </c>
      <c r="AB55" s="78">
        <f t="shared" ref="AB55" si="201">+ROUND(AA55*$I55,0)</f>
        <v>147257</v>
      </c>
      <c r="AC55" s="76"/>
      <c r="AD55" s="78"/>
    </row>
    <row r="56" spans="1:30"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124"/>
        <v>70.400000000000006</v>
      </c>
      <c r="H56" s="69">
        <f>+VLOOKUP(C56,'PRECIOS IDU 2025'!$A$1:$E$3189,4,FALSE)</f>
        <v>1341971</v>
      </c>
      <c r="I56" s="69">
        <f t="shared" si="117"/>
        <v>1744562</v>
      </c>
      <c r="J56" s="69">
        <f t="shared" si="118"/>
        <v>122817165</v>
      </c>
      <c r="K56" s="9"/>
      <c r="L56" s="3"/>
      <c r="M56" s="76"/>
      <c r="N56" s="78"/>
      <c r="O56" s="76">
        <v>7.8098999999999998</v>
      </c>
      <c r="P56" s="78">
        <f t="shared" ref="P56" si="202">+ROUND(O56*$I56,0)</f>
        <v>13624855</v>
      </c>
      <c r="Q56" s="76"/>
      <c r="R56" s="78"/>
      <c r="S56" s="76">
        <f>+S13*$N$3*0.7</f>
        <v>8.7703000000000007</v>
      </c>
      <c r="T56" s="78">
        <f t="shared" ref="T56" si="203">+ROUND(S56*$I56,0)</f>
        <v>15300332</v>
      </c>
      <c r="U56" s="76">
        <f>+U13*$N$3*0.7</f>
        <v>21.007350000000002</v>
      </c>
      <c r="V56" s="78">
        <f t="shared" ref="V56" si="204">+ROUND(U56*$I56,0)</f>
        <v>36648625</v>
      </c>
      <c r="W56" s="76">
        <f>+W13*$N$3*0.7</f>
        <v>12.4054</v>
      </c>
      <c r="X56" s="78">
        <f t="shared" ref="X56" si="205">+ROUND(W56*$I56,0)</f>
        <v>21641989</v>
      </c>
      <c r="Y56" s="76"/>
      <c r="Z56" s="78"/>
      <c r="AA56" s="76">
        <f>+AA13*$N$3*0.7</f>
        <v>20.407800000000002</v>
      </c>
      <c r="AB56" s="78">
        <f t="shared" ref="AB56" si="206">+ROUND(AA56*$I56,0)</f>
        <v>35602672</v>
      </c>
      <c r="AC56" s="76"/>
      <c r="AD56" s="78"/>
    </row>
    <row r="57" spans="1:30"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124"/>
        <v>0</v>
      </c>
      <c r="H57" s="69">
        <f>+VLOOKUP(C57,'PRECIOS IDU 2025'!$A$1:$E$3189,4,FALSE)</f>
        <v>1241977</v>
      </c>
      <c r="I57" s="69">
        <f t="shared" si="117"/>
        <v>1614570</v>
      </c>
      <c r="J57" s="69">
        <f t="shared" si="118"/>
        <v>0</v>
      </c>
      <c r="K57" s="9"/>
      <c r="L57" s="3"/>
      <c r="M57" s="76"/>
      <c r="N57" s="78"/>
      <c r="O57" s="76"/>
      <c r="P57" s="78">
        <f t="shared" ref="P57" si="207">+ROUND(O57*$I57,0)</f>
        <v>0</v>
      </c>
      <c r="Q57" s="76"/>
      <c r="R57" s="78"/>
      <c r="S57" s="76"/>
      <c r="T57" s="78">
        <f t="shared" ref="T57" si="208">+ROUND(S57*$I57,0)</f>
        <v>0</v>
      </c>
      <c r="U57" s="76"/>
      <c r="V57" s="78">
        <f t="shared" ref="V57" si="209">+ROUND(U57*$I57,0)</f>
        <v>0</v>
      </c>
      <c r="W57" s="76"/>
      <c r="X57" s="78">
        <f t="shared" ref="X57" si="210">+ROUND(W57*$I57,0)</f>
        <v>0</v>
      </c>
      <c r="Y57" s="76"/>
      <c r="Z57" s="78"/>
      <c r="AA57" s="76"/>
      <c r="AB57" s="78">
        <f t="shared" ref="AB57" si="211">+ROUND(AA57*$I57,0)</f>
        <v>0</v>
      </c>
      <c r="AC57" s="76"/>
      <c r="AD57" s="78"/>
    </row>
    <row r="58" spans="1:30"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124"/>
        <v>30.17</v>
      </c>
      <c r="H58" s="69">
        <f>+VLOOKUP(C58,'PRECIOS IDU 2025'!$A$1:$E$3189,4,FALSE)</f>
        <v>1556215</v>
      </c>
      <c r="I58" s="69">
        <f t="shared" si="117"/>
        <v>2023080</v>
      </c>
      <c r="J58" s="69">
        <f t="shared" si="118"/>
        <v>61036324</v>
      </c>
      <c r="K58" s="9"/>
      <c r="L58" s="3"/>
      <c r="M58" s="76"/>
      <c r="N58" s="78"/>
      <c r="O58" s="76">
        <v>3.3470999999999997</v>
      </c>
      <c r="P58" s="78">
        <f t="shared" ref="P58" si="212">+ROUND(O58*$I58,0)</f>
        <v>6771451</v>
      </c>
      <c r="Q58" s="76"/>
      <c r="R58" s="78"/>
      <c r="S58" s="76">
        <f>+S13*$N$3*0.3</f>
        <v>3.7587000000000002</v>
      </c>
      <c r="T58" s="78">
        <f t="shared" ref="T58" si="213">+ROUND(S58*$I58,0)</f>
        <v>7604151</v>
      </c>
      <c r="U58" s="76">
        <f>+U13*$N$3*0.3</f>
        <v>9.0031500000000015</v>
      </c>
      <c r="V58" s="78">
        <f t="shared" ref="V58" si="214">+ROUND(U58*$I58,0)</f>
        <v>18214093</v>
      </c>
      <c r="W58" s="76">
        <f>+W13*$N$3*0.3</f>
        <v>5.3166000000000002</v>
      </c>
      <c r="X58" s="78">
        <f t="shared" ref="X58" si="215">+ROUND(W58*$I58,0)</f>
        <v>10755907</v>
      </c>
      <c r="Y58" s="76"/>
      <c r="Z58" s="78"/>
      <c r="AA58" s="76">
        <f>+AA13*$N$3*0.3</f>
        <v>8.7462</v>
      </c>
      <c r="AB58" s="78">
        <f t="shared" ref="AB58" si="216">+ROUND(AA58*$I58,0)</f>
        <v>17694262</v>
      </c>
      <c r="AC58" s="76"/>
      <c r="AD58" s="78"/>
    </row>
    <row r="59" spans="1:30"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124"/>
        <v>20114.5</v>
      </c>
      <c r="H59" s="69">
        <f>+VLOOKUP(C59,'PRECIOS IDU 2025'!$A$1:$E$3189,4,FALSE)</f>
        <v>5591</v>
      </c>
      <c r="I59" s="69">
        <f t="shared" si="117"/>
        <v>7268</v>
      </c>
      <c r="J59" s="69">
        <f t="shared" ref="J59" si="217">+ROUND(I59*G59,0)</f>
        <v>146192186</v>
      </c>
      <c r="K59" s="9"/>
      <c r="L59" s="3"/>
      <c r="M59" s="76"/>
      <c r="N59" s="78"/>
      <c r="O59" s="76">
        <v>2231.3999999999996</v>
      </c>
      <c r="P59" s="78">
        <f t="shared" ref="P59" si="218">+ROUND(O59*$I59,0)</f>
        <v>16217815</v>
      </c>
      <c r="Q59" s="76"/>
      <c r="R59" s="78"/>
      <c r="S59" s="76">
        <f>10*S13</f>
        <v>2505.8000000000002</v>
      </c>
      <c r="T59" s="78">
        <f t="shared" ref="T59" si="219">+ROUND(S59*$I59,0)</f>
        <v>18212154</v>
      </c>
      <c r="U59" s="76">
        <f>10*U13</f>
        <v>6002.1</v>
      </c>
      <c r="V59" s="78">
        <f t="shared" ref="V59" si="220">+ROUND(U59*$I59,0)</f>
        <v>43623263</v>
      </c>
      <c r="W59" s="76">
        <f>10*W13</f>
        <v>3544.4</v>
      </c>
      <c r="X59" s="78">
        <f t="shared" ref="X59" si="221">+ROUND(W59*$I59,0)</f>
        <v>25760699</v>
      </c>
      <c r="Y59" s="76"/>
      <c r="Z59" s="78"/>
      <c r="AA59" s="76">
        <f>10*AA13</f>
        <v>5830.8</v>
      </c>
      <c r="AB59" s="78">
        <f t="shared" ref="AB59" si="222">+ROUND(AA59*$I59,0)</f>
        <v>42378254</v>
      </c>
      <c r="AC59" s="76"/>
      <c r="AD59" s="78"/>
    </row>
    <row r="60" spans="1:30"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124"/>
        <v>2910.57</v>
      </c>
      <c r="H60" s="69">
        <f>+VLOOKUP(C60,'PRECIOS IDU 2025'!$A$1:$E$3189,4,FALSE)</f>
        <v>8404</v>
      </c>
      <c r="I60" s="69">
        <f t="shared" si="117"/>
        <v>10925</v>
      </c>
      <c r="J60" s="69">
        <f t="shared" si="118"/>
        <v>31797977</v>
      </c>
      <c r="K60" s="9"/>
      <c r="L60" s="3"/>
      <c r="M60" s="76"/>
      <c r="N60" s="78"/>
      <c r="O60" s="76">
        <v>322.88357999999999</v>
      </c>
      <c r="P60" s="78">
        <f t="shared" ref="P60" si="223">+ROUND(O60*$I60,0)</f>
        <v>3527503</v>
      </c>
      <c r="Q60" s="76"/>
      <c r="R60" s="78"/>
      <c r="S60" s="76">
        <f>14.47*S13*0.1</f>
        <v>362.58926000000002</v>
      </c>
      <c r="T60" s="78">
        <f t="shared" ref="T60" si="224">+ROUND(S60*$I60,0)</f>
        <v>3961288</v>
      </c>
      <c r="U60" s="76">
        <f>14.47*U13*0.1</f>
        <v>868.50387000000012</v>
      </c>
      <c r="V60" s="78">
        <f t="shared" ref="V60" si="225">+ROUND(U60*$I60,0)</f>
        <v>9488405</v>
      </c>
      <c r="W60" s="76">
        <f>14.47*W13*0.1</f>
        <v>512.87468000000001</v>
      </c>
      <c r="X60" s="78">
        <f t="shared" ref="X60" si="226">+ROUND(W60*$I60,0)</f>
        <v>5603156</v>
      </c>
      <c r="Y60" s="76"/>
      <c r="Z60" s="78"/>
      <c r="AA60" s="76">
        <f>14.47*AA13*0.1</f>
        <v>843.71676000000014</v>
      </c>
      <c r="AB60" s="78">
        <f t="shared" ref="AB60" si="227">+ROUND(AA60*$I60,0)</f>
        <v>9217606</v>
      </c>
      <c r="AC60" s="76"/>
      <c r="AD60" s="78"/>
    </row>
    <row r="61" spans="1:30"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124"/>
        <v>2910.57</v>
      </c>
      <c r="H61" s="69">
        <f>+VLOOKUP(C61,'PRECIOS IDU 2025'!$A$1:$E$3189,4,FALSE)</f>
        <v>7882</v>
      </c>
      <c r="I61" s="69">
        <f t="shared" si="117"/>
        <v>10247</v>
      </c>
      <c r="J61" s="69">
        <f t="shared" si="118"/>
        <v>29824611</v>
      </c>
      <c r="K61" s="9"/>
      <c r="L61" s="3"/>
      <c r="M61" s="76"/>
      <c r="N61" s="78"/>
      <c r="O61" s="76">
        <v>322.88357999999999</v>
      </c>
      <c r="P61" s="78">
        <f t="shared" ref="P61" si="228">+ROUND(O61*$I61,0)</f>
        <v>3308588</v>
      </c>
      <c r="Q61" s="76"/>
      <c r="R61" s="78"/>
      <c r="S61" s="76">
        <f>14.47*S13*0.1</f>
        <v>362.58926000000002</v>
      </c>
      <c r="T61" s="78">
        <f t="shared" ref="T61" si="229">+ROUND(S61*$I61,0)</f>
        <v>3715452</v>
      </c>
      <c r="U61" s="76">
        <f>14.47*U13*0.1</f>
        <v>868.50387000000012</v>
      </c>
      <c r="V61" s="78">
        <f t="shared" ref="V61" si="230">+ROUND(U61*$I61,0)</f>
        <v>8899559</v>
      </c>
      <c r="W61" s="76">
        <f>14.47*W13*0.1</f>
        <v>512.87468000000001</v>
      </c>
      <c r="X61" s="78">
        <f t="shared" ref="X61" si="231">+ROUND(W61*$I61,0)</f>
        <v>5255427</v>
      </c>
      <c r="Y61" s="76"/>
      <c r="Z61" s="78"/>
      <c r="AA61" s="76">
        <f>14.47*AA13*0.1</f>
        <v>843.71676000000014</v>
      </c>
      <c r="AB61" s="78">
        <f t="shared" ref="AB61" si="232">+ROUND(AA61*$I61,0)</f>
        <v>8645566</v>
      </c>
      <c r="AC61" s="76"/>
      <c r="AD61" s="78"/>
    </row>
    <row r="62" spans="1:30"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124"/>
        <v>23284.55</v>
      </c>
      <c r="H62" s="69">
        <f>+VLOOKUP(C62,'PRECIOS IDU 2025'!$A$1:$E$3189,4,FALSE)</f>
        <v>7882</v>
      </c>
      <c r="I62" s="69">
        <f t="shared" si="117"/>
        <v>10247</v>
      </c>
      <c r="J62" s="69">
        <f t="shared" si="118"/>
        <v>238596784</v>
      </c>
      <c r="K62" s="9"/>
      <c r="L62" s="3"/>
      <c r="M62" s="76"/>
      <c r="N62" s="78"/>
      <c r="O62" s="76">
        <v>2583.06864</v>
      </c>
      <c r="P62" s="78">
        <f t="shared" ref="P62" si="233">+ROUND(O62*$I62,0)</f>
        <v>26468704</v>
      </c>
      <c r="Q62" s="76"/>
      <c r="R62" s="78"/>
      <c r="S62" s="76">
        <f>14.47*S13*0.8</f>
        <v>2900.7140800000002</v>
      </c>
      <c r="T62" s="78">
        <f t="shared" ref="T62" si="234">+ROUND(S62*$I62,0)</f>
        <v>29723617</v>
      </c>
      <c r="U62" s="76">
        <f>14.47*U13*0.8</f>
        <v>6948.030960000001</v>
      </c>
      <c r="V62" s="78">
        <f t="shared" ref="V62" si="235">+ROUND(U62*$I62,0)</f>
        <v>71196473</v>
      </c>
      <c r="W62" s="76">
        <f>14.47*W13*0.8</f>
        <v>4102.9974400000001</v>
      </c>
      <c r="X62" s="78">
        <f t="shared" ref="X62" si="236">+ROUND(W62*$I62,0)</f>
        <v>42043415</v>
      </c>
      <c r="Y62" s="76"/>
      <c r="Z62" s="78"/>
      <c r="AA62" s="76">
        <f>14.47*AA13*0.8</f>
        <v>6749.7340800000011</v>
      </c>
      <c r="AB62" s="78">
        <f t="shared" ref="AB62" si="237">+ROUND(AA62*$I62,0)</f>
        <v>69164525</v>
      </c>
      <c r="AC62" s="76"/>
      <c r="AD62" s="78"/>
    </row>
    <row r="63" spans="1:30"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124"/>
        <v>402.29</v>
      </c>
      <c r="H63" s="69">
        <f>+VLOOKUP(C63,'PRECIOS IDU 2025'!$A$1:$E$3189,4,FALSE)</f>
        <v>875661</v>
      </c>
      <c r="I63" s="69">
        <f t="shared" si="117"/>
        <v>1138359</v>
      </c>
      <c r="J63" s="69">
        <f t="shared" si="118"/>
        <v>457950442</v>
      </c>
      <c r="K63" s="9"/>
      <c r="L63" s="3"/>
      <c r="M63" s="76"/>
      <c r="N63" s="78"/>
      <c r="O63" s="76">
        <v>44.628</v>
      </c>
      <c r="P63" s="78">
        <f t="shared" ref="P63" si="238">+ROUND(O63*$I63,0)</f>
        <v>50802685</v>
      </c>
      <c r="Q63" s="76"/>
      <c r="R63" s="78"/>
      <c r="S63" s="76">
        <f>+S13*$M$3</f>
        <v>50.116000000000007</v>
      </c>
      <c r="T63" s="78">
        <f t="shared" ref="T63" si="239">+ROUND(S63*$I63,0)</f>
        <v>57050000</v>
      </c>
      <c r="U63" s="76">
        <f>+U13*$M$3</f>
        <v>120.04200000000002</v>
      </c>
      <c r="V63" s="78">
        <f t="shared" ref="V63" si="240">+ROUND(U63*$I63,0)</f>
        <v>136650891</v>
      </c>
      <c r="W63" s="76">
        <f>+W13*$M$3</f>
        <v>70.888000000000005</v>
      </c>
      <c r="X63" s="78">
        <f t="shared" ref="X63" si="241">+ROUND(W63*$I63,0)</f>
        <v>80695993</v>
      </c>
      <c r="Y63" s="76"/>
      <c r="Z63" s="78"/>
      <c r="AA63" s="76">
        <f>+AA13*$M$3</f>
        <v>116.61600000000001</v>
      </c>
      <c r="AB63" s="78">
        <f t="shared" ref="AB63" si="242">+ROUND(AA63*$I63,0)</f>
        <v>132750873</v>
      </c>
      <c r="AC63" s="76"/>
      <c r="AD63" s="78"/>
    </row>
    <row r="64" spans="1:30"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124"/>
        <v>0</v>
      </c>
      <c r="H64" s="69">
        <f>+VLOOKUP(C64,'PRECIOS IDU 2025'!$A$1:$E$3189,4,FALSE)</f>
        <v>890453</v>
      </c>
      <c r="I64" s="69">
        <f t="shared" si="117"/>
        <v>1157589</v>
      </c>
      <c r="J64" s="69">
        <f t="shared" si="118"/>
        <v>0</v>
      </c>
      <c r="K64" s="9"/>
      <c r="L64" s="3"/>
      <c r="M64" s="76"/>
      <c r="N64" s="78"/>
      <c r="O64" s="76"/>
      <c r="P64" s="78">
        <f t="shared" ref="P64" si="243">+ROUND(O64*$I64,0)</f>
        <v>0</v>
      </c>
      <c r="Q64" s="76"/>
      <c r="R64" s="78"/>
      <c r="S64" s="76"/>
      <c r="T64" s="78">
        <f t="shared" ref="T64" si="244">+ROUND(S64*$I64,0)</f>
        <v>0</v>
      </c>
      <c r="U64" s="76"/>
      <c r="V64" s="78">
        <f t="shared" ref="V64" si="245">+ROUND(U64*$I64,0)</f>
        <v>0</v>
      </c>
      <c r="W64" s="76"/>
      <c r="X64" s="78">
        <f t="shared" ref="X64" si="246">+ROUND(W64*$I64,0)</f>
        <v>0</v>
      </c>
      <c r="Y64" s="76"/>
      <c r="Z64" s="78"/>
      <c r="AA64" s="76"/>
      <c r="AB64" s="78">
        <f t="shared" ref="AB64" si="247">+ROUND(AA64*$I64,0)</f>
        <v>0</v>
      </c>
      <c r="AC64" s="76"/>
      <c r="AD64" s="78"/>
    </row>
    <row r="65" spans="1:30"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124"/>
        <v>2011.45</v>
      </c>
      <c r="H65" s="69">
        <f>+VLOOKUP(C65,'PRECIOS IDU 2025'!$A$1:$E$3189,4,FALSE)</f>
        <v>2554</v>
      </c>
      <c r="I65" s="69">
        <f t="shared" si="117"/>
        <v>3320</v>
      </c>
      <c r="J65" s="69">
        <f t="shared" si="118"/>
        <v>6678014</v>
      </c>
      <c r="K65" s="9"/>
      <c r="L65" s="3"/>
      <c r="M65" s="76"/>
      <c r="N65" s="78"/>
      <c r="O65" s="76">
        <v>223.14</v>
      </c>
      <c r="P65" s="78">
        <f t="shared" ref="P65" si="248">+ROUND(O65*$I65,0)</f>
        <v>740825</v>
      </c>
      <c r="Q65" s="76"/>
      <c r="R65" s="78"/>
      <c r="S65" s="76">
        <f>+S13</f>
        <v>250.58</v>
      </c>
      <c r="T65" s="78">
        <f t="shared" ref="T65" si="249">+ROUND(S65*$I65,0)</f>
        <v>831926</v>
      </c>
      <c r="U65" s="76">
        <f>+U13</f>
        <v>600.21</v>
      </c>
      <c r="V65" s="78">
        <f t="shared" ref="V65" si="250">+ROUND(U65*$I65,0)</f>
        <v>1992697</v>
      </c>
      <c r="W65" s="76">
        <f>+W13</f>
        <v>354.44</v>
      </c>
      <c r="X65" s="78">
        <f t="shared" ref="X65" si="251">+ROUND(W65*$I65,0)</f>
        <v>1176741</v>
      </c>
      <c r="Y65" s="76"/>
      <c r="Z65" s="78"/>
      <c r="AA65" s="76">
        <f>+AA13</f>
        <v>583.08000000000004</v>
      </c>
      <c r="AB65" s="78">
        <f t="shared" ref="AB65" si="252">+ROUND(AA65*$I65,0)</f>
        <v>1935826</v>
      </c>
      <c r="AC65" s="76"/>
      <c r="AD65" s="78"/>
    </row>
    <row r="66" spans="1:30"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124"/>
        <v>710.74</v>
      </c>
      <c r="H66" s="69">
        <f>+VLOOKUP(C66,'PRECIOS IDU 2025'!$A$1:$E$3189,4,FALSE)</f>
        <v>13778</v>
      </c>
      <c r="I66" s="69">
        <f t="shared" si="117"/>
        <v>17911</v>
      </c>
      <c r="J66" s="69">
        <f t="shared" si="118"/>
        <v>12730064</v>
      </c>
      <c r="K66" s="9"/>
      <c r="L66" s="3"/>
      <c r="M66" s="76"/>
      <c r="N66" s="78"/>
      <c r="O66" s="76">
        <v>86.226133333333337</v>
      </c>
      <c r="P66" s="78">
        <f t="shared" ref="P66" si="253">+ROUND(O66*$I66,0)</f>
        <v>1544396</v>
      </c>
      <c r="Q66" s="76"/>
      <c r="R66" s="78"/>
      <c r="S66" s="76">
        <f>+S11+S12*S11/4.5</f>
        <v>89.684444444444438</v>
      </c>
      <c r="T66" s="78">
        <f t="shared" ref="T66" si="254">+ROUND(S66*$I66,0)</f>
        <v>1606338</v>
      </c>
      <c r="U66" s="76">
        <f>+U11+U12*U11/4.5</f>
        <v>219.37004444444443</v>
      </c>
      <c r="V66" s="78">
        <f t="shared" ref="V66" si="255">+ROUND(U66*$I66,0)</f>
        <v>3929137</v>
      </c>
      <c r="W66" s="76">
        <f>+W11+W12*W11/4.5</f>
        <v>127.92524444444443</v>
      </c>
      <c r="X66" s="78">
        <f t="shared" ref="X66" si="256">+ROUND(W66*$I66,0)</f>
        <v>2291269</v>
      </c>
      <c r="Y66" s="76"/>
      <c r="Z66" s="78"/>
      <c r="AA66" s="76">
        <f>+AA11+AA12*AA11/4.5</f>
        <v>187.53280000000004</v>
      </c>
      <c r="AB66" s="78">
        <f t="shared" ref="AB66" si="257">+ROUND(AA66*$I66,0)</f>
        <v>3358900</v>
      </c>
      <c r="AC66" s="76"/>
      <c r="AD66" s="78"/>
    </row>
    <row r="67" spans="1:30"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124"/>
        <v>603.44000000000005</v>
      </c>
      <c r="H67" s="69">
        <f>+VLOOKUP(C67,'PRECIOS IDU 2025'!$A$1:$E$3189,4,FALSE)</f>
        <v>10578</v>
      </c>
      <c r="I67" s="69">
        <f t="shared" si="117"/>
        <v>13751</v>
      </c>
      <c r="J67" s="69">
        <f t="shared" si="118"/>
        <v>8297903</v>
      </c>
      <c r="K67" s="9"/>
      <c r="L67" s="3"/>
      <c r="M67" s="76"/>
      <c r="N67" s="78"/>
      <c r="O67" s="76">
        <v>66.941999999999993</v>
      </c>
      <c r="P67" s="78">
        <f t="shared" ref="P67" si="258">+ROUND(O67*$I67,0)</f>
        <v>920519</v>
      </c>
      <c r="Q67" s="76"/>
      <c r="R67" s="78"/>
      <c r="S67" s="76">
        <f>0.3*S13</f>
        <v>75.174000000000007</v>
      </c>
      <c r="T67" s="78">
        <f t="shared" ref="T67" si="259">+ROUND(S67*$I67,0)</f>
        <v>1033718</v>
      </c>
      <c r="U67" s="76">
        <f>0.3*U13</f>
        <v>180.06300000000002</v>
      </c>
      <c r="V67" s="78">
        <f t="shared" ref="V67" si="260">+ROUND(U67*$I67,0)</f>
        <v>2476046</v>
      </c>
      <c r="W67" s="76">
        <f>0.3*W13</f>
        <v>106.33199999999999</v>
      </c>
      <c r="X67" s="78">
        <f t="shared" ref="X67" si="261">+ROUND(W67*$I67,0)</f>
        <v>1462171</v>
      </c>
      <c r="Y67" s="76"/>
      <c r="Z67" s="78"/>
      <c r="AA67" s="76">
        <f>0.3*AA13</f>
        <v>174.92400000000001</v>
      </c>
      <c r="AB67" s="78">
        <f t="shared" ref="AB67" si="262">+ROUND(AA67*$I67,0)</f>
        <v>2405380</v>
      </c>
      <c r="AC67" s="76"/>
      <c r="AD67" s="78"/>
    </row>
    <row r="68" spans="1:30" ht="30" customHeight="1" x14ac:dyDescent="0.3">
      <c r="A68" s="3"/>
      <c r="B68" s="8"/>
      <c r="C68" s="61" t="s">
        <v>6078</v>
      </c>
      <c r="D68" s="62"/>
      <c r="E68" s="62"/>
      <c r="F68" s="62"/>
      <c r="G68" s="62"/>
      <c r="H68" s="62"/>
      <c r="I68" s="62"/>
      <c r="J68" s="63"/>
      <c r="K68" s="9"/>
      <c r="L68" s="3"/>
      <c r="M68" s="76"/>
      <c r="N68" s="78"/>
      <c r="O68" s="76"/>
      <c r="P68" s="78">
        <f t="shared" ref="P68" si="263">+ROUND(O68*$I68,0)</f>
        <v>0</v>
      </c>
      <c r="Q68" s="76"/>
      <c r="R68" s="78"/>
      <c r="S68" s="76"/>
      <c r="T68" s="78">
        <f t="shared" ref="T68" si="264">+ROUND(S68*$I68,0)</f>
        <v>0</v>
      </c>
      <c r="U68" s="76"/>
      <c r="V68" s="78">
        <f t="shared" ref="V68" si="265">+ROUND(U68*$I68,0)</f>
        <v>0</v>
      </c>
      <c r="W68" s="76"/>
      <c r="X68" s="78">
        <f t="shared" ref="X68" si="266">+ROUND(W68*$I68,0)</f>
        <v>0</v>
      </c>
      <c r="Y68" s="76"/>
      <c r="Z68" s="78"/>
      <c r="AA68" s="76"/>
      <c r="AB68" s="78">
        <f t="shared" ref="AB68" si="267">+ROUND(AA68*$I68,0)</f>
        <v>0</v>
      </c>
      <c r="AC68" s="76"/>
      <c r="AD68" s="78"/>
    </row>
    <row r="69" spans="1:30" ht="30" customHeight="1" x14ac:dyDescent="0.3">
      <c r="A69" s="3"/>
      <c r="B69" s="8"/>
      <c r="C69" s="60">
        <v>3007</v>
      </c>
      <c r="D69" s="60">
        <v>3001</v>
      </c>
      <c r="E69" s="60" t="str">
        <f>+VLOOKUP(C69,'PRECIOS IDU 2025'!$A$1:$E$3189,2,FALSE)</f>
        <v>REPLANTEO GENERAL</v>
      </c>
      <c r="F69" s="60" t="str">
        <f>+VLOOKUP(C69,'PRECIOS IDU 2025'!$A$1:$E$3189,3,FALSE)</f>
        <v>M2</v>
      </c>
      <c r="G69" s="108">
        <f t="shared" ref="G69:G85" si="268">+ROUND(M69+O69+Q69+S69+U69+W69+Y69+AA69+AC69,2)</f>
        <v>0</v>
      </c>
      <c r="H69" s="69">
        <f>+VLOOKUP(C69,'PRECIOS IDU 2025'!$A$1:$E$3189,4,FALSE)</f>
        <v>909</v>
      </c>
      <c r="I69" s="69">
        <f t="shared" ref="I69:I85" si="269">+ROUND(H69*(1+$J$192),0)</f>
        <v>1182</v>
      </c>
      <c r="J69" s="69">
        <f t="shared" ref="J69:J85" si="270">+ROUND(I69*G69,0)</f>
        <v>0</v>
      </c>
      <c r="K69" s="9"/>
      <c r="L69" s="3"/>
      <c r="M69" s="76"/>
      <c r="N69" s="78"/>
      <c r="O69" s="76"/>
      <c r="P69" s="78">
        <f t="shared" ref="P69" si="271">+ROUND(O69*$I69,0)</f>
        <v>0</v>
      </c>
      <c r="Q69" s="76"/>
      <c r="R69" s="78"/>
      <c r="S69" s="76"/>
      <c r="T69" s="78">
        <f t="shared" ref="T69" si="272">+ROUND(S69*$I69,0)</f>
        <v>0</v>
      </c>
      <c r="U69" s="76"/>
      <c r="V69" s="78">
        <f t="shared" ref="V69" si="273">+ROUND(U69*$I69,0)</f>
        <v>0</v>
      </c>
      <c r="W69" s="76"/>
      <c r="X69" s="78">
        <f t="shared" ref="X69" si="274">+ROUND(W69*$I69,0)</f>
        <v>0</v>
      </c>
      <c r="Y69" s="76"/>
      <c r="Z69" s="78"/>
      <c r="AA69" s="76"/>
      <c r="AB69" s="78">
        <f t="shared" ref="AB69" si="275">+ROUND(AA69*$I69,0)</f>
        <v>0</v>
      </c>
      <c r="AC69" s="76"/>
      <c r="AD69" s="78"/>
    </row>
    <row r="70" spans="1:30"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268"/>
        <v>0</v>
      </c>
      <c r="H70" s="69">
        <f>+VLOOKUP(C70,'PRECIOS IDU 2025'!$A$1:$E$3189,4,FALSE)</f>
        <v>2659</v>
      </c>
      <c r="I70" s="69">
        <f t="shared" si="269"/>
        <v>3457</v>
      </c>
      <c r="J70" s="69">
        <f t="shared" si="270"/>
        <v>0</v>
      </c>
      <c r="K70" s="9"/>
      <c r="L70" s="3"/>
      <c r="M70" s="76"/>
      <c r="N70" s="78"/>
      <c r="O70" s="76"/>
      <c r="P70" s="78">
        <f t="shared" ref="P70" si="276">+ROUND(O70*$I70,0)</f>
        <v>0</v>
      </c>
      <c r="Q70" s="76"/>
      <c r="R70" s="78"/>
      <c r="S70" s="76"/>
      <c r="T70" s="78">
        <f t="shared" ref="T70" si="277">+ROUND(S70*$I70,0)</f>
        <v>0</v>
      </c>
      <c r="U70" s="76"/>
      <c r="V70" s="78">
        <f t="shared" ref="V70" si="278">+ROUND(U70*$I70,0)</f>
        <v>0</v>
      </c>
      <c r="W70" s="76"/>
      <c r="X70" s="78">
        <f t="shared" ref="X70" si="279">+ROUND(W70*$I70,0)</f>
        <v>0</v>
      </c>
      <c r="Y70" s="76"/>
      <c r="Z70" s="78"/>
      <c r="AA70" s="76"/>
      <c r="AB70" s="78">
        <f t="shared" ref="AB70" si="280">+ROUND(AA70*$I70,0)</f>
        <v>0</v>
      </c>
      <c r="AC70" s="76"/>
      <c r="AD70" s="78"/>
    </row>
    <row r="71" spans="1:30"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268"/>
        <v>0</v>
      </c>
      <c r="H71" s="69">
        <f>+VLOOKUP(C71,'PRECIOS IDU 2025'!$A$1:$E$3189,4,FALSE)</f>
        <v>38781</v>
      </c>
      <c r="I71" s="69">
        <f t="shared" si="269"/>
        <v>50415</v>
      </c>
      <c r="J71" s="69">
        <f t="shared" si="270"/>
        <v>0</v>
      </c>
      <c r="K71" s="9"/>
      <c r="L71" s="3"/>
      <c r="M71" s="76"/>
      <c r="N71" s="78"/>
      <c r="O71" s="76"/>
      <c r="P71" s="78">
        <f t="shared" ref="P71" si="281">+ROUND(O71*$I71,0)</f>
        <v>0</v>
      </c>
      <c r="Q71" s="76"/>
      <c r="R71" s="78"/>
      <c r="S71" s="76"/>
      <c r="T71" s="78">
        <f t="shared" ref="T71" si="282">+ROUND(S71*$I71,0)</f>
        <v>0</v>
      </c>
      <c r="U71" s="76"/>
      <c r="V71" s="78">
        <f t="shared" ref="V71" si="283">+ROUND(U71*$I71,0)</f>
        <v>0</v>
      </c>
      <c r="W71" s="76"/>
      <c r="X71" s="78">
        <f t="shared" ref="X71" si="284">+ROUND(W71*$I71,0)</f>
        <v>0</v>
      </c>
      <c r="Y71" s="76"/>
      <c r="Z71" s="78"/>
      <c r="AA71" s="76"/>
      <c r="AB71" s="78">
        <f t="shared" ref="AB71" si="285">+ROUND(AA71*$I71,0)</f>
        <v>0</v>
      </c>
      <c r="AC71" s="76"/>
      <c r="AD71" s="78"/>
    </row>
    <row r="72" spans="1:30"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268"/>
        <v>0</v>
      </c>
      <c r="H72" s="69">
        <f>+VLOOKUP(C72,'PRECIOS IDU 2025'!$A$1:$E$3189,4,FALSE)</f>
        <v>5741</v>
      </c>
      <c r="I72" s="69">
        <f t="shared" si="269"/>
        <v>7463</v>
      </c>
      <c r="J72" s="69">
        <f t="shared" si="270"/>
        <v>0</v>
      </c>
      <c r="K72" s="9"/>
      <c r="L72" s="3"/>
      <c r="M72" s="76"/>
      <c r="N72" s="78"/>
      <c r="O72" s="76"/>
      <c r="P72" s="78">
        <f t="shared" ref="P72" si="286">+ROUND(O72*$I72,0)</f>
        <v>0</v>
      </c>
      <c r="Q72" s="76"/>
      <c r="R72" s="78"/>
      <c r="S72" s="76"/>
      <c r="T72" s="78">
        <f t="shared" ref="T72" si="287">+ROUND(S72*$I72,0)</f>
        <v>0</v>
      </c>
      <c r="U72" s="76"/>
      <c r="V72" s="78">
        <f t="shared" ref="V72" si="288">+ROUND(U72*$I72,0)</f>
        <v>0</v>
      </c>
      <c r="W72" s="76"/>
      <c r="X72" s="78">
        <f t="shared" ref="X72" si="289">+ROUND(W72*$I72,0)</f>
        <v>0</v>
      </c>
      <c r="Y72" s="76"/>
      <c r="Z72" s="78"/>
      <c r="AA72" s="76"/>
      <c r="AB72" s="78">
        <f t="shared" ref="AB72" si="290">+ROUND(AA72*$I72,0)</f>
        <v>0</v>
      </c>
      <c r="AC72" s="76"/>
      <c r="AD72" s="78"/>
    </row>
    <row r="73" spans="1:30"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268"/>
        <v>0</v>
      </c>
      <c r="H73" s="69">
        <f>+VLOOKUP(C73,'PRECIOS IDU 2025'!$A$1:$E$3189,4,FALSE)</f>
        <v>46379</v>
      </c>
      <c r="I73" s="69">
        <f t="shared" si="269"/>
        <v>60293</v>
      </c>
      <c r="J73" s="69">
        <f t="shared" si="270"/>
        <v>0</v>
      </c>
      <c r="K73" s="9"/>
      <c r="L73" s="3"/>
      <c r="M73" s="76"/>
      <c r="N73" s="78"/>
      <c r="O73" s="76"/>
      <c r="P73" s="78">
        <f t="shared" ref="P73" si="291">+ROUND(O73*$I73,0)</f>
        <v>0</v>
      </c>
      <c r="Q73" s="76"/>
      <c r="R73" s="78"/>
      <c r="S73" s="76"/>
      <c r="T73" s="78">
        <f t="shared" ref="T73" si="292">+ROUND(S73*$I73,0)</f>
        <v>0</v>
      </c>
      <c r="U73" s="76"/>
      <c r="V73" s="78">
        <f t="shared" ref="V73" si="293">+ROUND(U73*$I73,0)</f>
        <v>0</v>
      </c>
      <c r="W73" s="76"/>
      <c r="X73" s="78">
        <f t="shared" ref="X73" si="294">+ROUND(W73*$I73,0)</f>
        <v>0</v>
      </c>
      <c r="Y73" s="76"/>
      <c r="Z73" s="78"/>
      <c r="AA73" s="76"/>
      <c r="AB73" s="78">
        <f t="shared" ref="AB73" si="295">+ROUND(AA73*$I73,0)</f>
        <v>0</v>
      </c>
      <c r="AC73" s="76"/>
      <c r="AD73" s="78"/>
    </row>
    <row r="74" spans="1:30"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268"/>
        <v>0</v>
      </c>
      <c r="H74" s="69">
        <f>+VLOOKUP(C74,'PRECIOS IDU 2025'!$A$1:$E$3189,4,FALSE)</f>
        <v>45600</v>
      </c>
      <c r="I74" s="69">
        <f t="shared" si="269"/>
        <v>59280</v>
      </c>
      <c r="J74" s="69">
        <f t="shared" si="270"/>
        <v>0</v>
      </c>
      <c r="K74" s="9"/>
      <c r="L74" s="3"/>
      <c r="M74" s="76"/>
      <c r="N74" s="78"/>
      <c r="O74" s="76"/>
      <c r="P74" s="78">
        <f t="shared" ref="P74" si="296">+ROUND(O74*$I74,0)</f>
        <v>0</v>
      </c>
      <c r="Q74" s="76"/>
      <c r="R74" s="78"/>
      <c r="S74" s="76"/>
      <c r="T74" s="78">
        <f t="shared" ref="T74" si="297">+ROUND(S74*$I74,0)</f>
        <v>0</v>
      </c>
      <c r="U74" s="76"/>
      <c r="V74" s="78">
        <f t="shared" ref="V74" si="298">+ROUND(U74*$I74,0)</f>
        <v>0</v>
      </c>
      <c r="W74" s="76"/>
      <c r="X74" s="78">
        <f t="shared" ref="X74" si="299">+ROUND(W74*$I74,0)</f>
        <v>0</v>
      </c>
      <c r="Y74" s="76"/>
      <c r="Z74" s="78"/>
      <c r="AA74" s="76"/>
      <c r="AB74" s="78">
        <f t="shared" ref="AB74" si="300">+ROUND(AA74*$I74,0)</f>
        <v>0</v>
      </c>
      <c r="AC74" s="76"/>
      <c r="AD74" s="78"/>
    </row>
    <row r="75" spans="1:30" ht="15.6" x14ac:dyDescent="0.3">
      <c r="A75" s="3"/>
      <c r="B75" s="8"/>
      <c r="C75" s="60">
        <v>3800</v>
      </c>
      <c r="D75" s="60">
        <v>3007</v>
      </c>
      <c r="E75" s="60" t="str">
        <f>+VLOOKUP(C75,'PRECIOS IDU 2025'!$A$1:$E$3189,2,FALSE)</f>
        <v>NIVELACION Y COMPACTACIÓN DE SUBRASANTE</v>
      </c>
      <c r="F75" s="60" t="str">
        <f>+VLOOKUP(C75,'PRECIOS IDU 2025'!$A$1:$E$3189,3,FALSE)</f>
        <v>M2</v>
      </c>
      <c r="G75" s="108">
        <f t="shared" si="268"/>
        <v>0</v>
      </c>
      <c r="H75" s="69">
        <f>+VLOOKUP(C75,'PRECIOS IDU 2025'!$A$1:$E$3189,4,FALSE)</f>
        <v>1757</v>
      </c>
      <c r="I75" s="69">
        <f t="shared" si="269"/>
        <v>2284</v>
      </c>
      <c r="J75" s="69">
        <f t="shared" ref="J75" si="301">+ROUND(I75*G75,0)</f>
        <v>0</v>
      </c>
      <c r="K75" s="9"/>
      <c r="L75" s="3"/>
      <c r="M75" s="76"/>
      <c r="N75" s="78"/>
      <c r="O75" s="76"/>
      <c r="P75" s="78">
        <f t="shared" ref="P75" si="302">+ROUND(O75*$I75,0)</f>
        <v>0</v>
      </c>
      <c r="Q75" s="76"/>
      <c r="R75" s="78"/>
      <c r="S75" s="76"/>
      <c r="T75" s="78">
        <f t="shared" ref="T75" si="303">+ROUND(S75*$I75,0)</f>
        <v>0</v>
      </c>
      <c r="U75" s="76"/>
      <c r="V75" s="78">
        <f t="shared" ref="V75" si="304">+ROUND(U75*$I75,0)</f>
        <v>0</v>
      </c>
      <c r="W75" s="76"/>
      <c r="X75" s="78">
        <f t="shared" ref="X75" si="305">+ROUND(W75*$I75,0)</f>
        <v>0</v>
      </c>
      <c r="Y75" s="76"/>
      <c r="Z75" s="78"/>
      <c r="AA75" s="76"/>
      <c r="AB75" s="78">
        <f t="shared" ref="AB75" si="306">+ROUND(AA75*$I75,0)</f>
        <v>0</v>
      </c>
      <c r="AC75" s="76"/>
      <c r="AD75" s="78"/>
    </row>
    <row r="76" spans="1:30"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268"/>
        <v>0</v>
      </c>
      <c r="H76" s="69">
        <f>+VLOOKUP(C76,'PRECIOS IDU 2025'!$A$1:$E$3189,4,FALSE)</f>
        <v>32622</v>
      </c>
      <c r="I76" s="69">
        <f t="shared" si="269"/>
        <v>42409</v>
      </c>
      <c r="J76" s="69">
        <f t="shared" si="270"/>
        <v>0</v>
      </c>
      <c r="K76" s="9"/>
      <c r="L76" s="3"/>
      <c r="M76" s="76"/>
      <c r="N76" s="78"/>
      <c r="O76" s="76"/>
      <c r="P76" s="78">
        <f t="shared" ref="P76" si="307">+ROUND(O76*$I76,0)</f>
        <v>0</v>
      </c>
      <c r="Q76" s="76"/>
      <c r="R76" s="78"/>
      <c r="S76" s="76"/>
      <c r="T76" s="78">
        <f t="shared" ref="T76" si="308">+ROUND(S76*$I76,0)</f>
        <v>0</v>
      </c>
      <c r="U76" s="76"/>
      <c r="V76" s="78">
        <f t="shared" ref="V76" si="309">+ROUND(U76*$I76,0)</f>
        <v>0</v>
      </c>
      <c r="W76" s="76"/>
      <c r="X76" s="78">
        <f t="shared" ref="X76" si="310">+ROUND(W76*$I76,0)</f>
        <v>0</v>
      </c>
      <c r="Y76" s="76"/>
      <c r="Z76" s="78"/>
      <c r="AA76" s="76"/>
      <c r="AB76" s="78">
        <f t="shared" ref="AB76" si="311">+ROUND(AA76*$I76,0)</f>
        <v>0</v>
      </c>
      <c r="AC76" s="76"/>
      <c r="AD76" s="78"/>
    </row>
    <row r="77" spans="1:30"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268"/>
        <v>0</v>
      </c>
      <c r="H77" s="69">
        <f>+VLOOKUP(C77,'PRECIOS IDU 2025'!$A$1:$E$3189,4,FALSE)</f>
        <v>3189</v>
      </c>
      <c r="I77" s="69">
        <f t="shared" si="269"/>
        <v>4146</v>
      </c>
      <c r="J77" s="69">
        <f t="shared" ref="J77:J79" si="312">+ROUND(I77*G77,0)</f>
        <v>0</v>
      </c>
      <c r="K77" s="9"/>
      <c r="L77" s="3"/>
      <c r="M77" s="76"/>
      <c r="N77" s="78"/>
      <c r="O77" s="76"/>
      <c r="P77" s="78">
        <f t="shared" ref="P77" si="313">+ROUND(O77*$I77,0)</f>
        <v>0</v>
      </c>
      <c r="Q77" s="76"/>
      <c r="R77" s="78"/>
      <c r="S77" s="76"/>
      <c r="T77" s="78">
        <f t="shared" ref="T77" si="314">+ROUND(S77*$I77,0)</f>
        <v>0</v>
      </c>
      <c r="U77" s="76"/>
      <c r="V77" s="78">
        <f t="shared" ref="V77" si="315">+ROUND(U77*$I77,0)</f>
        <v>0</v>
      </c>
      <c r="W77" s="76"/>
      <c r="X77" s="78">
        <f t="shared" ref="X77" si="316">+ROUND(W77*$I77,0)</f>
        <v>0</v>
      </c>
      <c r="Y77" s="76"/>
      <c r="Z77" s="78"/>
      <c r="AA77" s="76"/>
      <c r="AB77" s="78">
        <f t="shared" ref="AB77" si="317">+ROUND(AA77*$I77,0)</f>
        <v>0</v>
      </c>
      <c r="AC77" s="76"/>
      <c r="AD77" s="78"/>
    </row>
    <row r="78" spans="1:30"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268"/>
        <v>0</v>
      </c>
      <c r="H78" s="69">
        <f>+VLOOKUP(C78,'PRECIOS IDU 2025'!$A$1:$E$3189,4,FALSE)</f>
        <v>3885</v>
      </c>
      <c r="I78" s="69">
        <f t="shared" si="269"/>
        <v>5051</v>
      </c>
      <c r="J78" s="69">
        <f t="shared" si="312"/>
        <v>0</v>
      </c>
      <c r="K78" s="9"/>
      <c r="L78" s="3"/>
      <c r="M78" s="76"/>
      <c r="N78" s="78"/>
      <c r="O78" s="76"/>
      <c r="P78" s="78">
        <f t="shared" ref="P78" si="318">+ROUND(O78*$I78,0)</f>
        <v>0</v>
      </c>
      <c r="Q78" s="76"/>
      <c r="R78" s="78"/>
      <c r="S78" s="76"/>
      <c r="T78" s="78">
        <f t="shared" ref="T78" si="319">+ROUND(S78*$I78,0)</f>
        <v>0</v>
      </c>
      <c r="U78" s="76"/>
      <c r="V78" s="78">
        <f t="shared" ref="V78" si="320">+ROUND(U78*$I78,0)</f>
        <v>0</v>
      </c>
      <c r="W78" s="76"/>
      <c r="X78" s="78">
        <f t="shared" ref="X78" si="321">+ROUND(W78*$I78,0)</f>
        <v>0</v>
      </c>
      <c r="Y78" s="76"/>
      <c r="Z78" s="78"/>
      <c r="AA78" s="76"/>
      <c r="AB78" s="78">
        <f t="shared" ref="AB78" si="322">+ROUND(AA78*$I78,0)</f>
        <v>0</v>
      </c>
      <c r="AC78" s="76"/>
      <c r="AD78" s="78"/>
    </row>
    <row r="79" spans="1:30"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268"/>
        <v>0</v>
      </c>
      <c r="H79" s="69">
        <f>+VLOOKUP(C79,'PRECIOS IDU 2025'!$A$1:$E$3189,4,FALSE)</f>
        <v>1341971</v>
      </c>
      <c r="I79" s="69">
        <f t="shared" si="269"/>
        <v>1744562</v>
      </c>
      <c r="J79" s="69">
        <f t="shared" si="312"/>
        <v>0</v>
      </c>
      <c r="K79" s="9"/>
      <c r="L79" s="3"/>
      <c r="M79" s="76"/>
      <c r="N79" s="78"/>
      <c r="O79" s="76"/>
      <c r="P79" s="78">
        <f t="shared" ref="P79" si="323">+ROUND(O79*$I79,0)</f>
        <v>0</v>
      </c>
      <c r="Q79" s="76"/>
      <c r="R79" s="78"/>
      <c r="S79" s="76"/>
      <c r="T79" s="78">
        <f t="shared" ref="T79" si="324">+ROUND(S79*$I79,0)</f>
        <v>0</v>
      </c>
      <c r="U79" s="76"/>
      <c r="V79" s="78">
        <f t="shared" ref="V79" si="325">+ROUND(U79*$I79,0)</f>
        <v>0</v>
      </c>
      <c r="W79" s="76"/>
      <c r="X79" s="78">
        <f t="shared" ref="X79" si="326">+ROUND(W79*$I79,0)</f>
        <v>0</v>
      </c>
      <c r="Y79" s="76"/>
      <c r="Z79" s="78"/>
      <c r="AA79" s="76"/>
      <c r="AB79" s="78">
        <f t="shared" ref="AB79" si="327">+ROUND(AA79*$I79,0)</f>
        <v>0</v>
      </c>
      <c r="AC79" s="76"/>
      <c r="AD79" s="78"/>
    </row>
    <row r="80" spans="1:30"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268"/>
        <v>0</v>
      </c>
      <c r="H80" s="69">
        <f>+VLOOKUP(C80,'PRECIOS IDU 2025'!$A$1:$E$3189,4,FALSE)</f>
        <v>1241977</v>
      </c>
      <c r="I80" s="69">
        <f t="shared" si="269"/>
        <v>1614570</v>
      </c>
      <c r="J80" s="69">
        <f t="shared" si="270"/>
        <v>0</v>
      </c>
      <c r="K80" s="9"/>
      <c r="L80" s="3"/>
      <c r="M80" s="76"/>
      <c r="N80" s="78"/>
      <c r="O80" s="76"/>
      <c r="P80" s="78">
        <f t="shared" ref="P80" si="328">+ROUND(O80*$I80,0)</f>
        <v>0</v>
      </c>
      <c r="Q80" s="76"/>
      <c r="R80" s="78"/>
      <c r="S80" s="76"/>
      <c r="T80" s="78">
        <f t="shared" ref="T80" si="329">+ROUND(S80*$I80,0)</f>
        <v>0</v>
      </c>
      <c r="U80" s="76"/>
      <c r="V80" s="78">
        <f t="shared" ref="V80" si="330">+ROUND(U80*$I80,0)</f>
        <v>0</v>
      </c>
      <c r="W80" s="76"/>
      <c r="X80" s="78">
        <f t="shared" ref="X80" si="331">+ROUND(W80*$I80,0)</f>
        <v>0</v>
      </c>
      <c r="Y80" s="76"/>
      <c r="Z80" s="78"/>
      <c r="AA80" s="76"/>
      <c r="AB80" s="78">
        <f t="shared" ref="AB80" si="332">+ROUND(AA80*$I80,0)</f>
        <v>0</v>
      </c>
      <c r="AC80" s="76"/>
      <c r="AD80" s="78"/>
    </row>
    <row r="81" spans="1:30"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268"/>
        <v>0</v>
      </c>
      <c r="H81" s="69">
        <f>+VLOOKUP(C81,'PRECIOS IDU 2025'!$A$1:$E$3189,4,FALSE)</f>
        <v>1556215</v>
      </c>
      <c r="I81" s="69">
        <f t="shared" si="269"/>
        <v>2023080</v>
      </c>
      <c r="J81" s="69">
        <f t="shared" si="270"/>
        <v>0</v>
      </c>
      <c r="K81" s="9"/>
      <c r="L81" s="3"/>
      <c r="M81" s="76"/>
      <c r="N81" s="78"/>
      <c r="O81" s="76"/>
      <c r="P81" s="78">
        <f t="shared" ref="P81" si="333">+ROUND(O81*$I81,0)</f>
        <v>0</v>
      </c>
      <c r="Q81" s="76"/>
      <c r="R81" s="78"/>
      <c r="S81" s="76"/>
      <c r="T81" s="78">
        <f t="shared" ref="T81" si="334">+ROUND(S81*$I81,0)</f>
        <v>0</v>
      </c>
      <c r="U81" s="76"/>
      <c r="V81" s="78">
        <f t="shared" ref="V81" si="335">+ROUND(U81*$I81,0)</f>
        <v>0</v>
      </c>
      <c r="W81" s="76"/>
      <c r="X81" s="78">
        <f t="shared" ref="X81" si="336">+ROUND(W81*$I81,0)</f>
        <v>0</v>
      </c>
      <c r="Y81" s="76"/>
      <c r="Z81" s="78"/>
      <c r="AA81" s="76"/>
      <c r="AB81" s="78">
        <f t="shared" ref="AB81" si="337">+ROUND(AA81*$I81,0)</f>
        <v>0</v>
      </c>
      <c r="AC81" s="76"/>
      <c r="AD81" s="78"/>
    </row>
    <row r="82" spans="1:30" ht="30" customHeight="1" x14ac:dyDescent="0.3">
      <c r="A82" s="3"/>
      <c r="B82" s="8"/>
      <c r="C82" s="60">
        <v>4598</v>
      </c>
      <c r="D82" s="60">
        <v>3014</v>
      </c>
      <c r="E82" s="60" t="str">
        <f>+VLOOKUP(C82,'PRECIOS IDU 2025'!$A$1:$E$3189,2,FALSE)</f>
        <v>SELLO DE GRIETAS</v>
      </c>
      <c r="F82" s="60" t="str">
        <f>+VLOOKUP(C82,'PRECIOS IDU 2025'!$A$1:$E$3189,3,FALSE)</f>
        <v>ML</v>
      </c>
      <c r="G82" s="108">
        <f t="shared" si="268"/>
        <v>0</v>
      </c>
      <c r="H82" s="69">
        <f>+VLOOKUP(C82,'PRECIOS IDU 2025'!$A$1:$E$3189,4,FALSE)</f>
        <v>10386</v>
      </c>
      <c r="I82" s="69">
        <f t="shared" si="269"/>
        <v>13502</v>
      </c>
      <c r="J82" s="69">
        <f t="shared" si="270"/>
        <v>0</v>
      </c>
      <c r="K82" s="9"/>
      <c r="L82" s="3"/>
      <c r="M82" s="76"/>
      <c r="N82" s="78"/>
      <c r="O82" s="76"/>
      <c r="P82" s="78">
        <f t="shared" ref="P82" si="338">+ROUND(O82*$I82,0)</f>
        <v>0</v>
      </c>
      <c r="Q82" s="76"/>
      <c r="R82" s="78"/>
      <c r="S82" s="76"/>
      <c r="T82" s="78">
        <f t="shared" ref="T82" si="339">+ROUND(S82*$I82,0)</f>
        <v>0</v>
      </c>
      <c r="U82" s="76"/>
      <c r="V82" s="78">
        <f t="shared" ref="V82" si="340">+ROUND(U82*$I82,0)</f>
        <v>0</v>
      </c>
      <c r="W82" s="76"/>
      <c r="X82" s="78">
        <f t="shared" ref="X82" si="341">+ROUND(W82*$I82,0)</f>
        <v>0</v>
      </c>
      <c r="Y82" s="76"/>
      <c r="Z82" s="78"/>
      <c r="AA82" s="76"/>
      <c r="AB82" s="78">
        <f t="shared" ref="AB82" si="342">+ROUND(AA82*$I82,0)</f>
        <v>0</v>
      </c>
      <c r="AC82" s="76"/>
      <c r="AD82" s="78"/>
    </row>
    <row r="83" spans="1:30" ht="30" customHeight="1" x14ac:dyDescent="0.3">
      <c r="A83" s="3"/>
      <c r="B83" s="8"/>
      <c r="C83" s="60">
        <v>4758</v>
      </c>
      <c r="D83" s="60">
        <v>3015</v>
      </c>
      <c r="E83" s="60" t="str">
        <f>+VLOOKUP(C83,'PRECIOS IDU 2025'!$A$1:$E$3189,2,FALSE)</f>
        <v>SELLO DE FISURAS</v>
      </c>
      <c r="F83" s="60" t="str">
        <f>+VLOOKUP(C83,'PRECIOS IDU 2025'!$A$1:$E$3189,3,FALSE)</f>
        <v>ML</v>
      </c>
      <c r="G83" s="108">
        <f t="shared" si="268"/>
        <v>0</v>
      </c>
      <c r="H83" s="69">
        <f>+VLOOKUP(C83,'PRECIOS IDU 2025'!$A$1:$E$3189,4,FALSE)</f>
        <v>8877</v>
      </c>
      <c r="I83" s="69">
        <f t="shared" si="269"/>
        <v>11540</v>
      </c>
      <c r="J83" s="69">
        <f t="shared" si="270"/>
        <v>0</v>
      </c>
      <c r="K83" s="9"/>
      <c r="L83" s="3"/>
      <c r="M83" s="76"/>
      <c r="N83" s="78"/>
      <c r="O83" s="76"/>
      <c r="P83" s="78">
        <f t="shared" ref="P83" si="343">+ROUND(O83*$I83,0)</f>
        <v>0</v>
      </c>
      <c r="Q83" s="76"/>
      <c r="R83" s="78"/>
      <c r="S83" s="76"/>
      <c r="T83" s="78">
        <f t="shared" ref="T83" si="344">+ROUND(S83*$I83,0)</f>
        <v>0</v>
      </c>
      <c r="U83" s="76"/>
      <c r="V83" s="78">
        <f t="shared" ref="V83" si="345">+ROUND(U83*$I83,0)</f>
        <v>0</v>
      </c>
      <c r="W83" s="76"/>
      <c r="X83" s="78">
        <f t="shared" ref="X83" si="346">+ROUND(W83*$I83,0)</f>
        <v>0</v>
      </c>
      <c r="Y83" s="76"/>
      <c r="Z83" s="78"/>
      <c r="AA83" s="76"/>
      <c r="AB83" s="78">
        <f t="shared" ref="AB83" si="347">+ROUND(AA83*$I83,0)</f>
        <v>0</v>
      </c>
      <c r="AC83" s="76"/>
      <c r="AD83" s="78"/>
    </row>
    <row r="84" spans="1:30"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268"/>
        <v>0</v>
      </c>
      <c r="H84" s="69">
        <f>+VLOOKUP(C84,'PRECIOS IDU 2025'!$A$1:$E$3189,4,FALSE)</f>
        <v>104695</v>
      </c>
      <c r="I84" s="69">
        <f t="shared" si="269"/>
        <v>136104</v>
      </c>
      <c r="J84" s="69">
        <f t="shared" si="270"/>
        <v>0</v>
      </c>
      <c r="K84" s="9"/>
      <c r="L84" s="3"/>
      <c r="M84" s="76"/>
      <c r="N84" s="78"/>
      <c r="O84" s="76"/>
      <c r="P84" s="78">
        <f t="shared" ref="P84" si="348">+ROUND(O84*$I84,0)</f>
        <v>0</v>
      </c>
      <c r="Q84" s="76"/>
      <c r="R84" s="78"/>
      <c r="S84" s="76"/>
      <c r="T84" s="78">
        <f t="shared" ref="T84" si="349">+ROUND(S84*$I84,0)</f>
        <v>0</v>
      </c>
      <c r="U84" s="76"/>
      <c r="V84" s="78">
        <f t="shared" ref="V84" si="350">+ROUND(U84*$I84,0)</f>
        <v>0</v>
      </c>
      <c r="W84" s="76"/>
      <c r="X84" s="78">
        <f t="shared" ref="X84" si="351">+ROUND(W84*$I84,0)</f>
        <v>0</v>
      </c>
      <c r="Y84" s="76"/>
      <c r="Z84" s="78"/>
      <c r="AA84" s="76"/>
      <c r="AB84" s="78">
        <f t="shared" ref="AB84" si="352">+ROUND(AA84*$I84,0)</f>
        <v>0</v>
      </c>
      <c r="AC84" s="76"/>
      <c r="AD84" s="78"/>
    </row>
    <row r="85" spans="1:30"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268"/>
        <v>0</v>
      </c>
      <c r="H85" s="69">
        <f>+VLOOKUP(C85,'PRECIOS IDU 2025'!$A$1:$E$3189,4,FALSE)</f>
        <v>104695</v>
      </c>
      <c r="I85" s="69">
        <f t="shared" si="269"/>
        <v>136104</v>
      </c>
      <c r="J85" s="69">
        <f t="shared" si="270"/>
        <v>0</v>
      </c>
      <c r="K85" s="9"/>
      <c r="L85" s="3"/>
      <c r="M85" s="76"/>
      <c r="N85" s="78"/>
      <c r="O85" s="76"/>
      <c r="P85" s="78">
        <f t="shared" ref="P85" si="353">+ROUND(O85*$I85,0)</f>
        <v>0</v>
      </c>
      <c r="Q85" s="76"/>
      <c r="R85" s="78"/>
      <c r="S85" s="76"/>
      <c r="T85" s="78">
        <f t="shared" ref="T85" si="354">+ROUND(S85*$I85,0)</f>
        <v>0</v>
      </c>
      <c r="U85" s="76"/>
      <c r="V85" s="78">
        <f t="shared" ref="V85" si="355">+ROUND(U85*$I85,0)</f>
        <v>0</v>
      </c>
      <c r="W85" s="76"/>
      <c r="X85" s="78">
        <f t="shared" ref="X85" si="356">+ROUND(W85*$I85,0)</f>
        <v>0</v>
      </c>
      <c r="Y85" s="76"/>
      <c r="Z85" s="78"/>
      <c r="AA85" s="76"/>
      <c r="AB85" s="78">
        <f t="shared" ref="AB85" si="357">+ROUND(AA85*$I85,0)</f>
        <v>0</v>
      </c>
      <c r="AC85" s="76"/>
      <c r="AD85" s="78"/>
    </row>
    <row r="86" spans="1:30" ht="30" customHeight="1" x14ac:dyDescent="0.3">
      <c r="A86" s="3"/>
      <c r="B86" s="8"/>
      <c r="C86" s="66" t="s">
        <v>6079</v>
      </c>
      <c r="D86" s="62"/>
      <c r="E86" s="62"/>
      <c r="F86" s="62"/>
      <c r="G86" s="62"/>
      <c r="H86" s="62"/>
      <c r="I86" s="62"/>
      <c r="J86" s="63"/>
      <c r="K86" s="9"/>
      <c r="L86" s="3"/>
      <c r="M86" s="76"/>
      <c r="N86" s="78"/>
      <c r="O86" s="76"/>
      <c r="P86" s="78">
        <f t="shared" ref="P86" si="358">+ROUND(O86*$I86,0)</f>
        <v>0</v>
      </c>
      <c r="Q86" s="76"/>
      <c r="R86" s="78"/>
      <c r="S86" s="76"/>
      <c r="T86" s="78">
        <f t="shared" ref="T86" si="359">+ROUND(S86*$I86,0)</f>
        <v>0</v>
      </c>
      <c r="U86" s="76"/>
      <c r="V86" s="78">
        <f t="shared" ref="V86" si="360">+ROUND(U86*$I86,0)</f>
        <v>0</v>
      </c>
      <c r="W86" s="76"/>
      <c r="X86" s="78">
        <f t="shared" ref="X86" si="361">+ROUND(W86*$I86,0)</f>
        <v>0</v>
      </c>
      <c r="Y86" s="76"/>
      <c r="Z86" s="78"/>
      <c r="AA86" s="76"/>
      <c r="AB86" s="78">
        <f t="shared" ref="AB86" si="362">+ROUND(AA86*$I86,0)</f>
        <v>0</v>
      </c>
      <c r="AC86" s="76"/>
      <c r="AD86" s="78"/>
    </row>
    <row r="87" spans="1:30" ht="30" customHeight="1" x14ac:dyDescent="0.3">
      <c r="A87" s="3"/>
      <c r="B87" s="8"/>
      <c r="C87" s="60">
        <v>3007</v>
      </c>
      <c r="D87" s="60">
        <v>4001</v>
      </c>
      <c r="E87" s="60" t="str">
        <f>+VLOOKUP(C87,'PRECIOS IDU 2025'!$A$1:$E$3189,2,FALSE)</f>
        <v>REPLANTEO GENERAL</v>
      </c>
      <c r="F87" s="60" t="str">
        <f>+VLOOKUP(C87,'PRECIOS IDU 2025'!$A$1:$E$3189,3,FALSE)</f>
        <v>M2</v>
      </c>
      <c r="G87" s="108">
        <f t="shared" ref="G87:G110" si="363">+ROUND(M87+O87+Q87+S87+U87+W87+Y87+AA87+AC87,2)</f>
        <v>0</v>
      </c>
      <c r="H87" s="69">
        <f>+VLOOKUP(C87,'PRECIOS IDU 2025'!$A$1:$E$3189,4,FALSE)</f>
        <v>909</v>
      </c>
      <c r="I87" s="69">
        <f t="shared" ref="I87:I110" si="364">+ROUND(H87*(1+$J$192),0)</f>
        <v>1182</v>
      </c>
      <c r="J87" s="69">
        <f t="shared" ref="J87:J110" si="365">+ROUND(I87*G87,0)</f>
        <v>0</v>
      </c>
      <c r="K87" s="9"/>
      <c r="L87" s="3"/>
      <c r="M87" s="76"/>
      <c r="N87" s="78"/>
      <c r="O87" s="76"/>
      <c r="P87" s="78">
        <f t="shared" ref="P87" si="366">+ROUND(O87*$I87,0)</f>
        <v>0</v>
      </c>
      <c r="Q87" s="76"/>
      <c r="R87" s="78"/>
      <c r="S87" s="76"/>
      <c r="T87" s="78">
        <f t="shared" ref="T87" si="367">+ROUND(S87*$I87,0)</f>
        <v>0</v>
      </c>
      <c r="U87" s="76"/>
      <c r="V87" s="78">
        <f t="shared" ref="V87" si="368">+ROUND(U87*$I87,0)</f>
        <v>0</v>
      </c>
      <c r="W87" s="76"/>
      <c r="X87" s="78">
        <f t="shared" ref="X87" si="369">+ROUND(W87*$I87,0)</f>
        <v>0</v>
      </c>
      <c r="Y87" s="76"/>
      <c r="Z87" s="78"/>
      <c r="AA87" s="76"/>
      <c r="AB87" s="78">
        <f t="shared" ref="AB87" si="370">+ROUND(AA87*$I87,0)</f>
        <v>0</v>
      </c>
      <c r="AC87" s="76"/>
      <c r="AD87" s="78"/>
    </row>
    <row r="88" spans="1:30"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363"/>
        <v>0</v>
      </c>
      <c r="H88" s="69">
        <f>+VLOOKUP(C88,'PRECIOS IDU 2025'!$A$1:$E$3189,4,FALSE)</f>
        <v>2659</v>
      </c>
      <c r="I88" s="69">
        <f t="shared" si="364"/>
        <v>3457</v>
      </c>
      <c r="J88" s="69">
        <f t="shared" si="365"/>
        <v>0</v>
      </c>
      <c r="K88" s="9"/>
      <c r="L88" s="3"/>
      <c r="M88" s="76"/>
      <c r="N88" s="78"/>
      <c r="O88" s="76"/>
      <c r="P88" s="78">
        <f t="shared" ref="P88" si="371">+ROUND(O88*$I88,0)</f>
        <v>0</v>
      </c>
      <c r="Q88" s="76"/>
      <c r="R88" s="78"/>
      <c r="S88" s="76"/>
      <c r="T88" s="78">
        <f t="shared" ref="T88" si="372">+ROUND(S88*$I88,0)</f>
        <v>0</v>
      </c>
      <c r="U88" s="76"/>
      <c r="V88" s="78">
        <f t="shared" ref="V88" si="373">+ROUND(U88*$I88,0)</f>
        <v>0</v>
      </c>
      <c r="W88" s="76"/>
      <c r="X88" s="78">
        <f t="shared" ref="X88" si="374">+ROUND(W88*$I88,0)</f>
        <v>0</v>
      </c>
      <c r="Y88" s="76"/>
      <c r="Z88" s="78"/>
      <c r="AA88" s="76"/>
      <c r="AB88" s="78">
        <f t="shared" ref="AB88" si="375">+ROUND(AA88*$I88,0)</f>
        <v>0</v>
      </c>
      <c r="AC88" s="76"/>
      <c r="AD88" s="78"/>
    </row>
    <row r="89" spans="1:30"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363"/>
        <v>0</v>
      </c>
      <c r="H89" s="69">
        <f>+VLOOKUP(C89,'PRECIOS IDU 2025'!$A$1:$E$3189,4,FALSE)</f>
        <v>38781</v>
      </c>
      <c r="I89" s="69">
        <f t="shared" si="364"/>
        <v>50415</v>
      </c>
      <c r="J89" s="69">
        <f t="shared" si="365"/>
        <v>0</v>
      </c>
      <c r="K89" s="9"/>
      <c r="L89" s="3"/>
      <c r="M89" s="76"/>
      <c r="N89" s="78"/>
      <c r="O89" s="76"/>
      <c r="P89" s="78">
        <f t="shared" ref="P89" si="376">+ROUND(O89*$I89,0)</f>
        <v>0</v>
      </c>
      <c r="Q89" s="76"/>
      <c r="R89" s="78"/>
      <c r="S89" s="76"/>
      <c r="T89" s="78">
        <f t="shared" ref="T89" si="377">+ROUND(S89*$I89,0)</f>
        <v>0</v>
      </c>
      <c r="U89" s="76"/>
      <c r="V89" s="78">
        <f t="shared" ref="V89" si="378">+ROUND(U89*$I89,0)</f>
        <v>0</v>
      </c>
      <c r="W89" s="76"/>
      <c r="X89" s="78">
        <f t="shared" ref="X89" si="379">+ROUND(W89*$I89,0)</f>
        <v>0</v>
      </c>
      <c r="Y89" s="76"/>
      <c r="Z89" s="78"/>
      <c r="AA89" s="76"/>
      <c r="AB89" s="78">
        <f t="shared" ref="AB89" si="380">+ROUND(AA89*$I89,0)</f>
        <v>0</v>
      </c>
      <c r="AC89" s="76"/>
      <c r="AD89" s="78"/>
    </row>
    <row r="90" spans="1:30"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363"/>
        <v>0</v>
      </c>
      <c r="H90" s="69">
        <f>+VLOOKUP(C90,'PRECIOS IDU 2025'!$A$1:$E$3189,4,FALSE)</f>
        <v>187178</v>
      </c>
      <c r="I90" s="69">
        <f t="shared" si="364"/>
        <v>243331</v>
      </c>
      <c r="J90" s="69">
        <f t="shared" si="365"/>
        <v>0</v>
      </c>
      <c r="K90" s="9"/>
      <c r="L90" s="3"/>
      <c r="M90" s="76"/>
      <c r="N90" s="78"/>
      <c r="O90" s="76"/>
      <c r="P90" s="78">
        <f t="shared" ref="P90" si="381">+ROUND(O90*$I90,0)</f>
        <v>0</v>
      </c>
      <c r="Q90" s="76"/>
      <c r="R90" s="78"/>
      <c r="S90" s="76"/>
      <c r="T90" s="78">
        <f t="shared" ref="T90" si="382">+ROUND(S90*$I90,0)</f>
        <v>0</v>
      </c>
      <c r="U90" s="76"/>
      <c r="V90" s="78">
        <f t="shared" ref="V90" si="383">+ROUND(U90*$I90,0)</f>
        <v>0</v>
      </c>
      <c r="W90" s="76"/>
      <c r="X90" s="78">
        <f t="shared" ref="X90" si="384">+ROUND(W90*$I90,0)</f>
        <v>0</v>
      </c>
      <c r="Y90" s="76"/>
      <c r="Z90" s="78"/>
      <c r="AA90" s="76"/>
      <c r="AB90" s="78">
        <f t="shared" ref="AB90" si="385">+ROUND(AA90*$I90,0)</f>
        <v>0</v>
      </c>
      <c r="AC90" s="76"/>
      <c r="AD90" s="78"/>
    </row>
    <row r="91" spans="1:30"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363"/>
        <v>0</v>
      </c>
      <c r="H91" s="69">
        <f>+VLOOKUP(C91,'PRECIOS IDU 2025'!$A$1:$E$3189,4,FALSE)</f>
        <v>5741</v>
      </c>
      <c r="I91" s="69">
        <f t="shared" si="364"/>
        <v>7463</v>
      </c>
      <c r="J91" s="69">
        <f t="shared" ref="J91:J101" si="386">+ROUND(I91*G91,0)</f>
        <v>0</v>
      </c>
      <c r="K91" s="9"/>
      <c r="L91" s="3"/>
      <c r="M91" s="76"/>
      <c r="N91" s="78"/>
      <c r="O91" s="76"/>
      <c r="P91" s="78">
        <f t="shared" ref="P91" si="387">+ROUND(O91*$I91,0)</f>
        <v>0</v>
      </c>
      <c r="Q91" s="76"/>
      <c r="R91" s="78"/>
      <c r="S91" s="76"/>
      <c r="T91" s="78">
        <f t="shared" ref="T91" si="388">+ROUND(S91*$I91,0)</f>
        <v>0</v>
      </c>
      <c r="U91" s="76"/>
      <c r="V91" s="78">
        <f t="shared" ref="V91" si="389">+ROUND(U91*$I91,0)</f>
        <v>0</v>
      </c>
      <c r="W91" s="76"/>
      <c r="X91" s="78">
        <f t="shared" ref="X91" si="390">+ROUND(W91*$I91,0)</f>
        <v>0</v>
      </c>
      <c r="Y91" s="76"/>
      <c r="Z91" s="78"/>
      <c r="AA91" s="76"/>
      <c r="AB91" s="78">
        <f t="shared" ref="AB91" si="391">+ROUND(AA91*$I91,0)</f>
        <v>0</v>
      </c>
      <c r="AC91" s="76"/>
      <c r="AD91" s="78"/>
    </row>
    <row r="92" spans="1:30"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363"/>
        <v>0</v>
      </c>
      <c r="H92" s="69">
        <f>+VLOOKUP(C92,'PRECIOS IDU 2025'!$A$1:$E$3189,4,FALSE)</f>
        <v>46379</v>
      </c>
      <c r="I92" s="69">
        <f t="shared" si="364"/>
        <v>60293</v>
      </c>
      <c r="J92" s="69">
        <f t="shared" si="386"/>
        <v>0</v>
      </c>
      <c r="K92" s="9"/>
      <c r="L92" s="3"/>
      <c r="M92" s="76"/>
      <c r="N92" s="78"/>
      <c r="O92" s="76"/>
      <c r="P92" s="78">
        <f t="shared" ref="P92" si="392">+ROUND(O92*$I92,0)</f>
        <v>0</v>
      </c>
      <c r="Q92" s="76"/>
      <c r="R92" s="78"/>
      <c r="S92" s="76"/>
      <c r="T92" s="78">
        <f t="shared" ref="T92" si="393">+ROUND(S92*$I92,0)</f>
        <v>0</v>
      </c>
      <c r="U92" s="76"/>
      <c r="V92" s="78">
        <f t="shared" ref="V92" si="394">+ROUND(U92*$I92,0)</f>
        <v>0</v>
      </c>
      <c r="W92" s="76"/>
      <c r="X92" s="78">
        <f t="shared" ref="X92" si="395">+ROUND(W92*$I92,0)</f>
        <v>0</v>
      </c>
      <c r="Y92" s="76"/>
      <c r="Z92" s="78"/>
      <c r="AA92" s="76"/>
      <c r="AB92" s="78">
        <f t="shared" ref="AB92" si="396">+ROUND(AA92*$I92,0)</f>
        <v>0</v>
      </c>
      <c r="AC92" s="76"/>
      <c r="AD92" s="78"/>
    </row>
    <row r="93" spans="1:30"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363"/>
        <v>0</v>
      </c>
      <c r="H93" s="69">
        <f>+VLOOKUP(C93,'PRECIOS IDU 2025'!$A$1:$E$3189,4,FALSE)</f>
        <v>45600</v>
      </c>
      <c r="I93" s="69">
        <f t="shared" si="364"/>
        <v>59280</v>
      </c>
      <c r="J93" s="69">
        <f t="shared" si="386"/>
        <v>0</v>
      </c>
      <c r="K93" s="9"/>
      <c r="L93" s="3"/>
      <c r="M93" s="76"/>
      <c r="N93" s="78"/>
      <c r="O93" s="76"/>
      <c r="P93" s="78">
        <f t="shared" ref="P93" si="397">+ROUND(O93*$I93,0)</f>
        <v>0</v>
      </c>
      <c r="Q93" s="76"/>
      <c r="R93" s="78"/>
      <c r="S93" s="76"/>
      <c r="T93" s="78">
        <f t="shared" ref="T93" si="398">+ROUND(S93*$I93,0)</f>
        <v>0</v>
      </c>
      <c r="U93" s="76"/>
      <c r="V93" s="78">
        <f t="shared" ref="V93" si="399">+ROUND(U93*$I93,0)</f>
        <v>0</v>
      </c>
      <c r="W93" s="76"/>
      <c r="X93" s="78">
        <f t="shared" ref="X93" si="400">+ROUND(W93*$I93,0)</f>
        <v>0</v>
      </c>
      <c r="Y93" s="76"/>
      <c r="Z93" s="78"/>
      <c r="AA93" s="76"/>
      <c r="AB93" s="78">
        <f t="shared" ref="AB93" si="401">+ROUND(AA93*$I93,0)</f>
        <v>0</v>
      </c>
      <c r="AC93" s="76"/>
      <c r="AD93" s="78"/>
    </row>
    <row r="94" spans="1:30"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363"/>
        <v>0</v>
      </c>
      <c r="H94" s="69">
        <f>+VLOOKUP(C94,'PRECIOS IDU 2025'!$A$1:$E$3189,4,FALSE)</f>
        <v>1757</v>
      </c>
      <c r="I94" s="69">
        <f t="shared" si="364"/>
        <v>2284</v>
      </c>
      <c r="J94" s="69">
        <f t="shared" ref="J94:J98" si="402">+ROUND(I94*G94,0)</f>
        <v>0</v>
      </c>
      <c r="K94" s="9"/>
      <c r="L94" s="3"/>
      <c r="M94" s="76"/>
      <c r="N94" s="78"/>
      <c r="O94" s="76"/>
      <c r="P94" s="78">
        <f t="shared" ref="P94" si="403">+ROUND(O94*$I94,0)</f>
        <v>0</v>
      </c>
      <c r="Q94" s="76"/>
      <c r="R94" s="78"/>
      <c r="S94" s="76"/>
      <c r="T94" s="78">
        <f t="shared" ref="T94" si="404">+ROUND(S94*$I94,0)</f>
        <v>0</v>
      </c>
      <c r="U94" s="76"/>
      <c r="V94" s="78">
        <f t="shared" ref="V94" si="405">+ROUND(U94*$I94,0)</f>
        <v>0</v>
      </c>
      <c r="W94" s="76"/>
      <c r="X94" s="78">
        <f t="shared" ref="X94" si="406">+ROUND(W94*$I94,0)</f>
        <v>0</v>
      </c>
      <c r="Y94" s="76"/>
      <c r="Z94" s="78"/>
      <c r="AA94" s="76"/>
      <c r="AB94" s="78">
        <f t="shared" ref="AB94" si="407">+ROUND(AA94*$I94,0)</f>
        <v>0</v>
      </c>
      <c r="AC94" s="76"/>
      <c r="AD94" s="78"/>
    </row>
    <row r="95" spans="1:30"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363"/>
        <v>0</v>
      </c>
      <c r="H95" s="69">
        <f>+VLOOKUP(C95,'PRECIOS IDU 2025'!$A$1:$E$3189,4,FALSE)</f>
        <v>3189</v>
      </c>
      <c r="I95" s="69">
        <f t="shared" si="364"/>
        <v>4146</v>
      </c>
      <c r="J95" s="69">
        <f t="shared" si="402"/>
        <v>0</v>
      </c>
      <c r="K95" s="9"/>
      <c r="L95" s="3"/>
      <c r="M95" s="76"/>
      <c r="N95" s="78"/>
      <c r="O95" s="76"/>
      <c r="P95" s="78">
        <f t="shared" ref="P95" si="408">+ROUND(O95*$I95,0)</f>
        <v>0</v>
      </c>
      <c r="Q95" s="76"/>
      <c r="R95" s="78"/>
      <c r="S95" s="76"/>
      <c r="T95" s="78">
        <f t="shared" ref="T95" si="409">+ROUND(S95*$I95,0)</f>
        <v>0</v>
      </c>
      <c r="U95" s="76"/>
      <c r="V95" s="78">
        <f t="shared" ref="V95" si="410">+ROUND(U95*$I95,0)</f>
        <v>0</v>
      </c>
      <c r="W95" s="76"/>
      <c r="X95" s="78">
        <f t="shared" ref="X95" si="411">+ROUND(W95*$I95,0)</f>
        <v>0</v>
      </c>
      <c r="Y95" s="76"/>
      <c r="Z95" s="78"/>
      <c r="AA95" s="76"/>
      <c r="AB95" s="78">
        <f t="shared" ref="AB95" si="412">+ROUND(AA95*$I95,0)</f>
        <v>0</v>
      </c>
      <c r="AC95" s="76"/>
      <c r="AD95" s="78"/>
    </row>
    <row r="96" spans="1:30"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363"/>
        <v>0</v>
      </c>
      <c r="H96" s="69">
        <f>+VLOOKUP(C96,'PRECIOS IDU 2025'!$A$1:$E$3189,4,FALSE)</f>
        <v>3885</v>
      </c>
      <c r="I96" s="69">
        <f t="shared" si="364"/>
        <v>5051</v>
      </c>
      <c r="J96" s="69">
        <f t="shared" si="402"/>
        <v>0</v>
      </c>
      <c r="K96" s="9"/>
      <c r="L96" s="3"/>
      <c r="M96" s="76"/>
      <c r="N96" s="78"/>
      <c r="O96" s="76"/>
      <c r="P96" s="78">
        <f t="shared" ref="P96" si="413">+ROUND(O96*$I96,0)</f>
        <v>0</v>
      </c>
      <c r="Q96" s="76"/>
      <c r="R96" s="78"/>
      <c r="S96" s="76"/>
      <c r="T96" s="78">
        <f t="shared" ref="T96" si="414">+ROUND(S96*$I96,0)</f>
        <v>0</v>
      </c>
      <c r="U96" s="76"/>
      <c r="V96" s="78">
        <f t="shared" ref="V96" si="415">+ROUND(U96*$I96,0)</f>
        <v>0</v>
      </c>
      <c r="W96" s="76"/>
      <c r="X96" s="78">
        <f t="shared" ref="X96" si="416">+ROUND(W96*$I96,0)</f>
        <v>0</v>
      </c>
      <c r="Y96" s="76"/>
      <c r="Z96" s="78"/>
      <c r="AA96" s="76"/>
      <c r="AB96" s="78">
        <f t="shared" ref="AB96" si="417">+ROUND(AA96*$I96,0)</f>
        <v>0</v>
      </c>
      <c r="AC96" s="76"/>
      <c r="AD96" s="78"/>
    </row>
    <row r="97" spans="1:30"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363"/>
        <v>0</v>
      </c>
      <c r="H97" s="69">
        <f>+VLOOKUP(C97,'PRECIOS IDU 2025'!$A$1:$E$3189,4,FALSE)</f>
        <v>1341971</v>
      </c>
      <c r="I97" s="69">
        <f t="shared" si="364"/>
        <v>1744562</v>
      </c>
      <c r="J97" s="69">
        <f t="shared" si="402"/>
        <v>0</v>
      </c>
      <c r="K97" s="9"/>
      <c r="L97" s="3"/>
      <c r="M97" s="76"/>
      <c r="N97" s="78"/>
      <c r="O97" s="76"/>
      <c r="P97" s="78">
        <f t="shared" ref="P97" si="418">+ROUND(O97*$I97,0)</f>
        <v>0</v>
      </c>
      <c r="Q97" s="76"/>
      <c r="R97" s="78"/>
      <c r="S97" s="76"/>
      <c r="T97" s="78">
        <f t="shared" ref="T97" si="419">+ROUND(S97*$I97,0)</f>
        <v>0</v>
      </c>
      <c r="U97" s="76"/>
      <c r="V97" s="78">
        <f t="shared" ref="V97" si="420">+ROUND(U97*$I97,0)</f>
        <v>0</v>
      </c>
      <c r="W97" s="76"/>
      <c r="X97" s="78">
        <f t="shared" ref="X97" si="421">+ROUND(W97*$I97,0)</f>
        <v>0</v>
      </c>
      <c r="Y97" s="76"/>
      <c r="Z97" s="78"/>
      <c r="AA97" s="76"/>
      <c r="AB97" s="78">
        <f t="shared" ref="AB97" si="422">+ROUND(AA97*$I97,0)</f>
        <v>0</v>
      </c>
      <c r="AC97" s="76"/>
      <c r="AD97" s="78"/>
    </row>
    <row r="98" spans="1:30"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363"/>
        <v>0</v>
      </c>
      <c r="H98" s="69">
        <f>+VLOOKUP(C98,'PRECIOS IDU 2025'!$A$1:$E$3189,4,FALSE)</f>
        <v>1241977</v>
      </c>
      <c r="I98" s="69">
        <f t="shared" si="364"/>
        <v>1614570</v>
      </c>
      <c r="J98" s="69">
        <f t="shared" si="402"/>
        <v>0</v>
      </c>
      <c r="K98" s="9"/>
      <c r="L98" s="3"/>
      <c r="M98" s="76"/>
      <c r="N98" s="78"/>
      <c r="O98" s="76"/>
      <c r="P98" s="78">
        <f t="shared" ref="P98" si="423">+ROUND(O98*$I98,0)</f>
        <v>0</v>
      </c>
      <c r="Q98" s="76"/>
      <c r="R98" s="78"/>
      <c r="S98" s="76"/>
      <c r="T98" s="78">
        <f t="shared" ref="T98" si="424">+ROUND(S98*$I98,0)</f>
        <v>0</v>
      </c>
      <c r="U98" s="76"/>
      <c r="V98" s="78">
        <f t="shared" ref="V98" si="425">+ROUND(U98*$I98,0)</f>
        <v>0</v>
      </c>
      <c r="W98" s="76"/>
      <c r="X98" s="78">
        <f t="shared" ref="X98" si="426">+ROUND(W98*$I98,0)</f>
        <v>0</v>
      </c>
      <c r="Y98" s="76"/>
      <c r="Z98" s="78"/>
      <c r="AA98" s="76"/>
      <c r="AB98" s="78">
        <f t="shared" ref="AB98" si="427">+ROUND(AA98*$I98,0)</f>
        <v>0</v>
      </c>
      <c r="AC98" s="76"/>
      <c r="AD98" s="78"/>
    </row>
    <row r="99" spans="1:30"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363"/>
        <v>0</v>
      </c>
      <c r="H99" s="69">
        <f>+VLOOKUP(C99,'PRECIOS IDU 2025'!$A$1:$E$3189,4,FALSE)</f>
        <v>1556215</v>
      </c>
      <c r="I99" s="69">
        <f t="shared" si="364"/>
        <v>2023080</v>
      </c>
      <c r="J99" s="69">
        <f t="shared" si="386"/>
        <v>0</v>
      </c>
      <c r="K99" s="9"/>
      <c r="L99" s="3"/>
      <c r="M99" s="76"/>
      <c r="N99" s="78"/>
      <c r="O99" s="76"/>
      <c r="P99" s="78">
        <f t="shared" ref="P99" si="428">+ROUND(O99*$I99,0)</f>
        <v>0</v>
      </c>
      <c r="Q99" s="76"/>
      <c r="R99" s="78"/>
      <c r="S99" s="76"/>
      <c r="T99" s="78">
        <f t="shared" ref="T99" si="429">+ROUND(S99*$I99,0)</f>
        <v>0</v>
      </c>
      <c r="U99" s="76"/>
      <c r="V99" s="78">
        <f t="shared" ref="V99" si="430">+ROUND(U99*$I99,0)</f>
        <v>0</v>
      </c>
      <c r="W99" s="76"/>
      <c r="X99" s="78">
        <f t="shared" ref="X99" si="431">+ROUND(W99*$I99,0)</f>
        <v>0</v>
      </c>
      <c r="Y99" s="76"/>
      <c r="Z99" s="78"/>
      <c r="AA99" s="76"/>
      <c r="AB99" s="78">
        <f t="shared" ref="AB99" si="432">+ROUND(AA99*$I99,0)</f>
        <v>0</v>
      </c>
      <c r="AC99" s="76"/>
      <c r="AD99" s="78"/>
    </row>
    <row r="100" spans="1:30"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363"/>
        <v>0</v>
      </c>
      <c r="H100" s="69">
        <f>+VLOOKUP(C100,'PRECIOS IDU 2025'!$A$1:$E$3189,4,FALSE)</f>
        <v>5591</v>
      </c>
      <c r="I100" s="69">
        <f t="shared" si="364"/>
        <v>7268</v>
      </c>
      <c r="J100" s="69">
        <f t="shared" ref="J100" si="433">+ROUND(I100*G100,0)</f>
        <v>0</v>
      </c>
      <c r="K100" s="9"/>
      <c r="L100" s="3"/>
      <c r="M100" s="76"/>
      <c r="N100" s="78"/>
      <c r="O100" s="76"/>
      <c r="P100" s="78"/>
      <c r="Q100" s="76"/>
      <c r="R100" s="78"/>
      <c r="S100" s="76"/>
      <c r="T100" s="78"/>
      <c r="U100" s="76"/>
      <c r="V100" s="78"/>
      <c r="W100" s="76"/>
      <c r="X100" s="78"/>
      <c r="Y100" s="76"/>
      <c r="Z100" s="78"/>
      <c r="AA100" s="76"/>
      <c r="AB100" s="78"/>
      <c r="AC100" s="76"/>
      <c r="AD100" s="78"/>
    </row>
    <row r="101" spans="1:30"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363"/>
        <v>0</v>
      </c>
      <c r="H101" s="69">
        <f>+VLOOKUP(C101,'PRECIOS IDU 2025'!$A$1:$E$3189,4,FALSE)</f>
        <v>8404</v>
      </c>
      <c r="I101" s="69">
        <f t="shared" si="364"/>
        <v>10925</v>
      </c>
      <c r="J101" s="69">
        <f t="shared" si="386"/>
        <v>0</v>
      </c>
      <c r="K101" s="9"/>
      <c r="L101" s="3"/>
      <c r="M101" s="76"/>
      <c r="N101" s="78"/>
      <c r="O101" s="76"/>
      <c r="P101" s="78">
        <f t="shared" ref="P101" si="434">+ROUND(O101*$I101,0)</f>
        <v>0</v>
      </c>
      <c r="Q101" s="76"/>
      <c r="R101" s="78"/>
      <c r="S101" s="76"/>
      <c r="T101" s="78">
        <f t="shared" ref="T101" si="435">+ROUND(S101*$I101,0)</f>
        <v>0</v>
      </c>
      <c r="U101" s="76"/>
      <c r="V101" s="78">
        <f t="shared" ref="V101" si="436">+ROUND(U101*$I101,0)</f>
        <v>0</v>
      </c>
      <c r="W101" s="76"/>
      <c r="X101" s="78">
        <f t="shared" ref="X101" si="437">+ROUND(W101*$I101,0)</f>
        <v>0</v>
      </c>
      <c r="Y101" s="76"/>
      <c r="Z101" s="78"/>
      <c r="AA101" s="76"/>
      <c r="AB101" s="78">
        <f t="shared" ref="AB101" si="438">+ROUND(AA101*$I101,0)</f>
        <v>0</v>
      </c>
      <c r="AC101" s="76"/>
      <c r="AD101" s="78"/>
    </row>
    <row r="102" spans="1:30"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363"/>
        <v>0</v>
      </c>
      <c r="H102" s="69">
        <f>+VLOOKUP(C102,'PRECIOS IDU 2025'!$A$1:$E$3189,4,FALSE)</f>
        <v>7882</v>
      </c>
      <c r="I102" s="69">
        <f t="shared" si="364"/>
        <v>10247</v>
      </c>
      <c r="J102" s="69">
        <f t="shared" si="365"/>
        <v>0</v>
      </c>
      <c r="K102" s="9"/>
      <c r="L102" s="3"/>
      <c r="M102" s="76"/>
      <c r="N102" s="78"/>
      <c r="O102" s="76"/>
      <c r="P102" s="78">
        <f t="shared" ref="P102" si="439">+ROUND(O102*$I102,0)</f>
        <v>0</v>
      </c>
      <c r="Q102" s="76"/>
      <c r="R102" s="78"/>
      <c r="S102" s="76"/>
      <c r="T102" s="78">
        <f t="shared" ref="T102" si="440">+ROUND(S102*$I102,0)</f>
        <v>0</v>
      </c>
      <c r="U102" s="76"/>
      <c r="V102" s="78">
        <f t="shared" ref="V102" si="441">+ROUND(U102*$I102,0)</f>
        <v>0</v>
      </c>
      <c r="W102" s="76"/>
      <c r="X102" s="78">
        <f t="shared" ref="X102" si="442">+ROUND(W102*$I102,0)</f>
        <v>0</v>
      </c>
      <c r="Y102" s="76"/>
      <c r="Z102" s="78"/>
      <c r="AA102" s="76"/>
      <c r="AB102" s="78">
        <f t="shared" ref="AB102" si="443">+ROUND(AA102*$I102,0)</f>
        <v>0</v>
      </c>
      <c r="AC102" s="76"/>
      <c r="AD102" s="78"/>
    </row>
    <row r="103" spans="1:30"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363"/>
        <v>0</v>
      </c>
      <c r="H103" s="69">
        <f>+VLOOKUP(C103,'PRECIOS IDU 2025'!$A$1:$E$3189,4,FALSE)</f>
        <v>7882</v>
      </c>
      <c r="I103" s="69">
        <f t="shared" si="364"/>
        <v>10247</v>
      </c>
      <c r="J103" s="69">
        <f t="shared" si="365"/>
        <v>0</v>
      </c>
      <c r="K103" s="9"/>
      <c r="L103" s="3"/>
      <c r="M103" s="76"/>
      <c r="N103" s="78"/>
      <c r="O103" s="76"/>
      <c r="P103" s="78">
        <f t="shared" ref="P103" si="444">+ROUND(O103*$I103,0)</f>
        <v>0</v>
      </c>
      <c r="Q103" s="76"/>
      <c r="R103" s="78"/>
      <c r="S103" s="76"/>
      <c r="T103" s="78">
        <f t="shared" ref="T103" si="445">+ROUND(S103*$I103,0)</f>
        <v>0</v>
      </c>
      <c r="U103" s="76"/>
      <c r="V103" s="78">
        <f t="shared" ref="V103" si="446">+ROUND(U103*$I103,0)</f>
        <v>0</v>
      </c>
      <c r="W103" s="76"/>
      <c r="X103" s="78">
        <f t="shared" ref="X103" si="447">+ROUND(W103*$I103,0)</f>
        <v>0</v>
      </c>
      <c r="Y103" s="76"/>
      <c r="Z103" s="78"/>
      <c r="AA103" s="76"/>
      <c r="AB103" s="78">
        <f t="shared" ref="AB103" si="448">+ROUND(AA103*$I103,0)</f>
        <v>0</v>
      </c>
      <c r="AC103" s="76"/>
      <c r="AD103" s="78"/>
    </row>
    <row r="104" spans="1:30"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363"/>
        <v>0</v>
      </c>
      <c r="H104" s="69">
        <f>+VLOOKUP(C104,'PRECIOS IDU 2025'!$A$1:$E$3189,4,FALSE)</f>
        <v>875661</v>
      </c>
      <c r="I104" s="69">
        <f t="shared" si="364"/>
        <v>1138359</v>
      </c>
      <c r="J104" s="69">
        <f t="shared" si="365"/>
        <v>0</v>
      </c>
      <c r="K104" s="9"/>
      <c r="L104" s="3"/>
      <c r="M104" s="76"/>
      <c r="N104" s="78"/>
      <c r="O104" s="76"/>
      <c r="P104" s="78">
        <f t="shared" ref="P104" si="449">+ROUND(O104*$I104,0)</f>
        <v>0</v>
      </c>
      <c r="Q104" s="76"/>
      <c r="R104" s="78"/>
      <c r="S104" s="76"/>
      <c r="T104" s="78">
        <f t="shared" ref="T104" si="450">+ROUND(S104*$I104,0)</f>
        <v>0</v>
      </c>
      <c r="U104" s="76"/>
      <c r="V104" s="78">
        <f t="shared" ref="V104" si="451">+ROUND(U104*$I104,0)</f>
        <v>0</v>
      </c>
      <c r="W104" s="76"/>
      <c r="X104" s="78">
        <f t="shared" ref="X104" si="452">+ROUND(W104*$I104,0)</f>
        <v>0</v>
      </c>
      <c r="Y104" s="76"/>
      <c r="Z104" s="78"/>
      <c r="AA104" s="76"/>
      <c r="AB104" s="78">
        <f t="shared" ref="AB104" si="453">+ROUND(AA104*$I104,0)</f>
        <v>0</v>
      </c>
      <c r="AC104" s="76"/>
      <c r="AD104" s="78"/>
    </row>
    <row r="105" spans="1:30"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363"/>
        <v>0</v>
      </c>
      <c r="H105" s="69">
        <f>+VLOOKUP(C105,'PRECIOS IDU 2025'!$A$1:$E$3189,4,FALSE)</f>
        <v>890453</v>
      </c>
      <c r="I105" s="69">
        <f t="shared" si="364"/>
        <v>1157589</v>
      </c>
      <c r="J105" s="69">
        <f t="shared" si="365"/>
        <v>0</v>
      </c>
      <c r="K105" s="9"/>
      <c r="L105" s="3"/>
      <c r="M105" s="76"/>
      <c r="N105" s="78"/>
      <c r="O105" s="76"/>
      <c r="P105" s="78">
        <f t="shared" ref="P105" si="454">+ROUND(O105*$I105,0)</f>
        <v>0</v>
      </c>
      <c r="Q105" s="76"/>
      <c r="R105" s="78"/>
      <c r="S105" s="76"/>
      <c r="T105" s="78">
        <f t="shared" ref="T105" si="455">+ROUND(S105*$I105,0)</f>
        <v>0</v>
      </c>
      <c r="U105" s="76"/>
      <c r="V105" s="78">
        <f t="shared" ref="V105" si="456">+ROUND(U105*$I105,0)</f>
        <v>0</v>
      </c>
      <c r="W105" s="76"/>
      <c r="X105" s="78">
        <f t="shared" ref="X105" si="457">+ROUND(W105*$I105,0)</f>
        <v>0</v>
      </c>
      <c r="Y105" s="76"/>
      <c r="Z105" s="78"/>
      <c r="AA105" s="76"/>
      <c r="AB105" s="78">
        <f t="shared" ref="AB105" si="458">+ROUND(AA105*$I105,0)</f>
        <v>0</v>
      </c>
      <c r="AC105" s="76"/>
      <c r="AD105" s="78"/>
    </row>
    <row r="106" spans="1:30"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363"/>
        <v>0</v>
      </c>
      <c r="H106" s="69">
        <f>+VLOOKUP(C106,'PRECIOS IDU 2025'!$A$1:$E$3189,4,FALSE)</f>
        <v>2554</v>
      </c>
      <c r="I106" s="69">
        <f t="shared" si="364"/>
        <v>3320</v>
      </c>
      <c r="J106" s="69">
        <f t="shared" si="365"/>
        <v>0</v>
      </c>
      <c r="K106" s="9"/>
      <c r="L106" s="3"/>
      <c r="M106" s="76"/>
      <c r="N106" s="78"/>
      <c r="O106" s="76"/>
      <c r="P106" s="78">
        <f t="shared" ref="P106" si="459">+ROUND(O106*$I106,0)</f>
        <v>0</v>
      </c>
      <c r="Q106" s="76"/>
      <c r="R106" s="78"/>
      <c r="S106" s="76"/>
      <c r="T106" s="78">
        <f t="shared" ref="T106" si="460">+ROUND(S106*$I106,0)</f>
        <v>0</v>
      </c>
      <c r="U106" s="76"/>
      <c r="V106" s="78">
        <f t="shared" ref="V106" si="461">+ROUND(U106*$I106,0)</f>
        <v>0</v>
      </c>
      <c r="W106" s="76"/>
      <c r="X106" s="78">
        <f t="shared" ref="X106" si="462">+ROUND(W106*$I106,0)</f>
        <v>0</v>
      </c>
      <c r="Y106" s="76"/>
      <c r="Z106" s="78"/>
      <c r="AA106" s="76"/>
      <c r="AB106" s="78">
        <f t="shared" ref="AB106" si="463">+ROUND(AA106*$I106,0)</f>
        <v>0</v>
      </c>
      <c r="AC106" s="76"/>
      <c r="AD106" s="78"/>
    </row>
    <row r="107" spans="1:30"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363"/>
        <v>0</v>
      </c>
      <c r="H107" s="69">
        <f>+VLOOKUP(C107,'PRECIOS IDU 2025'!$A$1:$E$3189,4,FALSE)</f>
        <v>13778</v>
      </c>
      <c r="I107" s="69">
        <f t="shared" si="364"/>
        <v>17911</v>
      </c>
      <c r="J107" s="69">
        <f t="shared" si="365"/>
        <v>0</v>
      </c>
      <c r="K107" s="9"/>
      <c r="L107" s="3"/>
      <c r="M107" s="76"/>
      <c r="N107" s="78"/>
      <c r="O107" s="76"/>
      <c r="P107" s="78">
        <f t="shared" ref="P107" si="464">+ROUND(O107*$I107,0)</f>
        <v>0</v>
      </c>
      <c r="Q107" s="76"/>
      <c r="R107" s="78"/>
      <c r="S107" s="76"/>
      <c r="T107" s="78">
        <f t="shared" ref="T107" si="465">+ROUND(S107*$I107,0)</f>
        <v>0</v>
      </c>
      <c r="U107" s="76"/>
      <c r="V107" s="78">
        <f t="shared" ref="V107" si="466">+ROUND(U107*$I107,0)</f>
        <v>0</v>
      </c>
      <c r="W107" s="76"/>
      <c r="X107" s="78">
        <f t="shared" ref="X107" si="467">+ROUND(W107*$I107,0)</f>
        <v>0</v>
      </c>
      <c r="Y107" s="76"/>
      <c r="Z107" s="78"/>
      <c r="AA107" s="76"/>
      <c r="AB107" s="78">
        <f t="shared" ref="AB107" si="468">+ROUND(AA107*$I107,0)</f>
        <v>0</v>
      </c>
      <c r="AC107" s="76"/>
      <c r="AD107" s="78"/>
    </row>
    <row r="108" spans="1:30"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363"/>
        <v>0</v>
      </c>
      <c r="H108" s="69">
        <f>+VLOOKUP(C108,'PRECIOS IDU 2025'!$A$1:$E$3189,4,FALSE)</f>
        <v>10578</v>
      </c>
      <c r="I108" s="69">
        <f t="shared" si="364"/>
        <v>13751</v>
      </c>
      <c r="J108" s="69">
        <f t="shared" si="365"/>
        <v>0</v>
      </c>
      <c r="K108" s="9"/>
      <c r="L108" s="3"/>
      <c r="M108" s="76"/>
      <c r="N108" s="78"/>
      <c r="O108" s="76"/>
      <c r="P108" s="78">
        <f t="shared" ref="P108" si="469">+ROUND(O108*$I108,0)</f>
        <v>0</v>
      </c>
      <c r="Q108" s="76"/>
      <c r="R108" s="78"/>
      <c r="S108" s="76"/>
      <c r="T108" s="78">
        <f t="shared" ref="T108" si="470">+ROUND(S108*$I108,0)</f>
        <v>0</v>
      </c>
      <c r="U108" s="76"/>
      <c r="V108" s="78">
        <f t="shared" ref="V108" si="471">+ROUND(U108*$I108,0)</f>
        <v>0</v>
      </c>
      <c r="W108" s="76"/>
      <c r="X108" s="78">
        <f t="shared" ref="X108" si="472">+ROUND(W108*$I108,0)</f>
        <v>0</v>
      </c>
      <c r="Y108" s="76"/>
      <c r="Z108" s="78"/>
      <c r="AA108" s="76"/>
      <c r="AB108" s="78">
        <f t="shared" ref="AB108" si="473">+ROUND(AA108*$I108,0)</f>
        <v>0</v>
      </c>
      <c r="AC108" s="76"/>
      <c r="AD108" s="78"/>
    </row>
    <row r="109" spans="1:30"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363"/>
        <v>0</v>
      </c>
      <c r="H109" s="69">
        <f>+VLOOKUP(C109,'PRECIOS IDU 2025'!$A$1:$E$3189,4,FALSE)</f>
        <v>104695</v>
      </c>
      <c r="I109" s="69">
        <f t="shared" si="364"/>
        <v>136104</v>
      </c>
      <c r="J109" s="69">
        <f t="shared" si="365"/>
        <v>0</v>
      </c>
      <c r="K109" s="9"/>
      <c r="L109" s="3"/>
      <c r="M109" s="76"/>
      <c r="N109" s="78"/>
      <c r="O109" s="76"/>
      <c r="P109" s="78">
        <f t="shared" ref="P109" si="474">+ROUND(O109*$I109,0)</f>
        <v>0</v>
      </c>
      <c r="Q109" s="76"/>
      <c r="R109" s="78"/>
      <c r="S109" s="76"/>
      <c r="T109" s="78">
        <f t="shared" ref="T109" si="475">+ROUND(S109*$I109,0)</f>
        <v>0</v>
      </c>
      <c r="U109" s="76"/>
      <c r="V109" s="78">
        <f t="shared" ref="V109" si="476">+ROUND(U109*$I109,0)</f>
        <v>0</v>
      </c>
      <c r="W109" s="76"/>
      <c r="X109" s="78">
        <f t="shared" ref="X109" si="477">+ROUND(W109*$I109,0)</f>
        <v>0</v>
      </c>
      <c r="Y109" s="76"/>
      <c r="Z109" s="78"/>
      <c r="AA109" s="76"/>
      <c r="AB109" s="78">
        <f t="shared" ref="AB109" si="478">+ROUND(AA109*$I109,0)</f>
        <v>0</v>
      </c>
      <c r="AC109" s="76"/>
      <c r="AD109" s="78"/>
    </row>
    <row r="110" spans="1:30"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363"/>
        <v>0</v>
      </c>
      <c r="H110" s="69">
        <f>+VLOOKUP(C110,'PRECIOS IDU 2025'!$A$1:$E$3189,4,FALSE)</f>
        <v>104695</v>
      </c>
      <c r="I110" s="69">
        <f t="shared" si="364"/>
        <v>136104</v>
      </c>
      <c r="J110" s="69">
        <f t="shared" si="365"/>
        <v>0</v>
      </c>
      <c r="K110" s="9"/>
      <c r="L110" s="3"/>
      <c r="M110" s="76"/>
      <c r="N110" s="78"/>
      <c r="O110" s="76"/>
      <c r="P110" s="78">
        <f t="shared" ref="P110" si="479">+ROUND(O110*$I110,0)</f>
        <v>0</v>
      </c>
      <c r="Q110" s="76"/>
      <c r="R110" s="78"/>
      <c r="S110" s="76"/>
      <c r="T110" s="78">
        <f t="shared" ref="T110" si="480">+ROUND(S110*$I110,0)</f>
        <v>0</v>
      </c>
      <c r="U110" s="76"/>
      <c r="V110" s="78">
        <f t="shared" ref="V110" si="481">+ROUND(U110*$I110,0)</f>
        <v>0</v>
      </c>
      <c r="W110" s="76"/>
      <c r="X110" s="78">
        <f t="shared" ref="X110" si="482">+ROUND(W110*$I110,0)</f>
        <v>0</v>
      </c>
      <c r="Y110" s="76"/>
      <c r="Z110" s="78"/>
      <c r="AA110" s="76"/>
      <c r="AB110" s="78">
        <f t="shared" ref="AB110" si="483">+ROUND(AA110*$I110,0)</f>
        <v>0</v>
      </c>
      <c r="AC110" s="76"/>
      <c r="AD110" s="78"/>
    </row>
    <row r="111" spans="1:30" ht="30" customHeight="1" x14ac:dyDescent="0.3">
      <c r="A111" s="3"/>
      <c r="B111" s="8"/>
      <c r="C111" s="66" t="s">
        <v>6080</v>
      </c>
      <c r="D111" s="67"/>
      <c r="E111" s="67"/>
      <c r="F111" s="67"/>
      <c r="G111" s="67"/>
      <c r="H111" s="67"/>
      <c r="I111" s="67"/>
      <c r="J111" s="68"/>
      <c r="K111" s="9"/>
      <c r="L111" s="3"/>
      <c r="M111" s="76"/>
      <c r="N111" s="78"/>
      <c r="O111" s="76"/>
      <c r="P111" s="78">
        <f t="shared" ref="P111" si="484">+ROUND(O111*$I111,0)</f>
        <v>0</v>
      </c>
      <c r="Q111" s="76"/>
      <c r="R111" s="78"/>
      <c r="S111" s="76"/>
      <c r="T111" s="78">
        <f t="shared" ref="T111" si="485">+ROUND(S111*$I111,0)</f>
        <v>0</v>
      </c>
      <c r="U111" s="76"/>
      <c r="V111" s="78">
        <f t="shared" ref="V111" si="486">+ROUND(U111*$I111,0)</f>
        <v>0</v>
      </c>
      <c r="W111" s="76"/>
      <c r="X111" s="78">
        <f t="shared" ref="X111" si="487">+ROUND(W111*$I111,0)</f>
        <v>0</v>
      </c>
      <c r="Y111" s="76"/>
      <c r="Z111" s="78"/>
      <c r="AA111" s="76"/>
      <c r="AB111" s="78">
        <f t="shared" ref="AB111" si="488">+ROUND(AA111*$I111,0)</f>
        <v>0</v>
      </c>
      <c r="AC111" s="76"/>
      <c r="AD111" s="78"/>
    </row>
    <row r="112" spans="1:30"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489">+ROUND(M112+O112+Q112+S112+U112+W112+Y112+AA112+AC112,2)</f>
        <v>527.5</v>
      </c>
      <c r="H112" s="69">
        <f>+VLOOKUP(C112,'PRECIOS IDU 2025'!$A$1:$E$3189,4,FALSE)</f>
        <v>8262</v>
      </c>
      <c r="I112" s="69">
        <f t="shared" ref="I112:I128" si="490">+ROUND(H112*(1+$J$192),0)</f>
        <v>10741</v>
      </c>
      <c r="J112" s="69">
        <f t="shared" ref="J112:J128" si="491">+ROUND(I112*G112,0)</f>
        <v>5665878</v>
      </c>
      <c r="K112" s="9"/>
      <c r="L112" s="3"/>
      <c r="M112" s="76"/>
      <c r="N112" s="78"/>
      <c r="O112" s="76">
        <v>73.28</v>
      </c>
      <c r="P112" s="78">
        <f t="shared" ref="P112" si="492">+ROUND(O112*$I112,0)</f>
        <v>787100</v>
      </c>
      <c r="Q112" s="76"/>
      <c r="R112" s="78"/>
      <c r="S112" s="76">
        <f>+S11*1*2</f>
        <v>68</v>
      </c>
      <c r="T112" s="78">
        <f t="shared" ref="T112" si="493">+ROUND(S112*$I112,0)</f>
        <v>730388</v>
      </c>
      <c r="U112" s="76">
        <f>+U11*1*2</f>
        <v>171.98</v>
      </c>
      <c r="V112" s="78">
        <f t="shared" ref="V112" si="494">+ROUND(U112*$I112,0)</f>
        <v>1847237</v>
      </c>
      <c r="W112" s="76">
        <f>+W11*1*2</f>
        <v>98.32</v>
      </c>
      <c r="X112" s="78">
        <f t="shared" ref="X112" si="495">+ROUND(W112*$I112,0)</f>
        <v>1056055</v>
      </c>
      <c r="Y112" s="76"/>
      <c r="Z112" s="78"/>
      <c r="AA112" s="76">
        <f>+AA11*1*2</f>
        <v>115.92</v>
      </c>
      <c r="AB112" s="78">
        <f t="shared" ref="AB112" si="496">+ROUND(AA112*$I112,0)</f>
        <v>1245097</v>
      </c>
      <c r="AC112" s="76"/>
      <c r="AD112" s="78"/>
    </row>
    <row r="113" spans="1:30"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489"/>
        <v>527.5</v>
      </c>
      <c r="H113" s="69">
        <f>+VLOOKUP(C113,'PRECIOS IDU 2025'!$A$1:$E$3189,4,FALSE)</f>
        <v>6417</v>
      </c>
      <c r="I113" s="69">
        <f t="shared" si="490"/>
        <v>8342</v>
      </c>
      <c r="J113" s="69">
        <f t="shared" si="491"/>
        <v>4400405</v>
      </c>
      <c r="K113" s="9"/>
      <c r="L113" s="3"/>
      <c r="M113" s="76"/>
      <c r="N113" s="78"/>
      <c r="O113" s="76">
        <v>73.28</v>
      </c>
      <c r="P113" s="78">
        <f t="shared" ref="P113" si="497">+ROUND(O113*$I113,0)</f>
        <v>611302</v>
      </c>
      <c r="Q113" s="76"/>
      <c r="R113" s="78"/>
      <c r="S113" s="76">
        <f>+S11*2</f>
        <v>68</v>
      </c>
      <c r="T113" s="78">
        <f t="shared" ref="T113" si="498">+ROUND(S113*$I113,0)</f>
        <v>567256</v>
      </c>
      <c r="U113" s="76">
        <f>+U11*2</f>
        <v>171.98</v>
      </c>
      <c r="V113" s="78">
        <f t="shared" ref="V113" si="499">+ROUND(U113*$I113,0)</f>
        <v>1434657</v>
      </c>
      <c r="W113" s="76">
        <f>+W11*2</f>
        <v>98.32</v>
      </c>
      <c r="X113" s="78">
        <f t="shared" ref="X113" si="500">+ROUND(W113*$I113,0)</f>
        <v>820185</v>
      </c>
      <c r="Y113" s="76"/>
      <c r="Z113" s="78"/>
      <c r="AA113" s="76">
        <f>+AA11*2</f>
        <v>115.92</v>
      </c>
      <c r="AB113" s="78">
        <f t="shared" ref="AB113" si="501">+ROUND(AA113*$I113,0)</f>
        <v>967005</v>
      </c>
      <c r="AC113" s="76"/>
      <c r="AD113" s="78"/>
    </row>
    <row r="114" spans="1:30"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489"/>
        <v>145.06</v>
      </c>
      <c r="H114" s="69">
        <f>+VLOOKUP(C114,'PRECIOS IDU 2025'!$A$1:$E$3189,4,FALSE)</f>
        <v>46379</v>
      </c>
      <c r="I114" s="69">
        <f t="shared" si="490"/>
        <v>60293</v>
      </c>
      <c r="J114" s="69">
        <f t="shared" si="491"/>
        <v>8746103</v>
      </c>
      <c r="K114" s="9"/>
      <c r="L114" s="3"/>
      <c r="M114" s="76"/>
      <c r="N114" s="78"/>
      <c r="O114" s="76">
        <v>20.152000000000001</v>
      </c>
      <c r="P114" s="78">
        <f t="shared" ref="P114" si="502">+ROUND(O114*$I114,0)</f>
        <v>1215025</v>
      </c>
      <c r="Q114" s="76"/>
      <c r="R114" s="78"/>
      <c r="S114" s="76">
        <f>+S11*1*SUM($R$3:$T$3)</f>
        <v>18.700000000000003</v>
      </c>
      <c r="T114" s="78">
        <f t="shared" ref="T114" si="503">+ROUND(S114*$I114,0)</f>
        <v>1127479</v>
      </c>
      <c r="U114" s="76">
        <f>+U11*1*SUM($R$3:$T$3)</f>
        <v>47.294499999999999</v>
      </c>
      <c r="V114" s="78">
        <f t="shared" ref="V114" si="504">+ROUND(U114*$I114,0)</f>
        <v>2851527</v>
      </c>
      <c r="W114" s="76">
        <f>+W11*1*SUM($R$3:$T$3)</f>
        <v>27.038</v>
      </c>
      <c r="X114" s="78">
        <f t="shared" ref="X114" si="505">+ROUND(W114*$I114,0)</f>
        <v>1630202</v>
      </c>
      <c r="Y114" s="76"/>
      <c r="Z114" s="78"/>
      <c r="AA114" s="76">
        <f>+AA11*1*SUM($R$3:$T$3)</f>
        <v>31.878000000000004</v>
      </c>
      <c r="AB114" s="78">
        <f t="shared" ref="AB114" si="506">+ROUND(AA114*$I114,0)</f>
        <v>1922020</v>
      </c>
      <c r="AC114" s="76"/>
      <c r="AD114" s="78"/>
    </row>
    <row r="115" spans="1:30"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489"/>
        <v>257.16000000000003</v>
      </c>
      <c r="H115" s="69">
        <f>+VLOOKUP(C115,'PRECIOS IDU 2025'!$A$1:$E$3189,4,FALSE)</f>
        <v>45600</v>
      </c>
      <c r="I115" s="69">
        <f t="shared" si="490"/>
        <v>59280</v>
      </c>
      <c r="J115" s="69">
        <f t="shared" si="491"/>
        <v>15244445</v>
      </c>
      <c r="K115" s="9"/>
      <c r="L115" s="3"/>
      <c r="M115" s="76"/>
      <c r="N115" s="78"/>
      <c r="O115" s="76">
        <v>35.724000000000004</v>
      </c>
      <c r="P115" s="78">
        <f t="shared" ref="P115" si="507">+ROUND(O115*$I115,0)</f>
        <v>2117719</v>
      </c>
      <c r="Q115" s="76"/>
      <c r="R115" s="78"/>
      <c r="S115" s="76">
        <f>+(S114+S112*0.1)*1.3</f>
        <v>33.150000000000006</v>
      </c>
      <c r="T115" s="78">
        <f t="shared" ref="T115" si="508">+ROUND(S115*$I115,0)</f>
        <v>1965132</v>
      </c>
      <c r="U115" s="76">
        <f>+(U114+U112*0.1)*1.3</f>
        <v>83.840250000000012</v>
      </c>
      <c r="V115" s="78">
        <f t="shared" ref="V115" si="509">+ROUND(U115*$I115,0)</f>
        <v>4970050</v>
      </c>
      <c r="W115" s="76">
        <f>+(W114+W112*0.1)*1.3</f>
        <v>47.931000000000004</v>
      </c>
      <c r="X115" s="78">
        <f t="shared" ref="X115" si="510">+ROUND(W115*$I115,0)</f>
        <v>2841350</v>
      </c>
      <c r="Y115" s="76"/>
      <c r="Z115" s="78"/>
      <c r="AA115" s="76">
        <f>+(AA114+AA112*0.1)*1.3</f>
        <v>56.51100000000001</v>
      </c>
      <c r="AB115" s="78">
        <f t="shared" ref="AB115" si="511">+ROUND(AA115*$I115,0)</f>
        <v>3349972</v>
      </c>
      <c r="AC115" s="76"/>
      <c r="AD115" s="78"/>
    </row>
    <row r="116" spans="1:30"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489"/>
        <v>55.39</v>
      </c>
      <c r="H116" s="69">
        <f>+VLOOKUP(C116,'PRECIOS IDU 2025'!$A$1:$E$3189,4,FALSE)</f>
        <v>167049</v>
      </c>
      <c r="I116" s="69">
        <f t="shared" si="490"/>
        <v>217164</v>
      </c>
      <c r="J116" s="69">
        <f t="shared" ref="J116" si="512">+ROUND(I116*G116,0)</f>
        <v>12028714</v>
      </c>
      <c r="K116" s="9"/>
      <c r="L116" s="3"/>
      <c r="M116" s="76"/>
      <c r="N116" s="78"/>
      <c r="O116" s="76">
        <v>7.694399999999999</v>
      </c>
      <c r="P116" s="78">
        <f t="shared" ref="P116" si="513">+ROUND(O116*$I116,0)</f>
        <v>1670947</v>
      </c>
      <c r="Q116" s="76"/>
      <c r="R116" s="78"/>
      <c r="S116" s="76">
        <f>+S11*1*2*$S$3*0.7</f>
        <v>7.1399999999999988</v>
      </c>
      <c r="T116" s="78">
        <f t="shared" ref="T116" si="514">+ROUND(S116*$I116,0)</f>
        <v>1550551</v>
      </c>
      <c r="U116" s="76">
        <f>+U11*1*2*$S$3*0.7</f>
        <v>18.057899999999997</v>
      </c>
      <c r="V116" s="78">
        <f t="shared" ref="V116" si="515">+ROUND(U116*$I116,0)</f>
        <v>3921526</v>
      </c>
      <c r="W116" s="76">
        <f>+W11*1*2*$S$3*0.7</f>
        <v>10.323599999999997</v>
      </c>
      <c r="X116" s="78">
        <f t="shared" ref="X116" si="516">+ROUND(W116*$I116,0)</f>
        <v>2241914</v>
      </c>
      <c r="Y116" s="76"/>
      <c r="Z116" s="78"/>
      <c r="AA116" s="76">
        <f>+AA11*1*2*$S$3*0.7</f>
        <v>12.171599999999998</v>
      </c>
      <c r="AB116" s="78">
        <f t="shared" ref="AB116" si="517">+ROUND(AA116*$I116,0)</f>
        <v>2643233</v>
      </c>
      <c r="AC116" s="76"/>
      <c r="AD116" s="78"/>
    </row>
    <row r="117" spans="1:30"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489"/>
        <v>23.74</v>
      </c>
      <c r="H117" s="69">
        <f>+VLOOKUP(C117,'PRECIOS IDU 2025'!$A$1:$E$3189,4,FALSE)</f>
        <v>162047</v>
      </c>
      <c r="I117" s="69">
        <f t="shared" si="490"/>
        <v>210661</v>
      </c>
      <c r="J117" s="69">
        <f t="shared" si="491"/>
        <v>5001092</v>
      </c>
      <c r="K117" s="9"/>
      <c r="L117" s="3"/>
      <c r="M117" s="76"/>
      <c r="N117" s="78"/>
      <c r="O117" s="76">
        <v>3.2975999999999996</v>
      </c>
      <c r="P117" s="78">
        <f t="shared" ref="P117" si="518">+ROUND(O117*$I117,0)</f>
        <v>694676</v>
      </c>
      <c r="Q117" s="76"/>
      <c r="R117" s="78"/>
      <c r="S117" s="76">
        <f>+S11*1*2*$S$3*0.3</f>
        <v>3.0599999999999996</v>
      </c>
      <c r="T117" s="78">
        <f t="shared" ref="T117" si="519">+ROUND(S117*$I117,0)</f>
        <v>644623</v>
      </c>
      <c r="U117" s="76">
        <f>+U11*1*2*$S$3*0.3</f>
        <v>7.7390999999999988</v>
      </c>
      <c r="V117" s="78">
        <f t="shared" ref="V117" si="520">+ROUND(U117*$I117,0)</f>
        <v>1630327</v>
      </c>
      <c r="W117" s="76">
        <f>+W11*1*2*$S$3*0.3</f>
        <v>4.4243999999999994</v>
      </c>
      <c r="X117" s="78">
        <f t="shared" ref="X117" si="521">+ROUND(W117*$I117,0)</f>
        <v>932049</v>
      </c>
      <c r="Y117" s="76"/>
      <c r="Z117" s="78"/>
      <c r="AA117" s="76">
        <f>+AA11*1*2*$S$3*0.3</f>
        <v>5.2163999999999993</v>
      </c>
      <c r="AB117" s="78">
        <f t="shared" ref="AB117" si="522">+ROUND(AA117*$I117,0)</f>
        <v>1098892</v>
      </c>
      <c r="AC117" s="76"/>
      <c r="AD117" s="78"/>
    </row>
    <row r="118" spans="1:30"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489"/>
        <v>201.15</v>
      </c>
      <c r="H118" s="69">
        <f>+VLOOKUP(C118,'PRECIOS IDU 2025'!$A$1:$E$3189,4,FALSE)</f>
        <v>83828</v>
      </c>
      <c r="I118" s="69">
        <f t="shared" si="490"/>
        <v>108976</v>
      </c>
      <c r="J118" s="69">
        <f t="shared" si="491"/>
        <v>21920522</v>
      </c>
      <c r="K118" s="9"/>
      <c r="L118" s="3"/>
      <c r="M118" s="76"/>
      <c r="N118" s="78"/>
      <c r="O118" s="76">
        <v>22.314</v>
      </c>
      <c r="P118" s="78">
        <f t="shared" ref="P118" si="523">+ROUND(O118*$I118,0)</f>
        <v>2431690</v>
      </c>
      <c r="Q118" s="76"/>
      <c r="R118" s="78"/>
      <c r="S118" s="76">
        <f>+S13*$R$3</f>
        <v>25.058000000000003</v>
      </c>
      <c r="T118" s="78">
        <f t="shared" ref="T118" si="524">+ROUND(S118*$I118,0)</f>
        <v>2730721</v>
      </c>
      <c r="U118" s="76">
        <f>+U13*$R$3</f>
        <v>60.021000000000008</v>
      </c>
      <c r="V118" s="78">
        <f t="shared" ref="V118" si="525">+ROUND(U118*$I118,0)</f>
        <v>6540848</v>
      </c>
      <c r="W118" s="76">
        <f>+W13*$R$3</f>
        <v>35.444000000000003</v>
      </c>
      <c r="X118" s="78">
        <f t="shared" ref="X118" si="526">+ROUND(W118*$I118,0)</f>
        <v>3862545</v>
      </c>
      <c r="Y118" s="76"/>
      <c r="Z118" s="78"/>
      <c r="AA118" s="76">
        <f>+AA13*$R$3</f>
        <v>58.308000000000007</v>
      </c>
      <c r="AB118" s="78">
        <f t="shared" ref="AB118" si="527">+ROUND(AA118*$I118,0)</f>
        <v>6354173</v>
      </c>
      <c r="AC118" s="76"/>
      <c r="AD118" s="78"/>
    </row>
    <row r="119" spans="1:30"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489"/>
        <v>703.69</v>
      </c>
      <c r="H119" s="69">
        <f>+VLOOKUP(C119,'PRECIOS IDU 2025'!$A$1:$E$3189,4,FALSE)</f>
        <v>7346</v>
      </c>
      <c r="I119" s="69">
        <f t="shared" si="490"/>
        <v>9550</v>
      </c>
      <c r="J119" s="69">
        <f t="shared" si="491"/>
        <v>6720240</v>
      </c>
      <c r="K119" s="9"/>
      <c r="L119" s="3"/>
      <c r="M119" s="76"/>
      <c r="N119" s="78"/>
      <c r="O119" s="76">
        <v>97.755520000000004</v>
      </c>
      <c r="P119" s="78">
        <f t="shared" ref="P119" si="528">+ROUND(O119*$I119,0)</f>
        <v>933565</v>
      </c>
      <c r="Q119" s="76"/>
      <c r="R119" s="78"/>
      <c r="S119" s="76">
        <f>1.334*S11*1*2</f>
        <v>90.712000000000003</v>
      </c>
      <c r="T119" s="78">
        <f t="shared" ref="T119" si="529">+ROUND(S119*$I119,0)</f>
        <v>866300</v>
      </c>
      <c r="U119" s="76">
        <f>1.334*U11*1*2</f>
        <v>229.42132000000001</v>
      </c>
      <c r="V119" s="78">
        <f t="shared" ref="V119" si="530">+ROUND(U119*$I119,0)</f>
        <v>2190974</v>
      </c>
      <c r="W119" s="76">
        <f>1.334*W11*1*2</f>
        <v>131.15888000000001</v>
      </c>
      <c r="X119" s="78">
        <f t="shared" ref="X119" si="531">+ROUND(W119*$I119,0)</f>
        <v>1252567</v>
      </c>
      <c r="Y119" s="76"/>
      <c r="Z119" s="78"/>
      <c r="AA119" s="76">
        <f>1.334*AA11*1*2</f>
        <v>154.63728</v>
      </c>
      <c r="AB119" s="78">
        <f t="shared" ref="AB119" si="532">+ROUND(AA119*$I119,0)</f>
        <v>1476786</v>
      </c>
      <c r="AC119" s="76"/>
      <c r="AD119" s="78"/>
    </row>
    <row r="120" spans="1:30"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489"/>
        <v>158.25</v>
      </c>
      <c r="H120" s="69">
        <f>+VLOOKUP(C120,'PRECIOS IDU 2025'!$A$1:$E$3189,4,FALSE)</f>
        <v>184030</v>
      </c>
      <c r="I120" s="69">
        <f t="shared" si="490"/>
        <v>239239</v>
      </c>
      <c r="J120" s="69">
        <f t="shared" si="491"/>
        <v>37859572</v>
      </c>
      <c r="K120" s="9"/>
      <c r="L120" s="3"/>
      <c r="M120" s="76"/>
      <c r="N120" s="78"/>
      <c r="O120" s="76">
        <v>21.983999999999998</v>
      </c>
      <c r="P120" s="78">
        <f t="shared" ref="P120" si="533">+ROUND(O120*$I120,0)</f>
        <v>5259430</v>
      </c>
      <c r="Q120" s="76"/>
      <c r="R120" s="78"/>
      <c r="S120" s="76">
        <f>+S11*1*2*$T$3</f>
        <v>20.399999999999999</v>
      </c>
      <c r="T120" s="78">
        <f t="shared" ref="T120" si="534">+ROUND(S120*$I120,0)</f>
        <v>4880476</v>
      </c>
      <c r="U120" s="76">
        <f>+U11*1*2*$T$3</f>
        <v>51.593999999999994</v>
      </c>
      <c r="V120" s="78">
        <f t="shared" ref="V120" si="535">+ROUND(U120*$I120,0)</f>
        <v>12343297</v>
      </c>
      <c r="W120" s="76">
        <f>+W11*1*2*$T$3</f>
        <v>29.495999999999995</v>
      </c>
      <c r="X120" s="78">
        <f t="shared" ref="X120" si="536">+ROUND(W120*$I120,0)</f>
        <v>7056594</v>
      </c>
      <c r="Y120" s="76"/>
      <c r="Z120" s="78"/>
      <c r="AA120" s="76">
        <f>+AA11*1*2*$T$3</f>
        <v>34.775999999999996</v>
      </c>
      <c r="AB120" s="78">
        <f t="shared" ref="AB120" si="537">+ROUND(AA120*$I120,0)</f>
        <v>8319775</v>
      </c>
      <c r="AC120" s="76"/>
      <c r="AD120" s="78"/>
    </row>
    <row r="121" spans="1:30"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489"/>
        <v>53</v>
      </c>
      <c r="H121" s="69">
        <f>+VLOOKUP(C121,'PRECIOS IDU 2025'!$A$1:$E$3189,4,FALSE)</f>
        <v>966133</v>
      </c>
      <c r="I121" s="69">
        <f t="shared" si="490"/>
        <v>1255973</v>
      </c>
      <c r="J121" s="69">
        <f t="shared" si="491"/>
        <v>66566569</v>
      </c>
      <c r="K121" s="9"/>
      <c r="L121" s="3"/>
      <c r="M121" s="76"/>
      <c r="N121" s="78"/>
      <c r="O121" s="76">
        <v>7</v>
      </c>
      <c r="P121" s="78">
        <f t="shared" ref="P121" si="538">+ROUND(O121*$I121,0)</f>
        <v>8791811</v>
      </c>
      <c r="Q121" s="76"/>
      <c r="R121" s="78"/>
      <c r="S121" s="76">
        <f>+ROUND(S11*2/5*0.5,0)</f>
        <v>7</v>
      </c>
      <c r="T121" s="78">
        <f t="shared" ref="T121" si="539">+ROUND(S121*$I121,0)</f>
        <v>8791811</v>
      </c>
      <c r="U121" s="76">
        <f>+ROUND(U11*2/5*0.5,0)</f>
        <v>17</v>
      </c>
      <c r="V121" s="78">
        <f t="shared" ref="V121" si="540">+ROUND(U121*$I121,0)</f>
        <v>21351541</v>
      </c>
      <c r="W121" s="76">
        <f>+ROUND(W11*2/5*0.5,0)</f>
        <v>10</v>
      </c>
      <c r="X121" s="78">
        <f t="shared" ref="X121" si="541">+ROUND(W121*$I121,0)</f>
        <v>12559730</v>
      </c>
      <c r="Y121" s="76"/>
      <c r="Z121" s="78"/>
      <c r="AA121" s="76">
        <f>+ROUND(AA11*2/5*0.5,0)</f>
        <v>12</v>
      </c>
      <c r="AB121" s="78">
        <f t="shared" ref="AB121" si="542">+ROUND(AA121*$I121,0)</f>
        <v>15071676</v>
      </c>
      <c r="AC121" s="76"/>
      <c r="AD121" s="78"/>
    </row>
    <row r="122" spans="1:30"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489"/>
        <v>369.25</v>
      </c>
      <c r="H122" s="69">
        <f>+VLOOKUP(C122,'PRECIOS IDU 2025'!$A$1:$E$3189,4,FALSE)</f>
        <v>62386</v>
      </c>
      <c r="I122" s="69">
        <f t="shared" si="490"/>
        <v>81102</v>
      </c>
      <c r="J122" s="69">
        <f t="shared" si="491"/>
        <v>29946914</v>
      </c>
      <c r="K122" s="9"/>
      <c r="L122" s="3"/>
      <c r="M122" s="76"/>
      <c r="N122" s="78"/>
      <c r="O122" s="76">
        <v>51.295999999999999</v>
      </c>
      <c r="P122" s="78">
        <f t="shared" ref="P122" si="543">+ROUND(O122*$I122,0)</f>
        <v>4160208</v>
      </c>
      <c r="Q122" s="76"/>
      <c r="R122" s="78"/>
      <c r="S122" s="76">
        <f>+(S11*2-S156)*0.7</f>
        <v>47.599999999999994</v>
      </c>
      <c r="T122" s="78">
        <f t="shared" ref="T122" si="544">+ROUND(S122*$I122,0)</f>
        <v>3860455</v>
      </c>
      <c r="U122" s="76">
        <f>+(U11*2-U156)*0.7</f>
        <v>120.38599999999998</v>
      </c>
      <c r="V122" s="78">
        <f t="shared" ref="V122" si="545">+ROUND(U122*$I122,0)</f>
        <v>9763545</v>
      </c>
      <c r="W122" s="76">
        <f>+(W11*2-W156)*0.7</f>
        <v>68.823999999999984</v>
      </c>
      <c r="X122" s="78">
        <f t="shared" ref="X122" si="546">+ROUND(W122*$I122,0)</f>
        <v>5581764</v>
      </c>
      <c r="Y122" s="76"/>
      <c r="Z122" s="78"/>
      <c r="AA122" s="76">
        <f>+(AA11*2-AA156)*0.7</f>
        <v>81.143999999999991</v>
      </c>
      <c r="AB122" s="78">
        <f t="shared" ref="AB122" si="547">+ROUND(AA122*$I122,0)</f>
        <v>6580941</v>
      </c>
      <c r="AC122" s="76"/>
      <c r="AD122" s="78"/>
    </row>
    <row r="123" spans="1:30"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489"/>
        <v>105.5</v>
      </c>
      <c r="H123" s="69">
        <f>+VLOOKUP(C123,'PRECIOS IDU 2025'!$A$1:$E$3189,4,FALSE)</f>
        <v>82015</v>
      </c>
      <c r="I123" s="69">
        <f t="shared" si="490"/>
        <v>106620</v>
      </c>
      <c r="J123" s="69">
        <f t="shared" si="491"/>
        <v>11248410</v>
      </c>
      <c r="K123" s="9"/>
      <c r="L123" s="3"/>
      <c r="M123" s="76"/>
      <c r="N123" s="78"/>
      <c r="O123" s="76">
        <v>14.656000000000001</v>
      </c>
      <c r="P123" s="78">
        <f t="shared" ref="P123" si="548">+ROUND(O123*$I123,0)</f>
        <v>1562623</v>
      </c>
      <c r="Q123" s="76"/>
      <c r="R123" s="78"/>
      <c r="S123" s="76">
        <f>+(S11*2-S156)*0.2</f>
        <v>13.600000000000001</v>
      </c>
      <c r="T123" s="78">
        <f t="shared" ref="T123" si="549">+ROUND(S123*$I123,0)</f>
        <v>1450032</v>
      </c>
      <c r="U123" s="76">
        <f>+(U11*2-U156)*0.2</f>
        <v>34.396000000000001</v>
      </c>
      <c r="V123" s="78">
        <f t="shared" ref="V123" si="550">+ROUND(U123*$I123,0)</f>
        <v>3667302</v>
      </c>
      <c r="W123" s="76">
        <f>+(W11*2-W156)*0.2</f>
        <v>19.664000000000001</v>
      </c>
      <c r="X123" s="78">
        <f t="shared" ref="X123" si="551">+ROUND(W123*$I123,0)</f>
        <v>2096576</v>
      </c>
      <c r="Y123" s="76"/>
      <c r="Z123" s="78"/>
      <c r="AA123" s="76">
        <f>+(AA11*2-AA156)*0.2</f>
        <v>23.184000000000001</v>
      </c>
      <c r="AB123" s="78">
        <f t="shared" ref="AB123" si="552">+ROUND(AA123*$I123,0)</f>
        <v>2471878</v>
      </c>
      <c r="AC123" s="76"/>
      <c r="AD123" s="78"/>
    </row>
    <row r="124" spans="1:30"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489"/>
        <v>52.75</v>
      </c>
      <c r="H124" s="69">
        <f>+VLOOKUP(C124,'PRECIOS IDU 2025'!$A$1:$E$3189,4,FALSE)</f>
        <v>69041</v>
      </c>
      <c r="I124" s="69">
        <f t="shared" si="490"/>
        <v>89753</v>
      </c>
      <c r="J124" s="69">
        <f t="shared" si="491"/>
        <v>4734471</v>
      </c>
      <c r="K124" s="9"/>
      <c r="L124" s="3"/>
      <c r="M124" s="76"/>
      <c r="N124" s="78"/>
      <c r="O124" s="76">
        <v>7.3280000000000003</v>
      </c>
      <c r="P124" s="78">
        <f t="shared" ref="P124" si="553">+ROUND(O124*$I124,0)</f>
        <v>657710</v>
      </c>
      <c r="Q124" s="76"/>
      <c r="R124" s="78"/>
      <c r="S124" s="76">
        <f>+(S11*2-S156)*0.1</f>
        <v>6.8000000000000007</v>
      </c>
      <c r="T124" s="78">
        <f t="shared" ref="T124" si="554">+ROUND(S124*$I124,0)</f>
        <v>610320</v>
      </c>
      <c r="U124" s="76">
        <f>+(U11*2-U156)*0.1</f>
        <v>17.198</v>
      </c>
      <c r="V124" s="78">
        <f t="shared" ref="V124" si="555">+ROUND(U124*$I124,0)</f>
        <v>1543572</v>
      </c>
      <c r="W124" s="76">
        <f>+(W11*2-W156)*0.1</f>
        <v>9.8320000000000007</v>
      </c>
      <c r="X124" s="78">
        <f t="shared" ref="X124" si="556">+ROUND(W124*$I124,0)</f>
        <v>882451</v>
      </c>
      <c r="Y124" s="76"/>
      <c r="Z124" s="78"/>
      <c r="AA124" s="76">
        <f>+(AA11*2-AA156)*0.1</f>
        <v>11.592000000000001</v>
      </c>
      <c r="AB124" s="78">
        <f t="shared" ref="AB124" si="557">+ROUND(AA124*$I124,0)</f>
        <v>1040417</v>
      </c>
      <c r="AC124" s="76"/>
      <c r="AD124" s="78"/>
    </row>
    <row r="125" spans="1:30"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489"/>
        <v>527.5</v>
      </c>
      <c r="H125" s="69">
        <f>+VLOOKUP(C125,'PRECIOS IDU 2025'!$A$1:$E$3189,4,FALSE)</f>
        <v>2560</v>
      </c>
      <c r="I125" s="69">
        <f t="shared" si="490"/>
        <v>3328</v>
      </c>
      <c r="J125" s="69">
        <f t="shared" si="491"/>
        <v>1755520</v>
      </c>
      <c r="K125" s="9"/>
      <c r="L125" s="3"/>
      <c r="M125" s="76"/>
      <c r="N125" s="78"/>
      <c r="O125" s="76">
        <v>73.28</v>
      </c>
      <c r="P125" s="78">
        <f t="shared" ref="P125" si="558">+ROUND(O125*$I125,0)</f>
        <v>243876</v>
      </c>
      <c r="Q125" s="76"/>
      <c r="R125" s="78"/>
      <c r="S125" s="76">
        <f>+S11*1*2</f>
        <v>68</v>
      </c>
      <c r="T125" s="78">
        <f t="shared" ref="T125" si="559">+ROUND(S125*$I125,0)</f>
        <v>226304</v>
      </c>
      <c r="U125" s="76">
        <f>+U11*1*2</f>
        <v>171.98</v>
      </c>
      <c r="V125" s="78">
        <f t="shared" ref="V125" si="560">+ROUND(U125*$I125,0)</f>
        <v>572349</v>
      </c>
      <c r="W125" s="76">
        <f>+W11*1*2</f>
        <v>98.32</v>
      </c>
      <c r="X125" s="78">
        <f t="shared" ref="X125" si="561">+ROUND(W125*$I125,0)</f>
        <v>327209</v>
      </c>
      <c r="Y125" s="76"/>
      <c r="Z125" s="78"/>
      <c r="AA125" s="76">
        <f>+AA11*1*2</f>
        <v>115.92</v>
      </c>
      <c r="AB125" s="78">
        <f t="shared" ref="AB125" si="562">+ROUND(AA125*$I125,0)</f>
        <v>385782</v>
      </c>
      <c r="AC125" s="76"/>
      <c r="AD125" s="78"/>
    </row>
    <row r="126" spans="1:30"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489"/>
        <v>106</v>
      </c>
      <c r="H126" s="69">
        <f>+VLOOKUP(C126,'PRECIOS IDU 2025'!$A$1:$E$3189,4,FALSE)</f>
        <v>738210</v>
      </c>
      <c r="I126" s="69">
        <f t="shared" si="490"/>
        <v>959673</v>
      </c>
      <c r="J126" s="69">
        <f t="shared" si="491"/>
        <v>101725338</v>
      </c>
      <c r="K126" s="9"/>
      <c r="L126" s="3"/>
      <c r="M126" s="76"/>
      <c r="N126" s="78"/>
      <c r="O126" s="76">
        <v>14</v>
      </c>
      <c r="P126" s="78">
        <f t="shared" ref="P126" si="563">+ROUND(O126*$I126,0)</f>
        <v>13435422</v>
      </c>
      <c r="Q126" s="76"/>
      <c r="R126" s="78"/>
      <c r="S126" s="76">
        <f>+S121*2</f>
        <v>14</v>
      </c>
      <c r="T126" s="78">
        <f t="shared" ref="T126" si="564">+ROUND(S126*$I126,0)</f>
        <v>13435422</v>
      </c>
      <c r="U126" s="76">
        <f>+U121*2</f>
        <v>34</v>
      </c>
      <c r="V126" s="78">
        <f t="shared" ref="V126" si="565">+ROUND(U126*$I126,0)</f>
        <v>32628882</v>
      </c>
      <c r="W126" s="76">
        <f>+W121*2</f>
        <v>20</v>
      </c>
      <c r="X126" s="78">
        <f t="shared" ref="X126" si="566">+ROUND(W126*$I126,0)</f>
        <v>19193460</v>
      </c>
      <c r="Y126" s="76"/>
      <c r="Z126" s="78"/>
      <c r="AA126" s="76">
        <f>+AA121*2</f>
        <v>24</v>
      </c>
      <c r="AB126" s="78">
        <f t="shared" ref="AB126" si="567">+ROUND(AA126*$I126,0)</f>
        <v>23032152</v>
      </c>
      <c r="AC126" s="76"/>
      <c r="AD126" s="78"/>
    </row>
    <row r="127" spans="1:30"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489"/>
        <v>265</v>
      </c>
      <c r="H127" s="69">
        <f>+VLOOKUP(C127,'PRECIOS IDU 2025'!$A$1:$E$3189,4,FALSE)</f>
        <v>63798</v>
      </c>
      <c r="I127" s="69">
        <f t="shared" si="490"/>
        <v>82937</v>
      </c>
      <c r="J127" s="69">
        <f t="shared" si="491"/>
        <v>21978305</v>
      </c>
      <c r="K127" s="9"/>
      <c r="L127" s="3"/>
      <c r="M127" s="76"/>
      <c r="N127" s="78"/>
      <c r="O127" s="76">
        <v>35</v>
      </c>
      <c r="P127" s="78">
        <f t="shared" ref="P127" si="568">+ROUND(O127*$I127,0)</f>
        <v>2902795</v>
      </c>
      <c r="Q127" s="76"/>
      <c r="R127" s="78"/>
      <c r="S127" s="76">
        <f>+S121*5</f>
        <v>35</v>
      </c>
      <c r="T127" s="78">
        <f t="shared" ref="T127" si="569">+ROUND(S127*$I127,0)</f>
        <v>2902795</v>
      </c>
      <c r="U127" s="76">
        <f>+U121*5</f>
        <v>85</v>
      </c>
      <c r="V127" s="78">
        <f t="shared" ref="V127" si="570">+ROUND(U127*$I127,0)</f>
        <v>7049645</v>
      </c>
      <c r="W127" s="76">
        <f>+W121*5</f>
        <v>50</v>
      </c>
      <c r="X127" s="78">
        <f t="shared" ref="X127" si="571">+ROUND(W127*$I127,0)</f>
        <v>4146850</v>
      </c>
      <c r="Y127" s="76"/>
      <c r="Z127" s="78"/>
      <c r="AA127" s="76">
        <f>+AA121*5</f>
        <v>60</v>
      </c>
      <c r="AB127" s="78">
        <f t="shared" ref="AB127" si="572">+ROUND(AA127*$I127,0)</f>
        <v>4976220</v>
      </c>
      <c r="AC127" s="76"/>
      <c r="AD127" s="78"/>
    </row>
    <row r="128" spans="1:30"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489"/>
        <v>51.44</v>
      </c>
      <c r="H128" s="69">
        <f>+VLOOKUP(C128,'PRECIOS IDU 2025'!$A$1:$E$3189,4,FALSE)</f>
        <v>112423</v>
      </c>
      <c r="I128" s="69">
        <f t="shared" si="490"/>
        <v>146150</v>
      </c>
      <c r="J128" s="69">
        <f t="shared" si="491"/>
        <v>7517956</v>
      </c>
      <c r="K128" s="9"/>
      <c r="L128" s="3"/>
      <c r="M128" s="76"/>
      <c r="N128" s="78"/>
      <c r="O128" s="76">
        <v>14.656000000000001</v>
      </c>
      <c r="P128" s="78">
        <f t="shared" ref="P128" si="573">+ROUND(O128*$I128,0)</f>
        <v>2141974</v>
      </c>
      <c r="Q128" s="76"/>
      <c r="R128" s="78"/>
      <c r="S128" s="76">
        <f>0.2*S11*2</f>
        <v>13.600000000000001</v>
      </c>
      <c r="T128" s="78">
        <f t="shared" ref="T128" si="574">+ROUND(S128*$I128,0)</f>
        <v>1987640</v>
      </c>
      <c r="U128" s="76"/>
      <c r="V128" s="78">
        <f t="shared" ref="V128" si="575">+ROUND(U128*$I128,0)</f>
        <v>0</v>
      </c>
      <c r="W128" s="76"/>
      <c r="X128" s="78">
        <f t="shared" ref="X128" si="576">+ROUND(W128*$I128,0)</f>
        <v>0</v>
      </c>
      <c r="Y128" s="76"/>
      <c r="Z128" s="78"/>
      <c r="AA128" s="76">
        <f>0.2*AA11*2</f>
        <v>23.184000000000001</v>
      </c>
      <c r="AB128" s="78">
        <f t="shared" ref="AB128" si="577">+ROUND(AA128*$I128,0)</f>
        <v>3388342</v>
      </c>
      <c r="AC128" s="76"/>
      <c r="AD128" s="78"/>
    </row>
    <row r="129" spans="1:30" ht="30" customHeight="1" x14ac:dyDescent="0.3">
      <c r="A129" s="3"/>
      <c r="B129" s="8"/>
      <c r="C129" s="66" t="s">
        <v>6081</v>
      </c>
      <c r="D129" s="67"/>
      <c r="E129" s="67"/>
      <c r="F129" s="67"/>
      <c r="G129" s="67"/>
      <c r="H129" s="67"/>
      <c r="I129" s="67"/>
      <c r="J129" s="68"/>
      <c r="K129" s="9"/>
      <c r="L129" s="3"/>
      <c r="M129" s="76"/>
      <c r="N129" s="78"/>
      <c r="O129" s="76"/>
      <c r="P129" s="78">
        <f t="shared" ref="P129" si="578">+ROUND(O129*$I129,0)</f>
        <v>0</v>
      </c>
      <c r="Q129" s="76"/>
      <c r="R129" s="78"/>
      <c r="S129" s="76"/>
      <c r="T129" s="78">
        <f t="shared" ref="T129" si="579">+ROUND(S129*$I129,0)</f>
        <v>0</v>
      </c>
      <c r="U129" s="76"/>
      <c r="V129" s="78">
        <f t="shared" ref="V129" si="580">+ROUND(U129*$I129,0)</f>
        <v>0</v>
      </c>
      <c r="W129" s="76"/>
      <c r="X129" s="78">
        <f t="shared" ref="X129" si="581">+ROUND(W129*$I129,0)</f>
        <v>0</v>
      </c>
      <c r="Y129" s="76"/>
      <c r="Z129" s="78"/>
      <c r="AA129" s="76"/>
      <c r="AB129" s="78">
        <f t="shared" ref="AB129" si="582">+ROUND(AA129*$I129,0)</f>
        <v>0</v>
      </c>
      <c r="AC129" s="76"/>
      <c r="AD129" s="78"/>
    </row>
    <row r="130" spans="1:30"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583">+ROUND(M130+O130+Q130+S130+U130+W130+Y130+AA130+AC130,2)</f>
        <v>253.2</v>
      </c>
      <c r="H130" s="69">
        <f>+VLOOKUP(C130,'PRECIOS IDU 2025'!$A$1:$E$3189,4,FALSE)</f>
        <v>46379</v>
      </c>
      <c r="I130" s="69">
        <f t="shared" ref="I130:I163" si="584">+ROUND(H130*(1+$J$192),0)</f>
        <v>60293</v>
      </c>
      <c r="J130" s="69">
        <f t="shared" ref="J130:J163" si="585">+ROUND(I130*G130,0)</f>
        <v>15266188</v>
      </c>
      <c r="K130" s="9"/>
      <c r="L130" s="3"/>
      <c r="M130" s="76"/>
      <c r="N130" s="78"/>
      <c r="O130" s="76">
        <v>35.174399999999999</v>
      </c>
      <c r="P130" s="78">
        <f t="shared" ref="P130" si="586">+ROUND(O130*$I130,0)</f>
        <v>2120770</v>
      </c>
      <c r="Q130" s="76"/>
      <c r="R130" s="78"/>
      <c r="S130" s="76">
        <f>+S11*0.6*0.8*2</f>
        <v>32.64</v>
      </c>
      <c r="T130" s="78">
        <f t="shared" ref="T130" si="587">+ROUND(S130*$I130,0)</f>
        <v>1967964</v>
      </c>
      <c r="U130" s="76">
        <f>+U11*0.6*0.8*2</f>
        <v>82.550399999999996</v>
      </c>
      <c r="V130" s="78">
        <f t="shared" ref="V130" si="588">+ROUND(U130*$I130,0)</f>
        <v>4977211</v>
      </c>
      <c r="W130" s="76">
        <f>+W11*0.6*0.8*2</f>
        <v>47.193599999999996</v>
      </c>
      <c r="X130" s="78">
        <f t="shared" ref="X130" si="589">+ROUND(W130*$I130,0)</f>
        <v>2845444</v>
      </c>
      <c r="Y130" s="76"/>
      <c r="Z130" s="78"/>
      <c r="AA130" s="76">
        <f>+AA11*0.6*0.8*2</f>
        <v>55.641599999999997</v>
      </c>
      <c r="AB130" s="78">
        <f t="shared" ref="AB130" si="590">+ROUND(AA130*$I130,0)</f>
        <v>3354799</v>
      </c>
      <c r="AC130" s="76"/>
      <c r="AD130" s="78"/>
    </row>
    <row r="131" spans="1:30"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583"/>
        <v>0</v>
      </c>
      <c r="H131" s="69">
        <f>+VLOOKUP(C131,'PRECIOS IDU 2025'!$A$1:$E$3189,4,FALSE)</f>
        <v>268852</v>
      </c>
      <c r="I131" s="69">
        <f t="shared" si="584"/>
        <v>349508</v>
      </c>
      <c r="J131" s="69">
        <f t="shared" si="585"/>
        <v>0</v>
      </c>
      <c r="K131" s="9"/>
      <c r="L131" s="3"/>
      <c r="M131" s="76"/>
      <c r="N131" s="78"/>
      <c r="O131" s="76"/>
      <c r="P131" s="78">
        <f t="shared" ref="P131" si="591">+ROUND(O131*$I131,0)</f>
        <v>0</v>
      </c>
      <c r="Q131" s="76"/>
      <c r="R131" s="78"/>
      <c r="S131" s="76"/>
      <c r="T131" s="78">
        <f t="shared" ref="T131" si="592">+ROUND(S131*$I131,0)</f>
        <v>0</v>
      </c>
      <c r="U131" s="76"/>
      <c r="V131" s="78">
        <f t="shared" ref="V131" si="593">+ROUND(U131*$I131,0)</f>
        <v>0</v>
      </c>
      <c r="W131" s="76"/>
      <c r="X131" s="78">
        <f t="shared" ref="X131" si="594">+ROUND(W131*$I131,0)</f>
        <v>0</v>
      </c>
      <c r="Y131" s="76"/>
      <c r="Z131" s="78"/>
      <c r="AA131" s="76"/>
      <c r="AB131" s="78">
        <f t="shared" ref="AB131" si="595">+ROUND(AA131*$I131,0)</f>
        <v>0</v>
      </c>
      <c r="AC131" s="76"/>
      <c r="AD131" s="78"/>
    </row>
    <row r="132" spans="1:30"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583"/>
        <v>0</v>
      </c>
      <c r="H132" s="69">
        <f>+VLOOKUP(C132,'PRECIOS IDU 2025'!$A$1:$E$3189,4,FALSE)</f>
        <v>10836</v>
      </c>
      <c r="I132" s="69">
        <f t="shared" si="584"/>
        <v>14087</v>
      </c>
      <c r="J132" s="69">
        <f t="shared" si="585"/>
        <v>0</v>
      </c>
      <c r="K132" s="9"/>
      <c r="L132" s="3"/>
      <c r="M132" s="76"/>
      <c r="N132" s="78"/>
      <c r="O132" s="76"/>
      <c r="P132" s="78">
        <f t="shared" ref="P132" si="596">+ROUND(O132*$I132,0)</f>
        <v>0</v>
      </c>
      <c r="Q132" s="76"/>
      <c r="R132" s="78"/>
      <c r="S132" s="76"/>
      <c r="T132" s="78">
        <f t="shared" ref="T132" si="597">+ROUND(S132*$I132,0)</f>
        <v>0</v>
      </c>
      <c r="U132" s="76"/>
      <c r="V132" s="78">
        <f t="shared" ref="V132" si="598">+ROUND(U132*$I132,0)</f>
        <v>0</v>
      </c>
      <c r="W132" s="76"/>
      <c r="X132" s="78">
        <f t="shared" ref="X132" si="599">+ROUND(W132*$I132,0)</f>
        <v>0</v>
      </c>
      <c r="Y132" s="76"/>
      <c r="Z132" s="78"/>
      <c r="AA132" s="76"/>
      <c r="AB132" s="78">
        <f t="shared" ref="AB132" si="600">+ROUND(AA132*$I132,0)</f>
        <v>0</v>
      </c>
      <c r="AC132" s="76"/>
      <c r="AD132" s="78"/>
    </row>
    <row r="133" spans="1:30"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583"/>
        <v>10</v>
      </c>
      <c r="H133" s="69">
        <f>+VLOOKUP(C133,'PRECIOS IDU 2025'!$A$1:$E$3189,4,FALSE)</f>
        <v>189054</v>
      </c>
      <c r="I133" s="69">
        <f t="shared" si="584"/>
        <v>245770</v>
      </c>
      <c r="J133" s="69">
        <f t="shared" si="585"/>
        <v>2457700</v>
      </c>
      <c r="K133" s="9"/>
      <c r="L133" s="3"/>
      <c r="M133" s="76"/>
      <c r="N133" s="78"/>
      <c r="O133" s="76">
        <v>2</v>
      </c>
      <c r="P133" s="78">
        <f t="shared" ref="P133" si="601">+ROUND(O133*$I133,0)</f>
        <v>491540</v>
      </c>
      <c r="Q133" s="76"/>
      <c r="R133" s="78"/>
      <c r="S133" s="76">
        <v>2</v>
      </c>
      <c r="T133" s="78">
        <f t="shared" ref="T133" si="602">+ROUND(S133*$I133,0)</f>
        <v>491540</v>
      </c>
      <c r="U133" s="76">
        <v>2</v>
      </c>
      <c r="V133" s="78">
        <f t="shared" ref="V133" si="603">+ROUND(U133*$I133,0)</f>
        <v>491540</v>
      </c>
      <c r="W133" s="76">
        <v>2</v>
      </c>
      <c r="X133" s="78">
        <f t="shared" ref="X133" si="604">+ROUND(W133*$I133,0)</f>
        <v>491540</v>
      </c>
      <c r="Y133" s="76"/>
      <c r="Z133" s="78"/>
      <c r="AA133" s="76">
        <v>2</v>
      </c>
      <c r="AB133" s="78">
        <f t="shared" ref="AB133" si="605">+ROUND(AA133*$I133,0)</f>
        <v>491540</v>
      </c>
      <c r="AC133" s="76"/>
      <c r="AD133" s="78"/>
    </row>
    <row r="134" spans="1:30"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583"/>
        <v>329.16</v>
      </c>
      <c r="H134" s="69">
        <f>+VLOOKUP(C134,'PRECIOS IDU 2025'!$A$1:$E$3189,4,FALSE)</f>
        <v>45600</v>
      </c>
      <c r="I134" s="69">
        <f t="shared" si="584"/>
        <v>59280</v>
      </c>
      <c r="J134" s="69">
        <f t="shared" si="585"/>
        <v>19512605</v>
      </c>
      <c r="K134" s="9"/>
      <c r="L134" s="3"/>
      <c r="M134" s="76"/>
      <c r="N134" s="78"/>
      <c r="O134" s="76">
        <v>45.72672</v>
      </c>
      <c r="P134" s="78">
        <f t="shared" ref="P134" si="606">+ROUND(O134*$I134,0)</f>
        <v>2710680</v>
      </c>
      <c r="Q134" s="76"/>
      <c r="R134" s="78"/>
      <c r="S134" s="76">
        <f>+S130*1.3</f>
        <v>42.432000000000002</v>
      </c>
      <c r="T134" s="78">
        <f t="shared" ref="T134" si="607">+ROUND(S134*$I134,0)</f>
        <v>2515369</v>
      </c>
      <c r="U134" s="76">
        <f>+U130*1.3</f>
        <v>107.31551999999999</v>
      </c>
      <c r="V134" s="78">
        <f t="shared" ref="V134" si="608">+ROUND(U134*$I134,0)</f>
        <v>6361664</v>
      </c>
      <c r="W134" s="76">
        <f>+W130*1.3</f>
        <v>61.351679999999995</v>
      </c>
      <c r="X134" s="78">
        <f t="shared" ref="X134" si="609">+ROUND(W134*$I134,0)</f>
        <v>3636928</v>
      </c>
      <c r="Y134" s="76"/>
      <c r="Z134" s="78"/>
      <c r="AA134" s="76">
        <f>+AA130*1.3</f>
        <v>72.33408</v>
      </c>
      <c r="AB134" s="78">
        <f t="shared" ref="AB134" si="610">+ROUND(AA134*$I134,0)</f>
        <v>4287964</v>
      </c>
      <c r="AC134" s="76"/>
      <c r="AD134" s="78"/>
    </row>
    <row r="135" spans="1:30"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583"/>
        <v>0</v>
      </c>
      <c r="H135" s="69">
        <f>+VLOOKUP(C135,'PRECIOS IDU 2025'!$A$1:$E$3189,4,FALSE)</f>
        <v>58200</v>
      </c>
      <c r="I135" s="69">
        <f t="shared" si="584"/>
        <v>75660</v>
      </c>
      <c r="J135" s="69">
        <f t="shared" si="585"/>
        <v>0</v>
      </c>
      <c r="K135" s="9"/>
      <c r="L135" s="3"/>
      <c r="M135" s="76"/>
      <c r="N135" s="78"/>
      <c r="O135" s="76"/>
      <c r="P135" s="78">
        <f t="shared" ref="P135" si="611">+ROUND(O135*$I135,0)</f>
        <v>0</v>
      </c>
      <c r="Q135" s="76"/>
      <c r="R135" s="78"/>
      <c r="S135" s="76"/>
      <c r="T135" s="78">
        <f t="shared" ref="T135" si="612">+ROUND(S135*$I135,0)</f>
        <v>0</v>
      </c>
      <c r="U135" s="76"/>
      <c r="V135" s="78">
        <f t="shared" ref="V135" si="613">+ROUND(U135*$I135,0)</f>
        <v>0</v>
      </c>
      <c r="W135" s="76"/>
      <c r="X135" s="78">
        <f t="shared" ref="X135" si="614">+ROUND(W135*$I135,0)</f>
        <v>0</v>
      </c>
      <c r="Y135" s="76"/>
      <c r="Z135" s="78"/>
      <c r="AA135" s="76"/>
      <c r="AB135" s="78">
        <f t="shared" ref="AB135" si="615">+ROUND(AA135*$I135,0)</f>
        <v>0</v>
      </c>
      <c r="AC135" s="76"/>
      <c r="AD135" s="78"/>
    </row>
    <row r="136" spans="1:30"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583"/>
        <v>0</v>
      </c>
      <c r="H136" s="69">
        <f>+VLOOKUP(C136,'PRECIOS IDU 2025'!$A$1:$E$3189,4,FALSE)</f>
        <v>39211</v>
      </c>
      <c r="I136" s="69">
        <f t="shared" si="584"/>
        <v>50974</v>
      </c>
      <c r="J136" s="69">
        <f t="shared" si="585"/>
        <v>0</v>
      </c>
      <c r="K136" s="9"/>
      <c r="L136" s="3"/>
      <c r="M136" s="76"/>
      <c r="N136" s="78"/>
      <c r="O136" s="76"/>
      <c r="P136" s="78">
        <f t="shared" ref="P136" si="616">+ROUND(O136*$I136,0)</f>
        <v>0</v>
      </c>
      <c r="Q136" s="76"/>
      <c r="R136" s="78"/>
      <c r="S136" s="76"/>
      <c r="T136" s="78">
        <f t="shared" ref="T136" si="617">+ROUND(S136*$I136,0)</f>
        <v>0</v>
      </c>
      <c r="U136" s="76"/>
      <c r="V136" s="78">
        <f t="shared" ref="V136" si="618">+ROUND(U136*$I136,0)</f>
        <v>0</v>
      </c>
      <c r="W136" s="76"/>
      <c r="X136" s="78">
        <f t="shared" ref="X136" si="619">+ROUND(W136*$I136,0)</f>
        <v>0</v>
      </c>
      <c r="Y136" s="76"/>
      <c r="Z136" s="78"/>
      <c r="AA136" s="76"/>
      <c r="AB136" s="78">
        <f t="shared" ref="AB136" si="620">+ROUND(AA136*$I136,0)</f>
        <v>0</v>
      </c>
      <c r="AC136" s="76"/>
      <c r="AD136" s="78"/>
    </row>
    <row r="137" spans="1:30"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583"/>
        <v>63.3</v>
      </c>
      <c r="H137" s="69">
        <f>+VLOOKUP(C137,'PRECIOS IDU 2025'!$A$1:$E$3189,4,FALSE)</f>
        <v>167159</v>
      </c>
      <c r="I137" s="69">
        <f t="shared" si="584"/>
        <v>217307</v>
      </c>
      <c r="J137" s="69">
        <f t="shared" si="585"/>
        <v>13755533</v>
      </c>
      <c r="K137" s="9"/>
      <c r="L137" s="3"/>
      <c r="M137" s="76"/>
      <c r="N137" s="78"/>
      <c r="O137" s="76">
        <v>8.7935999999999996</v>
      </c>
      <c r="P137" s="78">
        <f t="shared" ref="P137" si="621">+ROUND(O137*$I137,0)</f>
        <v>1910911</v>
      </c>
      <c r="Q137" s="76"/>
      <c r="R137" s="78"/>
      <c r="S137" s="76">
        <f>+S11*0.6*0.2*2</f>
        <v>8.16</v>
      </c>
      <c r="T137" s="78">
        <f t="shared" ref="T137" si="622">+ROUND(S137*$I137,0)</f>
        <v>1773225</v>
      </c>
      <c r="U137" s="76">
        <f>+U11*0.6*0.2*2</f>
        <v>20.637599999999999</v>
      </c>
      <c r="V137" s="78">
        <f t="shared" ref="V137" si="623">+ROUND(U137*$I137,0)</f>
        <v>4484695</v>
      </c>
      <c r="W137" s="76">
        <f>+W11*0.6*0.2*2</f>
        <v>11.798399999999999</v>
      </c>
      <c r="X137" s="78">
        <f t="shared" ref="X137" si="624">+ROUND(W137*$I137,0)</f>
        <v>2563875</v>
      </c>
      <c r="Y137" s="76"/>
      <c r="Z137" s="78"/>
      <c r="AA137" s="76">
        <f>+AA11*0.6*0.2*2</f>
        <v>13.910399999999999</v>
      </c>
      <c r="AB137" s="78">
        <f t="shared" ref="AB137" si="625">+ROUND(AA137*$I137,0)</f>
        <v>3022827</v>
      </c>
      <c r="AC137" s="76"/>
      <c r="AD137" s="78"/>
    </row>
    <row r="138" spans="1:30"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583"/>
        <v>63.3</v>
      </c>
      <c r="H138" s="69">
        <f>+VLOOKUP(C138,'PRECIOS IDU 2025'!$A$1:$E$3189,4,FALSE)</f>
        <v>100367</v>
      </c>
      <c r="I138" s="69">
        <f t="shared" si="584"/>
        <v>130477</v>
      </c>
      <c r="J138" s="69">
        <f t="shared" si="585"/>
        <v>8259194</v>
      </c>
      <c r="K138" s="9"/>
      <c r="L138" s="3"/>
      <c r="M138" s="76"/>
      <c r="N138" s="78"/>
      <c r="O138" s="76">
        <v>8.7935999999999996</v>
      </c>
      <c r="P138" s="78">
        <f t="shared" ref="P138" si="626">+ROUND(O138*$I138,0)</f>
        <v>1147363</v>
      </c>
      <c r="Q138" s="76"/>
      <c r="R138" s="78"/>
      <c r="S138" s="76">
        <f>+S11*0.6*0.2*2</f>
        <v>8.16</v>
      </c>
      <c r="T138" s="78">
        <f t="shared" ref="T138" si="627">+ROUND(S138*$I138,0)</f>
        <v>1064692</v>
      </c>
      <c r="U138" s="76">
        <f>+U11*0.6*0.2*2</f>
        <v>20.637599999999999</v>
      </c>
      <c r="V138" s="78">
        <f t="shared" ref="V138" si="628">+ROUND(U138*$I138,0)</f>
        <v>2692732</v>
      </c>
      <c r="W138" s="76">
        <f>+W11*0.6*0.2*2</f>
        <v>11.798399999999999</v>
      </c>
      <c r="X138" s="78">
        <f t="shared" ref="X138" si="629">+ROUND(W138*$I138,0)</f>
        <v>1539420</v>
      </c>
      <c r="Y138" s="76"/>
      <c r="Z138" s="78"/>
      <c r="AA138" s="76">
        <f>+AA11*0.6*0.2*2</f>
        <v>13.910399999999999</v>
      </c>
      <c r="AB138" s="78">
        <f t="shared" ref="AB138" si="630">+ROUND(AA138*$I138,0)</f>
        <v>1814987</v>
      </c>
      <c r="AC138" s="76"/>
      <c r="AD138" s="78"/>
    </row>
    <row r="139" spans="1:30"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583"/>
        <v>0</v>
      </c>
      <c r="H139" s="69">
        <f>+VLOOKUP(C139,'PRECIOS IDU 2025'!$A$1:$E$3189,4,FALSE)</f>
        <v>214107</v>
      </c>
      <c r="I139" s="69">
        <f t="shared" si="584"/>
        <v>278339</v>
      </c>
      <c r="J139" s="69">
        <f t="shared" si="585"/>
        <v>0</v>
      </c>
      <c r="K139" s="9"/>
      <c r="L139" s="3"/>
      <c r="M139" s="76"/>
      <c r="N139" s="78"/>
      <c r="O139" s="76"/>
      <c r="P139" s="78">
        <f t="shared" ref="P139" si="631">+ROUND(O139*$I139,0)</f>
        <v>0</v>
      </c>
      <c r="Q139" s="76"/>
      <c r="R139" s="78"/>
      <c r="S139" s="76"/>
      <c r="T139" s="78">
        <f t="shared" ref="T139" si="632">+ROUND(S139*$I139,0)</f>
        <v>0</v>
      </c>
      <c r="U139" s="76"/>
      <c r="V139" s="78">
        <f t="shared" ref="V139" si="633">+ROUND(U139*$I139,0)</f>
        <v>0</v>
      </c>
      <c r="W139" s="76"/>
      <c r="X139" s="78">
        <f t="shared" ref="X139" si="634">+ROUND(W139*$I139,0)</f>
        <v>0</v>
      </c>
      <c r="Y139" s="76"/>
      <c r="Z139" s="78"/>
      <c r="AA139" s="76"/>
      <c r="AB139" s="78">
        <f t="shared" ref="AB139" si="635">+ROUND(AA139*$I139,0)</f>
        <v>0</v>
      </c>
      <c r="AC139" s="76"/>
      <c r="AD139" s="78"/>
    </row>
    <row r="140" spans="1:30"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583"/>
        <v>63.3</v>
      </c>
      <c r="H140" s="69">
        <f>+VLOOKUP(C140,'PRECIOS IDU 2025'!$A$1:$E$3189,4,FALSE)</f>
        <v>155503</v>
      </c>
      <c r="I140" s="69">
        <f t="shared" si="584"/>
        <v>202154</v>
      </c>
      <c r="J140" s="69">
        <f t="shared" si="585"/>
        <v>12796348</v>
      </c>
      <c r="K140" s="9"/>
      <c r="L140" s="3"/>
      <c r="M140" s="76"/>
      <c r="N140" s="78"/>
      <c r="O140" s="76">
        <v>8.7935999999999996</v>
      </c>
      <c r="P140" s="78">
        <f t="shared" ref="P140" si="636">+ROUND(O140*$I140,0)</f>
        <v>1777661</v>
      </c>
      <c r="Q140" s="76"/>
      <c r="R140" s="78"/>
      <c r="S140" s="76">
        <f>+S11*0.6*0.2*2</f>
        <v>8.16</v>
      </c>
      <c r="T140" s="78">
        <f t="shared" ref="T140" si="637">+ROUND(S140*$I140,0)</f>
        <v>1649577</v>
      </c>
      <c r="U140" s="76">
        <f>+U11*0.6*0.2*2</f>
        <v>20.637599999999999</v>
      </c>
      <c r="V140" s="78">
        <f t="shared" ref="V140" si="638">+ROUND(U140*$I140,0)</f>
        <v>4171973</v>
      </c>
      <c r="W140" s="76">
        <f>+W11*0.6*0.2*2</f>
        <v>11.798399999999999</v>
      </c>
      <c r="X140" s="78">
        <f t="shared" ref="X140" si="639">+ROUND(W140*$I140,0)</f>
        <v>2385094</v>
      </c>
      <c r="Y140" s="76"/>
      <c r="Z140" s="78"/>
      <c r="AA140" s="76">
        <f>+AA11*0.6*0.2*2</f>
        <v>13.910399999999999</v>
      </c>
      <c r="AB140" s="78">
        <f t="shared" ref="AB140" si="640">+ROUND(AA140*$I140,0)</f>
        <v>2812043</v>
      </c>
      <c r="AC140" s="76"/>
      <c r="AD140" s="78"/>
    </row>
    <row r="141" spans="1:30"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583"/>
        <v>22</v>
      </c>
      <c r="H141" s="69">
        <f>+VLOOKUP(C141,'PRECIOS IDU 2025'!$A$1:$E$3189,4,FALSE)</f>
        <v>1895915</v>
      </c>
      <c r="I141" s="69">
        <f t="shared" si="584"/>
        <v>2464690</v>
      </c>
      <c r="J141" s="69">
        <f t="shared" si="585"/>
        <v>54223180</v>
      </c>
      <c r="K141" s="9"/>
      <c r="L141" s="3"/>
      <c r="M141" s="76"/>
      <c r="N141" s="78"/>
      <c r="O141" s="76">
        <v>4</v>
      </c>
      <c r="P141" s="78">
        <f t="shared" ref="P141" si="641">+ROUND(O141*$I141,0)</f>
        <v>9858760</v>
      </c>
      <c r="Q141" s="76"/>
      <c r="R141" s="78"/>
      <c r="S141" s="76">
        <f>+ROUND(S11/50+1,0)*2</f>
        <v>4</v>
      </c>
      <c r="T141" s="78">
        <f t="shared" ref="T141" si="642">+ROUND(S141*$I141,0)</f>
        <v>9858760</v>
      </c>
      <c r="U141" s="76">
        <f>+ROUND(U11/50+1,0)*2</f>
        <v>6</v>
      </c>
      <c r="V141" s="78">
        <f t="shared" ref="V141" si="643">+ROUND(U141*$I141,0)</f>
        <v>14788140</v>
      </c>
      <c r="W141" s="76">
        <f>+ROUND(W11/50+1,0)*2</f>
        <v>4</v>
      </c>
      <c r="X141" s="78">
        <f t="shared" ref="X141" si="644">+ROUND(W141*$I141,0)</f>
        <v>9858760</v>
      </c>
      <c r="Y141" s="76"/>
      <c r="Z141" s="78"/>
      <c r="AA141" s="76">
        <f>+ROUND(AA11/50+1,0)*2</f>
        <v>4</v>
      </c>
      <c r="AB141" s="78">
        <f t="shared" ref="AB141" si="645">+ROUND(AA141*$I141,0)</f>
        <v>9858760</v>
      </c>
      <c r="AC141" s="76"/>
      <c r="AD141" s="78"/>
    </row>
    <row r="142" spans="1:30"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583"/>
        <v>22</v>
      </c>
      <c r="H142" s="69">
        <f>+VLOOKUP(C142,'PRECIOS IDU 2025'!$A$1:$E$3189,4,FALSE)</f>
        <v>739808</v>
      </c>
      <c r="I142" s="69">
        <f t="shared" si="584"/>
        <v>961750</v>
      </c>
      <c r="J142" s="69">
        <f t="shared" si="585"/>
        <v>21158500</v>
      </c>
      <c r="K142" s="9"/>
      <c r="L142" s="3"/>
      <c r="M142" s="76"/>
      <c r="N142" s="78"/>
      <c r="O142" s="76">
        <v>4</v>
      </c>
      <c r="P142" s="78">
        <f t="shared" ref="P142" si="646">+ROUND(O142*$I142,0)</f>
        <v>3847000</v>
      </c>
      <c r="Q142" s="76"/>
      <c r="R142" s="78"/>
      <c r="S142" s="76">
        <f>+S141</f>
        <v>4</v>
      </c>
      <c r="T142" s="78">
        <f t="shared" ref="T142" si="647">+ROUND(S142*$I142,0)</f>
        <v>3847000</v>
      </c>
      <c r="U142" s="76">
        <f>+U141</f>
        <v>6</v>
      </c>
      <c r="V142" s="78">
        <f t="shared" ref="V142" si="648">+ROUND(U142*$I142,0)</f>
        <v>5770500</v>
      </c>
      <c r="W142" s="76">
        <f>+W141</f>
        <v>4</v>
      </c>
      <c r="X142" s="78">
        <f t="shared" ref="X142" si="649">+ROUND(W142*$I142,0)</f>
        <v>3847000</v>
      </c>
      <c r="Y142" s="76"/>
      <c r="Z142" s="78"/>
      <c r="AA142" s="76">
        <f>+AA141</f>
        <v>4</v>
      </c>
      <c r="AB142" s="78">
        <f t="shared" ref="AB142" si="650">+ROUND(AA142*$I142,0)</f>
        <v>3847000</v>
      </c>
      <c r="AC142" s="76"/>
      <c r="AD142" s="78"/>
    </row>
    <row r="143" spans="1:30"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583"/>
        <v>22</v>
      </c>
      <c r="H143" s="69">
        <f>+VLOOKUP(C143,'PRECIOS IDU 2025'!$A$1:$E$3189,4,FALSE)</f>
        <v>135984</v>
      </c>
      <c r="I143" s="69">
        <f t="shared" si="584"/>
        <v>176779</v>
      </c>
      <c r="J143" s="69">
        <f t="shared" si="585"/>
        <v>3889138</v>
      </c>
      <c r="K143" s="9"/>
      <c r="L143" s="3"/>
      <c r="M143" s="76"/>
      <c r="N143" s="78"/>
      <c r="O143" s="76">
        <v>4</v>
      </c>
      <c r="P143" s="78">
        <f t="shared" ref="P143" si="651">+ROUND(O143*$I143,0)</f>
        <v>707116</v>
      </c>
      <c r="Q143" s="76"/>
      <c r="R143" s="78"/>
      <c r="S143" s="76">
        <f>+S142</f>
        <v>4</v>
      </c>
      <c r="T143" s="78">
        <f t="shared" ref="T143" si="652">+ROUND(S143*$I143,0)</f>
        <v>707116</v>
      </c>
      <c r="U143" s="76">
        <f>+U142</f>
        <v>6</v>
      </c>
      <c r="V143" s="78">
        <f t="shared" ref="V143" si="653">+ROUND(U143*$I143,0)</f>
        <v>1060674</v>
      </c>
      <c r="W143" s="76">
        <f>+W142</f>
        <v>4</v>
      </c>
      <c r="X143" s="78">
        <f t="shared" ref="X143" si="654">+ROUND(W143*$I143,0)</f>
        <v>707116</v>
      </c>
      <c r="Y143" s="76"/>
      <c r="Z143" s="78"/>
      <c r="AA143" s="76">
        <f>+AA142</f>
        <v>4</v>
      </c>
      <c r="AB143" s="78">
        <f t="shared" ref="AB143" si="655">+ROUND(AA143*$I143,0)</f>
        <v>707116</v>
      </c>
      <c r="AC143" s="76"/>
      <c r="AD143" s="78"/>
    </row>
    <row r="144" spans="1:30"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583"/>
        <v>0</v>
      </c>
      <c r="H144" s="69">
        <f>+VLOOKUP(C144,'PRECIOS IDU 2025'!$A$1:$E$3189,4,FALSE)</f>
        <v>37349</v>
      </c>
      <c r="I144" s="69">
        <f t="shared" si="584"/>
        <v>48554</v>
      </c>
      <c r="J144" s="69">
        <f t="shared" si="585"/>
        <v>0</v>
      </c>
      <c r="K144" s="9"/>
      <c r="L144" s="3"/>
      <c r="M144" s="76"/>
      <c r="N144" s="78"/>
      <c r="O144" s="76"/>
      <c r="P144" s="78">
        <f t="shared" ref="P144" si="656">+ROUND(O144*$I144,0)</f>
        <v>0</v>
      </c>
      <c r="Q144" s="76"/>
      <c r="R144" s="78"/>
      <c r="S144" s="76"/>
      <c r="T144" s="78">
        <f t="shared" ref="T144" si="657">+ROUND(S144*$I144,0)</f>
        <v>0</v>
      </c>
      <c r="U144" s="76"/>
      <c r="V144" s="78">
        <f t="shared" ref="V144" si="658">+ROUND(U144*$I144,0)</f>
        <v>0</v>
      </c>
      <c r="W144" s="76"/>
      <c r="X144" s="78">
        <f t="shared" ref="X144" si="659">+ROUND(W144*$I144,0)</f>
        <v>0</v>
      </c>
      <c r="Y144" s="76"/>
      <c r="Z144" s="78"/>
      <c r="AA144" s="76"/>
      <c r="AB144" s="78">
        <f t="shared" ref="AB144" si="660">+ROUND(AA144*$I144,0)</f>
        <v>0</v>
      </c>
      <c r="AC144" s="76"/>
      <c r="AD144" s="78"/>
    </row>
    <row r="145" spans="1:30"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583"/>
        <v>202.85</v>
      </c>
      <c r="H145" s="69">
        <f>+VLOOKUP(C145,'PRECIOS IDU 2025'!$A$1:$E$3189,4,FALSE)</f>
        <v>63957</v>
      </c>
      <c r="I145" s="69">
        <f t="shared" si="584"/>
        <v>83144</v>
      </c>
      <c r="J145" s="69">
        <f t="shared" si="585"/>
        <v>16865760</v>
      </c>
      <c r="K145" s="9"/>
      <c r="L145" s="3"/>
      <c r="M145" s="76"/>
      <c r="N145" s="78"/>
      <c r="O145" s="76">
        <v>21.314999999999998</v>
      </c>
      <c r="P145" s="78">
        <f t="shared" ref="P145" si="661">+ROUND(O145*$I145,0)</f>
        <v>1772214</v>
      </c>
      <c r="Q145" s="76"/>
      <c r="R145" s="78"/>
      <c r="S145" s="76">
        <f>+S159*S12/2</f>
        <v>25.795000000000002</v>
      </c>
      <c r="T145" s="78">
        <f t="shared" ref="T145" si="662">+ROUND(S145*$I145,0)</f>
        <v>2144699</v>
      </c>
      <c r="U145" s="76">
        <f>+U159*U12/2</f>
        <v>59.330000000000005</v>
      </c>
      <c r="V145" s="78">
        <f t="shared" ref="V145" si="663">+ROUND(U145*$I145,0)</f>
        <v>4932934</v>
      </c>
      <c r="W145" s="76">
        <f>+W159*W12/2</f>
        <v>36.049999999999997</v>
      </c>
      <c r="X145" s="78">
        <f t="shared" ref="X145" si="664">+ROUND(W145*$I145,0)</f>
        <v>2997341</v>
      </c>
      <c r="Y145" s="76"/>
      <c r="Z145" s="78"/>
      <c r="AA145" s="76">
        <f>+AA159*AA12/2</f>
        <v>60.36</v>
      </c>
      <c r="AB145" s="78">
        <f t="shared" ref="AB145" si="665">+ROUND(AA145*$I145,0)</f>
        <v>5018572</v>
      </c>
      <c r="AC145" s="76"/>
      <c r="AD145" s="78"/>
    </row>
    <row r="146" spans="1:30"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583"/>
        <v>263.75</v>
      </c>
      <c r="H146" s="69">
        <f>+VLOOKUP(C146,'PRECIOS IDU 2025'!$A$1:$E$3189,4,FALSE)</f>
        <v>88930</v>
      </c>
      <c r="I146" s="69">
        <f t="shared" si="584"/>
        <v>115609</v>
      </c>
      <c r="J146" s="69">
        <f t="shared" si="585"/>
        <v>30491874</v>
      </c>
      <c r="K146" s="9"/>
      <c r="L146" s="3"/>
      <c r="M146" s="76"/>
      <c r="N146" s="78"/>
      <c r="O146" s="76">
        <v>36.64</v>
      </c>
      <c r="P146" s="78">
        <f t="shared" ref="P146" si="666">+ROUND(O146*$I146,0)</f>
        <v>4235914</v>
      </c>
      <c r="Q146" s="76"/>
      <c r="R146" s="78"/>
      <c r="S146" s="76">
        <f>+S11</f>
        <v>34</v>
      </c>
      <c r="T146" s="78">
        <f t="shared" ref="T146" si="667">+ROUND(S146*$I146,0)</f>
        <v>3930706</v>
      </c>
      <c r="U146" s="76">
        <f>+U11</f>
        <v>85.99</v>
      </c>
      <c r="V146" s="78">
        <f t="shared" ref="V146" si="668">+ROUND(U146*$I146,0)</f>
        <v>9941218</v>
      </c>
      <c r="W146" s="76">
        <f>+W11</f>
        <v>49.16</v>
      </c>
      <c r="X146" s="78">
        <f t="shared" ref="X146" si="669">+ROUND(W146*$I146,0)</f>
        <v>5683338</v>
      </c>
      <c r="Y146" s="76"/>
      <c r="Z146" s="78"/>
      <c r="AA146" s="76">
        <f>+AA11</f>
        <v>57.96</v>
      </c>
      <c r="AB146" s="78">
        <f t="shared" ref="AB146" si="670">+ROUND(AA146*$I146,0)</f>
        <v>6700698</v>
      </c>
      <c r="AC146" s="76"/>
      <c r="AD146" s="78"/>
    </row>
    <row r="147" spans="1:30"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583"/>
        <v>0</v>
      </c>
      <c r="H147" s="69">
        <f>+VLOOKUP(C147,'PRECIOS IDU 2025'!$A$1:$E$3189,4,FALSE)</f>
        <v>125950</v>
      </c>
      <c r="I147" s="69">
        <f t="shared" si="584"/>
        <v>163735</v>
      </c>
      <c r="J147" s="69">
        <f t="shared" si="585"/>
        <v>0</v>
      </c>
      <c r="K147" s="9"/>
      <c r="L147" s="3"/>
      <c r="M147" s="76"/>
      <c r="N147" s="78"/>
      <c r="O147" s="76"/>
      <c r="P147" s="78">
        <f t="shared" ref="P147" si="671">+ROUND(O147*$I147,0)</f>
        <v>0</v>
      </c>
      <c r="Q147" s="76"/>
      <c r="R147" s="78"/>
      <c r="S147" s="76"/>
      <c r="T147" s="78">
        <f t="shared" ref="T147" si="672">+ROUND(S147*$I147,0)</f>
        <v>0</v>
      </c>
      <c r="U147" s="76"/>
      <c r="V147" s="78">
        <f t="shared" ref="V147" si="673">+ROUND(U147*$I147,0)</f>
        <v>0</v>
      </c>
      <c r="W147" s="76"/>
      <c r="X147" s="78">
        <f t="shared" ref="X147" si="674">+ROUND(W147*$I147,0)</f>
        <v>0</v>
      </c>
      <c r="Y147" s="76"/>
      <c r="Z147" s="78"/>
      <c r="AA147" s="76"/>
      <c r="AB147" s="78">
        <f t="shared" ref="AB147" si="675">+ROUND(AA147*$I147,0)</f>
        <v>0</v>
      </c>
      <c r="AC147" s="76"/>
      <c r="AD147" s="78"/>
    </row>
    <row r="148" spans="1:30"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583"/>
        <v>263.75</v>
      </c>
      <c r="H148" s="69">
        <f>+VLOOKUP(C148,'PRECIOS IDU 2025'!$A$1:$E$3189,4,FALSE)</f>
        <v>176674</v>
      </c>
      <c r="I148" s="69">
        <f t="shared" si="584"/>
        <v>229676</v>
      </c>
      <c r="J148" s="69">
        <f t="shared" si="585"/>
        <v>60577045</v>
      </c>
      <c r="K148" s="9"/>
      <c r="L148" s="3"/>
      <c r="M148" s="76"/>
      <c r="N148" s="78"/>
      <c r="O148" s="76">
        <v>36.64</v>
      </c>
      <c r="P148" s="78">
        <f t="shared" ref="P148" si="676">+ROUND(O148*$I148,0)</f>
        <v>8415329</v>
      </c>
      <c r="Q148" s="76"/>
      <c r="R148" s="78"/>
      <c r="S148" s="76">
        <f>+S11</f>
        <v>34</v>
      </c>
      <c r="T148" s="78">
        <f t="shared" ref="T148" si="677">+ROUND(S148*$I148,0)</f>
        <v>7808984</v>
      </c>
      <c r="U148" s="76">
        <f>+U11</f>
        <v>85.99</v>
      </c>
      <c r="V148" s="78">
        <f t="shared" ref="V148" si="678">+ROUND(U148*$I148,0)</f>
        <v>19749839</v>
      </c>
      <c r="W148" s="76">
        <f>+W11</f>
        <v>49.16</v>
      </c>
      <c r="X148" s="78">
        <f t="shared" ref="X148" si="679">+ROUND(W148*$I148,0)</f>
        <v>11290872</v>
      </c>
      <c r="Y148" s="76"/>
      <c r="Z148" s="78"/>
      <c r="AA148" s="76">
        <f>+AA11</f>
        <v>57.96</v>
      </c>
      <c r="AB148" s="78">
        <f t="shared" ref="AB148" si="680">+ROUND(AA148*$I148,0)</f>
        <v>13312021</v>
      </c>
      <c r="AC148" s="76"/>
      <c r="AD148" s="78"/>
    </row>
    <row r="149" spans="1:30"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583"/>
        <v>0</v>
      </c>
      <c r="H149" s="69">
        <f>+VLOOKUP(C149,'PRECIOS IDU 2025'!$A$1:$E$3189,4,FALSE)</f>
        <v>314109</v>
      </c>
      <c r="I149" s="69">
        <f t="shared" si="584"/>
        <v>408342</v>
      </c>
      <c r="J149" s="69">
        <f t="shared" si="585"/>
        <v>0</v>
      </c>
      <c r="K149" s="9"/>
      <c r="L149" s="3"/>
      <c r="M149" s="76"/>
      <c r="N149" s="78"/>
      <c r="O149" s="76"/>
      <c r="P149" s="78">
        <f t="shared" ref="P149" si="681">+ROUND(O149*$I149,0)</f>
        <v>0</v>
      </c>
      <c r="Q149" s="76"/>
      <c r="R149" s="78"/>
      <c r="S149" s="76"/>
      <c r="T149" s="78">
        <f t="shared" ref="T149" si="682">+ROUND(S149*$I149,0)</f>
        <v>0</v>
      </c>
      <c r="U149" s="76"/>
      <c r="V149" s="78">
        <f t="shared" ref="V149" si="683">+ROUND(U149*$I149,0)</f>
        <v>0</v>
      </c>
      <c r="W149" s="76"/>
      <c r="X149" s="78">
        <f t="shared" ref="X149" si="684">+ROUND(W149*$I149,0)</f>
        <v>0</v>
      </c>
      <c r="Y149" s="76"/>
      <c r="Z149" s="78"/>
      <c r="AA149" s="76"/>
      <c r="AB149" s="78">
        <f t="shared" ref="AB149" si="685">+ROUND(AA149*$I149,0)</f>
        <v>0</v>
      </c>
      <c r="AC149" s="76"/>
      <c r="AD149" s="78"/>
    </row>
    <row r="150" spans="1:30"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583"/>
        <v>0</v>
      </c>
      <c r="H150" s="69">
        <f>+VLOOKUP(C150,'PRECIOS IDU 2025'!$A$1:$E$3189,4,FALSE)</f>
        <v>426915</v>
      </c>
      <c r="I150" s="69">
        <f t="shared" si="584"/>
        <v>554990</v>
      </c>
      <c r="J150" s="69">
        <f t="shared" si="585"/>
        <v>0</v>
      </c>
      <c r="K150" s="9"/>
      <c r="L150" s="3"/>
      <c r="M150" s="76"/>
      <c r="N150" s="78"/>
      <c r="O150" s="76"/>
      <c r="P150" s="78">
        <f t="shared" ref="P150" si="686">+ROUND(O150*$I150,0)</f>
        <v>0</v>
      </c>
      <c r="Q150" s="76"/>
      <c r="R150" s="78"/>
      <c r="S150" s="76"/>
      <c r="T150" s="78">
        <f t="shared" ref="T150" si="687">+ROUND(S150*$I150,0)</f>
        <v>0</v>
      </c>
      <c r="U150" s="76"/>
      <c r="V150" s="78">
        <f t="shared" ref="V150" si="688">+ROUND(U150*$I150,0)</f>
        <v>0</v>
      </c>
      <c r="W150" s="76"/>
      <c r="X150" s="78">
        <f t="shared" ref="X150" si="689">+ROUND(W150*$I150,0)</f>
        <v>0</v>
      </c>
      <c r="Y150" s="76"/>
      <c r="Z150" s="78"/>
      <c r="AA150" s="76"/>
      <c r="AB150" s="78">
        <f t="shared" ref="AB150" si="690">+ROUND(AA150*$I150,0)</f>
        <v>0</v>
      </c>
      <c r="AC150" s="76"/>
      <c r="AD150" s="78"/>
    </row>
    <row r="151" spans="1:30"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583"/>
        <v>0</v>
      </c>
      <c r="H151" s="69">
        <f>+VLOOKUP(C151,'PRECIOS IDU 2025'!$A$1:$E$3189,4,FALSE)</f>
        <v>520777</v>
      </c>
      <c r="I151" s="69">
        <f t="shared" si="584"/>
        <v>677010</v>
      </c>
      <c r="J151" s="69">
        <f t="shared" si="585"/>
        <v>0</v>
      </c>
      <c r="K151" s="9"/>
      <c r="L151" s="3"/>
      <c r="M151" s="76"/>
      <c r="N151" s="78"/>
      <c r="O151" s="76"/>
      <c r="P151" s="78">
        <f t="shared" ref="P151" si="691">+ROUND(O151*$I151,0)</f>
        <v>0</v>
      </c>
      <c r="Q151" s="76"/>
      <c r="R151" s="78"/>
      <c r="S151" s="76"/>
      <c r="T151" s="78">
        <f t="shared" ref="T151" si="692">+ROUND(S151*$I151,0)</f>
        <v>0</v>
      </c>
      <c r="U151" s="76"/>
      <c r="V151" s="78">
        <f t="shared" ref="V151" si="693">+ROUND(U151*$I151,0)</f>
        <v>0</v>
      </c>
      <c r="W151" s="76"/>
      <c r="X151" s="78">
        <f t="shared" ref="X151" si="694">+ROUND(W151*$I151,0)</f>
        <v>0</v>
      </c>
      <c r="Y151" s="76"/>
      <c r="Z151" s="78"/>
      <c r="AA151" s="76"/>
      <c r="AB151" s="78">
        <f t="shared" ref="AB151" si="695">+ROUND(AA151*$I151,0)</f>
        <v>0</v>
      </c>
      <c r="AC151" s="76"/>
      <c r="AD151" s="78"/>
    </row>
    <row r="152" spans="1:30"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583"/>
        <v>263.75</v>
      </c>
      <c r="H152" s="69">
        <f>+VLOOKUP(C152,'PRECIOS IDU 2025'!$A$1:$E$3189,4,FALSE)</f>
        <v>235700</v>
      </c>
      <c r="I152" s="69">
        <f t="shared" si="584"/>
        <v>306410</v>
      </c>
      <c r="J152" s="69">
        <f t="shared" si="585"/>
        <v>80815638</v>
      </c>
      <c r="K152" s="9"/>
      <c r="L152" s="3"/>
      <c r="M152" s="76"/>
      <c r="N152" s="78"/>
      <c r="O152" s="76">
        <v>36.64</v>
      </c>
      <c r="P152" s="78">
        <f t="shared" ref="P152" si="696">+ROUND(O152*$I152,0)</f>
        <v>11226862</v>
      </c>
      <c r="Q152" s="76"/>
      <c r="R152" s="78"/>
      <c r="S152" s="76">
        <f>+S146</f>
        <v>34</v>
      </c>
      <c r="T152" s="78">
        <f t="shared" ref="T152" si="697">+ROUND(S152*$I152,0)</f>
        <v>10417940</v>
      </c>
      <c r="U152" s="76">
        <f>+U146</f>
        <v>85.99</v>
      </c>
      <c r="V152" s="78">
        <f t="shared" ref="V152" si="698">+ROUND(U152*$I152,0)</f>
        <v>26348196</v>
      </c>
      <c r="W152" s="76">
        <f>+W146</f>
        <v>49.16</v>
      </c>
      <c r="X152" s="78">
        <f t="shared" ref="X152" si="699">+ROUND(W152*$I152,0)</f>
        <v>15063116</v>
      </c>
      <c r="Y152" s="76"/>
      <c r="Z152" s="78"/>
      <c r="AA152" s="76">
        <f>+AA146</f>
        <v>57.96</v>
      </c>
      <c r="AB152" s="78">
        <f t="shared" ref="AB152" si="700">+ROUND(AA152*$I152,0)</f>
        <v>17759524</v>
      </c>
      <c r="AC152" s="76"/>
      <c r="AD152" s="78"/>
    </row>
    <row r="153" spans="1:30"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583"/>
        <v>0</v>
      </c>
      <c r="H153" s="69">
        <f>+VLOOKUP(C153,'PRECIOS IDU 2025'!$A$1:$E$3189,4,FALSE)</f>
        <v>235700</v>
      </c>
      <c r="I153" s="69">
        <f t="shared" si="584"/>
        <v>306410</v>
      </c>
      <c r="J153" s="69">
        <f t="shared" si="585"/>
        <v>0</v>
      </c>
      <c r="K153" s="9"/>
      <c r="L153" s="3"/>
      <c r="M153" s="76"/>
      <c r="N153" s="78"/>
      <c r="O153" s="76"/>
      <c r="P153" s="78">
        <f t="shared" ref="P153" si="701">+ROUND(O153*$I153,0)</f>
        <v>0</v>
      </c>
      <c r="Q153" s="76"/>
      <c r="R153" s="78"/>
      <c r="S153" s="76"/>
      <c r="T153" s="78">
        <f t="shared" ref="T153" si="702">+ROUND(S153*$I153,0)</f>
        <v>0</v>
      </c>
      <c r="U153" s="76"/>
      <c r="V153" s="78">
        <f t="shared" ref="V153" si="703">+ROUND(U153*$I153,0)</f>
        <v>0</v>
      </c>
      <c r="W153" s="76"/>
      <c r="X153" s="78">
        <f t="shared" ref="X153" si="704">+ROUND(W153*$I153,0)</f>
        <v>0</v>
      </c>
      <c r="Y153" s="76"/>
      <c r="Z153" s="78"/>
      <c r="AA153" s="76"/>
      <c r="AB153" s="78">
        <f t="shared" ref="AB153" si="705">+ROUND(AA153*$I153,0)</f>
        <v>0</v>
      </c>
      <c r="AC153" s="76"/>
      <c r="AD153" s="78"/>
    </row>
    <row r="154" spans="1:30"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583"/>
        <v>263.75</v>
      </c>
      <c r="H154" s="69">
        <f>+VLOOKUP(C154,'PRECIOS IDU 2025'!$A$1:$E$3189,4,FALSE)</f>
        <v>238084</v>
      </c>
      <c r="I154" s="69">
        <f t="shared" si="584"/>
        <v>309509</v>
      </c>
      <c r="J154" s="69">
        <f t="shared" si="585"/>
        <v>81632999</v>
      </c>
      <c r="K154" s="9"/>
      <c r="L154" s="3"/>
      <c r="M154" s="76"/>
      <c r="N154" s="78"/>
      <c r="O154" s="76">
        <v>36.64</v>
      </c>
      <c r="P154" s="78">
        <f t="shared" ref="P154" si="706">+ROUND(O154*$I154,0)</f>
        <v>11340410</v>
      </c>
      <c r="Q154" s="76"/>
      <c r="R154" s="78"/>
      <c r="S154" s="76">
        <f>+S148</f>
        <v>34</v>
      </c>
      <c r="T154" s="78">
        <f t="shared" ref="T154" si="707">+ROUND(S154*$I154,0)</f>
        <v>10523306</v>
      </c>
      <c r="U154" s="76">
        <f>+U148</f>
        <v>85.99</v>
      </c>
      <c r="V154" s="78">
        <f t="shared" ref="V154" si="708">+ROUND(U154*$I154,0)</f>
        <v>26614679</v>
      </c>
      <c r="W154" s="76">
        <f>+W148</f>
        <v>49.16</v>
      </c>
      <c r="X154" s="78">
        <f t="shared" ref="X154" si="709">+ROUND(W154*$I154,0)</f>
        <v>15215462</v>
      </c>
      <c r="Y154" s="76"/>
      <c r="Z154" s="78"/>
      <c r="AA154" s="76">
        <f>+AA148</f>
        <v>57.96</v>
      </c>
      <c r="AB154" s="78">
        <f t="shared" ref="AB154" si="710">+ROUND(AA154*$I154,0)</f>
        <v>17939142</v>
      </c>
      <c r="AC154" s="76"/>
      <c r="AD154" s="78"/>
    </row>
    <row r="155" spans="1:30"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583"/>
        <v>0</v>
      </c>
      <c r="H155" s="69">
        <f>+VLOOKUP(C155,'PRECIOS IDU 2025'!$A$1:$E$3189,4,FALSE)</f>
        <v>298533</v>
      </c>
      <c r="I155" s="69">
        <f t="shared" si="584"/>
        <v>388093</v>
      </c>
      <c r="J155" s="69">
        <f t="shared" si="585"/>
        <v>0</v>
      </c>
      <c r="K155" s="9"/>
      <c r="L155" s="3"/>
      <c r="M155" s="76"/>
      <c r="N155" s="78"/>
      <c r="O155" s="76"/>
      <c r="P155" s="78">
        <f t="shared" ref="P155" si="711">+ROUND(O155*$I155,0)</f>
        <v>0</v>
      </c>
      <c r="Q155" s="76"/>
      <c r="R155" s="78"/>
      <c r="S155" s="76"/>
      <c r="T155" s="78">
        <f t="shared" ref="T155" si="712">+ROUND(S155*$I155,0)</f>
        <v>0</v>
      </c>
      <c r="U155" s="76"/>
      <c r="V155" s="78">
        <f t="shared" ref="V155" si="713">+ROUND(U155*$I155,0)</f>
        <v>0</v>
      </c>
      <c r="W155" s="76"/>
      <c r="X155" s="78">
        <f t="shared" ref="X155" si="714">+ROUND(W155*$I155,0)</f>
        <v>0</v>
      </c>
      <c r="Y155" s="76"/>
      <c r="Z155" s="78"/>
      <c r="AA155" s="76"/>
      <c r="AB155" s="78">
        <f t="shared" ref="AB155" si="715">+ROUND(AA155*$I155,0)</f>
        <v>0</v>
      </c>
      <c r="AC155" s="76"/>
      <c r="AD155" s="78"/>
    </row>
    <row r="156" spans="1:30"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583"/>
        <v>0</v>
      </c>
      <c r="H156" s="69">
        <f>+VLOOKUP(C156,'PRECIOS IDU 2025'!$A$1:$E$3189,4,FALSE)</f>
        <v>298533</v>
      </c>
      <c r="I156" s="69">
        <f t="shared" si="584"/>
        <v>388093</v>
      </c>
      <c r="J156" s="69">
        <f t="shared" si="585"/>
        <v>0</v>
      </c>
      <c r="K156" s="9"/>
      <c r="L156" s="3"/>
      <c r="M156" s="76"/>
      <c r="N156" s="78"/>
      <c r="O156" s="76"/>
      <c r="P156" s="78">
        <f t="shared" ref="P156" si="716">+ROUND(O156*$I156,0)</f>
        <v>0</v>
      </c>
      <c r="Q156" s="76"/>
      <c r="R156" s="78"/>
      <c r="S156" s="76"/>
      <c r="T156" s="78">
        <f t="shared" ref="T156" si="717">+ROUND(S156*$I156,0)</f>
        <v>0</v>
      </c>
      <c r="U156" s="76"/>
      <c r="V156" s="78">
        <f t="shared" ref="V156" si="718">+ROUND(U156*$I156,0)</f>
        <v>0</v>
      </c>
      <c r="W156" s="76"/>
      <c r="X156" s="78">
        <f t="shared" ref="X156" si="719">+ROUND(W156*$I156,0)</f>
        <v>0</v>
      </c>
      <c r="Y156" s="76"/>
      <c r="Z156" s="78"/>
      <c r="AA156" s="76"/>
      <c r="AB156" s="78">
        <f t="shared" ref="AB156" si="720">+ROUND(AA156*$I156,0)</f>
        <v>0</v>
      </c>
      <c r="AC156" s="76"/>
      <c r="AD156" s="78"/>
    </row>
    <row r="157" spans="1:30"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583"/>
        <v>0</v>
      </c>
      <c r="H157" s="69">
        <f>+VLOOKUP(C157,'PRECIOS IDU 2025'!$A$1:$E$3189,4,FALSE)</f>
        <v>309435</v>
      </c>
      <c r="I157" s="69">
        <f t="shared" si="584"/>
        <v>402266</v>
      </c>
      <c r="J157" s="69">
        <f t="shared" si="585"/>
        <v>0</v>
      </c>
      <c r="K157" s="9"/>
      <c r="L157" s="3"/>
      <c r="M157" s="76"/>
      <c r="N157" s="78"/>
      <c r="O157" s="76"/>
      <c r="P157" s="78">
        <f t="shared" ref="P157" si="721">+ROUND(O157*$I157,0)</f>
        <v>0</v>
      </c>
      <c r="Q157" s="76"/>
      <c r="R157" s="78"/>
      <c r="S157" s="76"/>
      <c r="T157" s="78">
        <f t="shared" ref="T157" si="722">+ROUND(S157*$I157,0)</f>
        <v>0</v>
      </c>
      <c r="U157" s="76"/>
      <c r="V157" s="78">
        <f t="shared" ref="V157" si="723">+ROUND(U157*$I157,0)</f>
        <v>0</v>
      </c>
      <c r="W157" s="76"/>
      <c r="X157" s="78">
        <f t="shared" ref="X157" si="724">+ROUND(W157*$I157,0)</f>
        <v>0</v>
      </c>
      <c r="Y157" s="76"/>
      <c r="Z157" s="78"/>
      <c r="AA157" s="76"/>
      <c r="AB157" s="78">
        <f t="shared" ref="AB157" si="725">+ROUND(AA157*$I157,0)</f>
        <v>0</v>
      </c>
      <c r="AC157" s="76"/>
      <c r="AD157" s="78"/>
    </row>
    <row r="158" spans="1:30"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583"/>
        <v>53</v>
      </c>
      <c r="H158" s="69">
        <f>+VLOOKUP(C158,'PRECIOS IDU 2025'!$A$1:$E$3189,4,FALSE)</f>
        <v>191968</v>
      </c>
      <c r="I158" s="69">
        <f t="shared" si="584"/>
        <v>249558</v>
      </c>
      <c r="J158" s="69">
        <f t="shared" si="585"/>
        <v>13226574</v>
      </c>
      <c r="K158" s="9"/>
      <c r="L158" s="3"/>
      <c r="M158" s="76"/>
      <c r="N158" s="78"/>
      <c r="O158" s="76">
        <v>7</v>
      </c>
      <c r="P158" s="78">
        <f t="shared" ref="P158" si="726">+ROUND(O158*$I158,0)</f>
        <v>1746906</v>
      </c>
      <c r="Q158" s="76"/>
      <c r="R158" s="78"/>
      <c r="S158" s="76">
        <f>+S159</f>
        <v>7</v>
      </c>
      <c r="T158" s="78">
        <f t="shared" ref="T158" si="727">+ROUND(S158*$I158,0)</f>
        <v>1746906</v>
      </c>
      <c r="U158" s="76">
        <f>+U159</f>
        <v>17</v>
      </c>
      <c r="V158" s="78">
        <f t="shared" ref="V158" si="728">+ROUND(U158*$I158,0)</f>
        <v>4242486</v>
      </c>
      <c r="W158" s="76">
        <f>+W159</f>
        <v>10</v>
      </c>
      <c r="X158" s="78">
        <f t="shared" ref="X158" si="729">+ROUND(W158*$I158,0)</f>
        <v>2495580</v>
      </c>
      <c r="Y158" s="76"/>
      <c r="Z158" s="78"/>
      <c r="AA158" s="76">
        <f>+AA159</f>
        <v>12</v>
      </c>
      <c r="AB158" s="78">
        <f t="shared" ref="AB158" si="730">+ROUND(AA158*$I158,0)</f>
        <v>2994696</v>
      </c>
      <c r="AC158" s="76"/>
      <c r="AD158" s="78"/>
    </row>
    <row r="159" spans="1:30"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583"/>
        <v>53</v>
      </c>
      <c r="H159" s="69">
        <f>+VLOOKUP(C159,'PRECIOS IDU 2025'!$A$1:$E$3189,4,FALSE)</f>
        <v>622071</v>
      </c>
      <c r="I159" s="69">
        <f t="shared" si="584"/>
        <v>808692</v>
      </c>
      <c r="J159" s="69">
        <f t="shared" si="585"/>
        <v>42860676</v>
      </c>
      <c r="K159" s="9"/>
      <c r="L159" s="3"/>
      <c r="M159" s="76"/>
      <c r="N159" s="78"/>
      <c r="O159" s="76">
        <v>7</v>
      </c>
      <c r="P159" s="78">
        <f t="shared" ref="P159" si="731">+ROUND(O159*$I159,0)</f>
        <v>5660844</v>
      </c>
      <c r="Q159" s="76"/>
      <c r="R159" s="78"/>
      <c r="S159" s="76">
        <f>+ROUND(S11*2/5*0.5,0)</f>
        <v>7</v>
      </c>
      <c r="T159" s="78">
        <f t="shared" ref="T159" si="732">+ROUND(S159*$I159,0)</f>
        <v>5660844</v>
      </c>
      <c r="U159" s="76">
        <f>+ROUND(U11*2/5*0.5,0)</f>
        <v>17</v>
      </c>
      <c r="V159" s="78">
        <f t="shared" ref="V159" si="733">+ROUND(U159*$I159,0)</f>
        <v>13747764</v>
      </c>
      <c r="W159" s="76">
        <f>+ROUND(W11*2/5*0.5,0)</f>
        <v>10</v>
      </c>
      <c r="X159" s="78">
        <f t="shared" ref="X159" si="734">+ROUND(W159*$I159,0)</f>
        <v>8086920</v>
      </c>
      <c r="Y159" s="76"/>
      <c r="Z159" s="78"/>
      <c r="AA159" s="76">
        <f>+ROUND(AA11*2/5*0.5,0)</f>
        <v>12</v>
      </c>
      <c r="AB159" s="78">
        <f t="shared" ref="AB159" si="735">+ROUND(AA159*$I159,0)</f>
        <v>9704304</v>
      </c>
      <c r="AC159" s="76"/>
      <c r="AD159" s="78"/>
    </row>
    <row r="160" spans="1:30" ht="30" customHeight="1" x14ac:dyDescent="0.3">
      <c r="A160" s="3"/>
      <c r="B160" s="8"/>
      <c r="C160" s="60">
        <v>7830</v>
      </c>
      <c r="D160" s="60">
        <v>6031</v>
      </c>
      <c r="E160" s="60" t="e">
        <f>+VLOOKUP(C160,'PRECIOS IDU 2025'!$A$1:$E$3189,2,FALSE)</f>
        <v>#N/A</v>
      </c>
      <c r="F160" s="60" t="e">
        <f>+VLOOKUP(C160,'PRECIOS IDU 2025'!$A$1:$E$3189,3,FALSE)</f>
        <v>#N/A</v>
      </c>
      <c r="G160" s="108">
        <f t="shared" si="583"/>
        <v>53</v>
      </c>
      <c r="H160" s="69" t="e">
        <f>+VLOOKUP(C160,'PRECIOS IDU 2025'!$A$1:$E$3189,4,FALSE)</f>
        <v>#N/A</v>
      </c>
      <c r="I160" s="69" t="e">
        <f t="shared" si="584"/>
        <v>#N/A</v>
      </c>
      <c r="J160" s="69" t="e">
        <f t="shared" si="585"/>
        <v>#N/A</v>
      </c>
      <c r="K160" s="9"/>
      <c r="L160" s="3"/>
      <c r="M160" s="76"/>
      <c r="N160" s="78"/>
      <c r="O160" s="76">
        <v>7</v>
      </c>
      <c r="P160" s="78" t="e">
        <f t="shared" ref="P160" si="736">+ROUND(O160*$I160,0)</f>
        <v>#N/A</v>
      </c>
      <c r="Q160" s="76"/>
      <c r="R160" s="78"/>
      <c r="S160" s="76">
        <f>+S159</f>
        <v>7</v>
      </c>
      <c r="T160" s="78" t="e">
        <f t="shared" ref="T160" si="737">+ROUND(S160*$I160,0)</f>
        <v>#N/A</v>
      </c>
      <c r="U160" s="76">
        <f>+U159</f>
        <v>17</v>
      </c>
      <c r="V160" s="78" t="e">
        <f t="shared" ref="V160" si="738">+ROUND(U160*$I160,0)</f>
        <v>#N/A</v>
      </c>
      <c r="W160" s="76">
        <f>+W159</f>
        <v>10</v>
      </c>
      <c r="X160" s="78" t="e">
        <f t="shared" ref="X160" si="739">+ROUND(W160*$I160,0)</f>
        <v>#N/A</v>
      </c>
      <c r="Y160" s="76"/>
      <c r="Z160" s="78"/>
      <c r="AA160" s="76">
        <f>+AA159</f>
        <v>12</v>
      </c>
      <c r="AB160" s="78" t="e">
        <f t="shared" ref="AB160" si="740">+ROUND(AA160*$I160,0)</f>
        <v>#N/A</v>
      </c>
      <c r="AC160" s="76"/>
      <c r="AD160" s="78"/>
    </row>
    <row r="161" spans="1:30" ht="30" customHeight="1" x14ac:dyDescent="0.3">
      <c r="A161" s="3"/>
      <c r="B161" s="8"/>
      <c r="C161" s="60">
        <v>7831</v>
      </c>
      <c r="D161" s="60">
        <v>6032</v>
      </c>
      <c r="E161" s="60" t="e">
        <f>+VLOOKUP(C161,'PRECIOS IDU 2025'!$A$1:$E$3189,2,FALSE)</f>
        <v>#N/A</v>
      </c>
      <c r="F161" s="60" t="e">
        <f>+VLOOKUP(C161,'PRECIOS IDU 2025'!$A$1:$E$3189,3,FALSE)</f>
        <v>#N/A</v>
      </c>
      <c r="G161" s="108">
        <f t="shared" si="583"/>
        <v>0</v>
      </c>
      <c r="H161" s="69" t="e">
        <f>+VLOOKUP(C161,'PRECIOS IDU 2025'!$A$1:$E$3189,4,FALSE)</f>
        <v>#N/A</v>
      </c>
      <c r="I161" s="69" t="e">
        <f t="shared" si="584"/>
        <v>#N/A</v>
      </c>
      <c r="J161" s="69" t="e">
        <f t="shared" si="585"/>
        <v>#N/A</v>
      </c>
      <c r="K161" s="9"/>
      <c r="L161" s="3"/>
      <c r="M161" s="76"/>
      <c r="N161" s="78"/>
      <c r="O161" s="76"/>
      <c r="P161" s="78" t="e">
        <f t="shared" ref="P161" si="741">+ROUND(O161*$I161,0)</f>
        <v>#N/A</v>
      </c>
      <c r="Q161" s="76"/>
      <c r="R161" s="78"/>
      <c r="S161" s="76"/>
      <c r="T161" s="78" t="e">
        <f t="shared" ref="T161" si="742">+ROUND(S161*$I161,0)</f>
        <v>#N/A</v>
      </c>
      <c r="U161" s="76"/>
      <c r="V161" s="78" t="e">
        <f t="shared" ref="V161" si="743">+ROUND(U161*$I161,0)</f>
        <v>#N/A</v>
      </c>
      <c r="W161" s="76"/>
      <c r="X161" s="78" t="e">
        <f t="shared" ref="X161" si="744">+ROUND(W161*$I161,0)</f>
        <v>#N/A</v>
      </c>
      <c r="Y161" s="76"/>
      <c r="Z161" s="78"/>
      <c r="AA161" s="76"/>
      <c r="AB161" s="78" t="e">
        <f t="shared" ref="AB161" si="745">+ROUND(AA161*$I161,0)</f>
        <v>#N/A</v>
      </c>
      <c r="AC161" s="76"/>
      <c r="AD161" s="78"/>
    </row>
    <row r="162" spans="1:30"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583"/>
        <v>53</v>
      </c>
      <c r="H162" s="69">
        <f>+VLOOKUP(C162,'PRECIOS IDU 2025'!$A$1:$E$3189,4,FALSE)</f>
        <v>407062</v>
      </c>
      <c r="I162" s="69">
        <f t="shared" si="584"/>
        <v>529181</v>
      </c>
      <c r="J162" s="69">
        <f t="shared" si="585"/>
        <v>28046593</v>
      </c>
      <c r="K162" s="9"/>
      <c r="L162" s="3"/>
      <c r="M162" s="76"/>
      <c r="N162" s="78"/>
      <c r="O162" s="76">
        <v>7</v>
      </c>
      <c r="P162" s="78">
        <f t="shared" ref="P162" si="746">+ROUND(O162*$I162,0)</f>
        <v>3704267</v>
      </c>
      <c r="Q162" s="76"/>
      <c r="R162" s="78"/>
      <c r="S162" s="76">
        <f>+S160</f>
        <v>7</v>
      </c>
      <c r="T162" s="78">
        <f t="shared" ref="T162" si="747">+ROUND(S162*$I162,0)</f>
        <v>3704267</v>
      </c>
      <c r="U162" s="76">
        <f>+U160</f>
        <v>17</v>
      </c>
      <c r="V162" s="78">
        <f t="shared" ref="V162" si="748">+ROUND(U162*$I162,0)</f>
        <v>8996077</v>
      </c>
      <c r="W162" s="76">
        <f>+W160</f>
        <v>10</v>
      </c>
      <c r="X162" s="78">
        <f t="shared" ref="X162" si="749">+ROUND(W162*$I162,0)</f>
        <v>5291810</v>
      </c>
      <c r="Y162" s="76"/>
      <c r="Z162" s="78"/>
      <c r="AA162" s="76">
        <f>+AA160</f>
        <v>12</v>
      </c>
      <c r="AB162" s="78">
        <f t="shared" ref="AB162" si="750">+ROUND(AA162*$I162,0)</f>
        <v>6350172</v>
      </c>
      <c r="AC162" s="76"/>
      <c r="AD162" s="78"/>
    </row>
    <row r="163" spans="1:30"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583"/>
        <v>10</v>
      </c>
      <c r="H163" s="69">
        <f>+VLOOKUP(C163,'PRECIOS IDU 2025'!$A$1:$E$3189,4,FALSE)</f>
        <v>7624362</v>
      </c>
      <c r="I163" s="69">
        <f t="shared" si="584"/>
        <v>9911671</v>
      </c>
      <c r="J163" s="69">
        <f t="shared" si="585"/>
        <v>99116710</v>
      </c>
      <c r="K163" s="9"/>
      <c r="L163" s="3"/>
      <c r="M163" s="76"/>
      <c r="N163" s="78"/>
      <c r="O163" s="76">
        <v>2</v>
      </c>
      <c r="P163" s="78">
        <f t="shared" ref="P163" si="751">+ROUND(O163*$I163,0)</f>
        <v>19823342</v>
      </c>
      <c r="Q163" s="76"/>
      <c r="R163" s="78"/>
      <c r="S163" s="76">
        <v>2</v>
      </c>
      <c r="T163" s="78">
        <f t="shared" ref="T163" si="752">+ROUND(S163*$I163,0)</f>
        <v>19823342</v>
      </c>
      <c r="U163" s="76">
        <v>2</v>
      </c>
      <c r="V163" s="78">
        <f t="shared" ref="V163" si="753">+ROUND(U163*$I163,0)</f>
        <v>19823342</v>
      </c>
      <c r="W163" s="76">
        <v>2</v>
      </c>
      <c r="X163" s="78">
        <f t="shared" ref="X163" si="754">+ROUND(W163*$I163,0)</f>
        <v>19823342</v>
      </c>
      <c r="Y163" s="76"/>
      <c r="Z163" s="78"/>
      <c r="AA163" s="76">
        <v>2</v>
      </c>
      <c r="AB163" s="78">
        <f t="shared" ref="AB163" si="755">+ROUND(AA163*$I163,0)</f>
        <v>19823342</v>
      </c>
      <c r="AC163" s="76"/>
      <c r="AD163" s="78"/>
    </row>
    <row r="164" spans="1:30" ht="30" customHeight="1" x14ac:dyDescent="0.3">
      <c r="A164" s="3"/>
      <c r="B164" s="8"/>
      <c r="C164" s="66" t="s">
        <v>6082</v>
      </c>
      <c r="D164" s="67"/>
      <c r="E164" s="67"/>
      <c r="F164" s="67"/>
      <c r="G164" s="67"/>
      <c r="H164" s="67"/>
      <c r="I164" s="67"/>
      <c r="J164" s="68"/>
      <c r="K164" s="9"/>
      <c r="L164" s="3"/>
      <c r="M164" s="76"/>
      <c r="N164" s="78"/>
      <c r="O164" s="76"/>
      <c r="P164" s="78">
        <f t="shared" ref="P164" si="756">+ROUND(O164*$I164,0)</f>
        <v>0</v>
      </c>
      <c r="Q164" s="76"/>
      <c r="R164" s="78"/>
      <c r="S164" s="76"/>
      <c r="T164" s="78">
        <f t="shared" ref="T164" si="757">+ROUND(S164*$I164,0)</f>
        <v>0</v>
      </c>
      <c r="U164" s="76"/>
      <c r="V164" s="78">
        <f t="shared" ref="V164" si="758">+ROUND(U164*$I164,0)</f>
        <v>0</v>
      </c>
      <c r="W164" s="76"/>
      <c r="X164" s="78">
        <f t="shared" ref="X164" si="759">+ROUND(W164*$I164,0)</f>
        <v>0</v>
      </c>
      <c r="Y164" s="76"/>
      <c r="Z164" s="78"/>
      <c r="AA164" s="76"/>
      <c r="AB164" s="78">
        <f t="shared" ref="AB164" si="760">+ROUND(AA164*$I164,0)</f>
        <v>0</v>
      </c>
      <c r="AC164" s="76"/>
      <c r="AD164" s="78"/>
    </row>
    <row r="165" spans="1:30"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761">+ROUND(M165+O165+Q165+S165+U165+W165+Y165+AA165+AC165,2)</f>
        <v>527.5</v>
      </c>
      <c r="H165" s="69">
        <f>+VLOOKUP(C165,'PRECIOS IDU 2025'!$A$1:$E$3189,4,FALSE)</f>
        <v>18177</v>
      </c>
      <c r="I165" s="69">
        <f t="shared" ref="I165:I179" si="762">+ROUND(H165*(1+$J$192),0)</f>
        <v>23630</v>
      </c>
      <c r="J165" s="69">
        <f t="shared" ref="J165:J171" si="763">+ROUND(I165*G165,0)</f>
        <v>12464825</v>
      </c>
      <c r="K165" s="9"/>
      <c r="L165" s="3"/>
      <c r="M165" s="76"/>
      <c r="N165" s="78"/>
      <c r="O165" s="76">
        <v>73.28</v>
      </c>
      <c r="P165" s="78">
        <f t="shared" ref="P165" si="764">+ROUND(O165*$I165,0)</f>
        <v>1731606</v>
      </c>
      <c r="Q165" s="76"/>
      <c r="R165" s="78"/>
      <c r="S165" s="76">
        <f>+S11*2</f>
        <v>68</v>
      </c>
      <c r="T165" s="78">
        <f t="shared" ref="T165" si="765">+ROUND(S165*$I165,0)</f>
        <v>1606840</v>
      </c>
      <c r="U165" s="76">
        <f>+U11*2</f>
        <v>171.98</v>
      </c>
      <c r="V165" s="78">
        <f t="shared" ref="V165" si="766">+ROUND(U165*$I165,0)</f>
        <v>4063887</v>
      </c>
      <c r="W165" s="76">
        <f>+W11*2</f>
        <v>98.32</v>
      </c>
      <c r="X165" s="78">
        <f t="shared" ref="X165" si="767">+ROUND(W165*$I165,0)</f>
        <v>2323302</v>
      </c>
      <c r="Y165" s="76"/>
      <c r="Z165" s="78"/>
      <c r="AA165" s="76">
        <f>+AA11*2</f>
        <v>115.92</v>
      </c>
      <c r="AB165" s="78">
        <f t="shared" ref="AB165" si="768">+ROUND(AA165*$I165,0)</f>
        <v>2739190</v>
      </c>
      <c r="AC165" s="76"/>
      <c r="AD165" s="78"/>
    </row>
    <row r="166" spans="1:30"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761"/>
        <v>5</v>
      </c>
      <c r="H166" s="69">
        <f>+VLOOKUP(C166,'PRECIOS IDU 2025'!$A$1:$E$3189,4,FALSE)</f>
        <v>181765</v>
      </c>
      <c r="I166" s="69">
        <f t="shared" si="762"/>
        <v>236295</v>
      </c>
      <c r="J166" s="69">
        <f t="shared" si="763"/>
        <v>1181475</v>
      </c>
      <c r="K166" s="9"/>
      <c r="L166" s="3"/>
      <c r="M166" s="76"/>
      <c r="N166" s="78"/>
      <c r="O166" s="76">
        <v>1</v>
      </c>
      <c r="P166" s="78">
        <f t="shared" ref="P166" si="769">+ROUND(O166*$I166,0)</f>
        <v>236295</v>
      </c>
      <c r="Q166" s="76"/>
      <c r="R166" s="78"/>
      <c r="S166" s="76">
        <v>1</v>
      </c>
      <c r="T166" s="78">
        <f t="shared" ref="T166" si="770">+ROUND(S166*$I166,0)</f>
        <v>236295</v>
      </c>
      <c r="U166" s="76">
        <v>1</v>
      </c>
      <c r="V166" s="78">
        <f t="shared" ref="V166" si="771">+ROUND(U166*$I166,0)</f>
        <v>236295</v>
      </c>
      <c r="W166" s="76">
        <v>1</v>
      </c>
      <c r="X166" s="78">
        <f t="shared" ref="X166" si="772">+ROUND(W166*$I166,0)</f>
        <v>236295</v>
      </c>
      <c r="Y166" s="76"/>
      <c r="Z166" s="78"/>
      <c r="AA166" s="76">
        <v>1</v>
      </c>
      <c r="AB166" s="78">
        <f t="shared" ref="AB166" si="773">+ROUND(AA166*$I166,0)</f>
        <v>236295</v>
      </c>
      <c r="AC166" s="76"/>
      <c r="AD166" s="78"/>
    </row>
    <row r="167" spans="1:30"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761"/>
        <v>113.13</v>
      </c>
      <c r="H167" s="69">
        <f>+VLOOKUP(C167,'PRECIOS IDU 2025'!$A$1:$E$3189,4,FALSE)</f>
        <v>151470</v>
      </c>
      <c r="I167" s="69">
        <f t="shared" si="762"/>
        <v>196911</v>
      </c>
      <c r="J167" s="69">
        <f t="shared" si="763"/>
        <v>22276541</v>
      </c>
      <c r="K167" s="9"/>
      <c r="L167" s="3"/>
      <c r="M167" s="76"/>
      <c r="N167" s="78"/>
      <c r="O167" s="76">
        <v>18.27</v>
      </c>
      <c r="P167" s="78">
        <f t="shared" ref="P167" si="774">+ROUND(O167*$I167,0)</f>
        <v>3597564</v>
      </c>
      <c r="Q167" s="76"/>
      <c r="R167" s="78"/>
      <c r="S167" s="76">
        <f>2*S12*1.5</f>
        <v>22.11</v>
      </c>
      <c r="T167" s="78">
        <f t="shared" ref="T167" si="775">+ROUND(S167*$I167,0)</f>
        <v>4353702</v>
      </c>
      <c r="U167" s="76">
        <f>2*U12*1.5</f>
        <v>20.94</v>
      </c>
      <c r="V167" s="78">
        <f t="shared" ref="V167" si="776">+ROUND(U167*$I167,0)</f>
        <v>4123316</v>
      </c>
      <c r="W167" s="76">
        <f>2*W12*1.5</f>
        <v>21.63</v>
      </c>
      <c r="X167" s="78">
        <f t="shared" ref="X167" si="777">+ROUND(W167*$I167,0)</f>
        <v>4259185</v>
      </c>
      <c r="Y167" s="76"/>
      <c r="Z167" s="78"/>
      <c r="AA167" s="76">
        <f>2*AA12*1.5</f>
        <v>30.18</v>
      </c>
      <c r="AB167" s="78">
        <f t="shared" ref="AB167" si="778">+ROUND(AA167*$I167,0)</f>
        <v>5942774</v>
      </c>
      <c r="AC167" s="76"/>
      <c r="AD167" s="78"/>
    </row>
    <row r="168" spans="1:30"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761"/>
        <v>263.75</v>
      </c>
      <c r="H168" s="69">
        <f>+VLOOKUP(C168,'PRECIOS IDU 2025'!$A$1:$E$3189,4,FALSE)</f>
        <v>2505</v>
      </c>
      <c r="I168" s="69">
        <f t="shared" si="762"/>
        <v>3257</v>
      </c>
      <c r="J168" s="69">
        <f t="shared" si="763"/>
        <v>859034</v>
      </c>
      <c r="K168" s="9"/>
      <c r="L168" s="3"/>
      <c r="M168" s="76"/>
      <c r="N168" s="78"/>
      <c r="O168" s="76">
        <v>36.64</v>
      </c>
      <c r="P168" s="78">
        <f t="shared" ref="P168" si="779">+ROUND(O168*$I168,0)</f>
        <v>119336</v>
      </c>
      <c r="Q168" s="76"/>
      <c r="R168" s="78"/>
      <c r="S168" s="76">
        <f>+S11</f>
        <v>34</v>
      </c>
      <c r="T168" s="78">
        <f t="shared" ref="T168" si="780">+ROUND(S168*$I168,0)</f>
        <v>110738</v>
      </c>
      <c r="U168" s="76">
        <f>+U11</f>
        <v>85.99</v>
      </c>
      <c r="V168" s="78">
        <f t="shared" ref="V168" si="781">+ROUND(U168*$I168,0)</f>
        <v>280069</v>
      </c>
      <c r="W168" s="76">
        <f>+W11</f>
        <v>49.16</v>
      </c>
      <c r="X168" s="78">
        <f t="shared" ref="X168" si="782">+ROUND(W168*$I168,0)</f>
        <v>160114</v>
      </c>
      <c r="Y168" s="76"/>
      <c r="Z168" s="78"/>
      <c r="AA168" s="76">
        <f>+AA11</f>
        <v>57.96</v>
      </c>
      <c r="AB168" s="78">
        <f t="shared" ref="AB168" si="783">+ROUND(AA168*$I168,0)</f>
        <v>188776</v>
      </c>
      <c r="AC168" s="76"/>
      <c r="AD168" s="78"/>
    </row>
    <row r="169" spans="1:30"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761"/>
        <v>5</v>
      </c>
      <c r="H169" s="69">
        <f>+VLOOKUP(C169,'PRECIOS IDU 2025'!$A$1:$E$3189,4,FALSE)</f>
        <v>228720</v>
      </c>
      <c r="I169" s="69">
        <f t="shared" si="762"/>
        <v>297336</v>
      </c>
      <c r="J169" s="69">
        <f t="shared" si="763"/>
        <v>1486680</v>
      </c>
      <c r="K169" s="9"/>
      <c r="L169" s="3"/>
      <c r="M169" s="76"/>
      <c r="N169" s="78"/>
      <c r="O169" s="76">
        <v>1</v>
      </c>
      <c r="P169" s="78">
        <f t="shared" ref="P169" si="784">+ROUND(O169*$I169,0)</f>
        <v>297336</v>
      </c>
      <c r="Q169" s="76"/>
      <c r="R169" s="78"/>
      <c r="S169" s="76">
        <v>1</v>
      </c>
      <c r="T169" s="78">
        <f t="shared" ref="T169" si="785">+ROUND(S169*$I169,0)</f>
        <v>297336</v>
      </c>
      <c r="U169" s="76">
        <v>1</v>
      </c>
      <c r="V169" s="78">
        <f t="shared" ref="V169" si="786">+ROUND(U169*$I169,0)</f>
        <v>297336</v>
      </c>
      <c r="W169" s="76">
        <v>1</v>
      </c>
      <c r="X169" s="78">
        <f t="shared" ref="X169" si="787">+ROUND(W169*$I169,0)</f>
        <v>297336</v>
      </c>
      <c r="Y169" s="76"/>
      <c r="Z169" s="78"/>
      <c r="AA169" s="76">
        <v>1</v>
      </c>
      <c r="AB169" s="78">
        <f t="shared" ref="AB169" si="788">+ROUND(AA169*$I169,0)</f>
        <v>297336</v>
      </c>
      <c r="AC169" s="76"/>
      <c r="AD169" s="78"/>
    </row>
    <row r="170" spans="1:30"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761"/>
        <v>5</v>
      </c>
      <c r="H170" s="69">
        <f>+VLOOKUP(C170,'PRECIOS IDU 2025'!$A$1:$E$3189,4,FALSE)</f>
        <v>330205</v>
      </c>
      <c r="I170" s="69">
        <f t="shared" si="762"/>
        <v>429267</v>
      </c>
      <c r="J170" s="69">
        <f t="shared" si="763"/>
        <v>2146335</v>
      </c>
      <c r="K170" s="9"/>
      <c r="L170" s="3"/>
      <c r="M170" s="76"/>
      <c r="N170" s="78"/>
      <c r="O170" s="76">
        <v>1</v>
      </c>
      <c r="P170" s="78">
        <f t="shared" ref="P170" si="789">+ROUND(O170*$I170,0)</f>
        <v>429267</v>
      </c>
      <c r="Q170" s="76"/>
      <c r="R170" s="78"/>
      <c r="S170" s="76">
        <v>1</v>
      </c>
      <c r="T170" s="78">
        <f t="shared" ref="T170" si="790">+ROUND(S170*$I170,0)</f>
        <v>429267</v>
      </c>
      <c r="U170" s="76">
        <v>1</v>
      </c>
      <c r="V170" s="78">
        <f t="shared" ref="V170" si="791">+ROUND(U170*$I170,0)</f>
        <v>429267</v>
      </c>
      <c r="W170" s="76">
        <v>1</v>
      </c>
      <c r="X170" s="78">
        <f t="shared" ref="X170" si="792">+ROUND(W170*$I170,0)</f>
        <v>429267</v>
      </c>
      <c r="Y170" s="76"/>
      <c r="Z170" s="78"/>
      <c r="AA170" s="76">
        <v>1</v>
      </c>
      <c r="AB170" s="78">
        <f t="shared" ref="AB170" si="793">+ROUND(AA170*$I170,0)</f>
        <v>429267</v>
      </c>
      <c r="AC170" s="76"/>
      <c r="AD170" s="78"/>
    </row>
    <row r="171" spans="1:30"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761"/>
        <v>39.56</v>
      </c>
      <c r="H171" s="69">
        <f>+VLOOKUP(C171,'PRECIOS IDU 2025'!$A$1:$E$3189,4,FALSE)</f>
        <v>151470</v>
      </c>
      <c r="I171" s="69">
        <f t="shared" si="762"/>
        <v>196911</v>
      </c>
      <c r="J171" s="69">
        <f t="shared" si="763"/>
        <v>7789799</v>
      </c>
      <c r="K171" s="9"/>
      <c r="L171" s="3"/>
      <c r="M171" s="76"/>
      <c r="N171" s="78"/>
      <c r="O171" s="76">
        <v>5.4959999999999996</v>
      </c>
      <c r="P171" s="78">
        <f t="shared" ref="P171" si="794">+ROUND(O171*$I171,0)</f>
        <v>1082223</v>
      </c>
      <c r="Q171" s="76"/>
      <c r="R171" s="78"/>
      <c r="S171" s="76">
        <f>0.15*S11</f>
        <v>5.0999999999999996</v>
      </c>
      <c r="T171" s="78">
        <f t="shared" ref="T171" si="795">+ROUND(S171*$I171,0)</f>
        <v>1004246</v>
      </c>
      <c r="U171" s="76">
        <f>0.15*U11</f>
        <v>12.898499999999999</v>
      </c>
      <c r="V171" s="78">
        <f t="shared" ref="V171" si="796">+ROUND(U171*$I171,0)</f>
        <v>2539857</v>
      </c>
      <c r="W171" s="76">
        <f>0.15*W11</f>
        <v>7.3739999999999988</v>
      </c>
      <c r="X171" s="78">
        <f t="shared" ref="X171" si="797">+ROUND(W171*$I171,0)</f>
        <v>1452022</v>
      </c>
      <c r="Y171" s="76"/>
      <c r="Z171" s="78"/>
      <c r="AA171" s="76">
        <f>0.15*AA11</f>
        <v>8.6939999999999991</v>
      </c>
      <c r="AB171" s="78">
        <f t="shared" ref="AB171" si="798">+ROUND(AA171*$I171,0)</f>
        <v>1711944</v>
      </c>
      <c r="AC171" s="76"/>
      <c r="AD171" s="78"/>
    </row>
    <row r="172" spans="1:30"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761"/>
        <v>250</v>
      </c>
      <c r="H172" s="69">
        <f>+VLOOKUP(C172,'PRECIOS IDU 2025'!$A$1:$E$3189,4,FALSE)</f>
        <v>10907</v>
      </c>
      <c r="I172" s="69">
        <f t="shared" si="762"/>
        <v>14179</v>
      </c>
      <c r="J172" s="69">
        <f t="shared" ref="J172:J179" si="799">+ROUND(I172*G172,0)</f>
        <v>3544750</v>
      </c>
      <c r="K172" s="9"/>
      <c r="L172" s="3"/>
      <c r="M172" s="76"/>
      <c r="N172" s="78"/>
      <c r="O172" s="76">
        <v>50</v>
      </c>
      <c r="P172" s="78">
        <f t="shared" ref="P172" si="800">+ROUND(O172*$I172,0)</f>
        <v>708950</v>
      </c>
      <c r="Q172" s="76"/>
      <c r="R172" s="78"/>
      <c r="S172" s="76">
        <v>50</v>
      </c>
      <c r="T172" s="78">
        <f t="shared" ref="T172" si="801">+ROUND(S172*$I172,0)</f>
        <v>708950</v>
      </c>
      <c r="U172" s="76">
        <v>50</v>
      </c>
      <c r="V172" s="78">
        <f t="shared" ref="V172" si="802">+ROUND(U172*$I172,0)</f>
        <v>708950</v>
      </c>
      <c r="W172" s="76">
        <v>50</v>
      </c>
      <c r="X172" s="78">
        <f t="shared" ref="X172" si="803">+ROUND(W172*$I172,0)</f>
        <v>708950</v>
      </c>
      <c r="Y172" s="76"/>
      <c r="Z172" s="78"/>
      <c r="AA172" s="76">
        <v>50</v>
      </c>
      <c r="AB172" s="78">
        <f t="shared" ref="AB172" si="804">+ROUND(AA172*$I172,0)</f>
        <v>708950</v>
      </c>
      <c r="AC172" s="76"/>
      <c r="AD172" s="78"/>
    </row>
    <row r="173" spans="1:30"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761"/>
        <v>263.75</v>
      </c>
      <c r="H173" s="69">
        <f>+VLOOKUP(C173,'PRECIOS IDU 2025'!$A$1:$E$3189,4,FALSE)</f>
        <v>18776</v>
      </c>
      <c r="I173" s="69">
        <f t="shared" si="762"/>
        <v>24409</v>
      </c>
      <c r="J173" s="69">
        <f t="shared" ref="J173:J177" si="805">+ROUND(I173*G173,0)</f>
        <v>6437874</v>
      </c>
      <c r="K173" s="9"/>
      <c r="L173" s="3"/>
      <c r="M173" s="76"/>
      <c r="N173" s="78"/>
      <c r="O173" s="76">
        <v>36.64</v>
      </c>
      <c r="P173" s="78">
        <f t="shared" ref="P173" si="806">+ROUND(O173*$I173,0)</f>
        <v>894346</v>
      </c>
      <c r="Q173" s="76"/>
      <c r="R173" s="78"/>
      <c r="S173" s="76">
        <f>+S11</f>
        <v>34</v>
      </c>
      <c r="T173" s="78">
        <f t="shared" ref="T173" si="807">+ROUND(S173*$I173,0)</f>
        <v>829906</v>
      </c>
      <c r="U173" s="76">
        <f>+U11</f>
        <v>85.99</v>
      </c>
      <c r="V173" s="78">
        <f t="shared" ref="V173" si="808">+ROUND(U173*$I173,0)</f>
        <v>2098930</v>
      </c>
      <c r="W173" s="76">
        <f>+W11</f>
        <v>49.16</v>
      </c>
      <c r="X173" s="78">
        <f t="shared" ref="X173" si="809">+ROUND(W173*$I173,0)</f>
        <v>1199946</v>
      </c>
      <c r="Y173" s="76"/>
      <c r="Z173" s="78"/>
      <c r="AA173" s="76">
        <f>+AA11</f>
        <v>57.96</v>
      </c>
      <c r="AB173" s="78">
        <f t="shared" ref="AB173" si="810">+ROUND(AA173*$I173,0)</f>
        <v>1414746</v>
      </c>
      <c r="AC173" s="76"/>
      <c r="AD173" s="78"/>
    </row>
    <row r="174" spans="1:30"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761"/>
        <v>263.75</v>
      </c>
      <c r="H174" s="69">
        <f>+VLOOKUP(C174,'PRECIOS IDU 2025'!$A$1:$E$3189,4,FALSE)</f>
        <v>4323</v>
      </c>
      <c r="I174" s="69">
        <f t="shared" si="762"/>
        <v>5620</v>
      </c>
      <c r="J174" s="69">
        <f t="shared" si="805"/>
        <v>1482275</v>
      </c>
      <c r="K174" s="9"/>
      <c r="L174" s="3"/>
      <c r="M174" s="76"/>
      <c r="N174" s="78"/>
      <c r="O174" s="76">
        <v>36.64</v>
      </c>
      <c r="P174" s="78">
        <f t="shared" ref="P174" si="811">+ROUND(O174*$I174,0)</f>
        <v>205917</v>
      </c>
      <c r="Q174" s="76"/>
      <c r="R174" s="78"/>
      <c r="S174" s="76">
        <f>+S11</f>
        <v>34</v>
      </c>
      <c r="T174" s="78">
        <f t="shared" ref="T174" si="812">+ROUND(S174*$I174,0)</f>
        <v>191080</v>
      </c>
      <c r="U174" s="76">
        <f>+U11</f>
        <v>85.99</v>
      </c>
      <c r="V174" s="78">
        <f t="shared" ref="V174" si="813">+ROUND(U174*$I174,0)</f>
        <v>483264</v>
      </c>
      <c r="W174" s="76">
        <f>+W11</f>
        <v>49.16</v>
      </c>
      <c r="X174" s="78">
        <f t="shared" ref="X174" si="814">+ROUND(W174*$I174,0)</f>
        <v>276279</v>
      </c>
      <c r="Y174" s="76"/>
      <c r="Z174" s="78"/>
      <c r="AA174" s="76">
        <f>+AA11</f>
        <v>57.96</v>
      </c>
      <c r="AB174" s="78">
        <f t="shared" ref="AB174" si="815">+ROUND(AA174*$I174,0)</f>
        <v>325735</v>
      </c>
      <c r="AC174" s="76"/>
      <c r="AD174" s="78"/>
    </row>
    <row r="175" spans="1:30"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761"/>
        <v>263.75</v>
      </c>
      <c r="H175" s="69">
        <f>+VLOOKUP(C175,'PRECIOS IDU 2025'!$A$1:$E$3189,4,FALSE)</f>
        <v>5850</v>
      </c>
      <c r="I175" s="69">
        <f t="shared" si="762"/>
        <v>7605</v>
      </c>
      <c r="J175" s="69">
        <f t="shared" si="805"/>
        <v>2005819</v>
      </c>
      <c r="K175" s="9"/>
      <c r="L175" s="3"/>
      <c r="M175" s="76"/>
      <c r="N175" s="78"/>
      <c r="O175" s="76">
        <v>36.64</v>
      </c>
      <c r="P175" s="78">
        <f t="shared" ref="P175" si="816">+ROUND(O175*$I175,0)</f>
        <v>278647</v>
      </c>
      <c r="Q175" s="76"/>
      <c r="R175" s="78"/>
      <c r="S175" s="76">
        <f>+S11</f>
        <v>34</v>
      </c>
      <c r="T175" s="78">
        <f t="shared" ref="T175" si="817">+ROUND(S175*$I175,0)</f>
        <v>258570</v>
      </c>
      <c r="U175" s="76">
        <f>+U11</f>
        <v>85.99</v>
      </c>
      <c r="V175" s="78">
        <f t="shared" ref="V175" si="818">+ROUND(U175*$I175,0)</f>
        <v>653954</v>
      </c>
      <c r="W175" s="76">
        <f>+W11</f>
        <v>49.16</v>
      </c>
      <c r="X175" s="78">
        <f t="shared" ref="X175" si="819">+ROUND(W175*$I175,0)</f>
        <v>373862</v>
      </c>
      <c r="Y175" s="76"/>
      <c r="Z175" s="78"/>
      <c r="AA175" s="76">
        <f>+AA11</f>
        <v>57.96</v>
      </c>
      <c r="AB175" s="78">
        <f t="shared" ref="AB175" si="820">+ROUND(AA175*$I175,0)</f>
        <v>440786</v>
      </c>
      <c r="AC175" s="76"/>
      <c r="AD175" s="78"/>
    </row>
    <row r="176" spans="1:30"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761"/>
        <v>263.75</v>
      </c>
      <c r="H176" s="69">
        <f>+VLOOKUP(C176,'PRECIOS IDU 2025'!$A$1:$E$3189,4,FALSE)</f>
        <v>26586</v>
      </c>
      <c r="I176" s="69">
        <f t="shared" si="762"/>
        <v>34562</v>
      </c>
      <c r="J176" s="69">
        <f t="shared" si="805"/>
        <v>9115728</v>
      </c>
      <c r="K176" s="9"/>
      <c r="L176" s="3"/>
      <c r="M176" s="76"/>
      <c r="N176" s="78"/>
      <c r="O176" s="76">
        <v>36.64</v>
      </c>
      <c r="P176" s="78">
        <f t="shared" ref="P176" si="821">+ROUND(O176*$I176,0)</f>
        <v>1266352</v>
      </c>
      <c r="Q176" s="76"/>
      <c r="R176" s="78"/>
      <c r="S176" s="76">
        <f>+S11</f>
        <v>34</v>
      </c>
      <c r="T176" s="78">
        <f t="shared" ref="T176" si="822">+ROUND(S176*$I176,0)</f>
        <v>1175108</v>
      </c>
      <c r="U176" s="76">
        <f>+U11</f>
        <v>85.99</v>
      </c>
      <c r="V176" s="78">
        <f t="shared" ref="V176" si="823">+ROUND(U176*$I176,0)</f>
        <v>2971986</v>
      </c>
      <c r="W176" s="76">
        <f>+W11</f>
        <v>49.16</v>
      </c>
      <c r="X176" s="78">
        <f t="shared" ref="X176" si="824">+ROUND(W176*$I176,0)</f>
        <v>1699068</v>
      </c>
      <c r="Y176" s="76"/>
      <c r="Z176" s="78"/>
      <c r="AA176" s="76">
        <f>+AA11</f>
        <v>57.96</v>
      </c>
      <c r="AB176" s="78">
        <f t="shared" ref="AB176" si="825">+ROUND(AA176*$I176,0)</f>
        <v>2003214</v>
      </c>
      <c r="AC176" s="76"/>
      <c r="AD176" s="78"/>
    </row>
    <row r="177" spans="1:30"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761"/>
        <v>10</v>
      </c>
      <c r="H177" s="69">
        <f>+VLOOKUP(C177,'PRECIOS IDU 2025'!$A$1:$E$3189,4,FALSE)</f>
        <v>18726</v>
      </c>
      <c r="I177" s="69">
        <f t="shared" si="762"/>
        <v>24344</v>
      </c>
      <c r="J177" s="69">
        <f t="shared" si="805"/>
        <v>243440</v>
      </c>
      <c r="K177" s="9"/>
      <c r="L177" s="3"/>
      <c r="M177" s="76"/>
      <c r="N177" s="78"/>
      <c r="O177" s="76">
        <v>2</v>
      </c>
      <c r="P177" s="78">
        <f t="shared" ref="P177" si="826">+ROUND(O177*$I177,0)</f>
        <v>48688</v>
      </c>
      <c r="Q177" s="76"/>
      <c r="R177" s="78"/>
      <c r="S177" s="76">
        <v>2</v>
      </c>
      <c r="T177" s="78">
        <f t="shared" ref="T177" si="827">+ROUND(S177*$I177,0)</f>
        <v>48688</v>
      </c>
      <c r="U177" s="76">
        <v>2</v>
      </c>
      <c r="V177" s="78">
        <f t="shared" ref="V177" si="828">+ROUND(U177*$I177,0)</f>
        <v>48688</v>
      </c>
      <c r="W177" s="76">
        <v>2</v>
      </c>
      <c r="X177" s="78">
        <f t="shared" ref="X177" si="829">+ROUND(W177*$I177,0)</f>
        <v>48688</v>
      </c>
      <c r="Y177" s="76"/>
      <c r="Z177" s="78"/>
      <c r="AA177" s="76">
        <v>2</v>
      </c>
      <c r="AB177" s="78">
        <f t="shared" ref="AB177" si="830">+ROUND(AA177*$I177,0)</f>
        <v>48688</v>
      </c>
      <c r="AC177" s="76"/>
      <c r="AD177" s="78"/>
    </row>
    <row r="178" spans="1:30"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761"/>
        <v>56.57</v>
      </c>
      <c r="H178" s="69">
        <f>+VLOOKUP(C178,'PRECIOS IDU 2025'!$A$1:$E$3189,4,FALSE)</f>
        <v>144457</v>
      </c>
      <c r="I178" s="69">
        <f t="shared" si="762"/>
        <v>187794</v>
      </c>
      <c r="J178" s="69">
        <f t="shared" si="799"/>
        <v>10623507</v>
      </c>
      <c r="K178" s="9"/>
      <c r="L178" s="3"/>
      <c r="M178" s="76"/>
      <c r="N178" s="78"/>
      <c r="O178" s="76">
        <v>9.1349999999999998</v>
      </c>
      <c r="P178" s="78">
        <f t="shared" ref="P178" si="831">+ROUND(O178*$I178,0)</f>
        <v>1715498</v>
      </c>
      <c r="Q178" s="76"/>
      <c r="R178" s="78"/>
      <c r="S178" s="76">
        <f>+S12*1.5</f>
        <v>11.055</v>
      </c>
      <c r="T178" s="78">
        <f t="shared" ref="T178" si="832">+ROUND(S178*$I178,0)</f>
        <v>2076063</v>
      </c>
      <c r="U178" s="76">
        <f>+U12*1.5</f>
        <v>10.47</v>
      </c>
      <c r="V178" s="78">
        <f t="shared" ref="V178" si="833">+ROUND(U178*$I178,0)</f>
        <v>1966203</v>
      </c>
      <c r="W178" s="76">
        <f>+W12*1.5</f>
        <v>10.815</v>
      </c>
      <c r="X178" s="78">
        <f t="shared" ref="X178" si="834">+ROUND(W178*$I178,0)</f>
        <v>2030992</v>
      </c>
      <c r="Y178" s="76"/>
      <c r="Z178" s="78"/>
      <c r="AA178" s="76">
        <f>+AA12*1.5</f>
        <v>15.09</v>
      </c>
      <c r="AB178" s="78">
        <f t="shared" ref="AB178" si="835">+ROUND(AA178*$I178,0)</f>
        <v>2833811</v>
      </c>
      <c r="AC178" s="76"/>
      <c r="AD178" s="78"/>
    </row>
    <row r="179" spans="1:30"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761"/>
        <v>18.86</v>
      </c>
      <c r="H179" s="69">
        <f>+VLOOKUP(C179,'PRECIOS IDU 2025'!$A$1:$E$3189,4,FALSE)</f>
        <v>222740</v>
      </c>
      <c r="I179" s="69">
        <f t="shared" si="762"/>
        <v>289562</v>
      </c>
      <c r="J179" s="69">
        <f t="shared" si="799"/>
        <v>5461139</v>
      </c>
      <c r="K179" s="9"/>
      <c r="L179" s="3"/>
      <c r="M179" s="76"/>
      <c r="N179" s="78"/>
      <c r="O179" s="76">
        <v>3.0449999999999999</v>
      </c>
      <c r="P179" s="78">
        <f t="shared" ref="P179" si="836">+ROUND(O179*$I179,0)</f>
        <v>881716</v>
      </c>
      <c r="Q179" s="76"/>
      <c r="R179" s="78"/>
      <c r="S179" s="76">
        <f>+S12*0.25*2</f>
        <v>3.6850000000000001</v>
      </c>
      <c r="T179" s="78">
        <f t="shared" ref="T179" si="837">+ROUND(S179*$I179,0)</f>
        <v>1067036</v>
      </c>
      <c r="U179" s="76">
        <f>+U12*0.25*2</f>
        <v>3.49</v>
      </c>
      <c r="V179" s="78">
        <f t="shared" ref="V179" si="838">+ROUND(U179*$I179,0)</f>
        <v>1010571</v>
      </c>
      <c r="W179" s="76">
        <f>+W12*0.25*2</f>
        <v>3.605</v>
      </c>
      <c r="X179" s="78">
        <f t="shared" ref="X179" si="839">+ROUND(W179*$I179,0)</f>
        <v>1043871</v>
      </c>
      <c r="Y179" s="76"/>
      <c r="Z179" s="78"/>
      <c r="AA179" s="76">
        <f>+AA12*0.25*2</f>
        <v>5.03</v>
      </c>
      <c r="AB179" s="78">
        <f t="shared" ref="AB179" si="840">+ROUND(AA179*$I179,0)</f>
        <v>1456497</v>
      </c>
      <c r="AC179" s="76"/>
      <c r="AD179" s="78"/>
    </row>
    <row r="180" spans="1:30"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c r="Y180" s="76"/>
      <c r="Z180" s="78"/>
      <c r="AA180" s="76"/>
      <c r="AB180" s="78"/>
      <c r="AC180" s="76"/>
      <c r="AD180" s="78"/>
    </row>
    <row r="181" spans="1:30" s="22" customFormat="1" ht="30" customHeight="1" thickBot="1" x14ac:dyDescent="0.35">
      <c r="A181" s="17"/>
      <c r="B181" s="18"/>
      <c r="C181" s="573" t="s">
        <v>6083</v>
      </c>
      <c r="D181" s="574"/>
      <c r="E181" s="574"/>
      <c r="F181" s="574"/>
      <c r="G181" s="574"/>
      <c r="H181" s="575"/>
      <c r="I181" s="19"/>
      <c r="J181" s="20" t="e">
        <f>+SUM(J17:J163)</f>
        <v>#N/A</v>
      </c>
      <c r="K181" s="21"/>
      <c r="L181" s="17"/>
      <c r="M181" s="77"/>
      <c r="N181" s="79"/>
      <c r="O181" s="77" t="s">
        <v>6084</v>
      </c>
      <c r="P181" s="79" t="e">
        <f>+SUM(P17:P179)</f>
        <v>#N/A</v>
      </c>
      <c r="Q181" s="77"/>
      <c r="R181" s="79"/>
      <c r="S181" s="77" t="s">
        <v>6084</v>
      </c>
      <c r="T181" s="79" t="e">
        <f>+SUM(T17:T179)</f>
        <v>#N/A</v>
      </c>
      <c r="U181" s="77" t="s">
        <v>6084</v>
      </c>
      <c r="V181" s="79" t="e">
        <f>+SUM(V17:V179)</f>
        <v>#N/A</v>
      </c>
      <c r="W181" s="77" t="s">
        <v>6084</v>
      </c>
      <c r="X181" s="79" t="e">
        <f>+SUM(X17:X179)</f>
        <v>#N/A</v>
      </c>
      <c r="Y181" s="77"/>
      <c r="Z181" s="79"/>
      <c r="AA181" s="77" t="s">
        <v>6084</v>
      </c>
      <c r="AB181" s="79" t="e">
        <f>+SUM(AB17:AB179)</f>
        <v>#N/A</v>
      </c>
      <c r="AC181" s="77"/>
      <c r="AD181" s="79"/>
    </row>
    <row r="182" spans="1:30"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c r="Y182" s="17"/>
      <c r="Z182" s="17"/>
      <c r="AA182" s="17"/>
      <c r="AB182" s="17"/>
      <c r="AC182" s="17"/>
      <c r="AD182" s="17"/>
    </row>
    <row r="183" spans="1:30"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c r="Y183" s="17"/>
      <c r="Z183" s="17"/>
      <c r="AA183" s="17"/>
      <c r="AB183" s="17"/>
      <c r="AC183" s="17"/>
      <c r="AD183" s="17"/>
    </row>
    <row r="184" spans="1:30"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c r="N184" s="17"/>
      <c r="O184" s="17">
        <f>+O8</f>
        <v>3001465</v>
      </c>
      <c r="P184" s="17"/>
      <c r="Q184" s="17"/>
      <c r="R184" s="17"/>
      <c r="S184" s="17">
        <f>+S8</f>
        <v>3001875</v>
      </c>
      <c r="T184" s="17"/>
      <c r="U184" s="17">
        <f>+U8</f>
        <v>3001882</v>
      </c>
      <c r="V184" s="17"/>
      <c r="W184" s="17">
        <f>+W8</f>
        <v>3002470</v>
      </c>
      <c r="X184" s="17"/>
      <c r="Y184" s="17"/>
      <c r="Z184" s="17"/>
      <c r="AA184" s="17">
        <f>+AA8</f>
        <v>3002896</v>
      </c>
      <c r="AB184" s="17"/>
      <c r="AC184" s="17"/>
      <c r="AD184" s="17"/>
    </row>
    <row r="185" spans="1:30" s="22" customFormat="1" ht="30" customHeight="1" thickBot="1" x14ac:dyDescent="0.35">
      <c r="A185" s="17"/>
      <c r="B185" s="18"/>
      <c r="C185" s="25"/>
      <c r="D185" s="26"/>
      <c r="E185" s="29" t="s">
        <v>181</v>
      </c>
      <c r="F185" s="30"/>
      <c r="G185" s="31"/>
      <c r="H185" s="32"/>
      <c r="I185" s="57"/>
      <c r="J185" s="20" t="e">
        <f>+J181+J183+J184</f>
        <v>#N/A</v>
      </c>
      <c r="K185" s="21"/>
      <c r="L185" s="97" t="e">
        <f>+SUM(O185:AF186)</f>
        <v>#N/A</v>
      </c>
      <c r="M185" s="97"/>
      <c r="N185" s="17"/>
      <c r="O185" s="97" t="e">
        <f>+SUM(P17:P110,P130:P179)</f>
        <v>#N/A</v>
      </c>
      <c r="P185" s="17"/>
      <c r="Q185" s="97"/>
      <c r="R185" s="17"/>
      <c r="S185" s="97" t="e">
        <f>+SUM(T17:T110,T130:T179)</f>
        <v>#N/A</v>
      </c>
      <c r="T185" s="17"/>
      <c r="U185" s="97" t="e">
        <f>+SUM(V17:V110,V130:V179)</f>
        <v>#N/A</v>
      </c>
      <c r="V185" s="17"/>
      <c r="W185" s="97" t="e">
        <f>+SUM(X17:X110,X130:X179)</f>
        <v>#N/A</v>
      </c>
      <c r="X185" s="17"/>
      <c r="Y185" s="97"/>
      <c r="Z185" s="17"/>
      <c r="AA185" s="97" t="e">
        <f>+SUM(AB17:AB110,AB130:AB179)</f>
        <v>#N/A</v>
      </c>
      <c r="AB185" s="17"/>
      <c r="AC185" s="97"/>
      <c r="AD185" s="17"/>
    </row>
    <row r="186" spans="1:30" s="22" customFormat="1" ht="16.2" thickBot="1" x14ac:dyDescent="0.35">
      <c r="A186" s="17"/>
      <c r="B186" s="18"/>
      <c r="C186" s="25"/>
      <c r="D186" s="26"/>
      <c r="E186" s="25"/>
      <c r="F186" s="25"/>
      <c r="G186" s="33"/>
      <c r="H186" s="34"/>
      <c r="I186" s="34"/>
      <c r="J186" s="35"/>
      <c r="K186" s="21"/>
      <c r="L186" s="17"/>
      <c r="M186" s="97"/>
      <c r="N186" s="17"/>
      <c r="O186" s="97">
        <f>+SUM(P111:P128)</f>
        <v>49617873</v>
      </c>
      <c r="P186" s="17"/>
      <c r="Q186" s="97"/>
      <c r="R186" s="17"/>
      <c r="S186" s="97">
        <f>+SUM(T111:T128)</f>
        <v>48327705</v>
      </c>
      <c r="T186" s="17"/>
      <c r="U186" s="97">
        <f>+SUM(V111:V128)</f>
        <v>114307279</v>
      </c>
      <c r="V186" s="17"/>
      <c r="W186" s="97">
        <f>+SUM(X111:X128)</f>
        <v>66481501</v>
      </c>
      <c r="X186" s="17"/>
      <c r="Y186" s="97"/>
      <c r="Z186" s="17"/>
      <c r="AA186" s="97">
        <f>+SUM(AB111:AB128)</f>
        <v>84324361</v>
      </c>
      <c r="AB186" s="17"/>
      <c r="AC186" s="97"/>
      <c r="AD186" s="17"/>
    </row>
    <row r="187" spans="1:30"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c r="Y187" s="70"/>
      <c r="Z187" s="70"/>
      <c r="AA187" s="70"/>
      <c r="AB187" s="70"/>
      <c r="AC187" s="70"/>
      <c r="AD187" s="70"/>
    </row>
    <row r="188" spans="1:30" s="22" customFormat="1" ht="46.5" customHeight="1" x14ac:dyDescent="0.3">
      <c r="A188" s="17"/>
      <c r="B188" s="18"/>
      <c r="C188" s="562" t="s">
        <v>47</v>
      </c>
      <c r="D188" s="558"/>
      <c r="E188" s="558"/>
      <c r="F188" s="567" t="s">
        <v>48</v>
      </c>
      <c r="G188" s="567"/>
      <c r="H188" s="567"/>
      <c r="I188" s="58"/>
      <c r="J188" s="38" t="s">
        <v>49</v>
      </c>
      <c r="K188" s="39"/>
      <c r="L188" s="71"/>
      <c r="M188" s="71"/>
      <c r="N188" s="71"/>
      <c r="O188" s="71"/>
      <c r="P188" s="71"/>
      <c r="Q188" s="71"/>
      <c r="R188" s="71"/>
      <c r="S188" s="71"/>
      <c r="T188" s="71"/>
      <c r="U188" s="71"/>
      <c r="V188" s="71"/>
      <c r="W188" s="71"/>
      <c r="X188" s="71"/>
      <c r="Y188" s="71"/>
      <c r="Z188" s="71"/>
      <c r="AA188" s="71"/>
      <c r="AB188" s="71"/>
      <c r="AC188" s="71"/>
      <c r="AD188" s="71"/>
    </row>
    <row r="189" spans="1:30"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c r="Y189" s="71"/>
      <c r="Z189" s="71"/>
      <c r="AA189" s="71"/>
      <c r="AB189" s="71"/>
      <c r="AC189" s="71"/>
      <c r="AD189" s="71"/>
    </row>
    <row r="190" spans="1:30"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c r="Y190" s="71"/>
      <c r="Z190" s="71"/>
      <c r="AA190" s="71"/>
      <c r="AB190" s="71"/>
      <c r="AC190" s="71"/>
      <c r="AD190" s="71"/>
    </row>
    <row r="191" spans="1:30"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c r="Y191" s="17"/>
      <c r="Z191" s="17"/>
      <c r="AA191" s="17"/>
      <c r="AB191" s="17"/>
      <c r="AC191" s="17"/>
      <c r="AD191" s="17"/>
    </row>
    <row r="192" spans="1:30"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c r="Y192" s="3"/>
      <c r="Z192" s="3"/>
      <c r="AA192" s="3"/>
      <c r="AB192" s="3"/>
      <c r="AC192" s="3"/>
      <c r="AD192" s="3"/>
    </row>
    <row r="193" spans="1:30"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c r="Y193" s="3"/>
      <c r="Z193" s="3"/>
      <c r="AA193" s="3"/>
      <c r="AB193" s="3"/>
      <c r="AC193" s="3"/>
      <c r="AD193" s="3"/>
    </row>
    <row r="194" spans="1:30"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c r="Y194" s="3"/>
      <c r="Z194" s="3"/>
      <c r="AA194" s="3"/>
      <c r="AB194" s="3"/>
      <c r="AC194" s="3"/>
      <c r="AD194" s="3"/>
    </row>
    <row r="195" spans="1:30"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row>
  </sheetData>
  <mergeCells count="49">
    <mergeCell ref="AB14:AB15"/>
    <mergeCell ref="F193:J193"/>
    <mergeCell ref="C189:E189"/>
    <mergeCell ref="F189:G189"/>
    <mergeCell ref="C190:E190"/>
    <mergeCell ref="F190:G190"/>
    <mergeCell ref="F191:G191"/>
    <mergeCell ref="F192:G192"/>
    <mergeCell ref="C181:H181"/>
    <mergeCell ref="E183:G183"/>
    <mergeCell ref="E184:G184"/>
    <mergeCell ref="D187:J187"/>
    <mergeCell ref="C188:E188"/>
    <mergeCell ref="F188:H188"/>
    <mergeCell ref="M14:M15"/>
    <mergeCell ref="N14:N15"/>
    <mergeCell ref="O14:O15"/>
    <mergeCell ref="P14:P15"/>
    <mergeCell ref="AA14:AA15"/>
    <mergeCell ref="R14:R15"/>
    <mergeCell ref="S14:S15"/>
    <mergeCell ref="T14:T15"/>
    <mergeCell ref="U14:U15"/>
    <mergeCell ref="V14:V15"/>
    <mergeCell ref="W14:W15"/>
    <mergeCell ref="X14:X15"/>
    <mergeCell ref="Y14:Y15"/>
    <mergeCell ref="Z14:Z15"/>
    <mergeCell ref="F14:F15"/>
    <mergeCell ref="G14:G15"/>
    <mergeCell ref="H14:H15"/>
    <mergeCell ref="I14:I15"/>
    <mergeCell ref="J14:J15"/>
    <mergeCell ref="AD14:AD15"/>
    <mergeCell ref="AC14:AC15"/>
    <mergeCell ref="C3:D3"/>
    <mergeCell ref="C5:J5"/>
    <mergeCell ref="C6:J6"/>
    <mergeCell ref="C7:E7"/>
    <mergeCell ref="F7:J9"/>
    <mergeCell ref="C8:E8"/>
    <mergeCell ref="C9:E9"/>
    <mergeCell ref="Q14:Q15"/>
    <mergeCell ref="C10:D12"/>
    <mergeCell ref="E10:J12"/>
    <mergeCell ref="C13:J13"/>
    <mergeCell ref="C14:C15"/>
    <mergeCell ref="D14:D15"/>
    <mergeCell ref="E14:E1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1BC52-3CBD-4432-8024-C07C31A8874F}">
  <sheetPr>
    <tabColor rgb="FFFF0000"/>
  </sheetPr>
  <dimension ref="A1:X195"/>
  <sheetViews>
    <sheetView showGridLines="0" view="pageBreakPreview" topLeftCell="F1" zoomScale="55" zoomScaleNormal="100" zoomScaleSheetLayoutView="55" zoomScalePageLayoutView="55" workbookViewId="0">
      <selection activeCell="U19" sqref="U19"/>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0.44140625" style="4" bestFit="1" customWidth="1"/>
    <col min="13" max="13" width="31.6640625" style="4" customWidth="1"/>
    <col min="14" max="17" width="25.6640625" style="4" customWidth="1"/>
    <col min="18" max="18" width="28.6640625" style="4" bestFit="1" customWidth="1"/>
    <col min="19" max="19" width="25.6640625" style="4" customWidth="1"/>
    <col min="20" max="20" width="28.6640625" style="4" bestFit="1" customWidth="1"/>
    <col min="21" max="24" width="25.6640625" style="4" customWidth="1"/>
    <col min="25" max="16384" width="11.44140625" style="4"/>
  </cols>
  <sheetData>
    <row r="1" spans="1:24" ht="16.2" thickBot="1" x14ac:dyDescent="0.35">
      <c r="A1" s="3"/>
      <c r="B1" s="3"/>
      <c r="C1" s="3"/>
      <c r="D1" s="3"/>
      <c r="E1" s="3"/>
      <c r="F1" s="3"/>
      <c r="G1" s="3"/>
      <c r="H1" s="3"/>
      <c r="I1" s="3"/>
      <c r="J1" s="3"/>
      <c r="K1" s="3"/>
      <c r="L1" s="3"/>
      <c r="M1" s="3" t="s">
        <v>6060</v>
      </c>
      <c r="N1" s="3"/>
      <c r="O1" s="3"/>
      <c r="P1" s="3"/>
      <c r="Q1" s="3"/>
      <c r="R1" s="3" t="s">
        <v>6061</v>
      </c>
      <c r="S1" s="3"/>
      <c r="T1" s="3"/>
      <c r="U1" s="3"/>
      <c r="V1" s="3"/>
      <c r="W1" s="3"/>
      <c r="X1" s="3"/>
    </row>
    <row r="2" spans="1:24"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row>
    <row r="3" spans="1:24"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row>
    <row r="4" spans="1:24" ht="15.6" x14ac:dyDescent="0.3">
      <c r="A4" s="3"/>
      <c r="B4" s="8"/>
      <c r="C4" s="10" t="s">
        <v>1</v>
      </c>
      <c r="D4" s="11" t="s">
        <v>2</v>
      </c>
      <c r="E4" s="3"/>
      <c r="F4" s="3"/>
      <c r="G4" s="3"/>
      <c r="H4" s="3"/>
      <c r="I4" s="3"/>
      <c r="J4" s="3"/>
      <c r="K4" s="9"/>
      <c r="L4" s="3"/>
      <c r="M4" s="3" t="s">
        <v>6067</v>
      </c>
      <c r="N4" s="3"/>
      <c r="O4" s="3"/>
      <c r="P4" s="3"/>
      <c r="Q4" s="3"/>
      <c r="R4" s="3"/>
      <c r="S4" s="3"/>
      <c r="T4" s="3"/>
      <c r="U4" s="3"/>
      <c r="V4" s="3"/>
      <c r="W4" s="3"/>
      <c r="X4" s="3"/>
    </row>
    <row r="5" spans="1:24"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row>
    <row r="6" spans="1:24"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row>
    <row r="7" spans="1:24" s="15" customFormat="1" ht="16.5" customHeight="1" x14ac:dyDescent="0.3">
      <c r="A7" s="12"/>
      <c r="B7" s="13"/>
      <c r="C7" s="588" t="s">
        <v>5</v>
      </c>
      <c r="D7" s="589"/>
      <c r="E7" s="589"/>
      <c r="F7" s="590"/>
      <c r="G7" s="590"/>
      <c r="H7" s="590"/>
      <c r="I7" s="591"/>
      <c r="J7" s="592"/>
      <c r="K7" s="14"/>
      <c r="L7" s="12"/>
      <c r="M7" s="92"/>
      <c r="O7" s="92"/>
      <c r="Q7" s="92"/>
      <c r="R7" s="12"/>
      <c r="S7" s="92"/>
      <c r="T7" s="12"/>
      <c r="U7" s="92"/>
      <c r="V7" s="12"/>
      <c r="W7" s="92" t="e">
        <f>+X181</f>
        <v>#N/A</v>
      </c>
      <c r="X7" s="12"/>
    </row>
    <row r="8" spans="1:24" ht="15.6" x14ac:dyDescent="0.3">
      <c r="A8" s="3"/>
      <c r="B8" s="16"/>
      <c r="C8" s="596" t="s">
        <v>6</v>
      </c>
      <c r="D8" s="597"/>
      <c r="E8" s="597"/>
      <c r="F8" s="593"/>
      <c r="G8" s="593"/>
      <c r="H8" s="593"/>
      <c r="I8" s="594"/>
      <c r="J8" s="595"/>
      <c r="K8" s="9"/>
      <c r="L8" s="80" t="s">
        <v>5794</v>
      </c>
      <c r="M8" s="1"/>
      <c r="N8" s="3"/>
      <c r="O8" s="1"/>
      <c r="P8" s="3"/>
      <c r="Q8" s="1"/>
      <c r="R8" s="3"/>
      <c r="S8" s="74"/>
      <c r="T8" s="3"/>
      <c r="U8" s="74"/>
      <c r="V8" s="3"/>
      <c r="W8" s="1">
        <v>3000220</v>
      </c>
      <c r="X8" s="3"/>
    </row>
    <row r="9" spans="1:24" ht="15.6" x14ac:dyDescent="0.3">
      <c r="A9" s="3"/>
      <c r="B9" s="16"/>
      <c r="C9" s="596" t="s">
        <v>7</v>
      </c>
      <c r="D9" s="597"/>
      <c r="E9" s="597"/>
      <c r="F9" s="593"/>
      <c r="G9" s="593"/>
      <c r="H9" s="593"/>
      <c r="I9" s="594"/>
      <c r="J9" s="595"/>
      <c r="K9" s="9"/>
      <c r="L9" s="80" t="s">
        <v>6071</v>
      </c>
      <c r="M9" s="74"/>
      <c r="O9" s="74"/>
      <c r="Q9" s="74"/>
      <c r="S9" s="74"/>
      <c r="U9" s="74"/>
      <c r="W9" s="74" t="str">
        <f>+VLOOKUP(W8,'LISTADO CIV FLEXIBLES'!$A$1:$H$40,7)</f>
        <v>FLEXIBLE</v>
      </c>
    </row>
    <row r="10" spans="1:24" ht="15.6" x14ac:dyDescent="0.3">
      <c r="A10" s="3"/>
      <c r="B10" s="16"/>
      <c r="C10" s="599" t="s">
        <v>8</v>
      </c>
      <c r="D10" s="593"/>
      <c r="E10" s="593"/>
      <c r="F10" s="593"/>
      <c r="G10" s="593"/>
      <c r="H10" s="593"/>
      <c r="I10" s="594"/>
      <c r="J10" s="595"/>
      <c r="K10" s="9"/>
      <c r="L10" s="80" t="s">
        <v>6072</v>
      </c>
      <c r="M10" s="74"/>
      <c r="O10" s="74"/>
      <c r="Q10" s="74"/>
      <c r="S10" s="74"/>
      <c r="U10" s="74"/>
      <c r="W10" s="74" t="str">
        <f>+VLOOKUP(W8,'LISTADO CIV FLEXIBLES'!$A$1:$H$40,8)</f>
        <v>RECONSTRUCCION</v>
      </c>
    </row>
    <row r="11" spans="1:24" ht="15.6" x14ac:dyDescent="0.3">
      <c r="A11" s="3"/>
      <c r="B11" s="16"/>
      <c r="C11" s="599"/>
      <c r="D11" s="593"/>
      <c r="E11" s="593"/>
      <c r="F11" s="593"/>
      <c r="G11" s="593"/>
      <c r="H11" s="593"/>
      <c r="I11" s="594"/>
      <c r="J11" s="595"/>
      <c r="K11" s="9"/>
      <c r="L11" s="80" t="s">
        <v>6073</v>
      </c>
      <c r="M11" s="74"/>
      <c r="O11" s="74"/>
      <c r="Q11" s="74"/>
      <c r="S11" s="74"/>
      <c r="U11" s="74"/>
      <c r="W11" s="74">
        <f>+VLOOKUP(W8,'LISTADO CIV FLEXIBLES'!$A$1:$H$40,5)</f>
        <v>110.1</v>
      </c>
    </row>
    <row r="12" spans="1:24" ht="16.2" thickBot="1" x14ac:dyDescent="0.35">
      <c r="A12" s="3"/>
      <c r="B12" s="16"/>
      <c r="C12" s="600"/>
      <c r="D12" s="601"/>
      <c r="E12" s="601"/>
      <c r="F12" s="601"/>
      <c r="G12" s="601"/>
      <c r="H12" s="601"/>
      <c r="I12" s="602"/>
      <c r="J12" s="603"/>
      <c r="K12" s="9"/>
      <c r="L12" s="80" t="s">
        <v>6074</v>
      </c>
      <c r="M12" s="90"/>
      <c r="O12" s="90"/>
      <c r="Q12" s="90"/>
      <c r="S12" s="90"/>
      <c r="U12" s="90"/>
      <c r="W12" s="90">
        <f>+VLOOKUP(W8,'LISTADO CIV FLEXIBLES'!$A$1:$H$40,6)</f>
        <v>8.26</v>
      </c>
    </row>
    <row r="13" spans="1:24" ht="30" customHeight="1" thickBot="1" x14ac:dyDescent="0.35">
      <c r="A13" s="3"/>
      <c r="B13" s="8"/>
      <c r="C13" s="604"/>
      <c r="D13" s="605"/>
      <c r="E13" s="605"/>
      <c r="F13" s="605"/>
      <c r="G13" s="605"/>
      <c r="H13" s="605"/>
      <c r="I13" s="605"/>
      <c r="J13" s="606"/>
      <c r="K13" s="9"/>
      <c r="L13" s="80" t="s">
        <v>6075</v>
      </c>
      <c r="M13" s="75"/>
      <c r="O13" s="75"/>
      <c r="Q13" s="75"/>
      <c r="S13" s="75"/>
      <c r="U13" s="75"/>
      <c r="W13" s="75">
        <f>+ROUND(W11*W12,2)</f>
        <v>909.43</v>
      </c>
    </row>
    <row r="14" spans="1:24" ht="16.5" customHeight="1" x14ac:dyDescent="0.3">
      <c r="A14" s="3"/>
      <c r="B14" s="8"/>
      <c r="C14" s="607" t="s">
        <v>10</v>
      </c>
      <c r="D14" s="609" t="s">
        <v>11</v>
      </c>
      <c r="E14" s="607" t="s">
        <v>12</v>
      </c>
      <c r="F14" s="611" t="s">
        <v>13</v>
      </c>
      <c r="G14" s="611" t="s">
        <v>14</v>
      </c>
      <c r="H14" s="598" t="s">
        <v>15</v>
      </c>
      <c r="I14" s="598" t="s">
        <v>27</v>
      </c>
      <c r="J14" s="925" t="s">
        <v>16</v>
      </c>
      <c r="K14" s="9"/>
      <c r="L14" s="3"/>
      <c r="M14" s="547"/>
      <c r="N14" s="548"/>
      <c r="O14" s="547"/>
      <c r="P14" s="548"/>
      <c r="Q14" s="547"/>
      <c r="R14" s="548"/>
      <c r="S14" s="547"/>
      <c r="T14" s="548"/>
      <c r="U14" s="547"/>
      <c r="V14" s="548"/>
      <c r="W14" s="547" t="s">
        <v>14</v>
      </c>
      <c r="X14" s="548" t="s">
        <v>16</v>
      </c>
    </row>
    <row r="15" spans="1:24"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row>
    <row r="16" spans="1:24"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row>
    <row r="17" spans="1:24" ht="30" customHeight="1" x14ac:dyDescent="0.3">
      <c r="A17" s="3"/>
      <c r="B17" s="8"/>
      <c r="C17" s="60">
        <v>3007</v>
      </c>
      <c r="D17" s="60">
        <v>1001</v>
      </c>
      <c r="E17" s="60" t="str">
        <f>+VLOOKUP(C17,'PRECIOS IDU 2025'!$A$1:$E$3189,2,FALSE)</f>
        <v>REPLANTEO GENERAL</v>
      </c>
      <c r="F17" s="60" t="str">
        <f>+VLOOKUP(C17,'PRECIOS IDU 2025'!$A$1:$E$3189,3,FALSE)</f>
        <v>M2</v>
      </c>
      <c r="G17" s="60">
        <f>+ROUND(M17+O17+Q17+S17+U17+W17,2)</f>
        <v>909.43</v>
      </c>
      <c r="H17" s="69">
        <f>+VLOOKUP(C17,'PRECIOS IDU 2025'!$A$1:$E$3189,4,FALSE)</f>
        <v>909</v>
      </c>
      <c r="I17" s="69">
        <f t="shared" ref="I17:I38" si="0">+ROUND(H17*(1+$J$192),0)</f>
        <v>1182</v>
      </c>
      <c r="J17" s="69">
        <f>+ROUND(I17*G17,0)</f>
        <v>1074946</v>
      </c>
      <c r="K17" s="9"/>
      <c r="L17" s="3"/>
      <c r="M17" s="76"/>
      <c r="N17" s="78"/>
      <c r="O17" s="76"/>
      <c r="P17" s="78"/>
      <c r="Q17" s="76"/>
      <c r="R17" s="78"/>
      <c r="S17" s="76"/>
      <c r="T17" s="78"/>
      <c r="U17" s="76"/>
      <c r="V17" s="78"/>
      <c r="W17" s="76">
        <f>+W13</f>
        <v>909.43</v>
      </c>
      <c r="X17" s="78">
        <f t="shared" ref="X17" si="1">+ROUND(W17*$I17,0)</f>
        <v>1074946</v>
      </c>
    </row>
    <row r="18" spans="1:24"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60">
        <f t="shared" ref="G18:G38" si="2">+ROUND(M18+O18+Q18+S18+U18+W18,2)</f>
        <v>16.52</v>
      </c>
      <c r="H18" s="69">
        <f>+VLOOKUP(C18,'PRECIOS IDU 2025'!$A$1:$E$3189,4,FALSE)</f>
        <v>2659</v>
      </c>
      <c r="I18" s="69">
        <f t="shared" si="0"/>
        <v>3457</v>
      </c>
      <c r="J18" s="69">
        <f>+ROUND(I18*G18,0)</f>
        <v>57110</v>
      </c>
      <c r="K18" s="9"/>
      <c r="L18" s="3"/>
      <c r="M18" s="76"/>
      <c r="N18" s="78"/>
      <c r="O18" s="76"/>
      <c r="P18" s="78"/>
      <c r="Q18" s="76"/>
      <c r="R18" s="78"/>
      <c r="S18" s="76"/>
      <c r="T18" s="78"/>
      <c r="U18" s="76"/>
      <c r="V18" s="78"/>
      <c r="W18" s="76">
        <f>+W12*2</f>
        <v>16.52</v>
      </c>
      <c r="X18" s="78">
        <f t="shared" ref="X18" si="3">+ROUND(W18*$I18,0)</f>
        <v>57110</v>
      </c>
    </row>
    <row r="19" spans="1:24"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60">
        <f t="shared" si="2"/>
        <v>11.01</v>
      </c>
      <c r="H19" s="69">
        <f>+VLOOKUP(C19,'PRECIOS IDU 2025'!$A$1:$E$3189,4,FALSE)</f>
        <v>38781</v>
      </c>
      <c r="I19" s="69">
        <f t="shared" si="0"/>
        <v>50415</v>
      </c>
      <c r="J19" s="69">
        <f t="shared" ref="J19:J38" si="4">+ROUND(I19*G19,0)</f>
        <v>555069</v>
      </c>
      <c r="K19" s="9"/>
      <c r="L19" s="3"/>
      <c r="M19" s="76"/>
      <c r="N19" s="78"/>
      <c r="O19" s="76"/>
      <c r="P19" s="78"/>
      <c r="Q19" s="76"/>
      <c r="R19" s="78"/>
      <c r="S19" s="76"/>
      <c r="T19" s="78"/>
      <c r="U19" s="76"/>
      <c r="V19" s="78"/>
      <c r="W19" s="76">
        <f>+W11*0.1</f>
        <v>11.01</v>
      </c>
      <c r="X19" s="78">
        <f t="shared" ref="X19" si="5">+ROUND(W19*$I19,0)</f>
        <v>555069</v>
      </c>
    </row>
    <row r="20" spans="1:24"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60">
        <f t="shared" si="2"/>
        <v>700.26</v>
      </c>
      <c r="H20" s="69">
        <f>+VLOOKUP(C20,'PRECIOS IDU 2025'!$A$1:$E$3189,4,FALSE)</f>
        <v>5741</v>
      </c>
      <c r="I20" s="69">
        <f t="shared" si="0"/>
        <v>7463</v>
      </c>
      <c r="J20" s="69">
        <f t="shared" si="4"/>
        <v>5226040</v>
      </c>
      <c r="K20" s="9"/>
      <c r="L20" s="3"/>
      <c r="M20" s="76"/>
      <c r="N20" s="78"/>
      <c r="O20" s="76"/>
      <c r="P20" s="78"/>
      <c r="Q20" s="76"/>
      <c r="R20" s="78"/>
      <c r="S20" s="76"/>
      <c r="T20" s="78"/>
      <c r="U20" s="76"/>
      <c r="V20" s="78"/>
      <c r="W20" s="76">
        <f>+W13*SUM($M$6:$P$6)</f>
        <v>700.26109999999994</v>
      </c>
      <c r="X20" s="78">
        <f t="shared" ref="X20" si="6">+ROUND(W20*$I20,0)</f>
        <v>5226049</v>
      </c>
    </row>
    <row r="21" spans="1:24"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60">
        <f t="shared" si="2"/>
        <v>35.01</v>
      </c>
      <c r="H21" s="69">
        <f>+VLOOKUP(C21,'PRECIOS IDU 2025'!$A$1:$E$3189,4,FALSE)</f>
        <v>46379</v>
      </c>
      <c r="I21" s="69">
        <f t="shared" si="0"/>
        <v>60293</v>
      </c>
      <c r="J21" s="69">
        <f t="shared" si="4"/>
        <v>2110858</v>
      </c>
      <c r="K21" s="9"/>
      <c r="L21" s="3"/>
      <c r="M21" s="76"/>
      <c r="N21" s="78"/>
      <c r="O21" s="76"/>
      <c r="P21" s="78"/>
      <c r="Q21" s="76"/>
      <c r="R21" s="78"/>
      <c r="S21" s="76"/>
      <c r="T21" s="78"/>
      <c r="U21" s="76"/>
      <c r="V21" s="78"/>
      <c r="W21" s="76">
        <f>+W20*0.05</f>
        <v>35.013055000000001</v>
      </c>
      <c r="X21" s="78">
        <f t="shared" ref="X21" si="7">+ROUND(W21*$I21,0)</f>
        <v>2111042</v>
      </c>
    </row>
    <row r="22" spans="1:24"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60">
        <f t="shared" si="2"/>
        <v>970.17</v>
      </c>
      <c r="H22" s="69">
        <f>+VLOOKUP(C22,'PRECIOS IDU 2025'!$A$1:$E$3189,4,FALSE)</f>
        <v>45600</v>
      </c>
      <c r="I22" s="69">
        <f t="shared" si="0"/>
        <v>59280</v>
      </c>
      <c r="J22" s="69">
        <f t="shared" si="4"/>
        <v>57511678</v>
      </c>
      <c r="K22" s="9"/>
      <c r="L22" s="3"/>
      <c r="M22" s="76"/>
      <c r="N22" s="78"/>
      <c r="O22" s="76"/>
      <c r="P22" s="78"/>
      <c r="Q22" s="76"/>
      <c r="R22" s="78"/>
      <c r="S22" s="76"/>
      <c r="T22" s="78"/>
      <c r="U22" s="76"/>
      <c r="V22" s="78"/>
      <c r="W22" s="76">
        <f>++SUM(W19:W21)*1.3</f>
        <v>970.16940149999994</v>
      </c>
      <c r="X22" s="78">
        <f t="shared" ref="X22" si="8">+ROUND(W22*$I22,0)</f>
        <v>57511642</v>
      </c>
    </row>
    <row r="23" spans="1:24" ht="15.6" x14ac:dyDescent="0.3">
      <c r="A23" s="3"/>
      <c r="B23" s="8"/>
      <c r="C23" s="60">
        <v>3800</v>
      </c>
      <c r="D23" s="60">
        <v>1007</v>
      </c>
      <c r="E23" s="60" t="str">
        <f>+VLOOKUP(C23,'PRECIOS IDU 2025'!$A$1:$E$3189,2,FALSE)</f>
        <v>NIVELACION Y COMPACTACIÓN DE SUBRASANTE</v>
      </c>
      <c r="F23" s="60" t="str">
        <f>+VLOOKUP(C23,'PRECIOS IDU 2025'!$A$1:$E$3189,3,FALSE)</f>
        <v>M2</v>
      </c>
      <c r="G23" s="60">
        <f t="shared" si="2"/>
        <v>909.43</v>
      </c>
      <c r="H23" s="69">
        <f>+VLOOKUP(C23,'PRECIOS IDU 2025'!$A$1:$E$3189,4,FALSE)</f>
        <v>1757</v>
      </c>
      <c r="I23" s="69">
        <f t="shared" si="0"/>
        <v>2284</v>
      </c>
      <c r="J23" s="69">
        <f t="shared" si="4"/>
        <v>2077138</v>
      </c>
      <c r="K23" s="9"/>
      <c r="L23" s="3"/>
      <c r="M23" s="76"/>
      <c r="N23" s="78"/>
      <c r="O23" s="76"/>
      <c r="P23" s="78"/>
      <c r="Q23" s="76"/>
      <c r="R23" s="78"/>
      <c r="S23" s="76"/>
      <c r="T23" s="78"/>
      <c r="U23" s="76"/>
      <c r="V23" s="78"/>
      <c r="W23" s="76">
        <f>+W13</f>
        <v>909.43</v>
      </c>
      <c r="X23" s="78">
        <f t="shared" ref="X23" si="9">+ROUND(W23*$I23,0)</f>
        <v>2077138</v>
      </c>
    </row>
    <row r="24" spans="1:24"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60">
        <f t="shared" si="2"/>
        <v>272.83</v>
      </c>
      <c r="H24" s="69">
        <f>+VLOOKUP(C24,'PRECIOS IDU 2025'!$A$1:$E$3189,4,FALSE)</f>
        <v>184030</v>
      </c>
      <c r="I24" s="69">
        <f t="shared" si="0"/>
        <v>239239</v>
      </c>
      <c r="J24" s="69">
        <f t="shared" si="4"/>
        <v>65271576</v>
      </c>
      <c r="K24" s="9"/>
      <c r="L24" s="3"/>
      <c r="M24" s="76"/>
      <c r="N24" s="78"/>
      <c r="O24" s="76"/>
      <c r="P24" s="78"/>
      <c r="Q24" s="76"/>
      <c r="R24" s="78"/>
      <c r="S24" s="76"/>
      <c r="T24" s="78"/>
      <c r="U24" s="76"/>
      <c r="V24" s="78"/>
      <c r="W24" s="76">
        <f>+W13*$P$6</f>
        <v>272.82899999999995</v>
      </c>
      <c r="X24" s="78">
        <f t="shared" ref="X24" si="10">+ROUND(W24*$I24,0)</f>
        <v>65271337</v>
      </c>
    </row>
    <row r="25" spans="1:24"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60">
        <f t="shared" si="2"/>
        <v>0</v>
      </c>
      <c r="H25" s="69">
        <f>+VLOOKUP(C25,'PRECIOS IDU 2025'!$A$1:$E$3189,4,FALSE)</f>
        <v>73638</v>
      </c>
      <c r="I25" s="69">
        <f t="shared" si="0"/>
        <v>95729</v>
      </c>
      <c r="J25" s="69">
        <f t="shared" si="4"/>
        <v>0</v>
      </c>
      <c r="K25" s="9"/>
      <c r="L25" s="3"/>
      <c r="M25" s="76"/>
      <c r="N25" s="78"/>
      <c r="O25" s="76"/>
      <c r="P25" s="78"/>
      <c r="Q25" s="76"/>
      <c r="R25" s="78"/>
      <c r="S25" s="76"/>
      <c r="T25" s="78"/>
      <c r="U25" s="76"/>
      <c r="V25" s="78"/>
      <c r="W25" s="76"/>
      <c r="X25" s="78">
        <f t="shared" ref="X25" si="11">+ROUND(W25*$I25,0)</f>
        <v>0</v>
      </c>
    </row>
    <row r="26" spans="1:24"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60">
        <f t="shared" si="2"/>
        <v>909.43</v>
      </c>
      <c r="H26" s="69">
        <f>+VLOOKUP(C26,'PRECIOS IDU 2025'!$A$1:$E$3189,4,FALSE)</f>
        <v>13158</v>
      </c>
      <c r="I26" s="69">
        <f t="shared" si="0"/>
        <v>17105</v>
      </c>
      <c r="J26" s="69">
        <f t="shared" si="4"/>
        <v>15555800</v>
      </c>
      <c r="K26" s="9"/>
      <c r="L26" s="3"/>
      <c r="M26" s="76"/>
      <c r="N26" s="78"/>
      <c r="O26" s="76"/>
      <c r="P26" s="78"/>
      <c r="Q26" s="76"/>
      <c r="R26" s="78"/>
      <c r="S26" s="76"/>
      <c r="T26" s="78"/>
      <c r="U26" s="76"/>
      <c r="V26" s="78"/>
      <c r="W26" s="76">
        <f>+W13</f>
        <v>909.43</v>
      </c>
      <c r="X26" s="78">
        <f t="shared" ref="X26" si="12">+ROUND(W26*$I26,0)</f>
        <v>15555800</v>
      </c>
    </row>
    <row r="27" spans="1:24"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60">
        <f t="shared" si="2"/>
        <v>909.43</v>
      </c>
      <c r="H27" s="69">
        <f>+VLOOKUP(C27,'PRECIOS IDU 2025'!$A$1:$E$3189,4,FALSE)</f>
        <v>30940</v>
      </c>
      <c r="I27" s="69">
        <f t="shared" si="0"/>
        <v>40222</v>
      </c>
      <c r="J27" s="69">
        <f t="shared" si="4"/>
        <v>36579093</v>
      </c>
      <c r="K27" s="9"/>
      <c r="L27" s="3"/>
      <c r="M27" s="76"/>
      <c r="N27" s="78"/>
      <c r="O27" s="76"/>
      <c r="P27" s="78"/>
      <c r="Q27" s="76"/>
      <c r="R27" s="78"/>
      <c r="S27" s="76"/>
      <c r="T27" s="78"/>
      <c r="U27" s="76"/>
      <c r="V27" s="78"/>
      <c r="W27" s="76">
        <f>+W13</f>
        <v>909.43</v>
      </c>
      <c r="X27" s="78">
        <f t="shared" ref="X27" si="13">+ROUND(W27*$I27,0)</f>
        <v>36579093</v>
      </c>
    </row>
    <row r="28" spans="1:24"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60">
        <f t="shared" si="2"/>
        <v>127.32</v>
      </c>
      <c r="H28" s="69">
        <f>+VLOOKUP(C28,'PRECIOS IDU 2025'!$A$1:$E$3189,4,FALSE)</f>
        <v>175866</v>
      </c>
      <c r="I28" s="69">
        <f t="shared" si="0"/>
        <v>228626</v>
      </c>
      <c r="J28" s="69">
        <f t="shared" si="4"/>
        <v>29108662</v>
      </c>
      <c r="K28" s="9"/>
      <c r="L28" s="3"/>
      <c r="M28" s="76"/>
      <c r="N28" s="78"/>
      <c r="O28" s="76"/>
      <c r="P28" s="78"/>
      <c r="Q28" s="76"/>
      <c r="R28" s="78"/>
      <c r="S28" s="76"/>
      <c r="T28" s="78"/>
      <c r="U28" s="76"/>
      <c r="V28" s="78"/>
      <c r="W28" s="76">
        <f>+W13*$O$6*0.7</f>
        <v>127.32019999999999</v>
      </c>
      <c r="X28" s="78">
        <f>+ROUND(W28*$I28,0)</f>
        <v>29108708</v>
      </c>
    </row>
    <row r="29" spans="1:24"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60">
        <f t="shared" si="2"/>
        <v>54.57</v>
      </c>
      <c r="H29" s="69">
        <f>+VLOOKUP(C29,'PRECIOS IDU 2025'!$A$1:$E$3189,4,FALSE)</f>
        <v>166345</v>
      </c>
      <c r="I29" s="69">
        <f t="shared" si="0"/>
        <v>216249</v>
      </c>
      <c r="J29" s="69">
        <f t="shared" si="4"/>
        <v>11800708</v>
      </c>
      <c r="K29" s="9"/>
      <c r="L29" s="3"/>
      <c r="M29" s="76"/>
      <c r="N29" s="78"/>
      <c r="O29" s="76"/>
      <c r="P29" s="78"/>
      <c r="Q29" s="76"/>
      <c r="R29" s="78"/>
      <c r="S29" s="76"/>
      <c r="T29" s="78"/>
      <c r="U29" s="76"/>
      <c r="V29" s="78"/>
      <c r="W29" s="76">
        <f>+W13*$O$6*0.3</f>
        <v>54.565799999999996</v>
      </c>
      <c r="X29" s="78">
        <f>+ROUND(W29*$I29,0)</f>
        <v>11799800</v>
      </c>
    </row>
    <row r="30" spans="1:24"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60">
        <f t="shared" si="2"/>
        <v>95.49</v>
      </c>
      <c r="H30" s="69">
        <f>+VLOOKUP(C30,'PRECIOS IDU 2025'!$A$1:$E$3189,4,FALSE)</f>
        <v>191915</v>
      </c>
      <c r="I30" s="69">
        <f t="shared" si="0"/>
        <v>249490</v>
      </c>
      <c r="J30" s="69">
        <f t="shared" si="4"/>
        <v>23823800</v>
      </c>
      <c r="K30" s="9"/>
      <c r="L30" s="3"/>
      <c r="M30" s="76"/>
      <c r="N30" s="78"/>
      <c r="O30" s="76"/>
      <c r="P30" s="78"/>
      <c r="Q30" s="76"/>
      <c r="R30" s="78"/>
      <c r="S30" s="76"/>
      <c r="T30" s="78"/>
      <c r="U30" s="76"/>
      <c r="V30" s="78"/>
      <c r="W30" s="76">
        <f>+W13*$N$6*0.7</f>
        <v>95.490149999999971</v>
      </c>
      <c r="X30" s="78">
        <f t="shared" ref="X30" si="14">+ROUND(W30*$I30,0)</f>
        <v>23823838</v>
      </c>
    </row>
    <row r="31" spans="1:24"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60">
        <f t="shared" si="2"/>
        <v>40.92</v>
      </c>
      <c r="H31" s="69">
        <f>+VLOOKUP(C31,'PRECIOS IDU 2025'!$A$1:$E$3189,4,FALSE)</f>
        <v>192883</v>
      </c>
      <c r="I31" s="69">
        <f t="shared" si="0"/>
        <v>250748</v>
      </c>
      <c r="J31" s="69">
        <f t="shared" si="4"/>
        <v>10260608</v>
      </c>
      <c r="K31" s="9"/>
      <c r="L31" s="3"/>
      <c r="M31" s="76"/>
      <c r="N31" s="78"/>
      <c r="O31" s="76"/>
      <c r="P31" s="78"/>
      <c r="Q31" s="76"/>
      <c r="R31" s="78"/>
      <c r="S31" s="76"/>
      <c r="T31" s="78"/>
      <c r="U31" s="76"/>
      <c r="V31" s="78"/>
      <c r="W31" s="76">
        <f>+W13*$N$6*0.3</f>
        <v>40.92434999999999</v>
      </c>
      <c r="X31" s="78">
        <f t="shared" ref="X31" si="15">+ROUND(W31*$I31,0)</f>
        <v>10261699</v>
      </c>
    </row>
    <row r="32" spans="1:24"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60">
        <f t="shared" si="2"/>
        <v>909.43</v>
      </c>
      <c r="H32" s="69">
        <f>+VLOOKUP(C32,'PRECIOS IDU 2025'!$A$1:$E$3189,4,FALSE)</f>
        <v>3189</v>
      </c>
      <c r="I32" s="69">
        <f t="shared" si="0"/>
        <v>4146</v>
      </c>
      <c r="J32" s="69">
        <f t="shared" si="4"/>
        <v>3770497</v>
      </c>
      <c r="K32" s="9"/>
      <c r="L32" s="3"/>
      <c r="M32" s="76"/>
      <c r="N32" s="78"/>
      <c r="O32" s="76"/>
      <c r="P32" s="78"/>
      <c r="Q32" s="76"/>
      <c r="R32" s="78"/>
      <c r="S32" s="76"/>
      <c r="T32" s="78"/>
      <c r="U32" s="76"/>
      <c r="V32" s="78"/>
      <c r="W32" s="76">
        <f>+W13</f>
        <v>909.43</v>
      </c>
      <c r="X32" s="78">
        <f t="shared" ref="X32" si="16">+ROUND(W32*$I32,0)</f>
        <v>3770497</v>
      </c>
    </row>
    <row r="33" spans="1:24"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60">
        <f t="shared" si="2"/>
        <v>45.47</v>
      </c>
      <c r="H33" s="69">
        <f>+VLOOKUP(C33,'PRECIOS IDU 2025'!$A$1:$E$3189,4,FALSE)</f>
        <v>3885</v>
      </c>
      <c r="I33" s="69">
        <f t="shared" si="0"/>
        <v>5051</v>
      </c>
      <c r="J33" s="69">
        <f t="shared" si="4"/>
        <v>229669</v>
      </c>
      <c r="K33" s="9"/>
      <c r="L33" s="3"/>
      <c r="M33" s="76"/>
      <c r="N33" s="78"/>
      <c r="O33" s="76"/>
      <c r="P33" s="78"/>
      <c r="Q33" s="76"/>
      <c r="R33" s="78"/>
      <c r="S33" s="76"/>
      <c r="T33" s="78"/>
      <c r="U33" s="76"/>
      <c r="V33" s="78"/>
      <c r="W33" s="76">
        <f>+W32*0.05</f>
        <v>45.471499999999999</v>
      </c>
      <c r="X33" s="78">
        <f t="shared" ref="X33" si="17">+ROUND(W33*$I33,0)</f>
        <v>229677</v>
      </c>
    </row>
    <row r="34" spans="1:24"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60">
        <f t="shared" si="2"/>
        <v>76.39</v>
      </c>
      <c r="H34" s="69">
        <f>+VLOOKUP(C34,'PRECIOS IDU 2025'!$A$1:$E$3189,4,FALSE)</f>
        <v>1341971</v>
      </c>
      <c r="I34" s="69">
        <f t="shared" si="0"/>
        <v>1744562</v>
      </c>
      <c r="J34" s="69">
        <f t="shared" si="4"/>
        <v>133267091</v>
      </c>
      <c r="K34" s="9"/>
      <c r="L34" s="3"/>
      <c r="M34" s="76"/>
      <c r="N34" s="78"/>
      <c r="O34" s="76"/>
      <c r="P34" s="78"/>
      <c r="Q34" s="76"/>
      <c r="R34" s="78"/>
      <c r="S34" s="76"/>
      <c r="T34" s="78"/>
      <c r="U34" s="76"/>
      <c r="V34" s="78"/>
      <c r="W34" s="76">
        <f>+W13*$M$6*0.7</f>
        <v>76.392119999999991</v>
      </c>
      <c r="X34" s="78">
        <f t="shared" ref="X34" si="18">+ROUND(W34*$I34,0)</f>
        <v>133270790</v>
      </c>
    </row>
    <row r="35" spans="1:24"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60">
        <f t="shared" si="2"/>
        <v>0</v>
      </c>
      <c r="H35" s="69">
        <f>+VLOOKUP(C35,'PRECIOS IDU 2025'!$A$1:$E$3189,4,FALSE)</f>
        <v>1241977</v>
      </c>
      <c r="I35" s="69">
        <f t="shared" si="0"/>
        <v>1614570</v>
      </c>
      <c r="J35" s="69">
        <f t="shared" si="4"/>
        <v>0</v>
      </c>
      <c r="K35" s="9"/>
      <c r="L35" s="3"/>
      <c r="M35" s="76"/>
      <c r="N35" s="78"/>
      <c r="O35" s="76"/>
      <c r="P35" s="78"/>
      <c r="Q35" s="76"/>
      <c r="R35" s="78"/>
      <c r="S35" s="76"/>
      <c r="T35" s="78"/>
      <c r="U35" s="76"/>
      <c r="V35" s="78"/>
      <c r="W35" s="76"/>
      <c r="X35" s="78">
        <f t="shared" ref="X35" si="19">+ROUND(W35*$I35,0)</f>
        <v>0</v>
      </c>
    </row>
    <row r="36" spans="1:24"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60">
        <f t="shared" si="2"/>
        <v>0</v>
      </c>
      <c r="H36" s="69">
        <f>+VLOOKUP(C36,'PRECIOS IDU 2025'!$A$1:$E$3189,4,FALSE)</f>
        <v>1556215</v>
      </c>
      <c r="I36" s="69">
        <f t="shared" ref="I36:I37" si="20">+ROUND(H36*(1+$J$192),0)</f>
        <v>2023080</v>
      </c>
      <c r="J36" s="69">
        <f t="shared" ref="J36:J37" si="21">+ROUND(I36*G36,0)</f>
        <v>0</v>
      </c>
      <c r="K36" s="9"/>
      <c r="L36" s="3"/>
      <c r="M36" s="76"/>
      <c r="N36" s="78"/>
      <c r="O36" s="76"/>
      <c r="P36" s="78"/>
      <c r="Q36" s="76"/>
      <c r="R36" s="78"/>
      <c r="S36" s="76"/>
      <c r="T36" s="78"/>
      <c r="U36" s="76"/>
      <c r="V36" s="78"/>
      <c r="W36" s="76"/>
      <c r="X36" s="78"/>
    </row>
    <row r="37" spans="1:24" ht="30"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60">
        <f t="shared" si="2"/>
        <v>0</v>
      </c>
      <c r="H37" s="69">
        <f>+VLOOKUP(C37,'PRECIOS IDU 2025'!$A$1:$E$3189,4,FALSE)</f>
        <v>142844</v>
      </c>
      <c r="I37" s="69">
        <f t="shared" si="20"/>
        <v>185697</v>
      </c>
      <c r="J37" s="69">
        <f t="shared" si="21"/>
        <v>0</v>
      </c>
      <c r="K37" s="9"/>
      <c r="L37" s="3"/>
      <c r="M37" s="76"/>
      <c r="N37" s="78"/>
      <c r="O37" s="76"/>
      <c r="P37" s="78"/>
      <c r="Q37" s="76"/>
      <c r="R37" s="78"/>
      <c r="S37" s="76"/>
      <c r="T37" s="78"/>
      <c r="U37" s="76"/>
      <c r="V37" s="78"/>
      <c r="W37" s="76"/>
      <c r="X37" s="78"/>
    </row>
    <row r="38" spans="1:24"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60">
        <f t="shared" si="2"/>
        <v>32.74</v>
      </c>
      <c r="H38" s="69">
        <f>+VLOOKUP(C38,'PRECIOS IDU 2025'!$A$1:$E$3189,4,FALSE)</f>
        <v>749962</v>
      </c>
      <c r="I38" s="69">
        <f t="shared" si="0"/>
        <v>974951</v>
      </c>
      <c r="J38" s="69">
        <f t="shared" si="4"/>
        <v>31919896</v>
      </c>
      <c r="K38" s="9"/>
      <c r="L38" s="3"/>
      <c r="M38" s="76"/>
      <c r="N38" s="78"/>
      <c r="O38" s="76"/>
      <c r="P38" s="78"/>
      <c r="Q38" s="76"/>
      <c r="R38" s="78"/>
      <c r="S38" s="76"/>
      <c r="T38" s="78"/>
      <c r="U38" s="76"/>
      <c r="V38" s="78"/>
      <c r="W38" s="76">
        <f>+W13*$M$6*0.3</f>
        <v>32.739479999999993</v>
      </c>
      <c r="X38" s="78">
        <f t="shared" ref="X38" si="22">+ROUND(W38*$I38,0)</f>
        <v>31919389</v>
      </c>
    </row>
    <row r="39" spans="1:24" ht="30" customHeight="1" x14ac:dyDescent="0.3">
      <c r="A39" s="3"/>
      <c r="B39" s="8"/>
      <c r="C39" s="61" t="s">
        <v>6077</v>
      </c>
      <c r="D39" s="62"/>
      <c r="E39" s="62"/>
      <c r="F39" s="62"/>
      <c r="G39" s="62"/>
      <c r="H39" s="62"/>
      <c r="I39" s="62"/>
      <c r="J39" s="63"/>
      <c r="K39" s="9"/>
      <c r="L39" s="3"/>
      <c r="M39" s="76"/>
      <c r="N39" s="78"/>
      <c r="O39" s="76"/>
      <c r="P39" s="78"/>
      <c r="Q39" s="76"/>
      <c r="R39" s="78"/>
      <c r="S39" s="76"/>
      <c r="T39" s="78"/>
      <c r="U39" s="76"/>
      <c r="V39" s="78"/>
      <c r="W39" s="76"/>
      <c r="X39" s="78">
        <f t="shared" ref="X39" si="23">+ROUND(W39*$I39,0)</f>
        <v>0</v>
      </c>
    </row>
    <row r="40" spans="1:24" ht="30" customHeight="1" x14ac:dyDescent="0.3">
      <c r="A40" s="3"/>
      <c r="B40" s="8"/>
      <c r="C40" s="60">
        <v>3007</v>
      </c>
      <c r="D40" s="60">
        <v>2001</v>
      </c>
      <c r="E40" s="60" t="str">
        <f>+VLOOKUP(C40,'PRECIOS IDU 2025'!$A$1:$E$3189,2,FALSE)</f>
        <v>REPLANTEO GENERAL</v>
      </c>
      <c r="F40" s="60" t="str">
        <f>+VLOOKUP(C40,'PRECIOS IDU 2025'!$A$1:$E$3189,3,FALSE)</f>
        <v>M2</v>
      </c>
      <c r="G40" s="183"/>
      <c r="H40" s="69">
        <f>+VLOOKUP(C40,'PRECIOS IDU 2025'!$A$1:$E$3189,4,FALSE)</f>
        <v>909</v>
      </c>
      <c r="I40" s="69">
        <f t="shared" ref="I40:I67" si="24">+ROUND(H40*(1+$J$192),0)</f>
        <v>1182</v>
      </c>
      <c r="J40" s="69">
        <f t="shared" ref="J40:J67" si="25">+ROUND(I40*G40,0)</f>
        <v>0</v>
      </c>
      <c r="K40" s="9">
        <v>210100</v>
      </c>
      <c r="L40" s="3"/>
      <c r="M40" s="73"/>
      <c r="N40" s="78"/>
      <c r="O40" s="73"/>
      <c r="P40" s="78"/>
      <c r="Q40" s="73"/>
      <c r="R40" s="78"/>
      <c r="S40" s="73"/>
      <c r="T40" s="78"/>
      <c r="U40" s="73"/>
      <c r="V40" s="78"/>
      <c r="W40" s="73"/>
      <c r="X40" s="78">
        <f t="shared" ref="X40" si="26">+ROUND(W40*$I40,0)</f>
        <v>0</v>
      </c>
    </row>
    <row r="41" spans="1:24"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60">
        <f t="shared" ref="G41:G67" si="27">+ROUND(M41+O41+Q41+S41+U41+W41,2)</f>
        <v>0</v>
      </c>
      <c r="H41" s="69">
        <f>+VLOOKUP(C41,'PRECIOS IDU 2025'!$A$1:$E$3189,4,FALSE)</f>
        <v>2659</v>
      </c>
      <c r="I41" s="69">
        <f t="shared" si="24"/>
        <v>3457</v>
      </c>
      <c r="J41" s="69">
        <f t="shared" si="25"/>
        <v>0</v>
      </c>
      <c r="K41" s="9"/>
      <c r="L41" s="3"/>
      <c r="M41" s="73"/>
      <c r="N41" s="78"/>
      <c r="O41" s="73"/>
      <c r="P41" s="78"/>
      <c r="Q41" s="73"/>
      <c r="R41" s="78"/>
      <c r="S41" s="73"/>
      <c r="T41" s="78"/>
      <c r="U41" s="73"/>
      <c r="V41" s="78"/>
      <c r="W41" s="73"/>
      <c r="X41" s="78">
        <f t="shared" ref="X41" si="28">+ROUND(W41*$I41,0)</f>
        <v>0</v>
      </c>
    </row>
    <row r="42" spans="1:24"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60">
        <f t="shared" si="27"/>
        <v>0</v>
      </c>
      <c r="H42" s="69">
        <f>+VLOOKUP(C42,'PRECIOS IDU 2025'!$A$1:$E$3189,4,FALSE)</f>
        <v>38781</v>
      </c>
      <c r="I42" s="69">
        <f t="shared" si="24"/>
        <v>50415</v>
      </c>
      <c r="J42" s="69">
        <f t="shared" si="25"/>
        <v>0</v>
      </c>
      <c r="K42" s="9"/>
      <c r="L42" s="3"/>
      <c r="M42" s="76"/>
      <c r="N42" s="78"/>
      <c r="O42" s="76"/>
      <c r="P42" s="78"/>
      <c r="Q42" s="76"/>
      <c r="R42" s="78"/>
      <c r="S42" s="76"/>
      <c r="T42" s="78"/>
      <c r="U42" s="76"/>
      <c r="V42" s="78"/>
      <c r="W42" s="76"/>
      <c r="X42" s="78">
        <f t="shared" ref="X42" si="29">+ROUND(W42*$I42,0)</f>
        <v>0</v>
      </c>
    </row>
    <row r="43" spans="1:24"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60">
        <f t="shared" si="27"/>
        <v>0</v>
      </c>
      <c r="H43" s="69">
        <f>+VLOOKUP(C43,'PRECIOS IDU 2025'!$A$1:$E$3189,4,FALSE)</f>
        <v>187178</v>
      </c>
      <c r="I43" s="69">
        <f t="shared" si="24"/>
        <v>243331</v>
      </c>
      <c r="J43" s="69">
        <f t="shared" si="25"/>
        <v>0</v>
      </c>
      <c r="K43" s="9"/>
      <c r="L43" s="3"/>
      <c r="M43" s="73"/>
      <c r="N43" s="78"/>
      <c r="O43" s="73"/>
      <c r="P43" s="78"/>
      <c r="Q43" s="73"/>
      <c r="R43" s="78"/>
      <c r="S43" s="73"/>
      <c r="T43" s="78"/>
      <c r="U43" s="73"/>
      <c r="V43" s="78"/>
      <c r="W43" s="73"/>
      <c r="X43" s="78">
        <f t="shared" ref="X43" si="30">+ROUND(W43*$I43,0)</f>
        <v>0</v>
      </c>
    </row>
    <row r="44" spans="1:24" ht="15.6" x14ac:dyDescent="0.3">
      <c r="A44" s="3"/>
      <c r="B44" s="8"/>
      <c r="C44" s="60">
        <v>3710</v>
      </c>
      <c r="D44" s="60">
        <v>2005</v>
      </c>
      <c r="E44" s="60" t="str">
        <f>+VLOOKUP(C44,'PRECIOS IDU 2025'!$A$1:$E$3189,2,FALSE)</f>
        <v>EXCAVACIÓN MECÁNICA EN MATERIAL COMÚN (INCLUYE CARGUE)</v>
      </c>
      <c r="F44" s="60" t="str">
        <f>+VLOOKUP(C44,'PRECIOS IDU 2025'!$A$1:$E$3189,3,FALSE)</f>
        <v>M3</v>
      </c>
      <c r="G44" s="60">
        <f t="shared" si="27"/>
        <v>0</v>
      </c>
      <c r="H44" s="69">
        <f>+VLOOKUP(C44,'PRECIOS IDU 2025'!$A$1:$E$3189,4,FALSE)</f>
        <v>5741</v>
      </c>
      <c r="I44" s="69">
        <f t="shared" si="24"/>
        <v>7463</v>
      </c>
      <c r="J44" s="69">
        <f t="shared" si="25"/>
        <v>0</v>
      </c>
      <c r="K44" s="9"/>
      <c r="L44" s="3"/>
      <c r="M44" s="73"/>
      <c r="N44" s="78"/>
      <c r="O44" s="73"/>
      <c r="P44" s="78"/>
      <c r="Q44" s="73"/>
      <c r="R44" s="78"/>
      <c r="S44" s="73"/>
      <c r="T44" s="78"/>
      <c r="U44" s="73"/>
      <c r="V44" s="78"/>
      <c r="W44" s="73"/>
      <c r="X44" s="78">
        <f t="shared" ref="X44" si="31">+ROUND(W44*$I44,0)</f>
        <v>0</v>
      </c>
    </row>
    <row r="45" spans="1:24"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60">
        <f t="shared" si="27"/>
        <v>0</v>
      </c>
      <c r="H45" s="69">
        <f>+VLOOKUP(C45,'PRECIOS IDU 2025'!$A$1:$E$3189,4,FALSE)</f>
        <v>46379</v>
      </c>
      <c r="I45" s="69">
        <f t="shared" si="24"/>
        <v>60293</v>
      </c>
      <c r="J45" s="69">
        <f t="shared" si="25"/>
        <v>0</v>
      </c>
      <c r="K45" s="9"/>
      <c r="L45" s="3"/>
      <c r="M45" s="73"/>
      <c r="N45" s="78"/>
      <c r="O45" s="73"/>
      <c r="P45" s="78"/>
      <c r="Q45" s="73"/>
      <c r="R45" s="78"/>
      <c r="S45" s="73"/>
      <c r="T45" s="78"/>
      <c r="U45" s="73"/>
      <c r="V45" s="78"/>
      <c r="W45" s="73"/>
      <c r="X45" s="78">
        <f t="shared" ref="X45" si="32">+ROUND(W45*$I45,0)</f>
        <v>0</v>
      </c>
    </row>
    <row r="46" spans="1:24"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60">
        <f t="shared" si="27"/>
        <v>0</v>
      </c>
      <c r="H46" s="69">
        <f>+VLOOKUP(C46,'PRECIOS IDU 2025'!$A$1:$E$3189,4,FALSE)</f>
        <v>45600</v>
      </c>
      <c r="I46" s="69">
        <f t="shared" si="24"/>
        <v>59280</v>
      </c>
      <c r="J46" s="69">
        <f t="shared" si="25"/>
        <v>0</v>
      </c>
      <c r="K46" s="9"/>
      <c r="L46" s="3"/>
      <c r="M46" s="73"/>
      <c r="N46" s="78"/>
      <c r="O46" s="73"/>
      <c r="P46" s="78"/>
      <c r="Q46" s="73"/>
      <c r="R46" s="78"/>
      <c r="S46" s="73"/>
      <c r="T46" s="78"/>
      <c r="U46" s="73"/>
      <c r="V46" s="78"/>
      <c r="W46" s="73"/>
      <c r="X46" s="78">
        <f t="shared" ref="X46" si="33">+ROUND(W46*$I46,0)</f>
        <v>0</v>
      </c>
    </row>
    <row r="47" spans="1:24" ht="30" customHeight="1" x14ac:dyDescent="0.3">
      <c r="A47" s="3"/>
      <c r="B47" s="8"/>
      <c r="C47" s="60">
        <v>3800</v>
      </c>
      <c r="D47" s="60">
        <v>2008</v>
      </c>
      <c r="E47" s="60" t="str">
        <f>+VLOOKUP(C47,'PRECIOS IDU 2025'!$A$1:$E$3189,2,FALSE)</f>
        <v>NIVELACION Y COMPACTACIÓN DE SUBRASANTE</v>
      </c>
      <c r="F47" s="60" t="str">
        <f>+VLOOKUP(C47,'PRECIOS IDU 2025'!$A$1:$E$3189,3,FALSE)</f>
        <v>M2</v>
      </c>
      <c r="G47" s="60">
        <f t="shared" si="27"/>
        <v>0</v>
      </c>
      <c r="H47" s="69">
        <f>+VLOOKUP(C47,'PRECIOS IDU 2025'!$A$1:$E$3189,4,FALSE)</f>
        <v>1757</v>
      </c>
      <c r="I47" s="69">
        <f t="shared" si="24"/>
        <v>2284</v>
      </c>
      <c r="J47" s="69">
        <f t="shared" si="25"/>
        <v>0</v>
      </c>
      <c r="K47" s="9"/>
      <c r="L47" s="3"/>
      <c r="M47" s="73"/>
      <c r="N47" s="78"/>
      <c r="O47" s="73"/>
      <c r="P47" s="78"/>
      <c r="Q47" s="73"/>
      <c r="R47" s="78"/>
      <c r="S47" s="73"/>
      <c r="T47" s="78"/>
      <c r="U47" s="73"/>
      <c r="V47" s="78"/>
      <c r="W47" s="73"/>
      <c r="X47" s="78">
        <f t="shared" ref="X47" si="34">+ROUND(W47*$I47,0)</f>
        <v>0</v>
      </c>
    </row>
    <row r="48" spans="1:24"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60">
        <f t="shared" si="27"/>
        <v>0</v>
      </c>
      <c r="H48" s="69">
        <f>+VLOOKUP(C48,'PRECIOS IDU 2025'!$A$1:$E$3189,4,FALSE)</f>
        <v>184030</v>
      </c>
      <c r="I48" s="69">
        <f t="shared" si="24"/>
        <v>239239</v>
      </c>
      <c r="J48" s="69">
        <f t="shared" si="25"/>
        <v>0</v>
      </c>
      <c r="K48" s="9"/>
      <c r="L48" s="3"/>
      <c r="M48" s="73"/>
      <c r="N48" s="78"/>
      <c r="O48" s="73"/>
      <c r="P48" s="78"/>
      <c r="Q48" s="73"/>
      <c r="R48" s="78"/>
      <c r="S48" s="73"/>
      <c r="T48" s="78"/>
      <c r="U48" s="73"/>
      <c r="V48" s="78"/>
      <c r="W48" s="73"/>
      <c r="X48" s="78">
        <f t="shared" ref="X48" si="35">+ROUND(W48*$I48,0)</f>
        <v>0</v>
      </c>
    </row>
    <row r="49" spans="1:24"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60">
        <f t="shared" si="27"/>
        <v>0</v>
      </c>
      <c r="H49" s="69">
        <f>+VLOOKUP(C49,'PRECIOS IDU 2025'!$A$1:$E$3189,4,FALSE)</f>
        <v>73638</v>
      </c>
      <c r="I49" s="69">
        <f t="shared" si="24"/>
        <v>95729</v>
      </c>
      <c r="J49" s="69">
        <f t="shared" si="25"/>
        <v>0</v>
      </c>
      <c r="K49" s="9"/>
      <c r="L49" s="3"/>
      <c r="M49" s="76"/>
      <c r="N49" s="78"/>
      <c r="O49" s="76"/>
      <c r="P49" s="78"/>
      <c r="Q49" s="76"/>
      <c r="R49" s="78"/>
      <c r="S49" s="76"/>
      <c r="T49" s="78"/>
      <c r="U49" s="76"/>
      <c r="V49" s="78"/>
      <c r="W49" s="76"/>
      <c r="X49" s="78">
        <f t="shared" ref="X49" si="36">+ROUND(W49*$I49,0)</f>
        <v>0</v>
      </c>
    </row>
    <row r="50" spans="1:24"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60">
        <f t="shared" si="27"/>
        <v>0</v>
      </c>
      <c r="H50" s="69">
        <f>+VLOOKUP(C50,'PRECIOS IDU 2025'!$A$1:$E$3189,4,FALSE)</f>
        <v>13158</v>
      </c>
      <c r="I50" s="69">
        <f t="shared" si="24"/>
        <v>17105</v>
      </c>
      <c r="J50" s="69">
        <f t="shared" si="25"/>
        <v>0</v>
      </c>
      <c r="K50" s="9"/>
      <c r="L50" s="3"/>
      <c r="M50" s="73"/>
      <c r="N50" s="78"/>
      <c r="O50" s="73"/>
      <c r="P50" s="78"/>
      <c r="Q50" s="73"/>
      <c r="R50" s="78"/>
      <c r="S50" s="73"/>
      <c r="T50" s="78"/>
      <c r="U50" s="73"/>
      <c r="V50" s="78"/>
      <c r="W50" s="73"/>
      <c r="X50" s="78">
        <f t="shared" ref="X50" si="37">+ROUND(W50*$I50,0)</f>
        <v>0</v>
      </c>
    </row>
    <row r="51" spans="1:24"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60">
        <f t="shared" si="27"/>
        <v>0</v>
      </c>
      <c r="H51" s="69">
        <f>+VLOOKUP(C51,'PRECIOS IDU 2025'!$A$1:$E$3189,4,FALSE)</f>
        <v>30940</v>
      </c>
      <c r="I51" s="69">
        <f t="shared" si="24"/>
        <v>40222</v>
      </c>
      <c r="J51" s="69">
        <f t="shared" si="25"/>
        <v>0</v>
      </c>
      <c r="K51" s="9"/>
      <c r="L51" s="3"/>
      <c r="M51" s="73"/>
      <c r="N51" s="78"/>
      <c r="O51" s="73"/>
      <c r="P51" s="78"/>
      <c r="Q51" s="73"/>
      <c r="R51" s="78"/>
      <c r="S51" s="73"/>
      <c r="T51" s="78"/>
      <c r="U51" s="73"/>
      <c r="V51" s="78"/>
      <c r="W51" s="73"/>
      <c r="X51" s="78">
        <f t="shared" ref="X51" si="38">+ROUND(W51*$I51,0)</f>
        <v>0</v>
      </c>
    </row>
    <row r="52" spans="1:24"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60">
        <f t="shared" si="27"/>
        <v>0</v>
      </c>
      <c r="H52" s="69">
        <f>+VLOOKUP(C52,'PRECIOS IDU 2025'!$A$1:$E$3189,4,FALSE)</f>
        <v>170143</v>
      </c>
      <c r="I52" s="69">
        <f t="shared" si="24"/>
        <v>221186</v>
      </c>
      <c r="J52" s="69">
        <f t="shared" si="25"/>
        <v>0</v>
      </c>
      <c r="K52" s="9"/>
      <c r="L52" s="3"/>
      <c r="M52" s="73"/>
      <c r="N52" s="78"/>
      <c r="O52" s="73"/>
      <c r="P52" s="78"/>
      <c r="Q52" s="73"/>
      <c r="R52" s="78"/>
      <c r="S52" s="73"/>
      <c r="T52" s="78"/>
      <c r="U52" s="73"/>
      <c r="V52" s="78"/>
      <c r="W52" s="73"/>
      <c r="X52" s="78">
        <f t="shared" ref="X52" si="39">+ROUND(W52*$I52,0)</f>
        <v>0</v>
      </c>
    </row>
    <row r="53" spans="1:24"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60">
        <f t="shared" si="27"/>
        <v>0</v>
      </c>
      <c r="H53" s="69">
        <f>+VLOOKUP(C53,'PRECIOS IDU 2025'!$A$1:$E$3189,4,FALSE)</f>
        <v>163490</v>
      </c>
      <c r="I53" s="69">
        <f t="shared" si="24"/>
        <v>212537</v>
      </c>
      <c r="J53" s="69">
        <f t="shared" si="25"/>
        <v>0</v>
      </c>
      <c r="K53" s="9"/>
      <c r="L53" s="3"/>
      <c r="M53" s="73"/>
      <c r="N53" s="78"/>
      <c r="O53" s="73"/>
      <c r="P53" s="78"/>
      <c r="Q53" s="73"/>
      <c r="R53" s="78"/>
      <c r="S53" s="73"/>
      <c r="T53" s="78"/>
      <c r="U53" s="73"/>
      <c r="V53" s="78"/>
      <c r="W53" s="73"/>
      <c r="X53" s="78">
        <f t="shared" ref="X53" si="40">+ROUND(W53*$I53,0)</f>
        <v>0</v>
      </c>
    </row>
    <row r="54" spans="1:24"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60">
        <f t="shared" si="27"/>
        <v>0</v>
      </c>
      <c r="H54" s="69">
        <f>+VLOOKUP(C54,'PRECIOS IDU 2025'!$A$1:$E$3189,4,FALSE)</f>
        <v>3189</v>
      </c>
      <c r="I54" s="69">
        <f t="shared" si="24"/>
        <v>4146</v>
      </c>
      <c r="J54" s="69">
        <f t="shared" si="25"/>
        <v>0</v>
      </c>
      <c r="K54" s="9"/>
      <c r="L54" s="3"/>
      <c r="M54" s="73"/>
      <c r="N54" s="78"/>
      <c r="O54" s="73"/>
      <c r="P54" s="78"/>
      <c r="Q54" s="73"/>
      <c r="R54" s="78"/>
      <c r="S54" s="73"/>
      <c r="T54" s="78"/>
      <c r="U54" s="73"/>
      <c r="V54" s="78"/>
      <c r="W54" s="73"/>
      <c r="X54" s="78">
        <f t="shared" ref="X54" si="41">+ROUND(W54*$I54,0)</f>
        <v>0</v>
      </c>
    </row>
    <row r="55" spans="1:24"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60">
        <f t="shared" si="27"/>
        <v>0</v>
      </c>
      <c r="H55" s="69">
        <f>+VLOOKUP(C55,'PRECIOS IDU 2025'!$A$1:$E$3189,4,FALSE)</f>
        <v>3885</v>
      </c>
      <c r="I55" s="69">
        <f t="shared" si="24"/>
        <v>5051</v>
      </c>
      <c r="J55" s="69">
        <f t="shared" si="25"/>
        <v>0</v>
      </c>
      <c r="K55" s="9"/>
      <c r="L55" s="3"/>
      <c r="M55" s="73"/>
      <c r="N55" s="78"/>
      <c r="O55" s="73"/>
      <c r="P55" s="78"/>
      <c r="Q55" s="73"/>
      <c r="R55" s="78"/>
      <c r="S55" s="73"/>
      <c r="T55" s="78"/>
      <c r="U55" s="73"/>
      <c r="V55" s="78"/>
      <c r="W55" s="73"/>
      <c r="X55" s="78">
        <f t="shared" ref="X55" si="42">+ROUND(W55*$I55,0)</f>
        <v>0</v>
      </c>
    </row>
    <row r="56" spans="1:24"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60">
        <f t="shared" si="27"/>
        <v>0</v>
      </c>
      <c r="H56" s="69">
        <f>+VLOOKUP(C56,'PRECIOS IDU 2025'!$A$1:$E$3189,4,FALSE)</f>
        <v>1341971</v>
      </c>
      <c r="I56" s="69">
        <f t="shared" si="24"/>
        <v>1744562</v>
      </c>
      <c r="J56" s="69">
        <f t="shared" si="25"/>
        <v>0</v>
      </c>
      <c r="K56" s="9"/>
      <c r="L56" s="3"/>
      <c r="M56" s="73"/>
      <c r="N56" s="78"/>
      <c r="O56" s="73"/>
      <c r="P56" s="78"/>
      <c r="Q56" s="73"/>
      <c r="R56" s="78"/>
      <c r="S56" s="73"/>
      <c r="T56" s="78"/>
      <c r="U56" s="73"/>
      <c r="V56" s="78"/>
      <c r="W56" s="73"/>
      <c r="X56" s="78">
        <f t="shared" ref="X56" si="43">+ROUND(W56*$I56,0)</f>
        <v>0</v>
      </c>
    </row>
    <row r="57" spans="1:24"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60">
        <f t="shared" si="27"/>
        <v>0</v>
      </c>
      <c r="H57" s="69">
        <f>+VLOOKUP(C57,'PRECIOS IDU 2025'!$A$1:$E$3189,4,FALSE)</f>
        <v>1241977</v>
      </c>
      <c r="I57" s="69">
        <f t="shared" si="24"/>
        <v>1614570</v>
      </c>
      <c r="J57" s="69">
        <f t="shared" si="25"/>
        <v>0</v>
      </c>
      <c r="K57" s="9"/>
      <c r="L57" s="3"/>
      <c r="M57" s="73"/>
      <c r="N57" s="78"/>
      <c r="O57" s="73"/>
      <c r="P57" s="78"/>
      <c r="Q57" s="73"/>
      <c r="R57" s="78"/>
      <c r="S57" s="73"/>
      <c r="T57" s="78"/>
      <c r="U57" s="73"/>
      <c r="V57" s="78"/>
      <c r="W57" s="73"/>
      <c r="X57" s="78">
        <f t="shared" ref="X57" si="44">+ROUND(W57*$I57,0)</f>
        <v>0</v>
      </c>
    </row>
    <row r="58" spans="1:24"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60">
        <f t="shared" si="27"/>
        <v>0</v>
      </c>
      <c r="H58" s="69">
        <f>+VLOOKUP(C58,'PRECIOS IDU 2025'!$A$1:$E$3189,4,FALSE)</f>
        <v>1556215</v>
      </c>
      <c r="I58" s="69">
        <f t="shared" si="24"/>
        <v>2023080</v>
      </c>
      <c r="J58" s="69">
        <f t="shared" si="25"/>
        <v>0</v>
      </c>
      <c r="K58" s="9"/>
      <c r="L58" s="3"/>
      <c r="M58" s="73"/>
      <c r="N58" s="78"/>
      <c r="O58" s="73"/>
      <c r="P58" s="78"/>
      <c r="Q58" s="73"/>
      <c r="R58" s="78"/>
      <c r="S58" s="73"/>
      <c r="T58" s="78"/>
      <c r="U58" s="73"/>
      <c r="V58" s="78"/>
      <c r="W58" s="73"/>
      <c r="X58" s="78">
        <f t="shared" ref="X58" si="45">+ROUND(W58*$I58,0)</f>
        <v>0</v>
      </c>
    </row>
    <row r="59" spans="1:24"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60">
        <f t="shared" si="27"/>
        <v>0</v>
      </c>
      <c r="H59" s="69">
        <f>+VLOOKUP(C59,'PRECIOS IDU 2025'!$A$1:$E$3189,4,FALSE)</f>
        <v>5591</v>
      </c>
      <c r="I59" s="69">
        <f t="shared" si="24"/>
        <v>7268</v>
      </c>
      <c r="J59" s="69">
        <f t="shared" si="25"/>
        <v>0</v>
      </c>
      <c r="K59" s="9"/>
      <c r="L59" s="3"/>
      <c r="M59" s="76"/>
      <c r="N59" s="78"/>
      <c r="O59" s="76"/>
      <c r="P59" s="78"/>
      <c r="Q59" s="76"/>
      <c r="R59" s="78"/>
      <c r="S59" s="76"/>
      <c r="T59" s="78"/>
      <c r="U59" s="76"/>
      <c r="V59" s="78"/>
      <c r="W59" s="76"/>
      <c r="X59" s="78">
        <f t="shared" ref="X59" si="46">+ROUND(W59*$I59,0)</f>
        <v>0</v>
      </c>
    </row>
    <row r="60" spans="1:24"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60">
        <f t="shared" si="27"/>
        <v>0</v>
      </c>
      <c r="H60" s="69">
        <f>+VLOOKUP(C60,'PRECIOS IDU 2025'!$A$1:$E$3189,4,FALSE)</f>
        <v>8404</v>
      </c>
      <c r="I60" s="69">
        <f t="shared" si="24"/>
        <v>10925</v>
      </c>
      <c r="J60" s="69">
        <f t="shared" si="25"/>
        <v>0</v>
      </c>
      <c r="K60" s="9"/>
      <c r="L60" s="3"/>
      <c r="M60" s="76"/>
      <c r="N60" s="78"/>
      <c r="O60" s="76"/>
      <c r="P60" s="78"/>
      <c r="Q60" s="76"/>
      <c r="R60" s="78"/>
      <c r="S60" s="76"/>
      <c r="T60" s="78"/>
      <c r="U60" s="76"/>
      <c r="V60" s="78"/>
      <c r="W60" s="76"/>
      <c r="X60" s="78">
        <f t="shared" ref="X60" si="47">+ROUND(W60*$I60,0)</f>
        <v>0</v>
      </c>
    </row>
    <row r="61" spans="1:24"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60">
        <f t="shared" si="27"/>
        <v>0</v>
      </c>
      <c r="H61" s="69">
        <f>+VLOOKUP(C61,'PRECIOS IDU 2025'!$A$1:$E$3189,4,FALSE)</f>
        <v>7882</v>
      </c>
      <c r="I61" s="69">
        <f t="shared" si="24"/>
        <v>10247</v>
      </c>
      <c r="J61" s="69">
        <f t="shared" si="25"/>
        <v>0</v>
      </c>
      <c r="K61" s="9"/>
      <c r="L61" s="3"/>
      <c r="M61" s="76"/>
      <c r="N61" s="78"/>
      <c r="O61" s="76"/>
      <c r="P61" s="78"/>
      <c r="Q61" s="76"/>
      <c r="R61" s="78"/>
      <c r="S61" s="76"/>
      <c r="T61" s="78"/>
      <c r="U61" s="76"/>
      <c r="V61" s="78"/>
      <c r="W61" s="76"/>
      <c r="X61" s="78">
        <f t="shared" ref="X61" si="48">+ROUND(W61*$I61,0)</f>
        <v>0</v>
      </c>
    </row>
    <row r="62" spans="1:24"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60">
        <f t="shared" si="27"/>
        <v>0</v>
      </c>
      <c r="H62" s="69">
        <f>+VLOOKUP(C62,'PRECIOS IDU 2025'!$A$1:$E$3189,4,FALSE)</f>
        <v>7882</v>
      </c>
      <c r="I62" s="69">
        <f t="shared" si="24"/>
        <v>10247</v>
      </c>
      <c r="J62" s="69">
        <f t="shared" si="25"/>
        <v>0</v>
      </c>
      <c r="K62" s="9"/>
      <c r="L62" s="3"/>
      <c r="M62" s="76"/>
      <c r="N62" s="78"/>
      <c r="O62" s="76"/>
      <c r="P62" s="78"/>
      <c r="Q62" s="76"/>
      <c r="R62" s="78"/>
      <c r="S62" s="76"/>
      <c r="T62" s="78"/>
      <c r="U62" s="76"/>
      <c r="V62" s="78"/>
      <c r="W62" s="76"/>
      <c r="X62" s="78">
        <f t="shared" ref="X62" si="49">+ROUND(W62*$I62,0)</f>
        <v>0</v>
      </c>
    </row>
    <row r="63" spans="1:24"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60">
        <f t="shared" si="27"/>
        <v>0</v>
      </c>
      <c r="H63" s="69">
        <f>+VLOOKUP(C63,'PRECIOS IDU 2025'!$A$1:$E$3189,4,FALSE)</f>
        <v>875661</v>
      </c>
      <c r="I63" s="69">
        <f t="shared" si="24"/>
        <v>1138359</v>
      </c>
      <c r="J63" s="69">
        <f t="shared" si="25"/>
        <v>0</v>
      </c>
      <c r="K63" s="9"/>
      <c r="L63" s="3"/>
      <c r="M63" s="76"/>
      <c r="N63" s="78"/>
      <c r="O63" s="76"/>
      <c r="P63" s="78"/>
      <c r="Q63" s="76"/>
      <c r="R63" s="78"/>
      <c r="S63" s="76"/>
      <c r="T63" s="78"/>
      <c r="U63" s="76"/>
      <c r="V63" s="78"/>
      <c r="W63" s="76"/>
      <c r="X63" s="78">
        <f t="shared" ref="X63" si="50">+ROUND(W63*$I63,0)</f>
        <v>0</v>
      </c>
    </row>
    <row r="64" spans="1:24"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60">
        <f t="shared" si="27"/>
        <v>0</v>
      </c>
      <c r="H64" s="69">
        <f>+VLOOKUP(C64,'PRECIOS IDU 2025'!$A$1:$E$3189,4,FALSE)</f>
        <v>890453</v>
      </c>
      <c r="I64" s="69">
        <f t="shared" si="24"/>
        <v>1157589</v>
      </c>
      <c r="J64" s="69">
        <f t="shared" si="25"/>
        <v>0</v>
      </c>
      <c r="K64" s="9"/>
      <c r="L64" s="3"/>
      <c r="M64" s="76"/>
      <c r="N64" s="78"/>
      <c r="O64" s="76"/>
      <c r="P64" s="78"/>
      <c r="Q64" s="76"/>
      <c r="R64" s="78"/>
      <c r="S64" s="76"/>
      <c r="T64" s="78"/>
      <c r="U64" s="76"/>
      <c r="V64" s="78"/>
      <c r="W64" s="76"/>
      <c r="X64" s="78">
        <f t="shared" ref="X64" si="51">+ROUND(W64*$I64,0)</f>
        <v>0</v>
      </c>
    </row>
    <row r="65" spans="1:24"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60">
        <f t="shared" si="27"/>
        <v>0</v>
      </c>
      <c r="H65" s="69">
        <f>+VLOOKUP(C65,'PRECIOS IDU 2025'!$A$1:$E$3189,4,FALSE)</f>
        <v>2554</v>
      </c>
      <c r="I65" s="69">
        <f t="shared" si="24"/>
        <v>3320</v>
      </c>
      <c r="J65" s="69">
        <f t="shared" si="25"/>
        <v>0</v>
      </c>
      <c r="K65" s="9"/>
      <c r="L65" s="3"/>
      <c r="M65" s="76"/>
      <c r="N65" s="78"/>
      <c r="O65" s="76"/>
      <c r="P65" s="78"/>
      <c r="Q65" s="76"/>
      <c r="R65" s="78"/>
      <c r="S65" s="76"/>
      <c r="T65" s="78"/>
      <c r="U65" s="76"/>
      <c r="V65" s="78"/>
      <c r="W65" s="76"/>
      <c r="X65" s="78">
        <f t="shared" ref="X65" si="52">+ROUND(W65*$I65,0)</f>
        <v>0</v>
      </c>
    </row>
    <row r="66" spans="1:24"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60">
        <f t="shared" si="27"/>
        <v>0</v>
      </c>
      <c r="H66" s="69">
        <f>+VLOOKUP(C66,'PRECIOS IDU 2025'!$A$1:$E$3189,4,FALSE)</f>
        <v>13778</v>
      </c>
      <c r="I66" s="69">
        <f t="shared" si="24"/>
        <v>17911</v>
      </c>
      <c r="J66" s="69">
        <f t="shared" si="25"/>
        <v>0</v>
      </c>
      <c r="K66" s="9"/>
      <c r="L66" s="3"/>
      <c r="M66" s="76"/>
      <c r="N66" s="78"/>
      <c r="O66" s="76"/>
      <c r="P66" s="78"/>
      <c r="Q66" s="76"/>
      <c r="R66" s="78"/>
      <c r="S66" s="76"/>
      <c r="T66" s="78"/>
      <c r="U66" s="76"/>
      <c r="V66" s="78"/>
      <c r="W66" s="76"/>
      <c r="X66" s="78">
        <f t="shared" ref="X66" si="53">+ROUND(W66*$I66,0)</f>
        <v>0</v>
      </c>
    </row>
    <row r="67" spans="1:24" ht="15.6" x14ac:dyDescent="0.3">
      <c r="A67" s="3"/>
      <c r="B67" s="8"/>
      <c r="C67" s="60">
        <v>5404</v>
      </c>
      <c r="D67" s="60">
        <v>2028</v>
      </c>
      <c r="E67" s="60" t="str">
        <f>+VLOOKUP(C67,'PRECIOS IDU 2025'!$A$1:$E$3189,2,FALSE)</f>
        <v>CANASTILLA PASAJUNTAS (INCLUYE SUMINISTRO Y FIJACIÓN)</v>
      </c>
      <c r="F67" s="60" t="str">
        <f>+VLOOKUP(C67,'PRECIOS IDU 2025'!$A$1:$E$3189,3,FALSE)</f>
        <v>KG</v>
      </c>
      <c r="G67" s="60">
        <f t="shared" si="27"/>
        <v>0</v>
      </c>
      <c r="H67" s="69">
        <f>+VLOOKUP(C67,'PRECIOS IDU 2025'!$A$1:$E$3189,4,FALSE)</f>
        <v>10578</v>
      </c>
      <c r="I67" s="69">
        <f t="shared" si="24"/>
        <v>13751</v>
      </c>
      <c r="J67" s="69">
        <f t="shared" si="25"/>
        <v>0</v>
      </c>
      <c r="K67" s="9"/>
      <c r="L67" s="3"/>
      <c r="M67" s="76"/>
      <c r="N67" s="78"/>
      <c r="O67" s="76"/>
      <c r="P67" s="78"/>
      <c r="Q67" s="76"/>
      <c r="R67" s="78"/>
      <c r="S67" s="76"/>
      <c r="T67" s="78"/>
      <c r="U67" s="76"/>
      <c r="V67" s="78"/>
      <c r="W67" s="76"/>
      <c r="X67" s="78">
        <f t="shared" ref="X67" si="54">+ROUND(W67*$I67,0)</f>
        <v>0</v>
      </c>
    </row>
    <row r="68" spans="1:24" ht="30" customHeight="1" x14ac:dyDescent="0.3">
      <c r="A68" s="3"/>
      <c r="B68" s="8"/>
      <c r="C68" s="61" t="s">
        <v>6078</v>
      </c>
      <c r="D68" s="62"/>
      <c r="E68" s="62"/>
      <c r="F68" s="62"/>
      <c r="G68" s="62"/>
      <c r="H68" s="62"/>
      <c r="I68" s="62"/>
      <c r="J68" s="63"/>
      <c r="K68" s="9"/>
      <c r="L68" s="3"/>
      <c r="M68" s="76"/>
      <c r="N68" s="78"/>
      <c r="O68" s="76"/>
      <c r="P68" s="78"/>
      <c r="Q68" s="76"/>
      <c r="R68" s="78"/>
      <c r="S68" s="76"/>
      <c r="T68" s="78"/>
      <c r="U68" s="76"/>
      <c r="V68" s="78"/>
      <c r="W68" s="76"/>
      <c r="X68" s="78">
        <f t="shared" ref="X68" si="55">+ROUND(W68*$I68,0)</f>
        <v>0</v>
      </c>
    </row>
    <row r="69" spans="1:24" ht="30" customHeight="1" x14ac:dyDescent="0.3">
      <c r="A69" s="3"/>
      <c r="B69" s="8"/>
      <c r="C69" s="60">
        <v>3007</v>
      </c>
      <c r="D69" s="60">
        <v>3001</v>
      </c>
      <c r="E69" s="60" t="str">
        <f>+VLOOKUP(C69,'PRECIOS IDU 2025'!$A$1:$E$3189,2,FALSE)</f>
        <v>REPLANTEO GENERAL</v>
      </c>
      <c r="F69" s="60" t="str">
        <f>+VLOOKUP(C69,'PRECIOS IDU 2025'!$A$1:$E$3189,3,FALSE)</f>
        <v>M2</v>
      </c>
      <c r="G69" s="60">
        <f t="shared" ref="G69:G85" si="56">+ROUND(M69+O69+Q69+S69+U69+W69,2)</f>
        <v>0</v>
      </c>
      <c r="H69" s="69">
        <f>+VLOOKUP(C69,'PRECIOS IDU 2025'!$A$1:$E$3189,4,FALSE)</f>
        <v>909</v>
      </c>
      <c r="I69" s="69">
        <f t="shared" ref="I69:I85" si="57">+ROUND(H69*(1+$J$192),0)</f>
        <v>1182</v>
      </c>
      <c r="J69" s="69">
        <f t="shared" ref="J69:J85" si="58">+ROUND(I69*G69,0)</f>
        <v>0</v>
      </c>
      <c r="K69" s="9"/>
      <c r="L69" s="3"/>
      <c r="M69" s="76"/>
      <c r="N69" s="78"/>
      <c r="O69" s="76"/>
      <c r="P69" s="78"/>
      <c r="Q69" s="76"/>
      <c r="R69" s="78"/>
      <c r="S69" s="76"/>
      <c r="T69" s="78"/>
      <c r="U69" s="76"/>
      <c r="V69" s="78"/>
      <c r="W69" s="76"/>
      <c r="X69" s="78">
        <f t="shared" ref="X69" si="59">+ROUND(W69*$I69,0)</f>
        <v>0</v>
      </c>
    </row>
    <row r="70" spans="1:24"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60">
        <f t="shared" si="56"/>
        <v>0</v>
      </c>
      <c r="H70" s="69">
        <f>+VLOOKUP(C70,'PRECIOS IDU 2025'!$A$1:$E$3189,4,FALSE)</f>
        <v>2659</v>
      </c>
      <c r="I70" s="69">
        <f t="shared" si="57"/>
        <v>3457</v>
      </c>
      <c r="J70" s="69">
        <f t="shared" si="58"/>
        <v>0</v>
      </c>
      <c r="K70" s="9"/>
      <c r="L70" s="3"/>
      <c r="M70" s="76"/>
      <c r="N70" s="78"/>
      <c r="O70" s="76"/>
      <c r="P70" s="78"/>
      <c r="Q70" s="76"/>
      <c r="R70" s="78"/>
      <c r="S70" s="76"/>
      <c r="T70" s="78"/>
      <c r="U70" s="76"/>
      <c r="V70" s="78"/>
      <c r="W70" s="76"/>
      <c r="X70" s="78">
        <f t="shared" ref="X70" si="60">+ROUND(W70*$I70,0)</f>
        <v>0</v>
      </c>
    </row>
    <row r="71" spans="1:24"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60">
        <f t="shared" si="56"/>
        <v>0</v>
      </c>
      <c r="H71" s="69">
        <f>+VLOOKUP(C71,'PRECIOS IDU 2025'!$A$1:$E$3189,4,FALSE)</f>
        <v>38781</v>
      </c>
      <c r="I71" s="69">
        <f t="shared" si="57"/>
        <v>50415</v>
      </c>
      <c r="J71" s="69">
        <f t="shared" si="58"/>
        <v>0</v>
      </c>
      <c r="K71" s="9"/>
      <c r="L71" s="3"/>
      <c r="M71" s="76"/>
      <c r="N71" s="78"/>
      <c r="O71" s="76"/>
      <c r="P71" s="78"/>
      <c r="Q71" s="76"/>
      <c r="R71" s="78"/>
      <c r="S71" s="76"/>
      <c r="T71" s="78"/>
      <c r="U71" s="76"/>
      <c r="V71" s="78"/>
      <c r="W71" s="76"/>
      <c r="X71" s="78">
        <f t="shared" ref="X71" si="61">+ROUND(W71*$I71,0)</f>
        <v>0</v>
      </c>
    </row>
    <row r="72" spans="1:24"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60">
        <f t="shared" si="56"/>
        <v>0</v>
      </c>
      <c r="H72" s="69">
        <f>+VLOOKUP(C72,'PRECIOS IDU 2025'!$A$1:$E$3189,4,FALSE)</f>
        <v>5741</v>
      </c>
      <c r="I72" s="69">
        <f t="shared" si="57"/>
        <v>7463</v>
      </c>
      <c r="J72" s="69">
        <f t="shared" si="58"/>
        <v>0</v>
      </c>
      <c r="K72" s="9"/>
      <c r="L72" s="3"/>
      <c r="M72" s="76"/>
      <c r="N72" s="78"/>
      <c r="O72" s="76"/>
      <c r="P72" s="78"/>
      <c r="Q72" s="76"/>
      <c r="R72" s="78"/>
      <c r="S72" s="76"/>
      <c r="T72" s="78"/>
      <c r="U72" s="76"/>
      <c r="V72" s="78"/>
      <c r="W72" s="76"/>
      <c r="X72" s="78">
        <f t="shared" ref="X72" si="62">+ROUND(W72*$I72,0)</f>
        <v>0</v>
      </c>
    </row>
    <row r="73" spans="1:24"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60">
        <f t="shared" si="56"/>
        <v>0</v>
      </c>
      <c r="H73" s="69">
        <f>+VLOOKUP(C73,'PRECIOS IDU 2025'!$A$1:$E$3189,4,FALSE)</f>
        <v>46379</v>
      </c>
      <c r="I73" s="69">
        <f t="shared" si="57"/>
        <v>60293</v>
      </c>
      <c r="J73" s="69">
        <f t="shared" si="58"/>
        <v>0</v>
      </c>
      <c r="K73" s="9"/>
      <c r="L73" s="3"/>
      <c r="M73" s="76"/>
      <c r="N73" s="78"/>
      <c r="O73" s="76"/>
      <c r="P73" s="78"/>
      <c r="Q73" s="76"/>
      <c r="R73" s="78"/>
      <c r="S73" s="76"/>
      <c r="T73" s="78"/>
      <c r="U73" s="76"/>
      <c r="V73" s="78"/>
      <c r="W73" s="76"/>
      <c r="X73" s="78">
        <f t="shared" ref="X73" si="63">+ROUND(W73*$I73,0)</f>
        <v>0</v>
      </c>
    </row>
    <row r="74" spans="1:24"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60">
        <f t="shared" si="56"/>
        <v>0</v>
      </c>
      <c r="H74" s="69">
        <f>+VLOOKUP(C74,'PRECIOS IDU 2025'!$A$1:$E$3189,4,FALSE)</f>
        <v>45600</v>
      </c>
      <c r="I74" s="69">
        <f t="shared" si="57"/>
        <v>59280</v>
      </c>
      <c r="J74" s="69">
        <f t="shared" si="58"/>
        <v>0</v>
      </c>
      <c r="K74" s="9"/>
      <c r="L74" s="3"/>
      <c r="M74" s="76"/>
      <c r="N74" s="78"/>
      <c r="O74" s="76"/>
      <c r="P74" s="78"/>
      <c r="Q74" s="76"/>
      <c r="R74" s="78"/>
      <c r="S74" s="76"/>
      <c r="T74" s="78"/>
      <c r="U74" s="76"/>
      <c r="V74" s="78"/>
      <c r="W74" s="76"/>
      <c r="X74" s="78">
        <f t="shared" ref="X74" si="64">+ROUND(W74*$I74,0)</f>
        <v>0</v>
      </c>
    </row>
    <row r="75" spans="1:24" ht="15.6" x14ac:dyDescent="0.3">
      <c r="A75" s="3"/>
      <c r="B75" s="8"/>
      <c r="C75" s="60">
        <v>3800</v>
      </c>
      <c r="D75" s="60">
        <v>3007</v>
      </c>
      <c r="E75" s="60" t="str">
        <f>+VLOOKUP(C75,'PRECIOS IDU 2025'!$A$1:$E$3189,2,FALSE)</f>
        <v>NIVELACION Y COMPACTACIÓN DE SUBRASANTE</v>
      </c>
      <c r="F75" s="60" t="str">
        <f>+VLOOKUP(C75,'PRECIOS IDU 2025'!$A$1:$E$3189,3,FALSE)</f>
        <v>M2</v>
      </c>
      <c r="G75" s="60">
        <f t="shared" si="56"/>
        <v>0</v>
      </c>
      <c r="H75" s="69">
        <f>+VLOOKUP(C75,'PRECIOS IDU 2025'!$A$1:$E$3189,4,FALSE)</f>
        <v>1757</v>
      </c>
      <c r="I75" s="69">
        <f t="shared" si="57"/>
        <v>2284</v>
      </c>
      <c r="J75" s="69">
        <f t="shared" si="58"/>
        <v>0</v>
      </c>
      <c r="K75" s="9"/>
      <c r="L75" s="3"/>
      <c r="M75" s="76"/>
      <c r="N75" s="78"/>
      <c r="O75" s="76"/>
      <c r="P75" s="78"/>
      <c r="Q75" s="76"/>
      <c r="R75" s="78"/>
      <c r="S75" s="76"/>
      <c r="T75" s="78"/>
      <c r="U75" s="76"/>
      <c r="V75" s="78"/>
      <c r="W75" s="76"/>
      <c r="X75" s="78">
        <f t="shared" ref="X75" si="65">+ROUND(W75*$I75,0)</f>
        <v>0</v>
      </c>
    </row>
    <row r="76" spans="1:24"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60">
        <f t="shared" si="56"/>
        <v>0</v>
      </c>
      <c r="H76" s="69">
        <f>+VLOOKUP(C76,'PRECIOS IDU 2025'!$A$1:$E$3189,4,FALSE)</f>
        <v>32622</v>
      </c>
      <c r="I76" s="69">
        <f t="shared" si="57"/>
        <v>42409</v>
      </c>
      <c r="J76" s="69">
        <f t="shared" si="58"/>
        <v>0</v>
      </c>
      <c r="K76" s="9"/>
      <c r="L76" s="3"/>
      <c r="M76" s="76"/>
      <c r="N76" s="78"/>
      <c r="O76" s="76"/>
      <c r="P76" s="78"/>
      <c r="Q76" s="76"/>
      <c r="R76" s="78"/>
      <c r="S76" s="76"/>
      <c r="T76" s="78"/>
      <c r="U76" s="76"/>
      <c r="V76" s="78"/>
      <c r="W76" s="76"/>
      <c r="X76" s="78">
        <f t="shared" ref="X76" si="66">+ROUND(W76*$I76,0)</f>
        <v>0</v>
      </c>
    </row>
    <row r="77" spans="1:24"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60">
        <f t="shared" si="56"/>
        <v>0</v>
      </c>
      <c r="H77" s="69">
        <f>+VLOOKUP(C77,'PRECIOS IDU 2025'!$A$1:$E$3189,4,FALSE)</f>
        <v>3189</v>
      </c>
      <c r="I77" s="69">
        <f t="shared" si="57"/>
        <v>4146</v>
      </c>
      <c r="J77" s="69">
        <f t="shared" si="58"/>
        <v>0</v>
      </c>
      <c r="K77" s="9"/>
      <c r="L77" s="3"/>
      <c r="M77" s="76"/>
      <c r="N77" s="78"/>
      <c r="O77" s="76"/>
      <c r="P77" s="78"/>
      <c r="Q77" s="76"/>
      <c r="R77" s="78"/>
      <c r="S77" s="76"/>
      <c r="T77" s="78"/>
      <c r="U77" s="76"/>
      <c r="V77" s="78"/>
      <c r="W77" s="76"/>
      <c r="X77" s="78">
        <f t="shared" ref="X77" si="67">+ROUND(W77*$I77,0)</f>
        <v>0</v>
      </c>
    </row>
    <row r="78" spans="1:24"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60">
        <f t="shared" si="56"/>
        <v>0</v>
      </c>
      <c r="H78" s="69">
        <f>+VLOOKUP(C78,'PRECIOS IDU 2025'!$A$1:$E$3189,4,FALSE)</f>
        <v>3885</v>
      </c>
      <c r="I78" s="69">
        <f t="shared" si="57"/>
        <v>5051</v>
      </c>
      <c r="J78" s="69">
        <f t="shared" si="58"/>
        <v>0</v>
      </c>
      <c r="K78" s="9"/>
      <c r="L78" s="3"/>
      <c r="M78" s="76"/>
      <c r="N78" s="78"/>
      <c r="O78" s="76"/>
      <c r="P78" s="78"/>
      <c r="Q78" s="76"/>
      <c r="R78" s="78"/>
      <c r="S78" s="76"/>
      <c r="T78" s="78"/>
      <c r="U78" s="76"/>
      <c r="V78" s="78"/>
      <c r="W78" s="76"/>
      <c r="X78" s="78">
        <f t="shared" ref="X78" si="68">+ROUND(W78*$I78,0)</f>
        <v>0</v>
      </c>
    </row>
    <row r="79" spans="1:24"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60">
        <f t="shared" si="56"/>
        <v>0</v>
      </c>
      <c r="H79" s="69">
        <f>+VLOOKUP(C79,'PRECIOS IDU 2025'!$A$1:$E$3189,4,FALSE)</f>
        <v>1341971</v>
      </c>
      <c r="I79" s="69">
        <f t="shared" si="57"/>
        <v>1744562</v>
      </c>
      <c r="J79" s="69">
        <f t="shared" si="58"/>
        <v>0</v>
      </c>
      <c r="K79" s="9"/>
      <c r="L79" s="3"/>
      <c r="M79" s="76"/>
      <c r="N79" s="78"/>
      <c r="O79" s="76"/>
      <c r="P79" s="78"/>
      <c r="Q79" s="76"/>
      <c r="R79" s="78"/>
      <c r="S79" s="76"/>
      <c r="T79" s="78"/>
      <c r="U79" s="76"/>
      <c r="V79" s="78"/>
      <c r="W79" s="76"/>
      <c r="X79" s="78">
        <f t="shared" ref="X79" si="69">+ROUND(W79*$I79,0)</f>
        <v>0</v>
      </c>
    </row>
    <row r="80" spans="1:24"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60">
        <f t="shared" si="56"/>
        <v>0</v>
      </c>
      <c r="H80" s="69">
        <f>+VLOOKUP(C80,'PRECIOS IDU 2025'!$A$1:$E$3189,4,FALSE)</f>
        <v>1241977</v>
      </c>
      <c r="I80" s="69">
        <f t="shared" si="57"/>
        <v>1614570</v>
      </c>
      <c r="J80" s="69">
        <f t="shared" si="58"/>
        <v>0</v>
      </c>
      <c r="K80" s="9"/>
      <c r="L80" s="3"/>
      <c r="M80" s="76"/>
      <c r="N80" s="78"/>
      <c r="O80" s="76"/>
      <c r="P80" s="78"/>
      <c r="Q80" s="76"/>
      <c r="R80" s="78"/>
      <c r="S80" s="76"/>
      <c r="T80" s="78"/>
      <c r="U80" s="76"/>
      <c r="V80" s="78"/>
      <c r="W80" s="76"/>
      <c r="X80" s="78">
        <f t="shared" ref="X80" si="70">+ROUND(W80*$I80,0)</f>
        <v>0</v>
      </c>
    </row>
    <row r="81" spans="1:24"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60">
        <f t="shared" si="56"/>
        <v>0</v>
      </c>
      <c r="H81" s="69">
        <f>+VLOOKUP(C81,'PRECIOS IDU 2025'!$A$1:$E$3189,4,FALSE)</f>
        <v>1556215</v>
      </c>
      <c r="I81" s="69">
        <f t="shared" si="57"/>
        <v>2023080</v>
      </c>
      <c r="J81" s="69">
        <f t="shared" si="58"/>
        <v>0</v>
      </c>
      <c r="K81" s="9"/>
      <c r="L81" s="3"/>
      <c r="M81" s="76"/>
      <c r="N81" s="78"/>
      <c r="O81" s="76"/>
      <c r="P81" s="78"/>
      <c r="Q81" s="76"/>
      <c r="R81" s="78"/>
      <c r="S81" s="76"/>
      <c r="T81" s="78"/>
      <c r="U81" s="76"/>
      <c r="V81" s="78"/>
      <c r="W81" s="76"/>
      <c r="X81" s="78">
        <f t="shared" ref="X81" si="71">+ROUND(W81*$I81,0)</f>
        <v>0</v>
      </c>
    </row>
    <row r="82" spans="1:24" ht="30" customHeight="1" x14ac:dyDescent="0.3">
      <c r="A82" s="3"/>
      <c r="B82" s="8"/>
      <c r="C82" s="60">
        <v>4598</v>
      </c>
      <c r="D82" s="60">
        <v>3014</v>
      </c>
      <c r="E82" s="60" t="str">
        <f>+VLOOKUP(C82,'PRECIOS IDU 2025'!$A$1:$E$3189,2,FALSE)</f>
        <v>SELLO DE GRIETAS</v>
      </c>
      <c r="F82" s="60" t="str">
        <f>+VLOOKUP(C82,'PRECIOS IDU 2025'!$A$1:$E$3189,3,FALSE)</f>
        <v>ML</v>
      </c>
      <c r="G82" s="60">
        <f t="shared" si="56"/>
        <v>0</v>
      </c>
      <c r="H82" s="69">
        <f>+VLOOKUP(C82,'PRECIOS IDU 2025'!$A$1:$E$3189,4,FALSE)</f>
        <v>10386</v>
      </c>
      <c r="I82" s="69">
        <f t="shared" si="57"/>
        <v>13502</v>
      </c>
      <c r="J82" s="69">
        <f t="shared" si="58"/>
        <v>0</v>
      </c>
      <c r="K82" s="9"/>
      <c r="L82" s="3"/>
      <c r="M82" s="76"/>
      <c r="N82" s="78"/>
      <c r="O82" s="76"/>
      <c r="P82" s="78"/>
      <c r="Q82" s="76"/>
      <c r="R82" s="78"/>
      <c r="S82" s="76"/>
      <c r="T82" s="78"/>
      <c r="U82" s="76"/>
      <c r="V82" s="78"/>
      <c r="W82" s="76"/>
      <c r="X82" s="78">
        <f t="shared" ref="X82" si="72">+ROUND(W82*$I82,0)</f>
        <v>0</v>
      </c>
    </row>
    <row r="83" spans="1:24" ht="30" customHeight="1" x14ac:dyDescent="0.3">
      <c r="A83" s="3"/>
      <c r="B83" s="8"/>
      <c r="C83" s="60">
        <v>4758</v>
      </c>
      <c r="D83" s="60">
        <v>3015</v>
      </c>
      <c r="E83" s="60" t="str">
        <f>+VLOOKUP(C83,'PRECIOS IDU 2025'!$A$1:$E$3189,2,FALSE)</f>
        <v>SELLO DE FISURAS</v>
      </c>
      <c r="F83" s="60" t="str">
        <f>+VLOOKUP(C83,'PRECIOS IDU 2025'!$A$1:$E$3189,3,FALSE)</f>
        <v>ML</v>
      </c>
      <c r="G83" s="60">
        <f t="shared" si="56"/>
        <v>0</v>
      </c>
      <c r="H83" s="69">
        <f>+VLOOKUP(C83,'PRECIOS IDU 2025'!$A$1:$E$3189,4,FALSE)</f>
        <v>8877</v>
      </c>
      <c r="I83" s="69">
        <f t="shared" si="57"/>
        <v>11540</v>
      </c>
      <c r="J83" s="69">
        <f t="shared" si="58"/>
        <v>0</v>
      </c>
      <c r="K83" s="9"/>
      <c r="L83" s="3"/>
      <c r="M83" s="76"/>
      <c r="N83" s="78"/>
      <c r="O83" s="76"/>
      <c r="P83" s="78"/>
      <c r="Q83" s="76"/>
      <c r="R83" s="78"/>
      <c r="S83" s="76"/>
      <c r="T83" s="78"/>
      <c r="U83" s="76"/>
      <c r="V83" s="78"/>
      <c r="W83" s="76"/>
      <c r="X83" s="78">
        <f t="shared" ref="X83" si="73">+ROUND(W83*$I83,0)</f>
        <v>0</v>
      </c>
    </row>
    <row r="84" spans="1:24"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60">
        <f t="shared" si="56"/>
        <v>0</v>
      </c>
      <c r="H84" s="69">
        <f>+VLOOKUP(C84,'PRECIOS IDU 2025'!$A$1:$E$3189,4,FALSE)</f>
        <v>104695</v>
      </c>
      <c r="I84" s="69">
        <f t="shared" si="57"/>
        <v>136104</v>
      </c>
      <c r="J84" s="69">
        <f t="shared" si="58"/>
        <v>0</v>
      </c>
      <c r="K84" s="9"/>
      <c r="L84" s="3"/>
      <c r="M84" s="76"/>
      <c r="N84" s="78"/>
      <c r="O84" s="76"/>
      <c r="P84" s="78"/>
      <c r="Q84" s="76"/>
      <c r="R84" s="78"/>
      <c r="S84" s="76"/>
      <c r="T84" s="78"/>
      <c r="U84" s="76"/>
      <c r="V84" s="78"/>
      <c r="W84" s="76"/>
      <c r="X84" s="78">
        <f t="shared" ref="X84" si="74">+ROUND(W84*$I84,0)</f>
        <v>0</v>
      </c>
    </row>
    <row r="85" spans="1:24"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60">
        <f t="shared" si="56"/>
        <v>0</v>
      </c>
      <c r="H85" s="69">
        <f>+VLOOKUP(C85,'PRECIOS IDU 2025'!$A$1:$E$3189,4,FALSE)</f>
        <v>104695</v>
      </c>
      <c r="I85" s="69">
        <f t="shared" si="57"/>
        <v>136104</v>
      </c>
      <c r="J85" s="69">
        <f t="shared" si="58"/>
        <v>0</v>
      </c>
      <c r="K85" s="9"/>
      <c r="L85" s="3"/>
      <c r="M85" s="76"/>
      <c r="N85" s="78"/>
      <c r="O85" s="76"/>
      <c r="P85" s="78"/>
      <c r="Q85" s="76"/>
      <c r="R85" s="78"/>
      <c r="S85" s="76"/>
      <c r="T85" s="78"/>
      <c r="U85" s="76"/>
      <c r="V85" s="78"/>
      <c r="W85" s="76"/>
      <c r="X85" s="78">
        <f t="shared" ref="X85" si="75">+ROUND(W85*$I85,0)</f>
        <v>0</v>
      </c>
    </row>
    <row r="86" spans="1:24" ht="30" customHeight="1" x14ac:dyDescent="0.3">
      <c r="A86" s="3"/>
      <c r="B86" s="8"/>
      <c r="C86" s="66" t="s">
        <v>6079</v>
      </c>
      <c r="D86" s="62"/>
      <c r="E86" s="62"/>
      <c r="F86" s="62"/>
      <c r="G86" s="62"/>
      <c r="H86" s="62"/>
      <c r="I86" s="62"/>
      <c r="J86" s="63"/>
      <c r="K86" s="9"/>
      <c r="L86" s="3"/>
      <c r="M86" s="76"/>
      <c r="N86" s="78"/>
      <c r="O86" s="76"/>
      <c r="P86" s="78"/>
      <c r="Q86" s="76"/>
      <c r="R86" s="78"/>
      <c r="S86" s="76"/>
      <c r="T86" s="78"/>
      <c r="U86" s="76"/>
      <c r="V86" s="78"/>
      <c r="W86" s="76"/>
      <c r="X86" s="78">
        <f t="shared" ref="X86" si="76">+ROUND(W86*$I86,0)</f>
        <v>0</v>
      </c>
    </row>
    <row r="87" spans="1:24" ht="30" customHeight="1" x14ac:dyDescent="0.3">
      <c r="A87" s="3"/>
      <c r="B87" s="8"/>
      <c r="C87" s="60">
        <v>3007</v>
      </c>
      <c r="D87" s="60">
        <v>4001</v>
      </c>
      <c r="E87" s="60" t="str">
        <f>+VLOOKUP(C87,'PRECIOS IDU 2025'!$A$1:$E$3189,2,FALSE)</f>
        <v>REPLANTEO GENERAL</v>
      </c>
      <c r="F87" s="60" t="str">
        <f>+VLOOKUP(C87,'PRECIOS IDU 2025'!$A$1:$E$3189,3,FALSE)</f>
        <v>M2</v>
      </c>
      <c r="G87" s="60">
        <f t="shared" ref="G87:G110" si="77">+ROUND(M87+O87+Q87+S87+U87+W87,2)</f>
        <v>0</v>
      </c>
      <c r="H87" s="69">
        <f>+VLOOKUP(C87,'PRECIOS IDU 2025'!$A$1:$E$3189,4,FALSE)</f>
        <v>909</v>
      </c>
      <c r="I87" s="69">
        <f t="shared" ref="I87:I110" si="78">+ROUND(H87*(1+$J$192),0)</f>
        <v>1182</v>
      </c>
      <c r="J87" s="69">
        <f t="shared" ref="J87:J110" si="79">+ROUND(I87*G87,0)</f>
        <v>0</v>
      </c>
      <c r="K87" s="9"/>
      <c r="L87" s="3"/>
      <c r="M87" s="76"/>
      <c r="N87" s="78"/>
      <c r="O87" s="76"/>
      <c r="P87" s="78"/>
      <c r="Q87" s="76"/>
      <c r="R87" s="78"/>
      <c r="S87" s="76"/>
      <c r="T87" s="78"/>
      <c r="U87" s="76"/>
      <c r="V87" s="78"/>
      <c r="W87" s="76"/>
      <c r="X87" s="78">
        <f t="shared" ref="X87" si="80">+ROUND(W87*$I87,0)</f>
        <v>0</v>
      </c>
    </row>
    <row r="88" spans="1:24"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60">
        <f t="shared" si="77"/>
        <v>0</v>
      </c>
      <c r="H88" s="69">
        <f>+VLOOKUP(C88,'PRECIOS IDU 2025'!$A$1:$E$3189,4,FALSE)</f>
        <v>2659</v>
      </c>
      <c r="I88" s="69">
        <f t="shared" si="78"/>
        <v>3457</v>
      </c>
      <c r="J88" s="69">
        <f t="shared" si="79"/>
        <v>0</v>
      </c>
      <c r="K88" s="9"/>
      <c r="L88" s="3"/>
      <c r="M88" s="76"/>
      <c r="N88" s="78"/>
      <c r="O88" s="76"/>
      <c r="P88" s="78"/>
      <c r="Q88" s="76"/>
      <c r="R88" s="78"/>
      <c r="S88" s="76"/>
      <c r="T88" s="78"/>
      <c r="U88" s="76"/>
      <c r="V88" s="78"/>
      <c r="W88" s="76"/>
      <c r="X88" s="78">
        <f t="shared" ref="X88" si="81">+ROUND(W88*$I88,0)</f>
        <v>0</v>
      </c>
    </row>
    <row r="89" spans="1:24"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60">
        <f t="shared" si="77"/>
        <v>0</v>
      </c>
      <c r="H89" s="69">
        <f>+VLOOKUP(C89,'PRECIOS IDU 2025'!$A$1:$E$3189,4,FALSE)</f>
        <v>38781</v>
      </c>
      <c r="I89" s="69">
        <f t="shared" si="78"/>
        <v>50415</v>
      </c>
      <c r="J89" s="69">
        <f t="shared" si="79"/>
        <v>0</v>
      </c>
      <c r="K89" s="9"/>
      <c r="L89" s="3"/>
      <c r="M89" s="76"/>
      <c r="N89" s="78"/>
      <c r="O89" s="76"/>
      <c r="P89" s="78"/>
      <c r="Q89" s="76"/>
      <c r="R89" s="78"/>
      <c r="S89" s="76"/>
      <c r="T89" s="78"/>
      <c r="U89" s="76"/>
      <c r="V89" s="78"/>
      <c r="W89" s="76"/>
      <c r="X89" s="78">
        <f t="shared" ref="X89" si="82">+ROUND(W89*$I89,0)</f>
        <v>0</v>
      </c>
    </row>
    <row r="90" spans="1:24"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60">
        <f t="shared" si="77"/>
        <v>0</v>
      </c>
      <c r="H90" s="69">
        <f>+VLOOKUP(C90,'PRECIOS IDU 2025'!$A$1:$E$3189,4,FALSE)</f>
        <v>187178</v>
      </c>
      <c r="I90" s="69">
        <f t="shared" si="78"/>
        <v>243331</v>
      </c>
      <c r="J90" s="69">
        <f t="shared" si="79"/>
        <v>0</v>
      </c>
      <c r="K90" s="9"/>
      <c r="L90" s="3"/>
      <c r="M90" s="76"/>
      <c r="N90" s="78"/>
      <c r="O90" s="76"/>
      <c r="P90" s="78"/>
      <c r="Q90" s="76"/>
      <c r="R90" s="78"/>
      <c r="S90" s="76"/>
      <c r="T90" s="78"/>
      <c r="U90" s="76"/>
      <c r="V90" s="78"/>
      <c r="W90" s="76"/>
      <c r="X90" s="78">
        <f t="shared" ref="X90" si="83">+ROUND(W90*$I90,0)</f>
        <v>0</v>
      </c>
    </row>
    <row r="91" spans="1:24"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60">
        <f t="shared" si="77"/>
        <v>0</v>
      </c>
      <c r="H91" s="69">
        <f>+VLOOKUP(C91,'PRECIOS IDU 2025'!$A$1:$E$3189,4,FALSE)</f>
        <v>5741</v>
      </c>
      <c r="I91" s="69">
        <f t="shared" si="78"/>
        <v>7463</v>
      </c>
      <c r="J91" s="69">
        <f t="shared" si="79"/>
        <v>0</v>
      </c>
      <c r="K91" s="9"/>
      <c r="L91" s="3"/>
      <c r="M91" s="76"/>
      <c r="N91" s="78"/>
      <c r="O91" s="76"/>
      <c r="P91" s="78"/>
      <c r="Q91" s="76"/>
      <c r="R91" s="78"/>
      <c r="S91" s="76"/>
      <c r="T91" s="78"/>
      <c r="U91" s="76"/>
      <c r="V91" s="78"/>
      <c r="W91" s="76"/>
      <c r="X91" s="78">
        <f t="shared" ref="X91" si="84">+ROUND(W91*$I91,0)</f>
        <v>0</v>
      </c>
    </row>
    <row r="92" spans="1:24"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60">
        <f t="shared" si="77"/>
        <v>0</v>
      </c>
      <c r="H92" s="69">
        <f>+VLOOKUP(C92,'PRECIOS IDU 2025'!$A$1:$E$3189,4,FALSE)</f>
        <v>46379</v>
      </c>
      <c r="I92" s="69">
        <f t="shared" si="78"/>
        <v>60293</v>
      </c>
      <c r="J92" s="69">
        <f t="shared" si="79"/>
        <v>0</v>
      </c>
      <c r="K92" s="9"/>
      <c r="L92" s="3"/>
      <c r="M92" s="76"/>
      <c r="N92" s="78"/>
      <c r="O92" s="76"/>
      <c r="P92" s="78"/>
      <c r="Q92" s="76"/>
      <c r="R92" s="78"/>
      <c r="S92" s="76"/>
      <c r="T92" s="78"/>
      <c r="U92" s="76"/>
      <c r="V92" s="78"/>
      <c r="W92" s="76"/>
      <c r="X92" s="78">
        <f t="shared" ref="X92" si="85">+ROUND(W92*$I92,0)</f>
        <v>0</v>
      </c>
    </row>
    <row r="93" spans="1:24"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60">
        <f t="shared" si="77"/>
        <v>0</v>
      </c>
      <c r="H93" s="69">
        <f>+VLOOKUP(C93,'PRECIOS IDU 2025'!$A$1:$E$3189,4,FALSE)</f>
        <v>45600</v>
      </c>
      <c r="I93" s="69">
        <f t="shared" si="78"/>
        <v>59280</v>
      </c>
      <c r="J93" s="69">
        <f t="shared" si="79"/>
        <v>0</v>
      </c>
      <c r="K93" s="9"/>
      <c r="L93" s="3"/>
      <c r="M93" s="76"/>
      <c r="N93" s="78"/>
      <c r="O93" s="76"/>
      <c r="P93" s="78"/>
      <c r="Q93" s="76"/>
      <c r="R93" s="78"/>
      <c r="S93" s="76"/>
      <c r="T93" s="78"/>
      <c r="U93" s="76"/>
      <c r="V93" s="78"/>
      <c r="W93" s="76"/>
      <c r="X93" s="78">
        <f t="shared" ref="X93" si="86">+ROUND(W93*$I93,0)</f>
        <v>0</v>
      </c>
    </row>
    <row r="94" spans="1:24" ht="30" customHeight="1" x14ac:dyDescent="0.3">
      <c r="A94" s="3"/>
      <c r="B94" s="8"/>
      <c r="C94" s="60">
        <v>3800</v>
      </c>
      <c r="D94" s="60">
        <v>4008</v>
      </c>
      <c r="E94" s="60" t="str">
        <f>+VLOOKUP(C94,'PRECIOS IDU 2025'!$A$1:$E$3189,2,FALSE)</f>
        <v>NIVELACION Y COMPACTACIÓN DE SUBRASANTE</v>
      </c>
      <c r="F94" s="60" t="str">
        <f>+VLOOKUP(C94,'PRECIOS IDU 2025'!$A$1:$E$3189,3,FALSE)</f>
        <v>M2</v>
      </c>
      <c r="G94" s="60">
        <f t="shared" si="77"/>
        <v>0</v>
      </c>
      <c r="H94" s="69">
        <f>+VLOOKUP(C94,'PRECIOS IDU 2025'!$A$1:$E$3189,4,FALSE)</f>
        <v>1757</v>
      </c>
      <c r="I94" s="69">
        <f t="shared" si="78"/>
        <v>2284</v>
      </c>
      <c r="J94" s="69">
        <f t="shared" si="79"/>
        <v>0</v>
      </c>
      <c r="K94" s="9"/>
      <c r="L94" s="3"/>
      <c r="M94" s="76"/>
      <c r="N94" s="78"/>
      <c r="O94" s="76"/>
      <c r="P94" s="78"/>
      <c r="Q94" s="76"/>
      <c r="R94" s="78"/>
      <c r="S94" s="76"/>
      <c r="T94" s="78"/>
      <c r="U94" s="76"/>
      <c r="V94" s="78"/>
      <c r="W94" s="76"/>
      <c r="X94" s="78">
        <f t="shared" ref="X94" si="87">+ROUND(W94*$I94,0)</f>
        <v>0</v>
      </c>
    </row>
    <row r="95" spans="1:24"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60">
        <f t="shared" si="77"/>
        <v>0</v>
      </c>
      <c r="H95" s="69">
        <f>+VLOOKUP(C95,'PRECIOS IDU 2025'!$A$1:$E$3189,4,FALSE)</f>
        <v>3189</v>
      </c>
      <c r="I95" s="69">
        <f t="shared" si="78"/>
        <v>4146</v>
      </c>
      <c r="J95" s="69">
        <f t="shared" si="79"/>
        <v>0</v>
      </c>
      <c r="K95" s="9"/>
      <c r="L95" s="3"/>
      <c r="M95" s="76"/>
      <c r="N95" s="78"/>
      <c r="O95" s="76"/>
      <c r="P95" s="78"/>
      <c r="Q95" s="76"/>
      <c r="R95" s="78"/>
      <c r="S95" s="76"/>
      <c r="T95" s="78"/>
      <c r="U95" s="76"/>
      <c r="V95" s="78"/>
      <c r="W95" s="76"/>
      <c r="X95" s="78">
        <f t="shared" ref="X95" si="88">+ROUND(W95*$I95,0)</f>
        <v>0</v>
      </c>
    </row>
    <row r="96" spans="1:24"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60">
        <f t="shared" si="77"/>
        <v>0</v>
      </c>
      <c r="H96" s="69">
        <f>+VLOOKUP(C96,'PRECIOS IDU 2025'!$A$1:$E$3189,4,FALSE)</f>
        <v>3885</v>
      </c>
      <c r="I96" s="69">
        <f t="shared" si="78"/>
        <v>5051</v>
      </c>
      <c r="J96" s="69">
        <f t="shared" si="79"/>
        <v>0</v>
      </c>
      <c r="K96" s="9"/>
      <c r="L96" s="3"/>
      <c r="M96" s="76"/>
      <c r="N96" s="78"/>
      <c r="O96" s="76"/>
      <c r="P96" s="78"/>
      <c r="Q96" s="76"/>
      <c r="R96" s="78"/>
      <c r="S96" s="76"/>
      <c r="T96" s="78"/>
      <c r="U96" s="76"/>
      <c r="V96" s="78"/>
      <c r="W96" s="76"/>
      <c r="X96" s="78">
        <f t="shared" ref="X96" si="89">+ROUND(W96*$I96,0)</f>
        <v>0</v>
      </c>
    </row>
    <row r="97" spans="1:24"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60">
        <f t="shared" si="77"/>
        <v>0</v>
      </c>
      <c r="H97" s="69">
        <f>+VLOOKUP(C97,'PRECIOS IDU 2025'!$A$1:$E$3189,4,FALSE)</f>
        <v>1341971</v>
      </c>
      <c r="I97" s="69">
        <f t="shared" si="78"/>
        <v>1744562</v>
      </c>
      <c r="J97" s="69">
        <f t="shared" si="79"/>
        <v>0</v>
      </c>
      <c r="K97" s="9"/>
      <c r="L97" s="3"/>
      <c r="M97" s="76"/>
      <c r="N97" s="78"/>
      <c r="O97" s="76"/>
      <c r="P97" s="78"/>
      <c r="Q97" s="76"/>
      <c r="R97" s="78"/>
      <c r="S97" s="76"/>
      <c r="T97" s="78"/>
      <c r="U97" s="76"/>
      <c r="V97" s="78"/>
      <c r="W97" s="76"/>
      <c r="X97" s="78">
        <f t="shared" ref="X97" si="90">+ROUND(W97*$I97,0)</f>
        <v>0</v>
      </c>
    </row>
    <row r="98" spans="1:24"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60">
        <f t="shared" si="77"/>
        <v>0</v>
      </c>
      <c r="H98" s="69">
        <f>+VLOOKUP(C98,'PRECIOS IDU 2025'!$A$1:$E$3189,4,FALSE)</f>
        <v>1241977</v>
      </c>
      <c r="I98" s="69">
        <f t="shared" si="78"/>
        <v>1614570</v>
      </c>
      <c r="J98" s="69">
        <f t="shared" si="79"/>
        <v>0</v>
      </c>
      <c r="K98" s="9"/>
      <c r="L98" s="3"/>
      <c r="M98" s="76"/>
      <c r="N98" s="78"/>
      <c r="O98" s="76"/>
      <c r="P98" s="78"/>
      <c r="Q98" s="76"/>
      <c r="R98" s="78"/>
      <c r="S98" s="76"/>
      <c r="T98" s="78"/>
      <c r="U98" s="76"/>
      <c r="V98" s="78"/>
      <c r="W98" s="76"/>
      <c r="X98" s="78">
        <f t="shared" ref="X98" si="91">+ROUND(W98*$I98,0)</f>
        <v>0</v>
      </c>
    </row>
    <row r="99" spans="1:24"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60">
        <f t="shared" si="77"/>
        <v>0</v>
      </c>
      <c r="H99" s="69">
        <f>+VLOOKUP(C99,'PRECIOS IDU 2025'!$A$1:$E$3189,4,FALSE)</f>
        <v>1556215</v>
      </c>
      <c r="I99" s="69">
        <f t="shared" si="78"/>
        <v>2023080</v>
      </c>
      <c r="J99" s="69">
        <f t="shared" si="79"/>
        <v>0</v>
      </c>
      <c r="K99" s="9"/>
      <c r="L99" s="3"/>
      <c r="M99" s="76"/>
      <c r="N99" s="78"/>
      <c r="O99" s="76"/>
      <c r="P99" s="78"/>
      <c r="Q99" s="76"/>
      <c r="R99" s="78"/>
      <c r="S99" s="76"/>
      <c r="T99" s="78"/>
      <c r="U99" s="76"/>
      <c r="V99" s="78"/>
      <c r="W99" s="76"/>
      <c r="X99" s="78">
        <f t="shared" ref="X99" si="92">+ROUND(W99*$I99,0)</f>
        <v>0</v>
      </c>
    </row>
    <row r="100" spans="1:24"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60">
        <f t="shared" si="77"/>
        <v>0</v>
      </c>
      <c r="H100" s="69">
        <f>+VLOOKUP(C100,'PRECIOS IDU 2025'!$A$1:$E$3189,4,FALSE)</f>
        <v>5591</v>
      </c>
      <c r="I100" s="69">
        <f t="shared" si="78"/>
        <v>7268</v>
      </c>
      <c r="J100" s="69">
        <f t="shared" si="79"/>
        <v>0</v>
      </c>
      <c r="K100" s="9"/>
      <c r="L100" s="3"/>
      <c r="M100" s="76"/>
      <c r="N100" s="78"/>
      <c r="O100" s="76"/>
      <c r="P100" s="78"/>
      <c r="Q100" s="76"/>
      <c r="R100" s="78"/>
      <c r="S100" s="76"/>
      <c r="T100" s="78"/>
      <c r="U100" s="76"/>
      <c r="V100" s="78"/>
      <c r="W100" s="76"/>
      <c r="X100" s="78"/>
    </row>
    <row r="101" spans="1:24"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60">
        <f t="shared" si="77"/>
        <v>0</v>
      </c>
      <c r="H101" s="69">
        <f>+VLOOKUP(C101,'PRECIOS IDU 2025'!$A$1:$E$3189,4,FALSE)</f>
        <v>8404</v>
      </c>
      <c r="I101" s="69">
        <f t="shared" si="78"/>
        <v>10925</v>
      </c>
      <c r="J101" s="69">
        <f t="shared" si="79"/>
        <v>0</v>
      </c>
      <c r="K101" s="9"/>
      <c r="L101" s="3"/>
      <c r="M101" s="76"/>
      <c r="N101" s="78"/>
      <c r="O101" s="76"/>
      <c r="P101" s="78"/>
      <c r="Q101" s="76"/>
      <c r="R101" s="78"/>
      <c r="S101" s="76"/>
      <c r="T101" s="78"/>
      <c r="U101" s="76"/>
      <c r="V101" s="78"/>
      <c r="W101" s="76"/>
      <c r="X101" s="78">
        <f t="shared" ref="X101" si="93">+ROUND(W101*$I101,0)</f>
        <v>0</v>
      </c>
    </row>
    <row r="102" spans="1:24"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60">
        <f t="shared" si="77"/>
        <v>0</v>
      </c>
      <c r="H102" s="69">
        <f>+VLOOKUP(C102,'PRECIOS IDU 2025'!$A$1:$E$3189,4,FALSE)</f>
        <v>7882</v>
      </c>
      <c r="I102" s="69">
        <f t="shared" si="78"/>
        <v>10247</v>
      </c>
      <c r="J102" s="69">
        <f t="shared" si="79"/>
        <v>0</v>
      </c>
      <c r="K102" s="9"/>
      <c r="L102" s="3"/>
      <c r="M102" s="76"/>
      <c r="N102" s="78"/>
      <c r="O102" s="76"/>
      <c r="P102" s="78"/>
      <c r="Q102" s="76"/>
      <c r="R102" s="78"/>
      <c r="S102" s="76"/>
      <c r="T102" s="78"/>
      <c r="U102" s="76"/>
      <c r="V102" s="78"/>
      <c r="W102" s="76"/>
      <c r="X102" s="78">
        <f t="shared" ref="X102" si="94">+ROUND(W102*$I102,0)</f>
        <v>0</v>
      </c>
    </row>
    <row r="103" spans="1:24"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60">
        <f t="shared" si="77"/>
        <v>0</v>
      </c>
      <c r="H103" s="69">
        <f>+VLOOKUP(C103,'PRECIOS IDU 2025'!$A$1:$E$3189,4,FALSE)</f>
        <v>7882</v>
      </c>
      <c r="I103" s="69">
        <f t="shared" si="78"/>
        <v>10247</v>
      </c>
      <c r="J103" s="69">
        <f t="shared" si="79"/>
        <v>0</v>
      </c>
      <c r="K103" s="9"/>
      <c r="L103" s="3"/>
      <c r="M103" s="76"/>
      <c r="N103" s="78"/>
      <c r="O103" s="76"/>
      <c r="P103" s="78"/>
      <c r="Q103" s="76"/>
      <c r="R103" s="78"/>
      <c r="S103" s="76"/>
      <c r="T103" s="78"/>
      <c r="U103" s="76"/>
      <c r="V103" s="78"/>
      <c r="W103" s="76"/>
      <c r="X103" s="78">
        <f t="shared" ref="X103" si="95">+ROUND(W103*$I103,0)</f>
        <v>0</v>
      </c>
    </row>
    <row r="104" spans="1:24"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60">
        <f t="shared" si="77"/>
        <v>0</v>
      </c>
      <c r="H104" s="69">
        <f>+VLOOKUP(C104,'PRECIOS IDU 2025'!$A$1:$E$3189,4,FALSE)</f>
        <v>875661</v>
      </c>
      <c r="I104" s="69">
        <f t="shared" si="78"/>
        <v>1138359</v>
      </c>
      <c r="J104" s="69">
        <f t="shared" si="79"/>
        <v>0</v>
      </c>
      <c r="K104" s="9"/>
      <c r="L104" s="3"/>
      <c r="M104" s="76"/>
      <c r="N104" s="78"/>
      <c r="O104" s="76"/>
      <c r="P104" s="78"/>
      <c r="Q104" s="76"/>
      <c r="R104" s="78"/>
      <c r="S104" s="76"/>
      <c r="T104" s="78"/>
      <c r="U104" s="76"/>
      <c r="V104" s="78"/>
      <c r="W104" s="76"/>
      <c r="X104" s="78">
        <f t="shared" ref="X104" si="96">+ROUND(W104*$I104,0)</f>
        <v>0</v>
      </c>
    </row>
    <row r="105" spans="1:24"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60">
        <f t="shared" si="77"/>
        <v>0</v>
      </c>
      <c r="H105" s="69">
        <f>+VLOOKUP(C105,'PRECIOS IDU 2025'!$A$1:$E$3189,4,FALSE)</f>
        <v>890453</v>
      </c>
      <c r="I105" s="69">
        <f t="shared" si="78"/>
        <v>1157589</v>
      </c>
      <c r="J105" s="69">
        <f t="shared" si="79"/>
        <v>0</v>
      </c>
      <c r="K105" s="9"/>
      <c r="L105" s="3"/>
      <c r="M105" s="76"/>
      <c r="N105" s="78"/>
      <c r="O105" s="76"/>
      <c r="P105" s="78"/>
      <c r="Q105" s="76"/>
      <c r="R105" s="78"/>
      <c r="S105" s="76"/>
      <c r="T105" s="78"/>
      <c r="U105" s="76"/>
      <c r="V105" s="78"/>
      <c r="W105" s="76"/>
      <c r="X105" s="78">
        <f t="shared" ref="X105" si="97">+ROUND(W105*$I105,0)</f>
        <v>0</v>
      </c>
    </row>
    <row r="106" spans="1:24"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60">
        <f t="shared" si="77"/>
        <v>0</v>
      </c>
      <c r="H106" s="69">
        <f>+VLOOKUP(C106,'PRECIOS IDU 2025'!$A$1:$E$3189,4,FALSE)</f>
        <v>2554</v>
      </c>
      <c r="I106" s="69">
        <f t="shared" si="78"/>
        <v>3320</v>
      </c>
      <c r="J106" s="69">
        <f t="shared" si="79"/>
        <v>0</v>
      </c>
      <c r="K106" s="9"/>
      <c r="L106" s="3"/>
      <c r="M106" s="76"/>
      <c r="N106" s="78"/>
      <c r="O106" s="76"/>
      <c r="P106" s="78"/>
      <c r="Q106" s="76"/>
      <c r="R106" s="78"/>
      <c r="S106" s="76"/>
      <c r="T106" s="78"/>
      <c r="U106" s="76"/>
      <c r="V106" s="78"/>
      <c r="W106" s="76"/>
      <c r="X106" s="78">
        <f t="shared" ref="X106" si="98">+ROUND(W106*$I106,0)</f>
        <v>0</v>
      </c>
    </row>
    <row r="107" spans="1:24"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60">
        <f t="shared" si="77"/>
        <v>0</v>
      </c>
      <c r="H107" s="69">
        <f>+VLOOKUP(C107,'PRECIOS IDU 2025'!$A$1:$E$3189,4,FALSE)</f>
        <v>13778</v>
      </c>
      <c r="I107" s="69">
        <f t="shared" si="78"/>
        <v>17911</v>
      </c>
      <c r="J107" s="69">
        <f t="shared" si="79"/>
        <v>0</v>
      </c>
      <c r="K107" s="9"/>
      <c r="L107" s="3"/>
      <c r="M107" s="76"/>
      <c r="N107" s="78"/>
      <c r="O107" s="76"/>
      <c r="P107" s="78"/>
      <c r="Q107" s="76"/>
      <c r="R107" s="78"/>
      <c r="S107" s="76"/>
      <c r="T107" s="78"/>
      <c r="U107" s="76"/>
      <c r="V107" s="78"/>
      <c r="W107" s="76"/>
      <c r="X107" s="78">
        <f t="shared" ref="X107" si="99">+ROUND(W107*$I107,0)</f>
        <v>0</v>
      </c>
    </row>
    <row r="108" spans="1:24"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60">
        <f t="shared" si="77"/>
        <v>0</v>
      </c>
      <c r="H108" s="69">
        <f>+VLOOKUP(C108,'PRECIOS IDU 2025'!$A$1:$E$3189,4,FALSE)</f>
        <v>10578</v>
      </c>
      <c r="I108" s="69">
        <f t="shared" si="78"/>
        <v>13751</v>
      </c>
      <c r="J108" s="69">
        <f t="shared" si="79"/>
        <v>0</v>
      </c>
      <c r="K108" s="9"/>
      <c r="L108" s="3"/>
      <c r="M108" s="76"/>
      <c r="N108" s="78"/>
      <c r="O108" s="76"/>
      <c r="P108" s="78"/>
      <c r="Q108" s="76"/>
      <c r="R108" s="78"/>
      <c r="S108" s="76"/>
      <c r="T108" s="78"/>
      <c r="U108" s="76"/>
      <c r="V108" s="78"/>
      <c r="W108" s="76"/>
      <c r="X108" s="78">
        <f t="shared" ref="X108" si="100">+ROUND(W108*$I108,0)</f>
        <v>0</v>
      </c>
    </row>
    <row r="109" spans="1:24"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60">
        <f t="shared" si="77"/>
        <v>0</v>
      </c>
      <c r="H109" s="69">
        <f>+VLOOKUP(C109,'PRECIOS IDU 2025'!$A$1:$E$3189,4,FALSE)</f>
        <v>104695</v>
      </c>
      <c r="I109" s="69">
        <f t="shared" si="78"/>
        <v>136104</v>
      </c>
      <c r="J109" s="69">
        <f t="shared" si="79"/>
        <v>0</v>
      </c>
      <c r="K109" s="9"/>
      <c r="L109" s="3"/>
      <c r="M109" s="76"/>
      <c r="N109" s="78"/>
      <c r="O109" s="76"/>
      <c r="P109" s="78"/>
      <c r="Q109" s="76"/>
      <c r="R109" s="78"/>
      <c r="S109" s="76"/>
      <c r="T109" s="78"/>
      <c r="U109" s="76"/>
      <c r="V109" s="78"/>
      <c r="W109" s="76"/>
      <c r="X109" s="78">
        <f t="shared" ref="X109" si="101">+ROUND(W109*$I109,0)</f>
        <v>0</v>
      </c>
    </row>
    <row r="110" spans="1:24"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60">
        <f t="shared" si="77"/>
        <v>0</v>
      </c>
      <c r="H110" s="69">
        <f>+VLOOKUP(C110,'PRECIOS IDU 2025'!$A$1:$E$3189,4,FALSE)</f>
        <v>104695</v>
      </c>
      <c r="I110" s="69">
        <f t="shared" si="78"/>
        <v>136104</v>
      </c>
      <c r="J110" s="69">
        <f t="shared" si="79"/>
        <v>0</v>
      </c>
      <c r="K110" s="9"/>
      <c r="L110" s="3"/>
      <c r="M110" s="76"/>
      <c r="N110" s="78"/>
      <c r="O110" s="76"/>
      <c r="P110" s="78"/>
      <c r="Q110" s="76"/>
      <c r="R110" s="78"/>
      <c r="S110" s="76"/>
      <c r="T110" s="78"/>
      <c r="U110" s="76"/>
      <c r="V110" s="78"/>
      <c r="W110" s="76"/>
      <c r="X110" s="78">
        <f t="shared" ref="X110" si="102">+ROUND(W110*$I110,0)</f>
        <v>0</v>
      </c>
    </row>
    <row r="111" spans="1:24" ht="30" customHeight="1" x14ac:dyDescent="0.3">
      <c r="A111" s="3"/>
      <c r="B111" s="8"/>
      <c r="C111" s="66" t="s">
        <v>6080</v>
      </c>
      <c r="D111" s="67"/>
      <c r="E111" s="67"/>
      <c r="F111" s="67"/>
      <c r="G111" s="67"/>
      <c r="H111" s="67"/>
      <c r="I111" s="67"/>
      <c r="J111" s="68"/>
      <c r="K111" s="9"/>
      <c r="L111" s="3"/>
      <c r="M111" s="76"/>
      <c r="N111" s="78"/>
      <c r="O111" s="76"/>
      <c r="P111" s="78"/>
      <c r="Q111" s="76"/>
      <c r="R111" s="78"/>
      <c r="S111" s="76"/>
      <c r="T111" s="78"/>
      <c r="U111" s="76"/>
      <c r="V111" s="78"/>
      <c r="W111" s="76"/>
      <c r="X111" s="78">
        <f t="shared" ref="X111" si="103">+ROUND(W111*$I111,0)</f>
        <v>0</v>
      </c>
    </row>
    <row r="112" spans="1:24"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60">
        <f t="shared" ref="G112:G128" si="104">+ROUND(M112+O112+Q112+S112+U112+W112,2)</f>
        <v>220.2</v>
      </c>
      <c r="H112" s="69">
        <f>+VLOOKUP(C112,'PRECIOS IDU 2025'!$A$1:$E$3189,4,FALSE)</f>
        <v>8262</v>
      </c>
      <c r="I112" s="69">
        <f t="shared" ref="I112:I128" si="105">+ROUND(H112*(1+$J$192),0)</f>
        <v>10741</v>
      </c>
      <c r="J112" s="69">
        <f t="shared" ref="J112:J128" si="106">+ROUND(I112*G112,0)</f>
        <v>2365168</v>
      </c>
      <c r="K112" s="9"/>
      <c r="L112" s="3"/>
      <c r="M112" s="76"/>
      <c r="N112" s="78"/>
      <c r="O112" s="76"/>
      <c r="P112" s="78"/>
      <c r="Q112" s="76"/>
      <c r="R112" s="78"/>
      <c r="S112" s="76"/>
      <c r="T112" s="78"/>
      <c r="U112" s="76"/>
      <c r="V112" s="78"/>
      <c r="W112" s="76">
        <f>+W11*1*2</f>
        <v>220.2</v>
      </c>
      <c r="X112" s="78">
        <f t="shared" ref="X112" si="107">+ROUND(W112*$I112,0)</f>
        <v>2365168</v>
      </c>
    </row>
    <row r="113" spans="1:24"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60">
        <f t="shared" si="104"/>
        <v>220.2</v>
      </c>
      <c r="H113" s="69">
        <f>+VLOOKUP(C113,'PRECIOS IDU 2025'!$A$1:$E$3189,4,FALSE)</f>
        <v>6417</v>
      </c>
      <c r="I113" s="69">
        <f t="shared" si="105"/>
        <v>8342</v>
      </c>
      <c r="J113" s="69">
        <f t="shared" si="106"/>
        <v>1836908</v>
      </c>
      <c r="K113" s="9"/>
      <c r="L113" s="3"/>
      <c r="M113" s="76"/>
      <c r="N113" s="78"/>
      <c r="O113" s="76"/>
      <c r="P113" s="78"/>
      <c r="Q113" s="76"/>
      <c r="R113" s="78"/>
      <c r="S113" s="76"/>
      <c r="T113" s="78"/>
      <c r="U113" s="76"/>
      <c r="V113" s="78"/>
      <c r="W113" s="76">
        <f>+W11*2</f>
        <v>220.2</v>
      </c>
      <c r="X113" s="78">
        <f t="shared" ref="X113" si="108">+ROUND(W113*$I113,0)</f>
        <v>1836908</v>
      </c>
    </row>
    <row r="114" spans="1:24"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60">
        <f t="shared" si="104"/>
        <v>60.56</v>
      </c>
      <c r="H114" s="69">
        <f>+VLOOKUP(C114,'PRECIOS IDU 2025'!$A$1:$E$3189,4,FALSE)</f>
        <v>46379</v>
      </c>
      <c r="I114" s="69">
        <f t="shared" si="105"/>
        <v>60293</v>
      </c>
      <c r="J114" s="69">
        <f t="shared" si="106"/>
        <v>3651344</v>
      </c>
      <c r="K114" s="9"/>
      <c r="L114" s="3"/>
      <c r="M114" s="76"/>
      <c r="N114" s="78"/>
      <c r="O114" s="76"/>
      <c r="P114" s="78"/>
      <c r="Q114" s="76"/>
      <c r="R114" s="78"/>
      <c r="S114" s="76"/>
      <c r="T114" s="78"/>
      <c r="U114" s="76"/>
      <c r="V114" s="78"/>
      <c r="W114" s="76">
        <f>+W11*1*SUM($R$3:$T$3)</f>
        <v>60.555</v>
      </c>
      <c r="X114" s="78">
        <f t="shared" ref="X114" si="109">+ROUND(W114*$I114,0)</f>
        <v>3651043</v>
      </c>
    </row>
    <row r="115" spans="1:24"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60">
        <f t="shared" si="104"/>
        <v>107.35</v>
      </c>
      <c r="H115" s="69">
        <f>+VLOOKUP(C115,'PRECIOS IDU 2025'!$A$1:$E$3189,4,FALSE)</f>
        <v>45600</v>
      </c>
      <c r="I115" s="69">
        <f t="shared" si="105"/>
        <v>59280</v>
      </c>
      <c r="J115" s="69">
        <f t="shared" si="106"/>
        <v>6363708</v>
      </c>
      <c r="K115" s="9"/>
      <c r="L115" s="3"/>
      <c r="M115" s="76"/>
      <c r="N115" s="78"/>
      <c r="O115" s="76"/>
      <c r="P115" s="78"/>
      <c r="Q115" s="76"/>
      <c r="R115" s="78"/>
      <c r="S115" s="76"/>
      <c r="T115" s="78"/>
      <c r="U115" s="76"/>
      <c r="V115" s="78"/>
      <c r="W115" s="76">
        <f>+(W114+W112*0.1)*1.3</f>
        <v>107.34750000000001</v>
      </c>
      <c r="X115" s="78">
        <f t="shared" ref="X115" si="110">+ROUND(W115*$I115,0)</f>
        <v>6363560</v>
      </c>
    </row>
    <row r="116" spans="1:24"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60">
        <f t="shared" si="104"/>
        <v>23.12</v>
      </c>
      <c r="H116" s="69">
        <f>+VLOOKUP(C116,'PRECIOS IDU 2025'!$A$1:$E$3189,4,FALSE)</f>
        <v>167049</v>
      </c>
      <c r="I116" s="69">
        <f t="shared" si="105"/>
        <v>217164</v>
      </c>
      <c r="J116" s="69">
        <f t="shared" si="106"/>
        <v>5020832</v>
      </c>
      <c r="K116" s="9"/>
      <c r="L116" s="3"/>
      <c r="M116" s="76"/>
      <c r="N116" s="78"/>
      <c r="O116" s="76"/>
      <c r="P116" s="78"/>
      <c r="Q116" s="76"/>
      <c r="R116" s="78"/>
      <c r="S116" s="76"/>
      <c r="T116" s="78"/>
      <c r="U116" s="76"/>
      <c r="V116" s="78"/>
      <c r="W116" s="76">
        <f>+W11*1*2*$S$3*0.7</f>
        <v>23.120999999999995</v>
      </c>
      <c r="X116" s="78">
        <f t="shared" ref="X116" si="111">+ROUND(W116*$I116,0)</f>
        <v>5021049</v>
      </c>
    </row>
    <row r="117" spans="1:24"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60">
        <f t="shared" si="104"/>
        <v>9.91</v>
      </c>
      <c r="H117" s="69">
        <f>+VLOOKUP(C117,'PRECIOS IDU 2025'!$A$1:$E$3189,4,FALSE)</f>
        <v>162047</v>
      </c>
      <c r="I117" s="69">
        <f t="shared" si="105"/>
        <v>210661</v>
      </c>
      <c r="J117" s="69">
        <f t="shared" si="106"/>
        <v>2087651</v>
      </c>
      <c r="K117" s="9"/>
      <c r="L117" s="3"/>
      <c r="M117" s="76"/>
      <c r="N117" s="78"/>
      <c r="O117" s="76"/>
      <c r="P117" s="78"/>
      <c r="Q117" s="76"/>
      <c r="R117" s="78"/>
      <c r="S117" s="76"/>
      <c r="T117" s="78"/>
      <c r="U117" s="76"/>
      <c r="V117" s="78"/>
      <c r="W117" s="76">
        <f>+W11*1*2*$S$3*0.3</f>
        <v>9.9089999999999971</v>
      </c>
      <c r="X117" s="78">
        <f t="shared" ref="X117" si="112">+ROUND(W117*$I117,0)</f>
        <v>2087440</v>
      </c>
    </row>
    <row r="118" spans="1:24"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60">
        <f t="shared" si="104"/>
        <v>90.94</v>
      </c>
      <c r="H118" s="69">
        <f>+VLOOKUP(C118,'PRECIOS IDU 2025'!$A$1:$E$3189,4,FALSE)</f>
        <v>83828</v>
      </c>
      <c r="I118" s="69">
        <f t="shared" si="105"/>
        <v>108976</v>
      </c>
      <c r="J118" s="69">
        <f t="shared" si="106"/>
        <v>9910277</v>
      </c>
      <c r="K118" s="9"/>
      <c r="L118" s="3"/>
      <c r="M118" s="76"/>
      <c r="N118" s="78"/>
      <c r="O118" s="76"/>
      <c r="P118" s="78"/>
      <c r="Q118" s="76"/>
      <c r="R118" s="78"/>
      <c r="S118" s="76"/>
      <c r="T118" s="78"/>
      <c r="U118" s="76"/>
      <c r="V118" s="78"/>
      <c r="W118" s="76">
        <f>+W13*$R$3</f>
        <v>90.942999999999998</v>
      </c>
      <c r="X118" s="78">
        <f t="shared" ref="X118" si="113">+ROUND(W118*$I118,0)</f>
        <v>9910604</v>
      </c>
    </row>
    <row r="119" spans="1:24"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60">
        <f t="shared" si="104"/>
        <v>293.75</v>
      </c>
      <c r="H119" s="69">
        <f>+VLOOKUP(C119,'PRECIOS IDU 2025'!$A$1:$E$3189,4,FALSE)</f>
        <v>7346</v>
      </c>
      <c r="I119" s="69">
        <f t="shared" si="105"/>
        <v>9550</v>
      </c>
      <c r="J119" s="69">
        <f t="shared" si="106"/>
        <v>2805313</v>
      </c>
      <c r="K119" s="9"/>
      <c r="L119" s="3"/>
      <c r="M119" s="76"/>
      <c r="N119" s="78"/>
      <c r="O119" s="76"/>
      <c r="P119" s="78"/>
      <c r="Q119" s="76"/>
      <c r="R119" s="78"/>
      <c r="S119" s="76"/>
      <c r="T119" s="78"/>
      <c r="U119" s="76"/>
      <c r="V119" s="78"/>
      <c r="W119" s="76">
        <f>1.334*W11*1*2</f>
        <v>293.74680000000001</v>
      </c>
      <c r="X119" s="78">
        <f t="shared" ref="X119" si="114">+ROUND(W119*$I119,0)</f>
        <v>2805282</v>
      </c>
    </row>
    <row r="120" spans="1:24"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60">
        <f t="shared" si="104"/>
        <v>66.06</v>
      </c>
      <c r="H120" s="69">
        <f>+VLOOKUP(C120,'PRECIOS IDU 2025'!$A$1:$E$3189,4,FALSE)</f>
        <v>184030</v>
      </c>
      <c r="I120" s="69">
        <f t="shared" si="105"/>
        <v>239239</v>
      </c>
      <c r="J120" s="69">
        <f t="shared" si="106"/>
        <v>15804128</v>
      </c>
      <c r="K120" s="9"/>
      <c r="L120" s="3"/>
      <c r="M120" s="76"/>
      <c r="N120" s="78"/>
      <c r="O120" s="76"/>
      <c r="P120" s="78"/>
      <c r="Q120" s="76"/>
      <c r="R120" s="78"/>
      <c r="S120" s="76"/>
      <c r="T120" s="78"/>
      <c r="U120" s="76"/>
      <c r="V120" s="78"/>
      <c r="W120" s="76">
        <f>+W11*1*2*$T$3</f>
        <v>66.059999999999988</v>
      </c>
      <c r="X120" s="78">
        <f t="shared" ref="X120" si="115">+ROUND(W120*$I120,0)</f>
        <v>15804128</v>
      </c>
    </row>
    <row r="121" spans="1:24"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60">
        <f t="shared" si="104"/>
        <v>22</v>
      </c>
      <c r="H121" s="69">
        <f>+VLOOKUP(C121,'PRECIOS IDU 2025'!$A$1:$E$3189,4,FALSE)</f>
        <v>966133</v>
      </c>
      <c r="I121" s="69">
        <f t="shared" si="105"/>
        <v>1255973</v>
      </c>
      <c r="J121" s="69">
        <f t="shared" si="106"/>
        <v>27631406</v>
      </c>
      <c r="K121" s="9"/>
      <c r="L121" s="3"/>
      <c r="M121" s="76"/>
      <c r="N121" s="78"/>
      <c r="O121" s="76"/>
      <c r="P121" s="78"/>
      <c r="Q121" s="76"/>
      <c r="R121" s="78"/>
      <c r="S121" s="76"/>
      <c r="T121" s="78"/>
      <c r="U121" s="76"/>
      <c r="V121" s="78"/>
      <c r="W121" s="76">
        <f>+ROUND(W11*2/5*0.5,0)</f>
        <v>22</v>
      </c>
      <c r="X121" s="78">
        <f t="shared" ref="X121" si="116">+ROUND(W121*$I121,0)</f>
        <v>27631406</v>
      </c>
    </row>
    <row r="122" spans="1:24"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60">
        <f t="shared" si="104"/>
        <v>154.13999999999999</v>
      </c>
      <c r="H122" s="69">
        <f>+VLOOKUP(C122,'PRECIOS IDU 2025'!$A$1:$E$3189,4,FALSE)</f>
        <v>62386</v>
      </c>
      <c r="I122" s="69">
        <f t="shared" si="105"/>
        <v>81102</v>
      </c>
      <c r="J122" s="69">
        <f t="shared" si="106"/>
        <v>12501062</v>
      </c>
      <c r="K122" s="9"/>
      <c r="L122" s="3"/>
      <c r="M122" s="76"/>
      <c r="N122" s="78"/>
      <c r="O122" s="76"/>
      <c r="P122" s="78"/>
      <c r="Q122" s="76"/>
      <c r="R122" s="78"/>
      <c r="S122" s="76"/>
      <c r="T122" s="78"/>
      <c r="U122" s="76"/>
      <c r="V122" s="78"/>
      <c r="W122" s="76">
        <f>+(W11*2-W156)*0.7</f>
        <v>154.13999999999999</v>
      </c>
      <c r="X122" s="78">
        <f t="shared" ref="X122" si="117">+ROUND(W122*$I122,0)</f>
        <v>12501062</v>
      </c>
    </row>
    <row r="123" spans="1:24"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60">
        <f t="shared" si="104"/>
        <v>44.04</v>
      </c>
      <c r="H123" s="69">
        <f>+VLOOKUP(C123,'PRECIOS IDU 2025'!$A$1:$E$3189,4,FALSE)</f>
        <v>82015</v>
      </c>
      <c r="I123" s="69">
        <f t="shared" si="105"/>
        <v>106620</v>
      </c>
      <c r="J123" s="69">
        <f t="shared" si="106"/>
        <v>4695545</v>
      </c>
      <c r="K123" s="9"/>
      <c r="L123" s="3"/>
      <c r="M123" s="76"/>
      <c r="N123" s="78"/>
      <c r="O123" s="76"/>
      <c r="P123" s="78"/>
      <c r="Q123" s="76"/>
      <c r="R123" s="78"/>
      <c r="S123" s="76"/>
      <c r="T123" s="78"/>
      <c r="U123" s="76"/>
      <c r="V123" s="78"/>
      <c r="W123" s="76">
        <f>+(W11*2-W156)*0.2</f>
        <v>44.04</v>
      </c>
      <c r="X123" s="78">
        <f t="shared" ref="X123" si="118">+ROUND(W123*$I123,0)</f>
        <v>4695545</v>
      </c>
    </row>
    <row r="124" spans="1:24"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60">
        <f t="shared" si="104"/>
        <v>22.02</v>
      </c>
      <c r="H124" s="69">
        <f>+VLOOKUP(C124,'PRECIOS IDU 2025'!$A$1:$E$3189,4,FALSE)</f>
        <v>69041</v>
      </c>
      <c r="I124" s="69">
        <f t="shared" si="105"/>
        <v>89753</v>
      </c>
      <c r="J124" s="69">
        <f t="shared" si="106"/>
        <v>1976361</v>
      </c>
      <c r="K124" s="9"/>
      <c r="L124" s="3"/>
      <c r="M124" s="76"/>
      <c r="N124" s="78"/>
      <c r="O124" s="76"/>
      <c r="P124" s="78"/>
      <c r="Q124" s="76"/>
      <c r="R124" s="78"/>
      <c r="S124" s="76"/>
      <c r="T124" s="78"/>
      <c r="U124" s="76"/>
      <c r="V124" s="78"/>
      <c r="W124" s="76">
        <f>+(W11*2-W156)*0.1</f>
        <v>22.02</v>
      </c>
      <c r="X124" s="78">
        <f t="shared" ref="X124" si="119">+ROUND(W124*$I124,0)</f>
        <v>1976361</v>
      </c>
    </row>
    <row r="125" spans="1:24"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60">
        <f t="shared" si="104"/>
        <v>220.2</v>
      </c>
      <c r="H125" s="69">
        <f>+VLOOKUP(C125,'PRECIOS IDU 2025'!$A$1:$E$3189,4,FALSE)</f>
        <v>2560</v>
      </c>
      <c r="I125" s="69">
        <f t="shared" si="105"/>
        <v>3328</v>
      </c>
      <c r="J125" s="69">
        <f t="shared" si="106"/>
        <v>732826</v>
      </c>
      <c r="K125" s="9"/>
      <c r="L125" s="3"/>
      <c r="M125" s="76"/>
      <c r="N125" s="78"/>
      <c r="O125" s="76"/>
      <c r="P125" s="78"/>
      <c r="Q125" s="76"/>
      <c r="R125" s="78"/>
      <c r="S125" s="76"/>
      <c r="T125" s="78"/>
      <c r="U125" s="76"/>
      <c r="V125" s="78"/>
      <c r="W125" s="76">
        <f>+W11*1*2</f>
        <v>220.2</v>
      </c>
      <c r="X125" s="78">
        <f t="shared" ref="X125" si="120">+ROUND(W125*$I125,0)</f>
        <v>732826</v>
      </c>
    </row>
    <row r="126" spans="1:24"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60">
        <f t="shared" si="104"/>
        <v>44</v>
      </c>
      <c r="H126" s="69">
        <f>+VLOOKUP(C126,'PRECIOS IDU 2025'!$A$1:$E$3189,4,FALSE)</f>
        <v>738210</v>
      </c>
      <c r="I126" s="69">
        <f t="shared" si="105"/>
        <v>959673</v>
      </c>
      <c r="J126" s="69">
        <f t="shared" si="106"/>
        <v>42225612</v>
      </c>
      <c r="K126" s="9"/>
      <c r="L126" s="3"/>
      <c r="M126" s="76"/>
      <c r="N126" s="78"/>
      <c r="O126" s="76"/>
      <c r="P126" s="78"/>
      <c r="Q126" s="76"/>
      <c r="R126" s="78"/>
      <c r="S126" s="76"/>
      <c r="T126" s="78"/>
      <c r="U126" s="76"/>
      <c r="V126" s="78"/>
      <c r="W126" s="76">
        <f>+W121*2</f>
        <v>44</v>
      </c>
      <c r="X126" s="78">
        <f t="shared" ref="X126" si="121">+ROUND(W126*$I126,0)</f>
        <v>42225612</v>
      </c>
    </row>
    <row r="127" spans="1:24"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60">
        <f t="shared" si="104"/>
        <v>110</v>
      </c>
      <c r="H127" s="69">
        <f>+VLOOKUP(C127,'PRECIOS IDU 2025'!$A$1:$E$3189,4,FALSE)</f>
        <v>63798</v>
      </c>
      <c r="I127" s="69">
        <f t="shared" si="105"/>
        <v>82937</v>
      </c>
      <c r="J127" s="69">
        <f t="shared" si="106"/>
        <v>9123070</v>
      </c>
      <c r="K127" s="9"/>
      <c r="L127" s="3"/>
      <c r="M127" s="76"/>
      <c r="N127" s="78"/>
      <c r="O127" s="76"/>
      <c r="P127" s="78"/>
      <c r="Q127" s="76"/>
      <c r="R127" s="78"/>
      <c r="S127" s="76"/>
      <c r="T127" s="78"/>
      <c r="U127" s="76"/>
      <c r="V127" s="78"/>
      <c r="W127" s="76">
        <f>+W121*5</f>
        <v>110</v>
      </c>
      <c r="X127" s="78">
        <f t="shared" ref="X127" si="122">+ROUND(W127*$I127,0)</f>
        <v>9123070</v>
      </c>
    </row>
    <row r="128" spans="1:24"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60">
        <f t="shared" si="104"/>
        <v>44.04</v>
      </c>
      <c r="H128" s="69">
        <f>+VLOOKUP(C128,'PRECIOS IDU 2025'!$A$1:$E$3189,4,FALSE)</f>
        <v>112423</v>
      </c>
      <c r="I128" s="69">
        <f t="shared" si="105"/>
        <v>146150</v>
      </c>
      <c r="J128" s="69">
        <f t="shared" si="106"/>
        <v>6436446</v>
      </c>
      <c r="K128" s="9"/>
      <c r="L128" s="3"/>
      <c r="M128" s="76"/>
      <c r="N128" s="78"/>
      <c r="O128" s="76"/>
      <c r="P128" s="78"/>
      <c r="Q128" s="76"/>
      <c r="R128" s="78"/>
      <c r="S128" s="76"/>
      <c r="T128" s="78"/>
      <c r="U128" s="76"/>
      <c r="V128" s="78"/>
      <c r="W128" s="76">
        <f>0.2*W11*2</f>
        <v>44.04</v>
      </c>
      <c r="X128" s="78">
        <f t="shared" ref="X128" si="123">+ROUND(W128*$I128,0)</f>
        <v>6436446</v>
      </c>
    </row>
    <row r="129" spans="1:24" ht="30" customHeight="1" x14ac:dyDescent="0.3">
      <c r="A129" s="3"/>
      <c r="B129" s="8"/>
      <c r="C129" s="66" t="s">
        <v>6081</v>
      </c>
      <c r="D129" s="67"/>
      <c r="E129" s="67"/>
      <c r="F129" s="67"/>
      <c r="G129" s="67"/>
      <c r="H129" s="67"/>
      <c r="I129" s="67"/>
      <c r="J129" s="68"/>
      <c r="K129" s="9"/>
      <c r="L129" s="3"/>
      <c r="M129" s="76"/>
      <c r="N129" s="78"/>
      <c r="O129" s="76"/>
      <c r="P129" s="78"/>
      <c r="Q129" s="76"/>
      <c r="R129" s="78"/>
      <c r="S129" s="76"/>
      <c r="T129" s="78"/>
      <c r="U129" s="76"/>
      <c r="V129" s="78"/>
      <c r="W129" s="76"/>
      <c r="X129" s="78">
        <f t="shared" ref="X129" si="124">+ROUND(W129*$I129,0)</f>
        <v>0</v>
      </c>
    </row>
    <row r="130" spans="1:24"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60">
        <f t="shared" ref="G130:G163" si="125">+ROUND(M130+O130+Q130+S130+U130+W130,2)</f>
        <v>105.7</v>
      </c>
      <c r="H130" s="69">
        <f>+VLOOKUP(C130,'PRECIOS IDU 2025'!$A$1:$E$3189,4,FALSE)</f>
        <v>46379</v>
      </c>
      <c r="I130" s="69">
        <f t="shared" ref="I130:I163" si="126">+ROUND(H130*(1+$J$192),0)</f>
        <v>60293</v>
      </c>
      <c r="J130" s="69">
        <f t="shared" ref="J130:J163" si="127">+ROUND(I130*G130,0)</f>
        <v>6372970</v>
      </c>
      <c r="K130" s="9"/>
      <c r="L130" s="3"/>
      <c r="M130" s="76"/>
      <c r="N130" s="78"/>
      <c r="O130" s="76"/>
      <c r="P130" s="78"/>
      <c r="Q130" s="76"/>
      <c r="R130" s="78"/>
      <c r="S130" s="76"/>
      <c r="T130" s="78"/>
      <c r="U130" s="76"/>
      <c r="V130" s="78"/>
      <c r="W130" s="76">
        <f>+W11*0.6*0.8*2</f>
        <v>105.69599999999998</v>
      </c>
      <c r="X130" s="78">
        <f t="shared" ref="X130" si="128">+ROUND(W130*$I130,0)</f>
        <v>6372729</v>
      </c>
    </row>
    <row r="131" spans="1:24"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60">
        <f t="shared" si="125"/>
        <v>0</v>
      </c>
      <c r="H131" s="69">
        <f>+VLOOKUP(C131,'PRECIOS IDU 2025'!$A$1:$E$3189,4,FALSE)</f>
        <v>268852</v>
      </c>
      <c r="I131" s="69">
        <f t="shared" si="126"/>
        <v>349508</v>
      </c>
      <c r="J131" s="69">
        <f t="shared" si="127"/>
        <v>0</v>
      </c>
      <c r="K131" s="9"/>
      <c r="L131" s="3"/>
      <c r="M131" s="76"/>
      <c r="N131" s="78"/>
      <c r="O131" s="76"/>
      <c r="P131" s="78"/>
      <c r="Q131" s="76"/>
      <c r="R131" s="78"/>
      <c r="S131" s="76"/>
      <c r="T131" s="78"/>
      <c r="U131" s="76"/>
      <c r="V131" s="78"/>
      <c r="W131" s="76"/>
      <c r="X131" s="78">
        <f t="shared" ref="X131" si="129">+ROUND(W131*$I131,0)</f>
        <v>0</v>
      </c>
    </row>
    <row r="132" spans="1:24"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60">
        <f t="shared" si="125"/>
        <v>0</v>
      </c>
      <c r="H132" s="69">
        <f>+VLOOKUP(C132,'PRECIOS IDU 2025'!$A$1:$E$3189,4,FALSE)</f>
        <v>10836</v>
      </c>
      <c r="I132" s="69">
        <f t="shared" si="126"/>
        <v>14087</v>
      </c>
      <c r="J132" s="69">
        <f t="shared" si="127"/>
        <v>0</v>
      </c>
      <c r="K132" s="9"/>
      <c r="L132" s="3"/>
      <c r="M132" s="76"/>
      <c r="N132" s="78"/>
      <c r="O132" s="76"/>
      <c r="P132" s="78"/>
      <c r="Q132" s="76"/>
      <c r="R132" s="78"/>
      <c r="S132" s="76"/>
      <c r="T132" s="78"/>
      <c r="U132" s="76"/>
      <c r="V132" s="78"/>
      <c r="W132" s="76"/>
      <c r="X132" s="78">
        <f t="shared" ref="X132" si="130">+ROUND(W132*$I132,0)</f>
        <v>0</v>
      </c>
    </row>
    <row r="133" spans="1:24"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60">
        <f t="shared" si="125"/>
        <v>2</v>
      </c>
      <c r="H133" s="69">
        <f>+VLOOKUP(C133,'PRECIOS IDU 2025'!$A$1:$E$3189,4,FALSE)</f>
        <v>189054</v>
      </c>
      <c r="I133" s="69">
        <f t="shared" si="126"/>
        <v>245770</v>
      </c>
      <c r="J133" s="69">
        <f t="shared" si="127"/>
        <v>491540</v>
      </c>
      <c r="K133" s="9"/>
      <c r="L133" s="3"/>
      <c r="M133" s="76"/>
      <c r="N133" s="78"/>
      <c r="O133" s="76"/>
      <c r="P133" s="78"/>
      <c r="Q133" s="76"/>
      <c r="R133" s="78"/>
      <c r="S133" s="76"/>
      <c r="T133" s="78"/>
      <c r="U133" s="76"/>
      <c r="V133" s="78"/>
      <c r="W133" s="76">
        <v>2</v>
      </c>
      <c r="X133" s="78">
        <f t="shared" ref="X133" si="131">+ROUND(W133*$I133,0)</f>
        <v>491540</v>
      </c>
    </row>
    <row r="134" spans="1:24"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60">
        <f t="shared" si="125"/>
        <v>137.4</v>
      </c>
      <c r="H134" s="69">
        <f>+VLOOKUP(C134,'PRECIOS IDU 2025'!$A$1:$E$3189,4,FALSE)</f>
        <v>45600</v>
      </c>
      <c r="I134" s="69">
        <f t="shared" si="126"/>
        <v>59280</v>
      </c>
      <c r="J134" s="69">
        <f t="shared" si="127"/>
        <v>8145072</v>
      </c>
      <c r="K134" s="9"/>
      <c r="L134" s="3"/>
      <c r="M134" s="76"/>
      <c r="N134" s="78"/>
      <c r="O134" s="76"/>
      <c r="P134" s="78"/>
      <c r="Q134" s="76"/>
      <c r="R134" s="78"/>
      <c r="S134" s="76"/>
      <c r="T134" s="78"/>
      <c r="U134" s="76"/>
      <c r="V134" s="78"/>
      <c r="W134" s="76">
        <f>+W130*1.3</f>
        <v>137.40479999999999</v>
      </c>
      <c r="X134" s="78">
        <f t="shared" ref="X134" si="132">+ROUND(W134*$I134,0)</f>
        <v>8145357</v>
      </c>
    </row>
    <row r="135" spans="1:24"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60">
        <f t="shared" si="125"/>
        <v>0</v>
      </c>
      <c r="H135" s="69">
        <f>+VLOOKUP(C135,'PRECIOS IDU 2025'!$A$1:$E$3189,4,FALSE)</f>
        <v>58200</v>
      </c>
      <c r="I135" s="69">
        <f t="shared" si="126"/>
        <v>75660</v>
      </c>
      <c r="J135" s="69">
        <f t="shared" si="127"/>
        <v>0</v>
      </c>
      <c r="K135" s="9"/>
      <c r="L135" s="3"/>
      <c r="M135" s="76"/>
      <c r="N135" s="78"/>
      <c r="O135" s="76"/>
      <c r="P135" s="78"/>
      <c r="Q135" s="76"/>
      <c r="R135" s="78"/>
      <c r="S135" s="76"/>
      <c r="T135" s="78"/>
      <c r="U135" s="76"/>
      <c r="V135" s="78"/>
      <c r="W135" s="76"/>
      <c r="X135" s="78">
        <f t="shared" ref="X135" si="133">+ROUND(W135*$I135,0)</f>
        <v>0</v>
      </c>
    </row>
    <row r="136" spans="1:24"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60">
        <f t="shared" si="125"/>
        <v>0</v>
      </c>
      <c r="H136" s="69">
        <f>+VLOOKUP(C136,'PRECIOS IDU 2025'!$A$1:$E$3189,4,FALSE)</f>
        <v>39211</v>
      </c>
      <c r="I136" s="69">
        <f t="shared" si="126"/>
        <v>50974</v>
      </c>
      <c r="J136" s="69">
        <f t="shared" si="127"/>
        <v>0</v>
      </c>
      <c r="K136" s="9"/>
      <c r="L136" s="3"/>
      <c r="M136" s="76"/>
      <c r="N136" s="78"/>
      <c r="O136" s="76"/>
      <c r="P136" s="78"/>
      <c r="Q136" s="76"/>
      <c r="R136" s="78"/>
      <c r="S136" s="76"/>
      <c r="T136" s="78"/>
      <c r="U136" s="76"/>
      <c r="V136" s="78"/>
      <c r="W136" s="76"/>
      <c r="X136" s="78">
        <f t="shared" ref="X136" si="134">+ROUND(W136*$I136,0)</f>
        <v>0</v>
      </c>
    </row>
    <row r="137" spans="1:24"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60">
        <f t="shared" si="125"/>
        <v>26.42</v>
      </c>
      <c r="H137" s="69">
        <f>+VLOOKUP(C137,'PRECIOS IDU 2025'!$A$1:$E$3189,4,FALSE)</f>
        <v>167159</v>
      </c>
      <c r="I137" s="69">
        <f t="shared" si="126"/>
        <v>217307</v>
      </c>
      <c r="J137" s="69">
        <f t="shared" si="127"/>
        <v>5741251</v>
      </c>
      <c r="K137" s="9"/>
      <c r="L137" s="3"/>
      <c r="M137" s="76"/>
      <c r="N137" s="78"/>
      <c r="O137" s="76"/>
      <c r="P137" s="78"/>
      <c r="Q137" s="76"/>
      <c r="R137" s="78"/>
      <c r="S137" s="76"/>
      <c r="T137" s="78"/>
      <c r="U137" s="76"/>
      <c r="V137" s="78"/>
      <c r="W137" s="76">
        <f>+W11*0.6*0.2*2</f>
        <v>26.423999999999996</v>
      </c>
      <c r="X137" s="78">
        <f t="shared" ref="X137" si="135">+ROUND(W137*$I137,0)</f>
        <v>5742120</v>
      </c>
    </row>
    <row r="138" spans="1:24"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60">
        <f t="shared" si="125"/>
        <v>26.42</v>
      </c>
      <c r="H138" s="69">
        <f>+VLOOKUP(C138,'PRECIOS IDU 2025'!$A$1:$E$3189,4,FALSE)</f>
        <v>100367</v>
      </c>
      <c r="I138" s="69">
        <f t="shared" si="126"/>
        <v>130477</v>
      </c>
      <c r="J138" s="69">
        <f t="shared" si="127"/>
        <v>3447202</v>
      </c>
      <c r="K138" s="9"/>
      <c r="L138" s="3"/>
      <c r="M138" s="76"/>
      <c r="N138" s="78"/>
      <c r="O138" s="76"/>
      <c r="P138" s="78"/>
      <c r="Q138" s="76"/>
      <c r="R138" s="78"/>
      <c r="S138" s="76"/>
      <c r="T138" s="78"/>
      <c r="U138" s="76"/>
      <c r="V138" s="78"/>
      <c r="W138" s="76">
        <f>+W11*0.6*0.2*2</f>
        <v>26.423999999999996</v>
      </c>
      <c r="X138" s="78">
        <f t="shared" ref="X138" si="136">+ROUND(W138*$I138,0)</f>
        <v>3447724</v>
      </c>
    </row>
    <row r="139" spans="1:24"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60">
        <f t="shared" si="125"/>
        <v>0</v>
      </c>
      <c r="H139" s="69">
        <f>+VLOOKUP(C139,'PRECIOS IDU 2025'!$A$1:$E$3189,4,FALSE)</f>
        <v>214107</v>
      </c>
      <c r="I139" s="69">
        <f t="shared" si="126"/>
        <v>278339</v>
      </c>
      <c r="J139" s="69">
        <f t="shared" si="127"/>
        <v>0</v>
      </c>
      <c r="K139" s="9"/>
      <c r="L139" s="3"/>
      <c r="M139" s="76"/>
      <c r="N139" s="78"/>
      <c r="O139" s="76"/>
      <c r="P139" s="78"/>
      <c r="Q139" s="76"/>
      <c r="R139" s="78"/>
      <c r="S139" s="76"/>
      <c r="T139" s="78"/>
      <c r="U139" s="76"/>
      <c r="V139" s="78"/>
      <c r="W139" s="76"/>
      <c r="X139" s="78">
        <f t="shared" ref="X139" si="137">+ROUND(W139*$I139,0)</f>
        <v>0</v>
      </c>
    </row>
    <row r="140" spans="1:24"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60">
        <f t="shared" si="125"/>
        <v>26.42</v>
      </c>
      <c r="H140" s="69">
        <f>+VLOOKUP(C140,'PRECIOS IDU 2025'!$A$1:$E$3189,4,FALSE)</f>
        <v>155503</v>
      </c>
      <c r="I140" s="69">
        <f t="shared" si="126"/>
        <v>202154</v>
      </c>
      <c r="J140" s="69">
        <f t="shared" si="127"/>
        <v>5340909</v>
      </c>
      <c r="K140" s="9"/>
      <c r="L140" s="3"/>
      <c r="M140" s="76"/>
      <c r="N140" s="78"/>
      <c r="O140" s="76"/>
      <c r="P140" s="78"/>
      <c r="Q140" s="76"/>
      <c r="R140" s="78"/>
      <c r="S140" s="76"/>
      <c r="T140" s="78"/>
      <c r="U140" s="76"/>
      <c r="V140" s="78"/>
      <c r="W140" s="76">
        <f>+W11*0.6*0.2*2</f>
        <v>26.423999999999996</v>
      </c>
      <c r="X140" s="78">
        <f t="shared" ref="X140" si="138">+ROUND(W140*$I140,0)</f>
        <v>5341717</v>
      </c>
    </row>
    <row r="141" spans="1:24"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60">
        <f t="shared" si="125"/>
        <v>6</v>
      </c>
      <c r="H141" s="69">
        <f>+VLOOKUP(C141,'PRECIOS IDU 2025'!$A$1:$E$3189,4,FALSE)</f>
        <v>1895915</v>
      </c>
      <c r="I141" s="69">
        <f t="shared" si="126"/>
        <v>2464690</v>
      </c>
      <c r="J141" s="69">
        <f t="shared" si="127"/>
        <v>14788140</v>
      </c>
      <c r="K141" s="9"/>
      <c r="L141" s="3"/>
      <c r="M141" s="76"/>
      <c r="N141" s="78"/>
      <c r="O141" s="76"/>
      <c r="P141" s="78"/>
      <c r="Q141" s="76"/>
      <c r="R141" s="78"/>
      <c r="S141" s="76"/>
      <c r="T141" s="78"/>
      <c r="U141" s="76"/>
      <c r="V141" s="78"/>
      <c r="W141" s="76">
        <f>+ROUND(W11/50+1,0)*2</f>
        <v>6</v>
      </c>
      <c r="X141" s="78">
        <f t="shared" ref="X141" si="139">+ROUND(W141*$I141,0)</f>
        <v>14788140</v>
      </c>
    </row>
    <row r="142" spans="1:24"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60">
        <f t="shared" si="125"/>
        <v>6</v>
      </c>
      <c r="H142" s="69">
        <f>+VLOOKUP(C142,'PRECIOS IDU 2025'!$A$1:$E$3189,4,FALSE)</f>
        <v>739808</v>
      </c>
      <c r="I142" s="69">
        <f t="shared" si="126"/>
        <v>961750</v>
      </c>
      <c r="J142" s="69">
        <f t="shared" si="127"/>
        <v>5770500</v>
      </c>
      <c r="K142" s="9"/>
      <c r="L142" s="3"/>
      <c r="M142" s="76"/>
      <c r="N142" s="78"/>
      <c r="O142" s="76"/>
      <c r="P142" s="78"/>
      <c r="Q142" s="76"/>
      <c r="R142" s="78"/>
      <c r="S142" s="76"/>
      <c r="T142" s="78"/>
      <c r="U142" s="76"/>
      <c r="V142" s="78"/>
      <c r="W142" s="76">
        <f>+W141</f>
        <v>6</v>
      </c>
      <c r="X142" s="78">
        <f t="shared" ref="X142" si="140">+ROUND(W142*$I142,0)</f>
        <v>5770500</v>
      </c>
    </row>
    <row r="143" spans="1:24"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60">
        <f t="shared" si="125"/>
        <v>6</v>
      </c>
      <c r="H143" s="69">
        <f>+VLOOKUP(C143,'PRECIOS IDU 2025'!$A$1:$E$3189,4,FALSE)</f>
        <v>135984</v>
      </c>
      <c r="I143" s="69">
        <f t="shared" si="126"/>
        <v>176779</v>
      </c>
      <c r="J143" s="69">
        <f t="shared" si="127"/>
        <v>1060674</v>
      </c>
      <c r="K143" s="9"/>
      <c r="L143" s="3"/>
      <c r="M143" s="76"/>
      <c r="N143" s="78"/>
      <c r="O143" s="76"/>
      <c r="P143" s="78"/>
      <c r="Q143" s="76"/>
      <c r="R143" s="78"/>
      <c r="S143" s="76"/>
      <c r="T143" s="78"/>
      <c r="U143" s="76"/>
      <c r="V143" s="78"/>
      <c r="W143" s="76">
        <f>+W142</f>
        <v>6</v>
      </c>
      <c r="X143" s="78">
        <f t="shared" ref="X143" si="141">+ROUND(W143*$I143,0)</f>
        <v>1060674</v>
      </c>
    </row>
    <row r="144" spans="1:24"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60">
        <f t="shared" si="125"/>
        <v>0</v>
      </c>
      <c r="H144" s="69">
        <f>+VLOOKUP(C144,'PRECIOS IDU 2025'!$A$1:$E$3189,4,FALSE)</f>
        <v>37349</v>
      </c>
      <c r="I144" s="69">
        <f t="shared" si="126"/>
        <v>48554</v>
      </c>
      <c r="J144" s="69">
        <f t="shared" si="127"/>
        <v>0</v>
      </c>
      <c r="K144" s="9"/>
      <c r="L144" s="3"/>
      <c r="M144" s="76"/>
      <c r="N144" s="78"/>
      <c r="O144" s="76"/>
      <c r="P144" s="78"/>
      <c r="Q144" s="76"/>
      <c r="R144" s="78"/>
      <c r="S144" s="76"/>
      <c r="T144" s="78"/>
      <c r="U144" s="76"/>
      <c r="V144" s="78"/>
      <c r="W144" s="76"/>
      <c r="X144" s="78">
        <f t="shared" ref="X144" si="142">+ROUND(W144*$I144,0)</f>
        <v>0</v>
      </c>
    </row>
    <row r="145" spans="1:24"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60">
        <f t="shared" si="125"/>
        <v>90.86</v>
      </c>
      <c r="H145" s="69">
        <f>+VLOOKUP(C145,'PRECIOS IDU 2025'!$A$1:$E$3189,4,FALSE)</f>
        <v>63957</v>
      </c>
      <c r="I145" s="69">
        <f t="shared" si="126"/>
        <v>83144</v>
      </c>
      <c r="J145" s="69">
        <f t="shared" si="127"/>
        <v>7554464</v>
      </c>
      <c r="K145" s="9"/>
      <c r="L145" s="3"/>
      <c r="M145" s="76"/>
      <c r="N145" s="78"/>
      <c r="O145" s="76"/>
      <c r="P145" s="78"/>
      <c r="Q145" s="76"/>
      <c r="R145" s="78"/>
      <c r="S145" s="76"/>
      <c r="T145" s="78"/>
      <c r="U145" s="76"/>
      <c r="V145" s="78"/>
      <c r="W145" s="76">
        <f>+W159*W12/2</f>
        <v>90.86</v>
      </c>
      <c r="X145" s="78">
        <f t="shared" ref="X145" si="143">+ROUND(W145*$I145,0)</f>
        <v>7554464</v>
      </c>
    </row>
    <row r="146" spans="1:24"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60">
        <f t="shared" si="125"/>
        <v>110.1</v>
      </c>
      <c r="H146" s="69">
        <f>+VLOOKUP(C146,'PRECIOS IDU 2025'!$A$1:$E$3189,4,FALSE)</f>
        <v>88930</v>
      </c>
      <c r="I146" s="69">
        <f t="shared" si="126"/>
        <v>115609</v>
      </c>
      <c r="J146" s="69">
        <f t="shared" si="127"/>
        <v>12728551</v>
      </c>
      <c r="K146" s="9"/>
      <c r="L146" s="3"/>
      <c r="M146" s="76"/>
      <c r="N146" s="78"/>
      <c r="O146" s="76"/>
      <c r="P146" s="78"/>
      <c r="Q146" s="76"/>
      <c r="R146" s="78"/>
      <c r="S146" s="76"/>
      <c r="T146" s="78"/>
      <c r="U146" s="76"/>
      <c r="V146" s="78"/>
      <c r="W146" s="76">
        <f>+W11</f>
        <v>110.1</v>
      </c>
      <c r="X146" s="78">
        <f t="shared" ref="X146" si="144">+ROUND(W146*$I146,0)</f>
        <v>12728551</v>
      </c>
    </row>
    <row r="147" spans="1:24"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60">
        <f t="shared" si="125"/>
        <v>0</v>
      </c>
      <c r="H147" s="69">
        <f>+VLOOKUP(C147,'PRECIOS IDU 2025'!$A$1:$E$3189,4,FALSE)</f>
        <v>125950</v>
      </c>
      <c r="I147" s="69">
        <f t="shared" si="126"/>
        <v>163735</v>
      </c>
      <c r="J147" s="69">
        <f t="shared" si="127"/>
        <v>0</v>
      </c>
      <c r="K147" s="9"/>
      <c r="L147" s="3"/>
      <c r="M147" s="76"/>
      <c r="N147" s="78"/>
      <c r="O147" s="76"/>
      <c r="P147" s="78"/>
      <c r="Q147" s="76"/>
      <c r="R147" s="78"/>
      <c r="S147" s="76"/>
      <c r="T147" s="78"/>
      <c r="U147" s="76"/>
      <c r="V147" s="78"/>
      <c r="W147" s="76"/>
      <c r="X147" s="78">
        <f t="shared" ref="X147" si="145">+ROUND(W147*$I147,0)</f>
        <v>0</v>
      </c>
    </row>
    <row r="148" spans="1:24"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60">
        <f t="shared" si="125"/>
        <v>110.1</v>
      </c>
      <c r="H148" s="69">
        <f>+VLOOKUP(C148,'PRECIOS IDU 2025'!$A$1:$E$3189,4,FALSE)</f>
        <v>176674</v>
      </c>
      <c r="I148" s="69">
        <f t="shared" si="126"/>
        <v>229676</v>
      </c>
      <c r="J148" s="69">
        <f t="shared" si="127"/>
        <v>25287328</v>
      </c>
      <c r="K148" s="9"/>
      <c r="L148" s="3"/>
      <c r="M148" s="76"/>
      <c r="N148" s="78"/>
      <c r="O148" s="76"/>
      <c r="P148" s="78"/>
      <c r="Q148" s="76"/>
      <c r="R148" s="78"/>
      <c r="S148" s="76"/>
      <c r="T148" s="78"/>
      <c r="U148" s="76"/>
      <c r="V148" s="78"/>
      <c r="W148" s="76">
        <f>+W11</f>
        <v>110.1</v>
      </c>
      <c r="X148" s="78">
        <f t="shared" ref="X148" si="146">+ROUND(W148*$I148,0)</f>
        <v>25287328</v>
      </c>
    </row>
    <row r="149" spans="1:24"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60">
        <f t="shared" si="125"/>
        <v>0</v>
      </c>
      <c r="H149" s="69">
        <f>+VLOOKUP(C149,'PRECIOS IDU 2025'!$A$1:$E$3189,4,FALSE)</f>
        <v>314109</v>
      </c>
      <c r="I149" s="69">
        <f t="shared" si="126"/>
        <v>408342</v>
      </c>
      <c r="J149" s="69">
        <f t="shared" si="127"/>
        <v>0</v>
      </c>
      <c r="K149" s="9"/>
      <c r="L149" s="3"/>
      <c r="M149" s="76"/>
      <c r="N149" s="78"/>
      <c r="O149" s="76"/>
      <c r="P149" s="78"/>
      <c r="Q149" s="76"/>
      <c r="R149" s="78"/>
      <c r="S149" s="76"/>
      <c r="T149" s="78"/>
      <c r="U149" s="76"/>
      <c r="V149" s="78"/>
      <c r="W149" s="76"/>
      <c r="X149" s="78">
        <f t="shared" ref="X149" si="147">+ROUND(W149*$I149,0)</f>
        <v>0</v>
      </c>
    </row>
    <row r="150" spans="1:24"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60">
        <f t="shared" si="125"/>
        <v>0</v>
      </c>
      <c r="H150" s="69">
        <f>+VLOOKUP(C150,'PRECIOS IDU 2025'!$A$1:$E$3189,4,FALSE)</f>
        <v>426915</v>
      </c>
      <c r="I150" s="69">
        <f t="shared" si="126"/>
        <v>554990</v>
      </c>
      <c r="J150" s="69">
        <f t="shared" si="127"/>
        <v>0</v>
      </c>
      <c r="K150" s="9"/>
      <c r="L150" s="3"/>
      <c r="M150" s="76"/>
      <c r="N150" s="78"/>
      <c r="O150" s="76"/>
      <c r="P150" s="78"/>
      <c r="Q150" s="76"/>
      <c r="R150" s="78"/>
      <c r="S150" s="76"/>
      <c r="T150" s="78"/>
      <c r="U150" s="76"/>
      <c r="V150" s="78"/>
      <c r="W150" s="76"/>
      <c r="X150" s="78">
        <f t="shared" ref="X150" si="148">+ROUND(W150*$I150,0)</f>
        <v>0</v>
      </c>
    </row>
    <row r="151" spans="1:24"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60">
        <f t="shared" si="125"/>
        <v>0</v>
      </c>
      <c r="H151" s="69">
        <f>+VLOOKUP(C151,'PRECIOS IDU 2025'!$A$1:$E$3189,4,FALSE)</f>
        <v>520777</v>
      </c>
      <c r="I151" s="69">
        <f t="shared" si="126"/>
        <v>677010</v>
      </c>
      <c r="J151" s="69">
        <f t="shared" si="127"/>
        <v>0</v>
      </c>
      <c r="K151" s="9"/>
      <c r="L151" s="3"/>
      <c r="M151" s="76"/>
      <c r="N151" s="78"/>
      <c r="O151" s="76"/>
      <c r="P151" s="78"/>
      <c r="Q151" s="76"/>
      <c r="R151" s="78"/>
      <c r="S151" s="76"/>
      <c r="T151" s="78"/>
      <c r="U151" s="76"/>
      <c r="V151" s="78"/>
      <c r="W151" s="76"/>
      <c r="X151" s="78">
        <f t="shared" ref="X151" si="149">+ROUND(W151*$I151,0)</f>
        <v>0</v>
      </c>
    </row>
    <row r="152" spans="1:24"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60">
        <f t="shared" si="125"/>
        <v>110.1</v>
      </c>
      <c r="H152" s="69">
        <f>+VLOOKUP(C152,'PRECIOS IDU 2025'!$A$1:$E$3189,4,FALSE)</f>
        <v>235700</v>
      </c>
      <c r="I152" s="69">
        <f t="shared" si="126"/>
        <v>306410</v>
      </c>
      <c r="J152" s="69">
        <f t="shared" si="127"/>
        <v>33735741</v>
      </c>
      <c r="K152" s="9"/>
      <c r="L152" s="3"/>
      <c r="M152" s="76"/>
      <c r="N152" s="78"/>
      <c r="O152" s="76"/>
      <c r="P152" s="78"/>
      <c r="Q152" s="76"/>
      <c r="R152" s="78"/>
      <c r="S152" s="76"/>
      <c r="T152" s="78"/>
      <c r="U152" s="76"/>
      <c r="V152" s="78"/>
      <c r="W152" s="76">
        <f>+W146</f>
        <v>110.1</v>
      </c>
      <c r="X152" s="78">
        <f t="shared" ref="X152" si="150">+ROUND(W152*$I152,0)</f>
        <v>33735741</v>
      </c>
    </row>
    <row r="153" spans="1:24"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60">
        <f t="shared" si="125"/>
        <v>0</v>
      </c>
      <c r="H153" s="69">
        <f>+VLOOKUP(C153,'PRECIOS IDU 2025'!$A$1:$E$3189,4,FALSE)</f>
        <v>235700</v>
      </c>
      <c r="I153" s="69">
        <f t="shared" si="126"/>
        <v>306410</v>
      </c>
      <c r="J153" s="69">
        <f t="shared" si="127"/>
        <v>0</v>
      </c>
      <c r="K153" s="9"/>
      <c r="L153" s="3"/>
      <c r="M153" s="76"/>
      <c r="N153" s="78"/>
      <c r="O153" s="76"/>
      <c r="P153" s="78"/>
      <c r="Q153" s="76"/>
      <c r="R153" s="78"/>
      <c r="S153" s="76"/>
      <c r="T153" s="78"/>
      <c r="U153" s="76"/>
      <c r="V153" s="78"/>
      <c r="W153" s="76"/>
      <c r="X153" s="78">
        <f t="shared" ref="X153" si="151">+ROUND(W153*$I153,0)</f>
        <v>0</v>
      </c>
    </row>
    <row r="154" spans="1:24"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60">
        <f t="shared" si="125"/>
        <v>110.1</v>
      </c>
      <c r="H154" s="69">
        <f>+VLOOKUP(C154,'PRECIOS IDU 2025'!$A$1:$E$3189,4,FALSE)</f>
        <v>238084</v>
      </c>
      <c r="I154" s="69">
        <f t="shared" si="126"/>
        <v>309509</v>
      </c>
      <c r="J154" s="69">
        <f t="shared" si="127"/>
        <v>34076941</v>
      </c>
      <c r="K154" s="9"/>
      <c r="L154" s="3"/>
      <c r="M154" s="76"/>
      <c r="N154" s="78"/>
      <c r="O154" s="76"/>
      <c r="P154" s="78"/>
      <c r="Q154" s="76"/>
      <c r="R154" s="78"/>
      <c r="S154" s="76"/>
      <c r="T154" s="78"/>
      <c r="U154" s="76"/>
      <c r="V154" s="78"/>
      <c r="W154" s="76">
        <f>+W148</f>
        <v>110.1</v>
      </c>
      <c r="X154" s="78">
        <f t="shared" ref="X154" si="152">+ROUND(W154*$I154,0)</f>
        <v>34076941</v>
      </c>
    </row>
    <row r="155" spans="1:24"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60">
        <f t="shared" si="125"/>
        <v>0</v>
      </c>
      <c r="H155" s="69">
        <f>+VLOOKUP(C155,'PRECIOS IDU 2025'!$A$1:$E$3189,4,FALSE)</f>
        <v>298533</v>
      </c>
      <c r="I155" s="69">
        <f t="shared" si="126"/>
        <v>388093</v>
      </c>
      <c r="J155" s="69">
        <f t="shared" si="127"/>
        <v>0</v>
      </c>
      <c r="K155" s="9"/>
      <c r="L155" s="3"/>
      <c r="M155" s="76"/>
      <c r="N155" s="78"/>
      <c r="O155" s="76"/>
      <c r="P155" s="78"/>
      <c r="Q155" s="76"/>
      <c r="R155" s="78"/>
      <c r="S155" s="76"/>
      <c r="T155" s="78"/>
      <c r="U155" s="76"/>
      <c r="V155" s="78"/>
      <c r="W155" s="76"/>
      <c r="X155" s="78">
        <f t="shared" ref="X155" si="153">+ROUND(W155*$I155,0)</f>
        <v>0</v>
      </c>
    </row>
    <row r="156" spans="1:24"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60">
        <f t="shared" si="125"/>
        <v>0</v>
      </c>
      <c r="H156" s="69">
        <f>+VLOOKUP(C156,'PRECIOS IDU 2025'!$A$1:$E$3189,4,FALSE)</f>
        <v>298533</v>
      </c>
      <c r="I156" s="69">
        <f t="shared" si="126"/>
        <v>388093</v>
      </c>
      <c r="J156" s="69">
        <f t="shared" si="127"/>
        <v>0</v>
      </c>
      <c r="K156" s="9"/>
      <c r="L156" s="3"/>
      <c r="M156" s="76"/>
      <c r="N156" s="78"/>
      <c r="O156" s="76"/>
      <c r="P156" s="78"/>
      <c r="Q156" s="76"/>
      <c r="R156" s="78"/>
      <c r="S156" s="76"/>
      <c r="T156" s="78"/>
      <c r="U156" s="76"/>
      <c r="V156" s="78"/>
      <c r="W156" s="76"/>
      <c r="X156" s="78">
        <f t="shared" ref="X156" si="154">+ROUND(W156*$I156,0)</f>
        <v>0</v>
      </c>
    </row>
    <row r="157" spans="1:24"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60">
        <f t="shared" si="125"/>
        <v>0</v>
      </c>
      <c r="H157" s="69">
        <f>+VLOOKUP(C157,'PRECIOS IDU 2025'!$A$1:$E$3189,4,FALSE)</f>
        <v>309435</v>
      </c>
      <c r="I157" s="69">
        <f t="shared" si="126"/>
        <v>402266</v>
      </c>
      <c r="J157" s="69">
        <f t="shared" si="127"/>
        <v>0</v>
      </c>
      <c r="K157" s="9"/>
      <c r="L157" s="3"/>
      <c r="M157" s="76"/>
      <c r="N157" s="78"/>
      <c r="O157" s="76"/>
      <c r="P157" s="78"/>
      <c r="Q157" s="76"/>
      <c r="R157" s="78"/>
      <c r="S157" s="76"/>
      <c r="T157" s="78"/>
      <c r="U157" s="76"/>
      <c r="V157" s="78"/>
      <c r="W157" s="76"/>
      <c r="X157" s="78">
        <f t="shared" ref="X157" si="155">+ROUND(W157*$I157,0)</f>
        <v>0</v>
      </c>
    </row>
    <row r="158" spans="1:24"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60">
        <f t="shared" si="125"/>
        <v>22</v>
      </c>
      <c r="H158" s="69">
        <f>+VLOOKUP(C158,'PRECIOS IDU 2025'!$A$1:$E$3189,4,FALSE)</f>
        <v>191968</v>
      </c>
      <c r="I158" s="69">
        <f t="shared" si="126"/>
        <v>249558</v>
      </c>
      <c r="J158" s="69">
        <f t="shared" si="127"/>
        <v>5490276</v>
      </c>
      <c r="K158" s="9"/>
      <c r="L158" s="3"/>
      <c r="M158" s="76"/>
      <c r="N158" s="78"/>
      <c r="O158" s="76"/>
      <c r="P158" s="78"/>
      <c r="Q158" s="76"/>
      <c r="R158" s="78"/>
      <c r="S158" s="76"/>
      <c r="T158" s="78"/>
      <c r="U158" s="76"/>
      <c r="V158" s="78"/>
      <c r="W158" s="76">
        <f>+W159</f>
        <v>22</v>
      </c>
      <c r="X158" s="78">
        <f t="shared" ref="X158" si="156">+ROUND(W158*$I158,0)</f>
        <v>5490276</v>
      </c>
    </row>
    <row r="159" spans="1:24"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60">
        <f t="shared" si="125"/>
        <v>22</v>
      </c>
      <c r="H159" s="69">
        <f>+VLOOKUP(C159,'PRECIOS IDU 2025'!$A$1:$E$3189,4,FALSE)</f>
        <v>622071</v>
      </c>
      <c r="I159" s="69">
        <f t="shared" si="126"/>
        <v>808692</v>
      </c>
      <c r="J159" s="69">
        <f t="shared" si="127"/>
        <v>17791224</v>
      </c>
      <c r="K159" s="9"/>
      <c r="L159" s="3"/>
      <c r="M159" s="76"/>
      <c r="N159" s="78"/>
      <c r="O159" s="76"/>
      <c r="P159" s="78"/>
      <c r="Q159" s="76"/>
      <c r="R159" s="78"/>
      <c r="S159" s="76"/>
      <c r="T159" s="78"/>
      <c r="U159" s="76"/>
      <c r="V159" s="78"/>
      <c r="W159" s="76">
        <f>+ROUND(W11*2/5*0.5,0)</f>
        <v>22</v>
      </c>
      <c r="X159" s="78">
        <f t="shared" ref="X159" si="157">+ROUND(W159*$I159,0)</f>
        <v>17791224</v>
      </c>
    </row>
    <row r="160" spans="1:24" ht="30" customHeight="1" x14ac:dyDescent="0.3">
      <c r="A160" s="3"/>
      <c r="B160" s="8"/>
      <c r="C160" s="60">
        <v>7830</v>
      </c>
      <c r="D160" s="60">
        <v>6031</v>
      </c>
      <c r="E160" s="60" t="e">
        <f>+VLOOKUP(C160,'PRECIOS IDU 2025'!$A$1:$E$3189,2,FALSE)</f>
        <v>#N/A</v>
      </c>
      <c r="F160" s="60" t="e">
        <f>+VLOOKUP(C160,'PRECIOS IDU 2025'!$A$1:$E$3189,3,FALSE)</f>
        <v>#N/A</v>
      </c>
      <c r="G160" s="60">
        <f t="shared" si="125"/>
        <v>22</v>
      </c>
      <c r="H160" s="69" t="e">
        <f>+VLOOKUP(C160,'PRECIOS IDU 2025'!$A$1:$E$3189,4,FALSE)</f>
        <v>#N/A</v>
      </c>
      <c r="I160" s="69" t="e">
        <f t="shared" si="126"/>
        <v>#N/A</v>
      </c>
      <c r="J160" s="69" t="e">
        <f t="shared" si="127"/>
        <v>#N/A</v>
      </c>
      <c r="K160" s="9"/>
      <c r="L160" s="3"/>
      <c r="M160" s="76"/>
      <c r="N160" s="78"/>
      <c r="O160" s="76"/>
      <c r="P160" s="78"/>
      <c r="Q160" s="76"/>
      <c r="R160" s="78"/>
      <c r="S160" s="76"/>
      <c r="T160" s="78"/>
      <c r="U160" s="76"/>
      <c r="V160" s="78"/>
      <c r="W160" s="76">
        <f>+W159</f>
        <v>22</v>
      </c>
      <c r="X160" s="78" t="e">
        <f t="shared" ref="X160" si="158">+ROUND(W160*$I160,0)</f>
        <v>#N/A</v>
      </c>
    </row>
    <row r="161" spans="1:24" ht="30" customHeight="1" x14ac:dyDescent="0.3">
      <c r="A161" s="3"/>
      <c r="B161" s="8"/>
      <c r="C161" s="60">
        <v>7831</v>
      </c>
      <c r="D161" s="60">
        <v>6032</v>
      </c>
      <c r="E161" s="60" t="e">
        <f>+VLOOKUP(C161,'PRECIOS IDU 2025'!$A$1:$E$3189,2,FALSE)</f>
        <v>#N/A</v>
      </c>
      <c r="F161" s="60" t="e">
        <f>+VLOOKUP(C161,'PRECIOS IDU 2025'!$A$1:$E$3189,3,FALSE)</f>
        <v>#N/A</v>
      </c>
      <c r="G161" s="60">
        <f t="shared" si="125"/>
        <v>0</v>
      </c>
      <c r="H161" s="69" t="e">
        <f>+VLOOKUP(C161,'PRECIOS IDU 2025'!$A$1:$E$3189,4,FALSE)</f>
        <v>#N/A</v>
      </c>
      <c r="I161" s="69" t="e">
        <f t="shared" si="126"/>
        <v>#N/A</v>
      </c>
      <c r="J161" s="69" t="e">
        <f t="shared" si="127"/>
        <v>#N/A</v>
      </c>
      <c r="K161" s="9"/>
      <c r="L161" s="3"/>
      <c r="M161" s="76"/>
      <c r="N161" s="78"/>
      <c r="O161" s="76"/>
      <c r="P161" s="78"/>
      <c r="Q161" s="76"/>
      <c r="R161" s="78"/>
      <c r="S161" s="76"/>
      <c r="T161" s="78"/>
      <c r="U161" s="76"/>
      <c r="V161" s="78"/>
      <c r="W161" s="76"/>
      <c r="X161" s="78" t="e">
        <f t="shared" ref="X161" si="159">+ROUND(W161*$I161,0)</f>
        <v>#N/A</v>
      </c>
    </row>
    <row r="162" spans="1:24"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60">
        <f t="shared" si="125"/>
        <v>22</v>
      </c>
      <c r="H162" s="69">
        <f>+VLOOKUP(C162,'PRECIOS IDU 2025'!$A$1:$E$3189,4,FALSE)</f>
        <v>407062</v>
      </c>
      <c r="I162" s="69">
        <f t="shared" si="126"/>
        <v>529181</v>
      </c>
      <c r="J162" s="69">
        <f t="shared" si="127"/>
        <v>11641982</v>
      </c>
      <c r="K162" s="9"/>
      <c r="L162" s="3"/>
      <c r="M162" s="76"/>
      <c r="N162" s="78"/>
      <c r="O162" s="76"/>
      <c r="P162" s="78"/>
      <c r="Q162" s="76"/>
      <c r="R162" s="78"/>
      <c r="S162" s="76"/>
      <c r="T162" s="78"/>
      <c r="U162" s="76"/>
      <c r="V162" s="78"/>
      <c r="W162" s="76">
        <f>+W160</f>
        <v>22</v>
      </c>
      <c r="X162" s="78">
        <f t="shared" ref="X162" si="160">+ROUND(W162*$I162,0)</f>
        <v>11641982</v>
      </c>
    </row>
    <row r="163" spans="1:24"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60">
        <f t="shared" si="125"/>
        <v>2</v>
      </c>
      <c r="H163" s="69">
        <f>+VLOOKUP(C163,'PRECIOS IDU 2025'!$A$1:$E$3189,4,FALSE)</f>
        <v>7624362</v>
      </c>
      <c r="I163" s="69">
        <f t="shared" si="126"/>
        <v>9911671</v>
      </c>
      <c r="J163" s="69">
        <f t="shared" si="127"/>
        <v>19823342</v>
      </c>
      <c r="K163" s="9"/>
      <c r="L163" s="3"/>
      <c r="M163" s="76"/>
      <c r="N163" s="78"/>
      <c r="O163" s="76"/>
      <c r="P163" s="78"/>
      <c r="Q163" s="76"/>
      <c r="R163" s="78"/>
      <c r="S163" s="76"/>
      <c r="T163" s="78"/>
      <c r="U163" s="76"/>
      <c r="V163" s="78"/>
      <c r="W163" s="76">
        <v>2</v>
      </c>
      <c r="X163" s="78">
        <f t="shared" ref="X163" si="161">+ROUND(W163*$I163,0)</f>
        <v>19823342</v>
      </c>
    </row>
    <row r="164" spans="1:24" ht="30" customHeight="1" x14ac:dyDescent="0.3">
      <c r="A164" s="3"/>
      <c r="B164" s="8"/>
      <c r="C164" s="66" t="s">
        <v>6082</v>
      </c>
      <c r="D164" s="67"/>
      <c r="E164" s="67"/>
      <c r="F164" s="67"/>
      <c r="G164" s="67"/>
      <c r="H164" s="67"/>
      <c r="I164" s="67"/>
      <c r="J164" s="68"/>
      <c r="K164" s="9"/>
      <c r="L164" s="3"/>
      <c r="M164" s="76"/>
      <c r="N164" s="78"/>
      <c r="O164" s="76"/>
      <c r="P164" s="78"/>
      <c r="Q164" s="76"/>
      <c r="R164" s="78"/>
      <c r="S164" s="76"/>
      <c r="T164" s="78"/>
      <c r="U164" s="76"/>
      <c r="V164" s="78"/>
      <c r="W164" s="76"/>
      <c r="X164" s="78">
        <f t="shared" ref="X164" si="162">+ROUND(W164*$I164,0)</f>
        <v>0</v>
      </c>
    </row>
    <row r="165" spans="1:24"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60">
        <f t="shared" ref="G165:G179" si="163">+ROUND(M165+O165+Q165+S165+U165+W165,2)</f>
        <v>220.2</v>
      </c>
      <c r="H165" s="69">
        <f>+VLOOKUP(C165,'PRECIOS IDU 2025'!$A$1:$E$3189,4,FALSE)</f>
        <v>18177</v>
      </c>
      <c r="I165" s="69">
        <f t="shared" ref="I165:I179" si="164">+ROUND(H165*(1+$J$192),0)</f>
        <v>23630</v>
      </c>
      <c r="J165" s="69">
        <f t="shared" ref="J165:J179" si="165">+ROUND(I165*G165,0)</f>
        <v>5203326</v>
      </c>
      <c r="K165" s="9"/>
      <c r="L165" s="3"/>
      <c r="M165" s="76"/>
      <c r="N165" s="78"/>
      <c r="O165" s="76"/>
      <c r="P165" s="78"/>
      <c r="Q165" s="76"/>
      <c r="R165" s="78"/>
      <c r="S165" s="76"/>
      <c r="T165" s="78"/>
      <c r="U165" s="76"/>
      <c r="V165" s="78"/>
      <c r="W165" s="76">
        <f>+W11*2</f>
        <v>220.2</v>
      </c>
      <c r="X165" s="78">
        <f t="shared" ref="X165" si="166">+ROUND(W165*$I165,0)</f>
        <v>5203326</v>
      </c>
    </row>
    <row r="166" spans="1:24"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60">
        <f t="shared" si="163"/>
        <v>1</v>
      </c>
      <c r="H166" s="69">
        <f>+VLOOKUP(C166,'PRECIOS IDU 2025'!$A$1:$E$3189,4,FALSE)</f>
        <v>181765</v>
      </c>
      <c r="I166" s="69">
        <f t="shared" si="164"/>
        <v>236295</v>
      </c>
      <c r="J166" s="69">
        <f t="shared" si="165"/>
        <v>236295</v>
      </c>
      <c r="K166" s="9"/>
      <c r="L166" s="3"/>
      <c r="M166" s="76"/>
      <c r="N166" s="78"/>
      <c r="O166" s="76"/>
      <c r="P166" s="78"/>
      <c r="Q166" s="76"/>
      <c r="R166" s="78"/>
      <c r="S166" s="76"/>
      <c r="T166" s="78"/>
      <c r="U166" s="76"/>
      <c r="V166" s="78"/>
      <c r="W166" s="76">
        <v>1</v>
      </c>
      <c r="X166" s="78">
        <f t="shared" ref="X166" si="167">+ROUND(W166*$I166,0)</f>
        <v>236295</v>
      </c>
    </row>
    <row r="167" spans="1:24"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60">
        <f t="shared" si="163"/>
        <v>24.78</v>
      </c>
      <c r="H167" s="69">
        <f>+VLOOKUP(C167,'PRECIOS IDU 2025'!$A$1:$E$3189,4,FALSE)</f>
        <v>151470</v>
      </c>
      <c r="I167" s="69">
        <f t="shared" si="164"/>
        <v>196911</v>
      </c>
      <c r="J167" s="69">
        <f t="shared" si="165"/>
        <v>4879455</v>
      </c>
      <c r="K167" s="9"/>
      <c r="L167" s="3"/>
      <c r="M167" s="76"/>
      <c r="N167" s="78"/>
      <c r="O167" s="76"/>
      <c r="P167" s="78"/>
      <c r="Q167" s="76"/>
      <c r="R167" s="78"/>
      <c r="S167" s="76"/>
      <c r="T167" s="78"/>
      <c r="U167" s="76"/>
      <c r="V167" s="78"/>
      <c r="W167" s="76">
        <f>2*W12*1.5</f>
        <v>24.78</v>
      </c>
      <c r="X167" s="78">
        <f t="shared" ref="X167" si="168">+ROUND(W167*$I167,0)</f>
        <v>4879455</v>
      </c>
    </row>
    <row r="168" spans="1:24"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60">
        <f t="shared" si="163"/>
        <v>110.1</v>
      </c>
      <c r="H168" s="69">
        <f>+VLOOKUP(C168,'PRECIOS IDU 2025'!$A$1:$E$3189,4,FALSE)</f>
        <v>2505</v>
      </c>
      <c r="I168" s="69">
        <f t="shared" si="164"/>
        <v>3257</v>
      </c>
      <c r="J168" s="69">
        <f t="shared" si="165"/>
        <v>358596</v>
      </c>
      <c r="K168" s="9"/>
      <c r="L168" s="3"/>
      <c r="M168" s="76"/>
      <c r="N168" s="78"/>
      <c r="O168" s="76"/>
      <c r="P168" s="78"/>
      <c r="Q168" s="76"/>
      <c r="R168" s="78"/>
      <c r="S168" s="76"/>
      <c r="T168" s="78"/>
      <c r="U168" s="76"/>
      <c r="V168" s="78"/>
      <c r="W168" s="76">
        <f>+W11</f>
        <v>110.1</v>
      </c>
      <c r="X168" s="78">
        <f t="shared" ref="X168" si="169">+ROUND(W168*$I168,0)</f>
        <v>358596</v>
      </c>
    </row>
    <row r="169" spans="1:24"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60">
        <f t="shared" si="163"/>
        <v>1</v>
      </c>
      <c r="H169" s="69">
        <f>+VLOOKUP(C169,'PRECIOS IDU 2025'!$A$1:$E$3189,4,FALSE)</f>
        <v>228720</v>
      </c>
      <c r="I169" s="69">
        <f t="shared" si="164"/>
        <v>297336</v>
      </c>
      <c r="J169" s="69">
        <f t="shared" si="165"/>
        <v>297336</v>
      </c>
      <c r="K169" s="9"/>
      <c r="L169" s="3"/>
      <c r="M169" s="76"/>
      <c r="N169" s="78"/>
      <c r="O169" s="76"/>
      <c r="P169" s="78"/>
      <c r="Q169" s="76"/>
      <c r="R169" s="78"/>
      <c r="S169" s="76"/>
      <c r="T169" s="78"/>
      <c r="U169" s="76"/>
      <c r="V169" s="78"/>
      <c r="W169" s="76">
        <v>1</v>
      </c>
      <c r="X169" s="78">
        <f t="shared" ref="X169" si="170">+ROUND(W169*$I169,0)</f>
        <v>297336</v>
      </c>
    </row>
    <row r="170" spans="1:24"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60">
        <f t="shared" si="163"/>
        <v>1</v>
      </c>
      <c r="H170" s="69">
        <f>+VLOOKUP(C170,'PRECIOS IDU 2025'!$A$1:$E$3189,4,FALSE)</f>
        <v>330205</v>
      </c>
      <c r="I170" s="69">
        <f t="shared" si="164"/>
        <v>429267</v>
      </c>
      <c r="J170" s="69">
        <f t="shared" si="165"/>
        <v>429267</v>
      </c>
      <c r="K170" s="9"/>
      <c r="L170" s="3"/>
      <c r="M170" s="76"/>
      <c r="N170" s="78"/>
      <c r="O170" s="76"/>
      <c r="P170" s="78"/>
      <c r="Q170" s="76"/>
      <c r="R170" s="78"/>
      <c r="S170" s="76"/>
      <c r="T170" s="78"/>
      <c r="U170" s="76"/>
      <c r="V170" s="78"/>
      <c r="W170" s="76">
        <v>1</v>
      </c>
      <c r="X170" s="78">
        <f t="shared" ref="X170" si="171">+ROUND(W170*$I170,0)</f>
        <v>429267</v>
      </c>
    </row>
    <row r="171" spans="1:24"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60">
        <f t="shared" si="163"/>
        <v>16.52</v>
      </c>
      <c r="H171" s="69">
        <f>+VLOOKUP(C171,'PRECIOS IDU 2025'!$A$1:$E$3189,4,FALSE)</f>
        <v>151470</v>
      </c>
      <c r="I171" s="69">
        <f t="shared" si="164"/>
        <v>196911</v>
      </c>
      <c r="J171" s="69">
        <f t="shared" si="165"/>
        <v>3252970</v>
      </c>
      <c r="K171" s="9"/>
      <c r="L171" s="3"/>
      <c r="M171" s="76"/>
      <c r="N171" s="78"/>
      <c r="O171" s="76"/>
      <c r="P171" s="78"/>
      <c r="Q171" s="76"/>
      <c r="R171" s="78"/>
      <c r="S171" s="76"/>
      <c r="T171" s="78"/>
      <c r="U171" s="76"/>
      <c r="V171" s="78"/>
      <c r="W171" s="76">
        <f>0.15*W11</f>
        <v>16.514999999999997</v>
      </c>
      <c r="X171" s="78">
        <f t="shared" ref="X171" si="172">+ROUND(W171*$I171,0)</f>
        <v>3251985</v>
      </c>
    </row>
    <row r="172" spans="1:24"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60">
        <f t="shared" si="163"/>
        <v>50</v>
      </c>
      <c r="H172" s="69">
        <f>+VLOOKUP(C172,'PRECIOS IDU 2025'!$A$1:$E$3189,4,FALSE)</f>
        <v>10907</v>
      </c>
      <c r="I172" s="69">
        <f t="shared" si="164"/>
        <v>14179</v>
      </c>
      <c r="J172" s="69">
        <f t="shared" si="165"/>
        <v>708950</v>
      </c>
      <c r="K172" s="9"/>
      <c r="L172" s="3"/>
      <c r="M172" s="76"/>
      <c r="N172" s="78"/>
      <c r="O172" s="76"/>
      <c r="P172" s="78"/>
      <c r="Q172" s="76"/>
      <c r="R172" s="78"/>
      <c r="S172" s="76"/>
      <c r="T172" s="78"/>
      <c r="U172" s="76"/>
      <c r="V172" s="78"/>
      <c r="W172" s="76">
        <v>50</v>
      </c>
      <c r="X172" s="78">
        <f t="shared" ref="X172" si="173">+ROUND(W172*$I172,0)</f>
        <v>708950</v>
      </c>
    </row>
    <row r="173" spans="1:24"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60">
        <f t="shared" si="163"/>
        <v>110.1</v>
      </c>
      <c r="H173" s="69">
        <f>+VLOOKUP(C173,'PRECIOS IDU 2025'!$A$1:$E$3189,4,FALSE)</f>
        <v>18776</v>
      </c>
      <c r="I173" s="69">
        <f t="shared" si="164"/>
        <v>24409</v>
      </c>
      <c r="J173" s="69">
        <f t="shared" si="165"/>
        <v>2687431</v>
      </c>
      <c r="K173" s="9"/>
      <c r="L173" s="3"/>
      <c r="M173" s="76"/>
      <c r="N173" s="78"/>
      <c r="O173" s="76"/>
      <c r="P173" s="78"/>
      <c r="Q173" s="76"/>
      <c r="R173" s="78"/>
      <c r="S173" s="76"/>
      <c r="T173" s="78"/>
      <c r="U173" s="76"/>
      <c r="V173" s="78"/>
      <c r="W173" s="76">
        <f>+W11</f>
        <v>110.1</v>
      </c>
      <c r="X173" s="78">
        <f t="shared" ref="X173" si="174">+ROUND(W173*$I173,0)</f>
        <v>2687431</v>
      </c>
    </row>
    <row r="174" spans="1:24"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60">
        <f t="shared" si="163"/>
        <v>110.1</v>
      </c>
      <c r="H174" s="69">
        <f>+VLOOKUP(C174,'PRECIOS IDU 2025'!$A$1:$E$3189,4,FALSE)</f>
        <v>4323</v>
      </c>
      <c r="I174" s="69">
        <f t="shared" si="164"/>
        <v>5620</v>
      </c>
      <c r="J174" s="69">
        <f t="shared" si="165"/>
        <v>618762</v>
      </c>
      <c r="K174" s="9"/>
      <c r="L174" s="3"/>
      <c r="M174" s="76"/>
      <c r="N174" s="78"/>
      <c r="O174" s="76"/>
      <c r="P174" s="78"/>
      <c r="Q174" s="76"/>
      <c r="R174" s="78"/>
      <c r="S174" s="76"/>
      <c r="T174" s="78"/>
      <c r="U174" s="76"/>
      <c r="V174" s="78"/>
      <c r="W174" s="76">
        <f>+W11</f>
        <v>110.1</v>
      </c>
      <c r="X174" s="78">
        <f t="shared" ref="X174" si="175">+ROUND(W174*$I174,0)</f>
        <v>618762</v>
      </c>
    </row>
    <row r="175" spans="1:24"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60">
        <f t="shared" si="163"/>
        <v>110.1</v>
      </c>
      <c r="H175" s="69">
        <f>+VLOOKUP(C175,'PRECIOS IDU 2025'!$A$1:$E$3189,4,FALSE)</f>
        <v>5850</v>
      </c>
      <c r="I175" s="69">
        <f t="shared" si="164"/>
        <v>7605</v>
      </c>
      <c r="J175" s="69">
        <f t="shared" si="165"/>
        <v>837311</v>
      </c>
      <c r="K175" s="9"/>
      <c r="L175" s="3"/>
      <c r="M175" s="76"/>
      <c r="N175" s="78"/>
      <c r="O175" s="76"/>
      <c r="P175" s="78"/>
      <c r="Q175" s="76"/>
      <c r="R175" s="78"/>
      <c r="S175" s="76"/>
      <c r="T175" s="78"/>
      <c r="U175" s="76"/>
      <c r="V175" s="78"/>
      <c r="W175" s="76">
        <f>+W11</f>
        <v>110.1</v>
      </c>
      <c r="X175" s="78">
        <f t="shared" ref="X175" si="176">+ROUND(W175*$I175,0)</f>
        <v>837311</v>
      </c>
    </row>
    <row r="176" spans="1:24"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60">
        <f t="shared" si="163"/>
        <v>110.1</v>
      </c>
      <c r="H176" s="69">
        <f>+VLOOKUP(C176,'PRECIOS IDU 2025'!$A$1:$E$3189,4,FALSE)</f>
        <v>26586</v>
      </c>
      <c r="I176" s="69">
        <f t="shared" si="164"/>
        <v>34562</v>
      </c>
      <c r="J176" s="69">
        <f t="shared" si="165"/>
        <v>3805276</v>
      </c>
      <c r="K176" s="9"/>
      <c r="L176" s="3"/>
      <c r="M176" s="76"/>
      <c r="N176" s="78"/>
      <c r="O176" s="76"/>
      <c r="P176" s="78"/>
      <c r="Q176" s="76"/>
      <c r="R176" s="78"/>
      <c r="S176" s="76"/>
      <c r="T176" s="78"/>
      <c r="U176" s="76"/>
      <c r="V176" s="78"/>
      <c r="W176" s="76">
        <f>+W11</f>
        <v>110.1</v>
      </c>
      <c r="X176" s="78">
        <f t="shared" ref="X176" si="177">+ROUND(W176*$I176,0)</f>
        <v>3805276</v>
      </c>
    </row>
    <row r="177" spans="1:24"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60">
        <f t="shared" si="163"/>
        <v>2</v>
      </c>
      <c r="H177" s="69">
        <f>+VLOOKUP(C177,'PRECIOS IDU 2025'!$A$1:$E$3189,4,FALSE)</f>
        <v>18726</v>
      </c>
      <c r="I177" s="69">
        <f t="shared" si="164"/>
        <v>24344</v>
      </c>
      <c r="J177" s="69">
        <f t="shared" si="165"/>
        <v>48688</v>
      </c>
      <c r="K177" s="9"/>
      <c r="L177" s="3"/>
      <c r="M177" s="76"/>
      <c r="N177" s="78"/>
      <c r="O177" s="76"/>
      <c r="P177" s="78"/>
      <c r="Q177" s="76"/>
      <c r="R177" s="78"/>
      <c r="S177" s="76"/>
      <c r="T177" s="78"/>
      <c r="U177" s="76"/>
      <c r="V177" s="78"/>
      <c r="W177" s="76">
        <v>2</v>
      </c>
      <c r="X177" s="78">
        <f t="shared" ref="X177" si="178">+ROUND(W177*$I177,0)</f>
        <v>48688</v>
      </c>
    </row>
    <row r="178" spans="1:24"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60">
        <f t="shared" si="163"/>
        <v>12.39</v>
      </c>
      <c r="H178" s="69">
        <f>+VLOOKUP(C178,'PRECIOS IDU 2025'!$A$1:$E$3189,4,FALSE)</f>
        <v>144457</v>
      </c>
      <c r="I178" s="69">
        <f t="shared" si="164"/>
        <v>187794</v>
      </c>
      <c r="J178" s="69">
        <f t="shared" si="165"/>
        <v>2326768</v>
      </c>
      <c r="K178" s="9"/>
      <c r="L178" s="3"/>
      <c r="M178" s="76"/>
      <c r="N178" s="78"/>
      <c r="O178" s="76"/>
      <c r="P178" s="78"/>
      <c r="Q178" s="76"/>
      <c r="R178" s="78"/>
      <c r="S178" s="76"/>
      <c r="T178" s="78"/>
      <c r="U178" s="76"/>
      <c r="V178" s="78"/>
      <c r="W178" s="76">
        <f>+W12*1.5</f>
        <v>12.39</v>
      </c>
      <c r="X178" s="78">
        <f t="shared" ref="X178" si="179">+ROUND(W178*$I178,0)</f>
        <v>2326768</v>
      </c>
    </row>
    <row r="179" spans="1:24"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60">
        <f t="shared" si="163"/>
        <v>4.13</v>
      </c>
      <c r="H179" s="69">
        <f>+VLOOKUP(C179,'PRECIOS IDU 2025'!$A$1:$E$3189,4,FALSE)</f>
        <v>222740</v>
      </c>
      <c r="I179" s="69">
        <f t="shared" si="164"/>
        <v>289562</v>
      </c>
      <c r="J179" s="69">
        <f t="shared" si="165"/>
        <v>1195891</v>
      </c>
      <c r="K179" s="9"/>
      <c r="L179" s="3"/>
      <c r="M179" s="76"/>
      <c r="N179" s="78"/>
      <c r="O179" s="76"/>
      <c r="P179" s="78"/>
      <c r="Q179" s="76"/>
      <c r="R179" s="78"/>
      <c r="S179" s="76"/>
      <c r="T179" s="78"/>
      <c r="U179" s="76"/>
      <c r="V179" s="78"/>
      <c r="W179" s="76">
        <f>+W12*0.25*2</f>
        <v>4.13</v>
      </c>
      <c r="X179" s="78">
        <f t="shared" ref="X179" si="180">+ROUND(W179*$I179,0)</f>
        <v>1195891</v>
      </c>
    </row>
    <row r="180" spans="1:24"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row>
    <row r="181" spans="1:24" s="22" customFormat="1" ht="30" customHeight="1" thickBot="1" x14ac:dyDescent="0.35">
      <c r="A181" s="17"/>
      <c r="B181" s="18"/>
      <c r="C181" s="573" t="s">
        <v>6083</v>
      </c>
      <c r="D181" s="574"/>
      <c r="E181" s="574"/>
      <c r="F181" s="574"/>
      <c r="G181" s="574"/>
      <c r="H181" s="575"/>
      <c r="I181" s="19"/>
      <c r="J181" s="20" t="e">
        <f>+SUM(J17:J163)</f>
        <v>#N/A</v>
      </c>
      <c r="K181" s="21"/>
      <c r="L181" s="17"/>
      <c r="M181" s="77"/>
      <c r="N181" s="79"/>
      <c r="O181" s="77"/>
      <c r="P181" s="79"/>
      <c r="Q181" s="77"/>
      <c r="R181" s="79"/>
      <c r="S181" s="77"/>
      <c r="T181" s="79"/>
      <c r="U181" s="77"/>
      <c r="V181" s="79"/>
      <c r="W181" s="77" t="s">
        <v>6084</v>
      </c>
      <c r="X181" s="79" t="e">
        <f>+SUM(X17:X179)</f>
        <v>#N/A</v>
      </c>
    </row>
    <row r="182" spans="1:24"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row>
    <row r="183" spans="1:24"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row>
    <row r="184" spans="1:24"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f>+M8</f>
        <v>0</v>
      </c>
      <c r="N184" s="17"/>
      <c r="O184" s="17">
        <f>+O8</f>
        <v>0</v>
      </c>
      <c r="P184" s="17"/>
      <c r="Q184" s="17">
        <f>+Q8</f>
        <v>0</v>
      </c>
      <c r="R184" s="17"/>
      <c r="S184" s="17"/>
      <c r="T184" s="17"/>
      <c r="U184" s="17"/>
      <c r="V184" s="17"/>
      <c r="W184" s="17">
        <f>+W8</f>
        <v>3000220</v>
      </c>
      <c r="X184" s="17"/>
    </row>
    <row r="185" spans="1:24" s="22" customFormat="1" ht="30" customHeight="1" thickBot="1" x14ac:dyDescent="0.35">
      <c r="A185" s="17"/>
      <c r="B185" s="18"/>
      <c r="C185" s="25"/>
      <c r="D185" s="26"/>
      <c r="E185" s="29" t="s">
        <v>181</v>
      </c>
      <c r="F185" s="30"/>
      <c r="G185" s="31"/>
      <c r="H185" s="32"/>
      <c r="I185" s="57"/>
      <c r="J185" s="20" t="e">
        <f>+J181+J183+J184</f>
        <v>#N/A</v>
      </c>
      <c r="K185" s="21"/>
      <c r="L185" s="97"/>
      <c r="M185" s="97">
        <f>+SUM(N17:N110,N130:N179)</f>
        <v>0</v>
      </c>
      <c r="N185" s="17"/>
      <c r="O185" s="97">
        <f>+SUM(P17:P110,P130:P179)</f>
        <v>0</v>
      </c>
      <c r="P185" s="17"/>
      <c r="Q185" s="97">
        <f>+SUM(R17:R110,R130:R179)</f>
        <v>0</v>
      </c>
      <c r="R185" s="17"/>
      <c r="S185" s="97"/>
      <c r="T185" s="17"/>
      <c r="U185" s="97"/>
      <c r="V185" s="17"/>
      <c r="W185" s="97" t="e">
        <f>+SUM(X17:X110,X130:X179)</f>
        <v>#N/A</v>
      </c>
      <c r="X185" s="17"/>
    </row>
    <row r="186" spans="1:24" s="22" customFormat="1" ht="16.2" thickBot="1" x14ac:dyDescent="0.35">
      <c r="A186" s="17"/>
      <c r="B186" s="18"/>
      <c r="C186" s="25"/>
      <c r="D186" s="26"/>
      <c r="E186" s="25"/>
      <c r="F186" s="25"/>
      <c r="G186" s="33"/>
      <c r="H186" s="34"/>
      <c r="I186" s="34"/>
      <c r="J186" s="35"/>
      <c r="K186" s="21"/>
      <c r="L186" s="17"/>
      <c r="M186" s="97">
        <f>+SUM(N111:N128)</f>
        <v>0</v>
      </c>
      <c r="N186" s="17"/>
      <c r="O186" s="97">
        <f>+SUM(P111:P128)</f>
        <v>0</v>
      </c>
      <c r="P186" s="17"/>
      <c r="Q186" s="97">
        <f>+SUM(R111:R128)</f>
        <v>0</v>
      </c>
      <c r="R186" s="17"/>
      <c r="S186" s="97"/>
      <c r="T186" s="17"/>
      <c r="U186" s="97"/>
      <c r="V186" s="17"/>
      <c r="W186" s="97">
        <f>+SUM(X111:X128)</f>
        <v>155167510</v>
      </c>
      <c r="X186" s="17"/>
    </row>
    <row r="187" spans="1:24"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row>
    <row r="188" spans="1:24" s="22" customFormat="1" ht="46.5" customHeight="1" x14ac:dyDescent="0.3">
      <c r="A188" s="17"/>
      <c r="B188" s="18"/>
      <c r="C188" s="562" t="s">
        <v>47</v>
      </c>
      <c r="D188" s="558"/>
      <c r="E188" s="558"/>
      <c r="F188" s="567" t="s">
        <v>48</v>
      </c>
      <c r="G188" s="567"/>
      <c r="H188" s="567"/>
      <c r="I188" s="58"/>
      <c r="J188" s="38" t="s">
        <v>49</v>
      </c>
      <c r="K188" s="39"/>
      <c r="L188" s="71" t="e">
        <f>+SUM(M185:Z186)</f>
        <v>#N/A</v>
      </c>
      <c r="M188" s="71"/>
      <c r="N188" s="71"/>
      <c r="O188" s="71"/>
      <c r="P188" s="71"/>
      <c r="Q188" s="71"/>
      <c r="R188" s="71"/>
      <c r="S188" s="71"/>
      <c r="T188" s="71"/>
      <c r="U188" s="71"/>
      <c r="V188" s="71"/>
      <c r="W188" s="71"/>
      <c r="X188" s="71"/>
    </row>
    <row r="189" spans="1:24"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row>
    <row r="190" spans="1:24"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row>
    <row r="191" spans="1:24"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row>
    <row r="192" spans="1:24"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row>
    <row r="193" spans="1:24"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row>
    <row r="194" spans="1:24"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row>
    <row r="195" spans="1:24"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row>
  </sheetData>
  <mergeCells count="43">
    <mergeCell ref="C3:D3"/>
    <mergeCell ref="C5:J5"/>
    <mergeCell ref="C6:J6"/>
    <mergeCell ref="C7:E7"/>
    <mergeCell ref="F7:J9"/>
    <mergeCell ref="C8:E8"/>
    <mergeCell ref="C9:E9"/>
    <mergeCell ref="C10:D12"/>
    <mergeCell ref="E10:J12"/>
    <mergeCell ref="C13:J13"/>
    <mergeCell ref="C14:C15"/>
    <mergeCell ref="D14:D15"/>
    <mergeCell ref="E14:E15"/>
    <mergeCell ref="F14:F15"/>
    <mergeCell ref="G14:G15"/>
    <mergeCell ref="H14:H15"/>
    <mergeCell ref="I14:I15"/>
    <mergeCell ref="C181:H181"/>
    <mergeCell ref="E183:G183"/>
    <mergeCell ref="E184:G184"/>
    <mergeCell ref="X14:X15"/>
    <mergeCell ref="R14:R15"/>
    <mergeCell ref="S14:S15"/>
    <mergeCell ref="T14:T15"/>
    <mergeCell ref="U14:U15"/>
    <mergeCell ref="V14:V15"/>
    <mergeCell ref="W14:W15"/>
    <mergeCell ref="J14:J15"/>
    <mergeCell ref="M14:M15"/>
    <mergeCell ref="N14:N15"/>
    <mergeCell ref="O14:O15"/>
    <mergeCell ref="P14:P15"/>
    <mergeCell ref="Q14:Q15"/>
    <mergeCell ref="F191:G191"/>
    <mergeCell ref="F192:G192"/>
    <mergeCell ref="F193:J193"/>
    <mergeCell ref="D187:J187"/>
    <mergeCell ref="C188:E188"/>
    <mergeCell ref="F188:H188"/>
    <mergeCell ref="C189:E189"/>
    <mergeCell ref="F189:G189"/>
    <mergeCell ref="C190:E190"/>
    <mergeCell ref="F190:G19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74120-16F7-4075-9766-35EFD216E016}">
  <sheetPr>
    <tabColor rgb="FFFF0000"/>
  </sheetPr>
  <dimension ref="A1:BJ195"/>
  <sheetViews>
    <sheetView showGridLines="0" view="pageBreakPreview" zoomScale="55" zoomScaleNormal="100" zoomScaleSheetLayoutView="55" zoomScalePageLayoutView="55" workbookViewId="0">
      <selection activeCell="P187" sqref="P187"/>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13.109375" style="4" customWidth="1"/>
    <col min="13" max="13" width="31.6640625" style="4" customWidth="1"/>
    <col min="14" max="14" width="28" style="4" bestFit="1" customWidth="1"/>
    <col min="15" max="15" width="22.6640625" style="4" bestFit="1" customWidth="1"/>
    <col min="16" max="16" width="28.6640625" style="4" bestFit="1" customWidth="1"/>
    <col min="17" max="17" width="22.6640625" style="4" bestFit="1" customWidth="1"/>
    <col min="18" max="18" width="28.6640625" style="4" bestFit="1" customWidth="1"/>
    <col min="19" max="19" width="22.33203125" style="4" bestFit="1" customWidth="1"/>
    <col min="20" max="20" width="28" style="4" bestFit="1" customWidth="1"/>
    <col min="21" max="21" width="22" style="4" bestFit="1" customWidth="1"/>
    <col min="22" max="22" width="26.5546875" style="4" bestFit="1" customWidth="1"/>
    <col min="23" max="23" width="22.33203125" style="4" bestFit="1" customWidth="1"/>
    <col min="24" max="24" width="28" style="4" bestFit="1" customWidth="1"/>
    <col min="25" max="25" width="22.6640625" style="4" bestFit="1" customWidth="1"/>
    <col min="26" max="26" width="29.33203125" style="4" bestFit="1" customWidth="1"/>
    <col min="27" max="27" width="22.6640625" style="4" bestFit="1" customWidth="1"/>
    <col min="28" max="28" width="28.6640625" style="4" bestFit="1" customWidth="1"/>
    <col min="29" max="29" width="22.33203125" style="4" bestFit="1" customWidth="1"/>
    <col min="30" max="30" width="27.44140625" style="4" bestFit="1" customWidth="1"/>
    <col min="31" max="31" width="22" style="4" bestFit="1" customWidth="1"/>
    <col min="32" max="32" width="26.109375" style="4" bestFit="1" customWidth="1"/>
    <col min="33" max="33" width="22" style="4" bestFit="1" customWidth="1"/>
    <col min="34" max="34" width="26.5546875" style="4" bestFit="1" customWidth="1"/>
    <col min="35" max="35" width="22.33203125" style="4" bestFit="1" customWidth="1"/>
    <col min="36" max="36" width="28.6640625" style="4" bestFit="1" customWidth="1"/>
    <col min="37" max="37" width="22.6640625" style="4" bestFit="1" customWidth="1"/>
    <col min="38" max="38" width="28" style="4" bestFit="1" customWidth="1"/>
    <col min="39" max="39" width="22" style="4" bestFit="1" customWidth="1"/>
    <col min="40" max="40" width="26.109375" style="4" bestFit="1" customWidth="1"/>
    <col min="41" max="41" width="22" style="4" bestFit="1" customWidth="1"/>
    <col min="42" max="42" width="24.5546875" style="4" bestFit="1" customWidth="1"/>
    <col min="43" max="43" width="22" style="4" bestFit="1" customWidth="1"/>
    <col min="44" max="44" width="26.5546875" style="4" bestFit="1" customWidth="1"/>
    <col min="45" max="45" width="22" style="4" bestFit="1" customWidth="1"/>
    <col min="46" max="46" width="26.109375" style="4" bestFit="1" customWidth="1"/>
    <col min="47" max="47" width="22" style="4" bestFit="1" customWidth="1"/>
    <col min="48" max="48" width="26.109375" style="4" bestFit="1" customWidth="1"/>
    <col min="49" max="49" width="22" style="4" bestFit="1" customWidth="1"/>
    <col min="50" max="50" width="26.5546875" style="4" bestFit="1" customWidth="1"/>
    <col min="51" max="51" width="22" style="4" bestFit="1" customWidth="1"/>
    <col min="52" max="52" width="26.109375" style="4" bestFit="1" customWidth="1"/>
    <col min="53" max="53" width="22" style="4" bestFit="1" customWidth="1"/>
    <col min="54" max="54" width="26.109375" style="4" bestFit="1" customWidth="1"/>
    <col min="55" max="55" width="22" style="4" bestFit="1" customWidth="1"/>
    <col min="56" max="56" width="26.109375" style="4" bestFit="1" customWidth="1"/>
    <col min="57" max="57" width="22.33203125" style="4" bestFit="1" customWidth="1"/>
    <col min="58" max="58" width="28.6640625" style="4" bestFit="1" customWidth="1"/>
    <col min="59" max="59" width="23.33203125" style="4" bestFit="1" customWidth="1"/>
    <col min="60" max="60" width="28" style="4" bestFit="1" customWidth="1"/>
    <col min="61" max="61" width="22" style="4" bestFit="1" customWidth="1"/>
    <col min="62" max="62" width="26.109375" style="4" bestFit="1" customWidth="1"/>
    <col min="63" max="16384" width="11.44140625" style="4"/>
  </cols>
  <sheetData>
    <row r="1" spans="1:62" ht="16.2" thickBot="1" x14ac:dyDescent="0.35">
      <c r="A1" s="3"/>
      <c r="B1" s="3"/>
      <c r="C1" s="3"/>
      <c r="D1" s="3"/>
      <c r="E1" s="3"/>
      <c r="F1" s="3"/>
      <c r="G1" s="3"/>
      <c r="H1" s="3"/>
      <c r="I1" s="3"/>
      <c r="J1" s="3"/>
      <c r="K1" s="3"/>
      <c r="L1" s="3"/>
      <c r="M1" s="3" t="s">
        <v>6060</v>
      </c>
      <c r="N1" s="3"/>
      <c r="O1" s="3"/>
      <c r="P1" s="3"/>
      <c r="Q1" s="3"/>
      <c r="R1" s="3" t="s">
        <v>6061</v>
      </c>
      <c r="S1" s="3"/>
      <c r="T1" s="3"/>
      <c r="U1" s="3"/>
      <c r="V1" s="3"/>
      <c r="W1" s="3"/>
      <c r="X1" s="3"/>
    </row>
    <row r="2" spans="1:62"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row>
    <row r="3" spans="1:62"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row>
    <row r="4" spans="1:62" ht="15.6" x14ac:dyDescent="0.3">
      <c r="A4" s="3"/>
      <c r="B4" s="8"/>
      <c r="C4" s="10" t="s">
        <v>1</v>
      </c>
      <c r="D4" s="11" t="s">
        <v>2</v>
      </c>
      <c r="E4" s="3"/>
      <c r="F4" s="3"/>
      <c r="G4" s="3"/>
      <c r="H4" s="3"/>
      <c r="I4" s="3"/>
      <c r="J4" s="3"/>
      <c r="K4" s="9"/>
      <c r="L4" s="3"/>
      <c r="M4" s="3" t="s">
        <v>6067</v>
      </c>
      <c r="N4" s="3"/>
      <c r="O4" s="3"/>
      <c r="P4" s="3"/>
      <c r="Q4" s="3"/>
      <c r="R4" s="3"/>
      <c r="S4" s="3"/>
      <c r="T4" s="3"/>
      <c r="U4" s="3"/>
      <c r="V4" s="3"/>
      <c r="W4" s="3"/>
      <c r="X4" s="3"/>
    </row>
    <row r="5" spans="1:62" ht="15.6" x14ac:dyDescent="0.3">
      <c r="A5" s="3"/>
      <c r="B5" s="8"/>
      <c r="C5" s="586" t="s">
        <v>3</v>
      </c>
      <c r="D5" s="586"/>
      <c r="E5" s="586"/>
      <c r="F5" s="586"/>
      <c r="G5" s="586"/>
      <c r="H5" s="586"/>
      <c r="I5" s="586"/>
      <c r="J5" s="586"/>
      <c r="K5" s="9"/>
      <c r="L5" s="3"/>
      <c r="M5" s="54" t="s">
        <v>6068</v>
      </c>
      <c r="N5" s="54" t="s">
        <v>6069</v>
      </c>
      <c r="O5" s="54" t="s">
        <v>6064</v>
      </c>
      <c r="P5" s="54" t="s">
        <v>6087</v>
      </c>
      <c r="Q5" s="3"/>
      <c r="R5" s="3"/>
      <c r="S5" s="3"/>
      <c r="T5" s="3"/>
      <c r="U5" s="3"/>
      <c r="V5" s="3"/>
      <c r="W5" s="3"/>
      <c r="X5" s="3"/>
    </row>
    <row r="6" spans="1:62" ht="16.2" thickBot="1" x14ac:dyDescent="0.35">
      <c r="A6" s="3"/>
      <c r="B6" s="8"/>
      <c r="C6" s="587" t="s">
        <v>4</v>
      </c>
      <c r="D6" s="587"/>
      <c r="E6" s="587"/>
      <c r="F6" s="587"/>
      <c r="G6" s="587"/>
      <c r="H6" s="587"/>
      <c r="I6" s="587"/>
      <c r="J6" s="587"/>
      <c r="K6" s="9"/>
      <c r="L6" s="3"/>
      <c r="M6" s="55">
        <v>0.12</v>
      </c>
      <c r="N6" s="55">
        <v>0.15</v>
      </c>
      <c r="O6" s="55">
        <v>0.2</v>
      </c>
      <c r="P6" s="55">
        <v>0.2</v>
      </c>
      <c r="Q6" s="3"/>
      <c r="R6" s="3"/>
      <c r="S6" s="3"/>
      <c r="T6" s="3"/>
      <c r="U6" s="3"/>
      <c r="V6" s="3"/>
      <c r="W6" s="3"/>
      <c r="X6" s="3"/>
    </row>
    <row r="7" spans="1:62" s="15" customFormat="1" ht="16.5" customHeight="1" x14ac:dyDescent="0.3">
      <c r="A7" s="12"/>
      <c r="B7" s="13"/>
      <c r="C7" s="588" t="s">
        <v>5</v>
      </c>
      <c r="D7" s="589"/>
      <c r="E7" s="589"/>
      <c r="F7" s="590"/>
      <c r="G7" s="590"/>
      <c r="H7" s="590"/>
      <c r="I7" s="591"/>
      <c r="J7" s="592"/>
      <c r="K7" s="14"/>
      <c r="L7" s="12"/>
      <c r="M7" s="92" t="e">
        <f>+N181</f>
        <v>#N/A</v>
      </c>
      <c r="O7" s="92"/>
      <c r="Q7" s="92"/>
      <c r="S7" s="92"/>
      <c r="U7" s="92"/>
      <c r="W7" s="92"/>
      <c r="Y7" s="92"/>
      <c r="AA7" s="92"/>
      <c r="AC7" s="92"/>
      <c r="AE7" s="92"/>
      <c r="AG7" s="92"/>
      <c r="AI7" s="92"/>
      <c r="AK7" s="92"/>
      <c r="AM7" s="92"/>
      <c r="AO7" s="92" t="e">
        <f>+AP181</f>
        <v>#N/A</v>
      </c>
      <c r="AQ7" s="92"/>
      <c r="AS7" s="92"/>
      <c r="AU7" s="92"/>
      <c r="AW7" s="92"/>
      <c r="AY7" s="92"/>
      <c r="BA7" s="92"/>
      <c r="BC7" s="92"/>
      <c r="BE7" s="92"/>
      <c r="BG7" s="92"/>
      <c r="BI7" s="92"/>
    </row>
    <row r="8" spans="1:62" ht="15.6" x14ac:dyDescent="0.3">
      <c r="A8" s="3"/>
      <c r="B8" s="16"/>
      <c r="C8" s="596" t="s">
        <v>6</v>
      </c>
      <c r="D8" s="597"/>
      <c r="E8" s="597"/>
      <c r="F8" s="593"/>
      <c r="G8" s="593"/>
      <c r="H8" s="593"/>
      <c r="I8" s="594"/>
      <c r="J8" s="595"/>
      <c r="K8" s="9"/>
      <c r="L8" s="80" t="s">
        <v>5794</v>
      </c>
      <c r="M8" s="1">
        <v>3002488</v>
      </c>
      <c r="N8" s="3"/>
      <c r="O8" s="74"/>
      <c r="P8" s="3"/>
      <c r="Q8" s="74"/>
      <c r="R8" s="3"/>
      <c r="S8" s="74"/>
      <c r="T8" s="3"/>
      <c r="U8" s="74"/>
      <c r="V8" s="3"/>
      <c r="W8" s="74"/>
      <c r="X8" s="3"/>
      <c r="Y8" s="74"/>
      <c r="Z8" s="3"/>
      <c r="AA8" s="74"/>
      <c r="AB8" s="3"/>
      <c r="AC8" s="74"/>
      <c r="AD8" s="3"/>
      <c r="AE8" s="74"/>
      <c r="AF8" s="3"/>
      <c r="AG8" s="74"/>
      <c r="AH8" s="3"/>
      <c r="AI8" s="74"/>
      <c r="AJ8" s="3"/>
      <c r="AK8" s="74"/>
      <c r="AL8" s="3"/>
      <c r="AM8" s="74"/>
      <c r="AN8" s="3"/>
      <c r="AO8" s="1">
        <v>3002758</v>
      </c>
      <c r="AP8" s="3"/>
      <c r="AQ8" s="74"/>
      <c r="AR8" s="3"/>
      <c r="AS8" s="74"/>
      <c r="AT8" s="3"/>
      <c r="AU8" s="74"/>
      <c r="AV8" s="3"/>
      <c r="AW8" s="74"/>
      <c r="AX8" s="3"/>
      <c r="AY8" s="74"/>
      <c r="AZ8" s="3"/>
      <c r="BA8" s="74"/>
      <c r="BB8" s="3"/>
      <c r="BC8" s="74"/>
      <c r="BD8" s="3"/>
      <c r="BE8" s="74"/>
      <c r="BF8" s="3"/>
      <c r="BG8" s="74"/>
      <c r="BH8" s="3"/>
      <c r="BI8" s="74"/>
      <c r="BJ8" s="3"/>
    </row>
    <row r="9" spans="1:62" ht="15.6" x14ac:dyDescent="0.3">
      <c r="A9" s="3"/>
      <c r="B9" s="16"/>
      <c r="C9" s="596" t="s">
        <v>6070</v>
      </c>
      <c r="D9" s="597"/>
      <c r="E9" s="597"/>
      <c r="F9" s="593"/>
      <c r="G9" s="593"/>
      <c r="H9" s="593"/>
      <c r="I9" s="594"/>
      <c r="J9" s="595"/>
      <c r="K9" s="9"/>
      <c r="L9" s="80" t="s">
        <v>6071</v>
      </c>
      <c r="M9" s="74" t="str">
        <f>+VLOOKUP(M8,'PRIORIZACION MALLA VIAL RUR'!$G$2:$O$27,7)</f>
        <v>FLEXIBLE</v>
      </c>
      <c r="O9" s="74"/>
      <c r="Q9" s="74"/>
      <c r="S9" s="74"/>
      <c r="U9" s="74"/>
      <c r="W9" s="74"/>
      <c r="Y9" s="74"/>
      <c r="AA9" s="74"/>
      <c r="AC9" s="74"/>
      <c r="AE9" s="74"/>
      <c r="AG9" s="74"/>
      <c r="AI9" s="74"/>
      <c r="AK9" s="74"/>
      <c r="AM9" s="74"/>
      <c r="AO9" s="74" t="str">
        <f>+VLOOKUP(AO8,'PRIORIZACION MALLA VIAL RUR'!$G$2:$O$27,7)</f>
        <v>AFIRMADO</v>
      </c>
      <c r="AQ9" s="74"/>
      <c r="AS9" s="74"/>
      <c r="AU9" s="74"/>
      <c r="AW9" s="74"/>
      <c r="AY9" s="74"/>
      <c r="BA9" s="74"/>
      <c r="BC9" s="74"/>
      <c r="BE9" s="74"/>
      <c r="BG9" s="74"/>
      <c r="BI9" s="74"/>
    </row>
    <row r="10" spans="1:62" ht="15.6" x14ac:dyDescent="0.3">
      <c r="A10" s="3"/>
      <c r="B10" s="16"/>
      <c r="C10" s="599" t="s">
        <v>8</v>
      </c>
      <c r="D10" s="593"/>
      <c r="E10" s="593"/>
      <c r="F10" s="593"/>
      <c r="G10" s="593"/>
      <c r="H10" s="593"/>
      <c r="I10" s="594"/>
      <c r="J10" s="595"/>
      <c r="K10" s="9"/>
      <c r="L10" s="80" t="s">
        <v>6072</v>
      </c>
      <c r="M10" s="74" t="str">
        <f>+VLOOKUP(M8,'PRIORIZACION MALLA VIAL RUR'!$G$2:$O$27,8)</f>
        <v>RECONSTRUCCION</v>
      </c>
      <c r="O10" s="74"/>
      <c r="Q10" s="74"/>
      <c r="S10" s="74"/>
      <c r="U10" s="74"/>
      <c r="W10" s="74"/>
      <c r="Y10" s="74"/>
      <c r="AA10" s="74"/>
      <c r="AC10" s="74"/>
      <c r="AE10" s="74"/>
      <c r="AG10" s="74"/>
      <c r="AI10" s="74"/>
      <c r="AK10" s="74"/>
      <c r="AM10" s="74"/>
      <c r="AO10" s="74" t="str">
        <f>+VLOOKUP(AO8,'PRIORIZACION MALLA VIAL RUR'!$G$2:$O$27,8)</f>
        <v>RECONSTRUCCION</v>
      </c>
      <c r="AQ10" s="74"/>
      <c r="AS10" s="74"/>
      <c r="AU10" s="74"/>
      <c r="AW10" s="74"/>
      <c r="AY10" s="74"/>
      <c r="BA10" s="74"/>
      <c r="BC10" s="74"/>
      <c r="BE10" s="74"/>
      <c r="BG10" s="74"/>
      <c r="BI10" s="74"/>
    </row>
    <row r="11" spans="1:62" ht="15.6" x14ac:dyDescent="0.3">
      <c r="A11" s="3"/>
      <c r="B11" s="16"/>
      <c r="C11" s="599"/>
      <c r="D11" s="593"/>
      <c r="E11" s="593"/>
      <c r="F11" s="593"/>
      <c r="G11" s="593"/>
      <c r="H11" s="593"/>
      <c r="I11" s="594"/>
      <c r="J11" s="595"/>
      <c r="K11" s="9"/>
      <c r="L11" s="80" t="s">
        <v>6073</v>
      </c>
      <c r="M11" s="74">
        <f>+VLOOKUP(M8,'PRIORIZACION MALLA VIAL RUR'!$G$2:$O$27,5)</f>
        <v>737</v>
      </c>
      <c r="O11" s="74"/>
      <c r="Q11" s="74"/>
      <c r="S11" s="74"/>
      <c r="U11" s="74"/>
      <c r="W11" s="74"/>
      <c r="Y11" s="74"/>
      <c r="AA11" s="74"/>
      <c r="AC11" s="74"/>
      <c r="AE11" s="74"/>
      <c r="AG11" s="74"/>
      <c r="AI11" s="74"/>
      <c r="AK11" s="74"/>
      <c r="AM11" s="74"/>
      <c r="AO11" s="74">
        <f>+VLOOKUP(AO8,'PRIORIZACION MALLA VIAL RUR'!$G$2:$O$27,5)</f>
        <v>116.36</v>
      </c>
      <c r="AQ11" s="74"/>
      <c r="AS11" s="74"/>
      <c r="AU11" s="74"/>
      <c r="AW11" s="74"/>
      <c r="AY11" s="74"/>
      <c r="BA11" s="74"/>
      <c r="BC11" s="74"/>
      <c r="BE11" s="74"/>
      <c r="BG11" s="74"/>
      <c r="BI11" s="74"/>
    </row>
    <row r="12" spans="1:62" ht="16.2" thickBot="1" x14ac:dyDescent="0.35">
      <c r="A12" s="3"/>
      <c r="B12" s="16"/>
      <c r="C12" s="600"/>
      <c r="D12" s="601"/>
      <c r="E12" s="601"/>
      <c r="F12" s="601"/>
      <c r="G12" s="601"/>
      <c r="H12" s="601"/>
      <c r="I12" s="602"/>
      <c r="J12" s="603"/>
      <c r="K12" s="9"/>
      <c r="L12" s="80" t="s">
        <v>6074</v>
      </c>
      <c r="M12" s="90">
        <f>+VLOOKUP(M8,'PRIORIZACION MALLA VIAL RUR'!$G$2:$O$27,6)</f>
        <v>4.5</v>
      </c>
      <c r="O12" s="90"/>
      <c r="Q12" s="90"/>
      <c r="S12" s="90"/>
      <c r="U12" s="90"/>
      <c r="W12" s="90"/>
      <c r="Y12" s="90"/>
      <c r="AA12" s="90"/>
      <c r="AC12" s="90"/>
      <c r="AE12" s="90"/>
      <c r="AG12" s="90"/>
      <c r="AI12" s="90"/>
      <c r="AK12" s="90"/>
      <c r="AM12" s="90"/>
      <c r="AO12" s="90">
        <f>+VLOOKUP(AO8,'PRIORIZACION MALLA VIAL RUR'!$G$2:$O$27,6)</f>
        <v>3.2</v>
      </c>
      <c r="AQ12" s="90"/>
      <c r="AS12" s="90"/>
      <c r="AU12" s="90"/>
      <c r="AW12" s="90"/>
      <c r="AY12" s="90"/>
      <c r="BA12" s="90"/>
      <c r="BC12" s="90"/>
      <c r="BE12" s="90"/>
      <c r="BG12" s="90"/>
      <c r="BI12" s="90"/>
    </row>
    <row r="13" spans="1:62" ht="30" customHeight="1" thickBot="1" x14ac:dyDescent="0.35">
      <c r="A13" s="3"/>
      <c r="B13" s="8"/>
      <c r="C13" s="604"/>
      <c r="D13" s="605"/>
      <c r="E13" s="605"/>
      <c r="F13" s="605"/>
      <c r="G13" s="605"/>
      <c r="H13" s="605"/>
      <c r="I13" s="605"/>
      <c r="J13" s="606"/>
      <c r="K13" s="9"/>
      <c r="L13" s="80" t="s">
        <v>6075</v>
      </c>
      <c r="M13" s="75">
        <f>+ROUND(M11*M12,2)</f>
        <v>3316.5</v>
      </c>
      <c r="O13" s="75"/>
      <c r="Q13" s="75"/>
      <c r="S13" s="75"/>
      <c r="U13" s="75"/>
      <c r="W13" s="75"/>
      <c r="Y13" s="75"/>
      <c r="AA13" s="75"/>
      <c r="AC13" s="75"/>
      <c r="AE13" s="75"/>
      <c r="AG13" s="75"/>
      <c r="AI13" s="75"/>
      <c r="AK13" s="75"/>
      <c r="AM13" s="75"/>
      <c r="AO13" s="75">
        <f>+ROUND(AO11*AO12,2)</f>
        <v>372.35</v>
      </c>
      <c r="AQ13" s="75"/>
      <c r="AS13" s="75"/>
      <c r="AU13" s="75"/>
      <c r="AW13" s="75"/>
      <c r="AY13" s="75"/>
      <c r="BA13" s="75"/>
      <c r="BC13" s="75"/>
      <c r="BE13" s="75"/>
      <c r="BG13" s="75"/>
      <c r="BI13" s="75"/>
    </row>
    <row r="14" spans="1:62" ht="16.5" customHeight="1" x14ac:dyDescent="0.3">
      <c r="A14" s="3"/>
      <c r="B14" s="8"/>
      <c r="C14" s="607" t="s">
        <v>10</v>
      </c>
      <c r="D14" s="609" t="s">
        <v>11</v>
      </c>
      <c r="E14" s="607" t="s">
        <v>12</v>
      </c>
      <c r="F14" s="611" t="s">
        <v>13</v>
      </c>
      <c r="G14" s="611" t="s">
        <v>14</v>
      </c>
      <c r="H14" s="598" t="s">
        <v>15</v>
      </c>
      <c r="I14" s="598" t="s">
        <v>27</v>
      </c>
      <c r="J14" s="925" t="s">
        <v>16</v>
      </c>
      <c r="K14" s="9"/>
      <c r="L14" s="3"/>
      <c r="M14" s="547" t="s">
        <v>14</v>
      </c>
      <c r="N14" s="548" t="s">
        <v>16</v>
      </c>
      <c r="O14" s="547"/>
      <c r="P14" s="548"/>
      <c r="Q14" s="547"/>
      <c r="R14" s="548"/>
      <c r="S14" s="547"/>
      <c r="T14" s="548"/>
      <c r="U14" s="547"/>
      <c r="V14" s="548"/>
      <c r="W14" s="547"/>
      <c r="X14" s="548"/>
      <c r="Y14" s="547"/>
      <c r="Z14" s="548"/>
      <c r="AA14" s="547"/>
      <c r="AB14" s="548"/>
      <c r="AC14" s="547"/>
      <c r="AD14" s="548"/>
      <c r="AE14" s="547"/>
      <c r="AF14" s="548"/>
      <c r="AG14" s="547"/>
      <c r="AH14" s="548"/>
      <c r="AI14" s="547"/>
      <c r="AJ14" s="548"/>
      <c r="AK14" s="547"/>
      <c r="AL14" s="548"/>
      <c r="AM14" s="547"/>
      <c r="AN14" s="548"/>
      <c r="AO14" s="547" t="s">
        <v>14</v>
      </c>
      <c r="AP14" s="548" t="s">
        <v>16</v>
      </c>
      <c r="AQ14" s="547"/>
      <c r="AR14" s="548"/>
      <c r="AS14" s="547"/>
      <c r="AT14" s="548"/>
      <c r="AU14" s="547"/>
      <c r="AV14" s="548"/>
      <c r="AW14" s="547"/>
      <c r="AX14" s="548"/>
      <c r="AY14" s="547"/>
      <c r="AZ14" s="548"/>
      <c r="BA14" s="547"/>
      <c r="BB14" s="548"/>
      <c r="BC14" s="547"/>
      <c r="BD14" s="548"/>
      <c r="BE14" s="547"/>
      <c r="BF14" s="548"/>
      <c r="BG14" s="547"/>
      <c r="BH14" s="548"/>
      <c r="BI14" s="547"/>
      <c r="BJ14" s="548"/>
    </row>
    <row r="15" spans="1:62"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c r="Y15" s="547"/>
      <c r="Z15" s="548"/>
      <c r="AA15" s="547"/>
      <c r="AB15" s="548"/>
      <c r="AC15" s="547"/>
      <c r="AD15" s="548"/>
      <c r="AE15" s="547"/>
      <c r="AF15" s="548"/>
      <c r="AG15" s="547"/>
      <c r="AH15" s="548"/>
      <c r="AI15" s="547"/>
      <c r="AJ15" s="548"/>
      <c r="AK15" s="547"/>
      <c r="AL15" s="548"/>
      <c r="AM15" s="547"/>
      <c r="AN15" s="548"/>
      <c r="AO15" s="547"/>
      <c r="AP15" s="548"/>
      <c r="AQ15" s="547"/>
      <c r="AR15" s="548"/>
      <c r="AS15" s="547"/>
      <c r="AT15" s="548"/>
      <c r="AU15" s="547"/>
      <c r="AV15" s="548"/>
      <c r="AW15" s="547"/>
      <c r="AX15" s="548"/>
      <c r="AY15" s="547"/>
      <c r="AZ15" s="548"/>
      <c r="BA15" s="547"/>
      <c r="BB15" s="548"/>
      <c r="BC15" s="547"/>
      <c r="BD15" s="548"/>
      <c r="BE15" s="547"/>
      <c r="BF15" s="548"/>
      <c r="BG15" s="547"/>
      <c r="BH15" s="548"/>
      <c r="BI15" s="547"/>
      <c r="BJ15" s="548"/>
    </row>
    <row r="16" spans="1:62"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row>
    <row r="17" spans="1:62" ht="30" customHeight="1" x14ac:dyDescent="0.3">
      <c r="A17" s="3"/>
      <c r="B17" s="8"/>
      <c r="C17" s="60">
        <v>3007</v>
      </c>
      <c r="D17" s="60">
        <v>1001</v>
      </c>
      <c r="E17" s="60" t="str">
        <f>+VLOOKUP(C17,'PRECIOS IDU 2025'!$A$1:$E$3189,2,FALSE)</f>
        <v>REPLANTEO GENERAL</v>
      </c>
      <c r="F17" s="60" t="str">
        <f>+VLOOKUP(C17,'PRECIOS IDU 2025'!$A$1:$E$3189,3,FALSE)</f>
        <v>M2</v>
      </c>
      <c r="G17" s="108">
        <f>+ROUND(M17+O17+Q17+S17+U17+W17+Y17+AA17+AC17+AE17+AG17+AI17+AK17+AM17+AO17+AQ17+AS17+AU17+AW17+AY17+BA17+BC17+BE17+BG17+BI17,2)</f>
        <v>3465</v>
      </c>
      <c r="H17" s="69">
        <f>+VLOOKUP(C17,'PRECIOS IDU 2025'!$A$1:$E$3189,4,FALSE)</f>
        <v>909</v>
      </c>
      <c r="I17" s="69">
        <f t="shared" ref="I17:I38" si="0">+ROUND(H17*(1+$J$192),0)</f>
        <v>1182</v>
      </c>
      <c r="J17" s="69">
        <f>+ROUND(I17*G17,0)</f>
        <v>4095630</v>
      </c>
      <c r="K17" s="9"/>
      <c r="L17" s="3"/>
      <c r="M17" s="76">
        <f>+M13</f>
        <v>3316.5</v>
      </c>
      <c r="N17" s="78">
        <f t="shared" ref="N17:N27" si="1">+ROUND(M17*$I17,0)</f>
        <v>3920103</v>
      </c>
      <c r="O17" s="76"/>
      <c r="P17" s="78"/>
      <c r="Q17" s="76"/>
      <c r="R17" s="78"/>
      <c r="S17" s="76"/>
      <c r="T17" s="78"/>
      <c r="U17" s="76"/>
      <c r="V17" s="78"/>
      <c r="W17" s="76"/>
      <c r="X17" s="78"/>
      <c r="Y17" s="76"/>
      <c r="Z17" s="78"/>
      <c r="AA17" s="76"/>
      <c r="AB17" s="78"/>
      <c r="AC17" s="76"/>
      <c r="AD17" s="78"/>
      <c r="AE17" s="76"/>
      <c r="AF17" s="78"/>
      <c r="AG17" s="76"/>
      <c r="AH17" s="78"/>
      <c r="AI17" s="76"/>
      <c r="AJ17" s="78"/>
      <c r="AK17" s="76"/>
      <c r="AL17" s="78"/>
      <c r="AM17" s="76"/>
      <c r="AN17" s="78"/>
      <c r="AO17" s="76">
        <v>148.5</v>
      </c>
      <c r="AP17" s="78">
        <f t="shared" ref="AP17:AP27" si="2">+ROUND(AO17*$I17,0)</f>
        <v>175527</v>
      </c>
      <c r="AQ17" s="76"/>
      <c r="AR17" s="78"/>
      <c r="AS17" s="76"/>
      <c r="AT17" s="78"/>
      <c r="AU17" s="76"/>
      <c r="AV17" s="78"/>
      <c r="AW17" s="76"/>
      <c r="AX17" s="78"/>
      <c r="AY17" s="76"/>
      <c r="AZ17" s="78"/>
      <c r="BA17" s="76"/>
      <c r="BB17" s="78"/>
      <c r="BC17" s="76"/>
      <c r="BD17" s="78"/>
      <c r="BE17" s="76"/>
      <c r="BF17" s="78"/>
      <c r="BG17" s="76"/>
      <c r="BH17" s="78"/>
      <c r="BI17" s="76"/>
      <c r="BJ17" s="78"/>
    </row>
    <row r="18" spans="1:62"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ref="G18:G38" si="3">+ROUND(M18+O18+Q18+S18+U18+W18+Y18+AA18+AC18+AE18+AG18+AI18+AK18+AM18+AO18+AQ18+AS18+AU18+AW18+AY18+BA18+BC18+BE18+BG18+BI18,2)</f>
        <v>0</v>
      </c>
      <c r="H18" s="69">
        <f>+VLOOKUP(C18,'PRECIOS IDU 2025'!$A$1:$E$3189,4,FALSE)</f>
        <v>2659</v>
      </c>
      <c r="I18" s="69">
        <f t="shared" si="0"/>
        <v>3457</v>
      </c>
      <c r="J18" s="69">
        <f>+ROUND(I18*G18,0)</f>
        <v>0</v>
      </c>
      <c r="K18" s="9"/>
      <c r="L18" s="3"/>
      <c r="M18" s="76"/>
      <c r="N18" s="78">
        <f t="shared" si="1"/>
        <v>0</v>
      </c>
      <c r="O18" s="76"/>
      <c r="P18" s="78"/>
      <c r="Q18" s="76"/>
      <c r="R18" s="78"/>
      <c r="S18" s="76"/>
      <c r="T18" s="78"/>
      <c r="U18" s="76"/>
      <c r="V18" s="78"/>
      <c r="W18" s="76"/>
      <c r="X18" s="78"/>
      <c r="Y18" s="76"/>
      <c r="Z18" s="78"/>
      <c r="AA18" s="76"/>
      <c r="AB18" s="78"/>
      <c r="AC18" s="76"/>
      <c r="AD18" s="78"/>
      <c r="AE18" s="76"/>
      <c r="AF18" s="78"/>
      <c r="AG18" s="76"/>
      <c r="AH18" s="78"/>
      <c r="AI18" s="76"/>
      <c r="AJ18" s="78"/>
      <c r="AK18" s="76"/>
      <c r="AL18" s="78"/>
      <c r="AM18" s="76"/>
      <c r="AN18" s="78"/>
      <c r="AO18" s="76"/>
      <c r="AP18" s="78">
        <f t="shared" si="2"/>
        <v>0</v>
      </c>
      <c r="AQ18" s="76"/>
      <c r="AR18" s="78"/>
      <c r="AS18" s="76"/>
      <c r="AT18" s="78"/>
      <c r="AU18" s="76"/>
      <c r="AV18" s="78"/>
      <c r="AW18" s="76"/>
      <c r="AX18" s="78"/>
      <c r="AY18" s="76"/>
      <c r="AZ18" s="78"/>
      <c r="BA18" s="76"/>
      <c r="BB18" s="78"/>
      <c r="BC18" s="76"/>
      <c r="BD18" s="78"/>
      <c r="BE18" s="76"/>
      <c r="BF18" s="78"/>
      <c r="BG18" s="76"/>
      <c r="BH18" s="78"/>
      <c r="BI18" s="76"/>
      <c r="BJ18" s="78"/>
    </row>
    <row r="19" spans="1:62"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3"/>
        <v>77</v>
      </c>
      <c r="H19" s="69">
        <f>+VLOOKUP(C19,'PRECIOS IDU 2025'!$A$1:$E$3189,4,FALSE)</f>
        <v>38781</v>
      </c>
      <c r="I19" s="69">
        <f t="shared" si="0"/>
        <v>50415</v>
      </c>
      <c r="J19" s="69">
        <f t="shared" ref="J19:J38" si="4">+ROUND(I19*G19,0)</f>
        <v>3881955</v>
      </c>
      <c r="K19" s="9"/>
      <c r="L19" s="3"/>
      <c r="M19" s="76">
        <f>+M11*0.1</f>
        <v>73.7</v>
      </c>
      <c r="N19" s="78">
        <f t="shared" si="1"/>
        <v>3715586</v>
      </c>
      <c r="O19" s="76"/>
      <c r="P19" s="78"/>
      <c r="Q19" s="76"/>
      <c r="R19" s="78"/>
      <c r="S19" s="76"/>
      <c r="T19" s="78"/>
      <c r="U19" s="76"/>
      <c r="V19" s="78"/>
      <c r="W19" s="76"/>
      <c r="X19" s="78"/>
      <c r="Y19" s="76"/>
      <c r="Z19" s="78"/>
      <c r="AA19" s="76"/>
      <c r="AB19" s="78"/>
      <c r="AC19" s="76"/>
      <c r="AD19" s="78"/>
      <c r="AE19" s="76"/>
      <c r="AF19" s="78"/>
      <c r="AG19" s="76"/>
      <c r="AH19" s="78"/>
      <c r="AI19" s="76"/>
      <c r="AJ19" s="78"/>
      <c r="AK19" s="76"/>
      <c r="AL19" s="78"/>
      <c r="AM19" s="76"/>
      <c r="AN19" s="78"/>
      <c r="AO19" s="76">
        <v>3.3000000000000003</v>
      </c>
      <c r="AP19" s="78">
        <f t="shared" si="2"/>
        <v>166370</v>
      </c>
      <c r="AQ19" s="76"/>
      <c r="AR19" s="78"/>
      <c r="AS19" s="76"/>
      <c r="AT19" s="78"/>
      <c r="AU19" s="76"/>
      <c r="AV19" s="78"/>
      <c r="AW19" s="76"/>
      <c r="AX19" s="78"/>
      <c r="AY19" s="76"/>
      <c r="AZ19" s="78"/>
      <c r="BA19" s="76"/>
      <c r="BB19" s="78"/>
      <c r="BC19" s="76"/>
      <c r="BD19" s="78"/>
      <c r="BE19" s="76"/>
      <c r="BF19" s="78"/>
      <c r="BG19" s="76"/>
      <c r="BH19" s="78"/>
      <c r="BI19" s="76"/>
      <c r="BJ19" s="78"/>
    </row>
    <row r="20" spans="1:62"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3"/>
        <v>2321.5500000000002</v>
      </c>
      <c r="H20" s="69">
        <f>+VLOOKUP(C20,'PRECIOS IDU 2025'!$A$1:$E$3189,4,FALSE)</f>
        <v>5741</v>
      </c>
      <c r="I20" s="69">
        <f t="shared" si="0"/>
        <v>7463</v>
      </c>
      <c r="J20" s="69">
        <f t="shared" si="4"/>
        <v>17325728</v>
      </c>
      <c r="K20" s="9"/>
      <c r="L20" s="3"/>
      <c r="M20" s="76">
        <f>+M13*SUM($M$6:$P$6)</f>
        <v>2222.0550000000003</v>
      </c>
      <c r="N20" s="78">
        <f t="shared" si="1"/>
        <v>16583196</v>
      </c>
      <c r="O20" s="76"/>
      <c r="P20" s="78"/>
      <c r="Q20" s="76"/>
      <c r="R20" s="78"/>
      <c r="S20" s="76"/>
      <c r="T20" s="78"/>
      <c r="U20" s="76"/>
      <c r="V20" s="78"/>
      <c r="W20" s="76"/>
      <c r="X20" s="78"/>
      <c r="Y20" s="76"/>
      <c r="Z20" s="78"/>
      <c r="AA20" s="76"/>
      <c r="AB20" s="78"/>
      <c r="AC20" s="76"/>
      <c r="AD20" s="78"/>
      <c r="AE20" s="76"/>
      <c r="AF20" s="78"/>
      <c r="AG20" s="76"/>
      <c r="AH20" s="78"/>
      <c r="AI20" s="76"/>
      <c r="AJ20" s="78"/>
      <c r="AK20" s="76"/>
      <c r="AL20" s="78"/>
      <c r="AM20" s="76"/>
      <c r="AN20" s="78"/>
      <c r="AO20" s="76">
        <v>99.495000000000005</v>
      </c>
      <c r="AP20" s="78">
        <f t="shared" si="2"/>
        <v>742531</v>
      </c>
      <c r="AQ20" s="76"/>
      <c r="AR20" s="78"/>
      <c r="AS20" s="76"/>
      <c r="AT20" s="78"/>
      <c r="AU20" s="76"/>
      <c r="AV20" s="78"/>
      <c r="AW20" s="76"/>
      <c r="AX20" s="78"/>
      <c r="AY20" s="76"/>
      <c r="AZ20" s="78"/>
      <c r="BA20" s="76"/>
      <c r="BB20" s="78"/>
      <c r="BC20" s="76"/>
      <c r="BD20" s="78"/>
      <c r="BE20" s="76"/>
      <c r="BF20" s="78"/>
      <c r="BG20" s="76"/>
      <c r="BH20" s="78"/>
      <c r="BI20" s="76"/>
      <c r="BJ20" s="78"/>
    </row>
    <row r="21" spans="1:62"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3"/>
        <v>116.08</v>
      </c>
      <c r="H21" s="69">
        <f>+VLOOKUP(C21,'PRECIOS IDU 2025'!$A$1:$E$3189,4,FALSE)</f>
        <v>46379</v>
      </c>
      <c r="I21" s="69">
        <f t="shared" si="0"/>
        <v>60293</v>
      </c>
      <c r="J21" s="69">
        <f t="shared" si="4"/>
        <v>6998811</v>
      </c>
      <c r="K21" s="9"/>
      <c r="L21" s="3"/>
      <c r="M21" s="76">
        <f>+M20*0.05</f>
        <v>111.10275000000001</v>
      </c>
      <c r="N21" s="78">
        <f t="shared" si="1"/>
        <v>6698718</v>
      </c>
      <c r="O21" s="76"/>
      <c r="P21" s="78"/>
      <c r="Q21" s="76"/>
      <c r="R21" s="78"/>
      <c r="S21" s="76"/>
      <c r="T21" s="78"/>
      <c r="U21" s="76"/>
      <c r="V21" s="78"/>
      <c r="W21" s="76"/>
      <c r="X21" s="78"/>
      <c r="Y21" s="76"/>
      <c r="Z21" s="78"/>
      <c r="AA21" s="76"/>
      <c r="AB21" s="78"/>
      <c r="AC21" s="76"/>
      <c r="AD21" s="78"/>
      <c r="AE21" s="76"/>
      <c r="AF21" s="78"/>
      <c r="AG21" s="76"/>
      <c r="AH21" s="78"/>
      <c r="AI21" s="76"/>
      <c r="AJ21" s="78"/>
      <c r="AK21" s="76"/>
      <c r="AL21" s="78"/>
      <c r="AM21" s="76"/>
      <c r="AN21" s="78"/>
      <c r="AO21" s="76">
        <v>4.9747500000000002</v>
      </c>
      <c r="AP21" s="78">
        <f t="shared" si="2"/>
        <v>299943</v>
      </c>
      <c r="AQ21" s="76"/>
      <c r="AR21" s="78"/>
      <c r="AS21" s="76"/>
      <c r="AT21" s="78"/>
      <c r="AU21" s="76"/>
      <c r="AV21" s="78"/>
      <c r="AW21" s="76"/>
      <c r="AX21" s="78"/>
      <c r="AY21" s="76"/>
      <c r="AZ21" s="78"/>
      <c r="BA21" s="76"/>
      <c r="BB21" s="78"/>
      <c r="BC21" s="76"/>
      <c r="BD21" s="78"/>
      <c r="BE21" s="76"/>
      <c r="BF21" s="78"/>
      <c r="BG21" s="76"/>
      <c r="BH21" s="78"/>
      <c r="BI21" s="76"/>
      <c r="BJ21" s="78"/>
    </row>
    <row r="22" spans="1:62"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3"/>
        <v>3269.02</v>
      </c>
      <c r="H22" s="69">
        <f>+VLOOKUP(C22,'PRECIOS IDU 2025'!$A$1:$E$3189,4,FALSE)</f>
        <v>45600</v>
      </c>
      <c r="I22" s="69">
        <f t="shared" si="0"/>
        <v>59280</v>
      </c>
      <c r="J22" s="69">
        <f t="shared" si="4"/>
        <v>193787506</v>
      </c>
      <c r="K22" s="9"/>
      <c r="L22" s="3"/>
      <c r="M22" s="76">
        <f>++SUM(M19:M21)*1.3</f>
        <v>3128.9150750000003</v>
      </c>
      <c r="N22" s="78">
        <f t="shared" si="1"/>
        <v>185482086</v>
      </c>
      <c r="O22" s="76"/>
      <c r="P22" s="78"/>
      <c r="Q22" s="76"/>
      <c r="R22" s="78"/>
      <c r="S22" s="76"/>
      <c r="T22" s="78"/>
      <c r="U22" s="76"/>
      <c r="V22" s="78"/>
      <c r="W22" s="76"/>
      <c r="X22" s="78"/>
      <c r="Y22" s="76"/>
      <c r="Z22" s="78"/>
      <c r="AA22" s="76"/>
      <c r="AB22" s="78"/>
      <c r="AC22" s="76"/>
      <c r="AD22" s="78"/>
      <c r="AE22" s="76"/>
      <c r="AF22" s="78"/>
      <c r="AG22" s="76"/>
      <c r="AH22" s="78"/>
      <c r="AI22" s="76"/>
      <c r="AJ22" s="78"/>
      <c r="AK22" s="76"/>
      <c r="AL22" s="78"/>
      <c r="AM22" s="76"/>
      <c r="AN22" s="78"/>
      <c r="AO22" s="76">
        <v>140.100675</v>
      </c>
      <c r="AP22" s="78">
        <f t="shared" si="2"/>
        <v>8305168</v>
      </c>
      <c r="AQ22" s="76"/>
      <c r="AR22" s="78"/>
      <c r="AS22" s="76"/>
      <c r="AT22" s="78"/>
      <c r="AU22" s="76"/>
      <c r="AV22" s="78"/>
      <c r="AW22" s="76"/>
      <c r="AX22" s="78"/>
      <c r="AY22" s="76"/>
      <c r="AZ22" s="78"/>
      <c r="BA22" s="76"/>
      <c r="BB22" s="78"/>
      <c r="BC22" s="76"/>
      <c r="BD22" s="78"/>
      <c r="BE22" s="76"/>
      <c r="BF22" s="78"/>
      <c r="BG22" s="76"/>
      <c r="BH22" s="78"/>
      <c r="BI22" s="76"/>
      <c r="BJ22" s="78"/>
    </row>
    <row r="23" spans="1:62" ht="15.6" x14ac:dyDescent="0.3">
      <c r="A23" s="3"/>
      <c r="B23" s="8"/>
      <c r="C23" s="60">
        <v>3800</v>
      </c>
      <c r="D23" s="60">
        <v>1007</v>
      </c>
      <c r="E23" s="60" t="str">
        <f>+VLOOKUP(C23,'PRECIOS IDU 2025'!$A$1:$E$3189,2,FALSE)</f>
        <v>NIVELACION Y COMPACTACIÓN DE SUBRASANTE</v>
      </c>
      <c r="F23" s="60" t="str">
        <f>+VLOOKUP(C23,'PRECIOS IDU 2025'!$A$1:$E$3189,3,FALSE)</f>
        <v>M2</v>
      </c>
      <c r="G23" s="108">
        <f t="shared" si="3"/>
        <v>3465</v>
      </c>
      <c r="H23" s="69">
        <f>+VLOOKUP(C23,'PRECIOS IDU 2025'!$A$1:$E$3189,4,FALSE)</f>
        <v>1757</v>
      </c>
      <c r="I23" s="69">
        <f t="shared" si="0"/>
        <v>2284</v>
      </c>
      <c r="J23" s="69">
        <f t="shared" si="4"/>
        <v>7914060</v>
      </c>
      <c r="K23" s="9"/>
      <c r="L23" s="3"/>
      <c r="M23" s="76">
        <f>+M13</f>
        <v>3316.5</v>
      </c>
      <c r="N23" s="78">
        <f t="shared" si="1"/>
        <v>7574886</v>
      </c>
      <c r="O23" s="76"/>
      <c r="P23" s="78"/>
      <c r="Q23" s="76"/>
      <c r="R23" s="78"/>
      <c r="S23" s="76"/>
      <c r="T23" s="78"/>
      <c r="U23" s="76"/>
      <c r="V23" s="78"/>
      <c r="W23" s="76"/>
      <c r="X23" s="78"/>
      <c r="Y23" s="76"/>
      <c r="Z23" s="78"/>
      <c r="AA23" s="76"/>
      <c r="AB23" s="78"/>
      <c r="AC23" s="76"/>
      <c r="AD23" s="78"/>
      <c r="AE23" s="76"/>
      <c r="AF23" s="78"/>
      <c r="AG23" s="76"/>
      <c r="AH23" s="78"/>
      <c r="AI23" s="76"/>
      <c r="AJ23" s="78"/>
      <c r="AK23" s="76"/>
      <c r="AL23" s="78"/>
      <c r="AM23" s="76"/>
      <c r="AN23" s="78"/>
      <c r="AO23" s="76">
        <v>148.5</v>
      </c>
      <c r="AP23" s="78">
        <f t="shared" si="2"/>
        <v>339174</v>
      </c>
      <c r="AQ23" s="76"/>
      <c r="AR23" s="78"/>
      <c r="AS23" s="76"/>
      <c r="AT23" s="78"/>
      <c r="AU23" s="76"/>
      <c r="AV23" s="78"/>
      <c r="AW23" s="76"/>
      <c r="AX23" s="78"/>
      <c r="AY23" s="76"/>
      <c r="AZ23" s="78"/>
      <c r="BA23" s="76"/>
      <c r="BB23" s="78"/>
      <c r="BC23" s="76"/>
      <c r="BD23" s="78"/>
      <c r="BE23" s="76"/>
      <c r="BF23" s="78"/>
      <c r="BG23" s="76"/>
      <c r="BH23" s="78"/>
      <c r="BI23" s="76"/>
      <c r="BJ23" s="78"/>
    </row>
    <row r="24" spans="1:62"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3"/>
        <v>994.95</v>
      </c>
      <c r="H24" s="69">
        <f>+VLOOKUP(C24,'PRECIOS IDU 2025'!$A$1:$E$3189,4,FALSE)</f>
        <v>184030</v>
      </c>
      <c r="I24" s="69">
        <f t="shared" si="0"/>
        <v>239239</v>
      </c>
      <c r="J24" s="69">
        <f t="shared" si="4"/>
        <v>238030843</v>
      </c>
      <c r="K24" s="9"/>
      <c r="L24" s="3"/>
      <c r="M24" s="76">
        <f>+M13*P3</f>
        <v>994.94999999999993</v>
      </c>
      <c r="N24" s="78">
        <f t="shared" si="1"/>
        <v>238030843</v>
      </c>
      <c r="O24" s="76"/>
      <c r="P24" s="78"/>
      <c r="Q24" s="76"/>
      <c r="R24" s="78"/>
      <c r="S24" s="76"/>
      <c r="T24" s="78"/>
      <c r="U24" s="76"/>
      <c r="V24" s="78"/>
      <c r="W24" s="76"/>
      <c r="X24" s="78"/>
      <c r="Y24" s="76"/>
      <c r="Z24" s="78"/>
      <c r="AA24" s="76"/>
      <c r="AB24" s="78"/>
      <c r="AC24" s="76"/>
      <c r="AD24" s="78"/>
      <c r="AE24" s="76"/>
      <c r="AF24" s="78"/>
      <c r="AG24" s="76"/>
      <c r="AH24" s="78"/>
      <c r="AI24" s="76"/>
      <c r="AJ24" s="78"/>
      <c r="AK24" s="76"/>
      <c r="AL24" s="78"/>
      <c r="AM24" s="76"/>
      <c r="AN24" s="78"/>
      <c r="AO24" s="76"/>
      <c r="AP24" s="78">
        <f t="shared" si="2"/>
        <v>0</v>
      </c>
      <c r="AQ24" s="76"/>
      <c r="AR24" s="78"/>
      <c r="AS24" s="76"/>
      <c r="AT24" s="78"/>
      <c r="AU24" s="76"/>
      <c r="AV24" s="78"/>
      <c r="AW24" s="76"/>
      <c r="AX24" s="78"/>
      <c r="AY24" s="76"/>
      <c r="AZ24" s="78"/>
      <c r="BA24" s="76"/>
      <c r="BB24" s="78"/>
      <c r="BC24" s="76"/>
      <c r="BD24" s="78"/>
      <c r="BE24" s="76"/>
      <c r="BF24" s="78"/>
      <c r="BG24" s="76"/>
      <c r="BH24" s="78"/>
      <c r="BI24" s="76"/>
      <c r="BJ24" s="78"/>
    </row>
    <row r="25" spans="1:62"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3"/>
        <v>148.5</v>
      </c>
      <c r="H25" s="69">
        <f>+VLOOKUP(C25,'PRECIOS IDU 2025'!$A$1:$E$3189,4,FALSE)</f>
        <v>73638</v>
      </c>
      <c r="I25" s="69">
        <f t="shared" si="0"/>
        <v>95729</v>
      </c>
      <c r="J25" s="69">
        <f t="shared" si="4"/>
        <v>14215757</v>
      </c>
      <c r="K25" s="9"/>
      <c r="L25" s="3"/>
      <c r="M25" s="76"/>
      <c r="N25" s="78">
        <f t="shared" si="1"/>
        <v>0</v>
      </c>
      <c r="O25" s="76"/>
      <c r="P25" s="78"/>
      <c r="Q25" s="76"/>
      <c r="R25" s="78"/>
      <c r="S25" s="76"/>
      <c r="T25" s="78"/>
      <c r="U25" s="76"/>
      <c r="V25" s="78"/>
      <c r="W25" s="76"/>
      <c r="X25" s="78"/>
      <c r="Y25" s="76"/>
      <c r="Z25" s="78"/>
      <c r="AA25" s="76"/>
      <c r="AB25" s="78"/>
      <c r="AC25" s="76"/>
      <c r="AD25" s="78"/>
      <c r="AE25" s="76"/>
      <c r="AF25" s="78"/>
      <c r="AG25" s="76"/>
      <c r="AH25" s="78"/>
      <c r="AI25" s="76"/>
      <c r="AJ25" s="78"/>
      <c r="AK25" s="76"/>
      <c r="AL25" s="78"/>
      <c r="AM25" s="76"/>
      <c r="AN25" s="78"/>
      <c r="AO25" s="76">
        <v>148.5</v>
      </c>
      <c r="AP25" s="78">
        <f t="shared" si="2"/>
        <v>14215757</v>
      </c>
      <c r="AQ25" s="76"/>
      <c r="AR25" s="78"/>
      <c r="AS25" s="76"/>
      <c r="AT25" s="78"/>
      <c r="AU25" s="76"/>
      <c r="AV25" s="78"/>
      <c r="AW25" s="76"/>
      <c r="AX25" s="78"/>
      <c r="AY25" s="76"/>
      <c r="AZ25" s="78"/>
      <c r="BA25" s="76"/>
      <c r="BB25" s="78"/>
      <c r="BC25" s="76"/>
      <c r="BD25" s="78"/>
      <c r="BE25" s="76"/>
      <c r="BF25" s="78"/>
      <c r="BG25" s="76"/>
      <c r="BH25" s="78"/>
      <c r="BI25" s="76"/>
      <c r="BJ25" s="78"/>
    </row>
    <row r="26" spans="1:62"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3"/>
        <v>3465</v>
      </c>
      <c r="H26" s="69">
        <f>+VLOOKUP(C26,'PRECIOS IDU 2025'!$A$1:$E$3189,4,FALSE)</f>
        <v>13158</v>
      </c>
      <c r="I26" s="69">
        <f t="shared" si="0"/>
        <v>17105</v>
      </c>
      <c r="J26" s="69">
        <f t="shared" si="4"/>
        <v>59268825</v>
      </c>
      <c r="K26" s="9"/>
      <c r="L26" s="3"/>
      <c r="M26" s="76">
        <f>+M13</f>
        <v>3316.5</v>
      </c>
      <c r="N26" s="78">
        <f t="shared" si="1"/>
        <v>56728733</v>
      </c>
      <c r="O26" s="76"/>
      <c r="P26" s="78"/>
      <c r="Q26" s="76"/>
      <c r="R26" s="78"/>
      <c r="S26" s="76"/>
      <c r="T26" s="78"/>
      <c r="U26" s="76"/>
      <c r="V26" s="78"/>
      <c r="W26" s="76"/>
      <c r="X26" s="78"/>
      <c r="Y26" s="76"/>
      <c r="Z26" s="78"/>
      <c r="AA26" s="76"/>
      <c r="AB26" s="78"/>
      <c r="AC26" s="76"/>
      <c r="AD26" s="78"/>
      <c r="AE26" s="76"/>
      <c r="AF26" s="78"/>
      <c r="AG26" s="76"/>
      <c r="AH26" s="78"/>
      <c r="AI26" s="76"/>
      <c r="AJ26" s="78"/>
      <c r="AK26" s="76"/>
      <c r="AL26" s="78"/>
      <c r="AM26" s="76"/>
      <c r="AN26" s="78"/>
      <c r="AO26" s="76">
        <v>148.5</v>
      </c>
      <c r="AP26" s="78">
        <f t="shared" si="2"/>
        <v>2540093</v>
      </c>
      <c r="AQ26" s="76"/>
      <c r="AR26" s="78"/>
      <c r="AS26" s="76"/>
      <c r="AT26" s="78"/>
      <c r="AU26" s="76"/>
      <c r="AV26" s="78"/>
      <c r="AW26" s="76"/>
      <c r="AX26" s="78"/>
      <c r="AY26" s="76"/>
      <c r="AZ26" s="78"/>
      <c r="BA26" s="76"/>
      <c r="BB26" s="78"/>
      <c r="BC26" s="76"/>
      <c r="BD26" s="78"/>
      <c r="BE26" s="76"/>
      <c r="BF26" s="78"/>
      <c r="BG26" s="76"/>
      <c r="BH26" s="78"/>
      <c r="BI26" s="76"/>
      <c r="BJ26" s="78"/>
    </row>
    <row r="27" spans="1:62"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3"/>
        <v>3465</v>
      </c>
      <c r="H27" s="69">
        <f>+VLOOKUP(C27,'PRECIOS IDU 2025'!$A$1:$E$3189,4,FALSE)</f>
        <v>30940</v>
      </c>
      <c r="I27" s="69">
        <f t="shared" si="0"/>
        <v>40222</v>
      </c>
      <c r="J27" s="69">
        <f t="shared" si="4"/>
        <v>139369230</v>
      </c>
      <c r="K27" s="9"/>
      <c r="L27" s="3"/>
      <c r="M27" s="76">
        <f>+M13</f>
        <v>3316.5</v>
      </c>
      <c r="N27" s="78">
        <f t="shared" si="1"/>
        <v>133396263</v>
      </c>
      <c r="O27" s="76"/>
      <c r="P27" s="78"/>
      <c r="Q27" s="76"/>
      <c r="R27" s="78"/>
      <c r="S27" s="76"/>
      <c r="T27" s="78"/>
      <c r="U27" s="76"/>
      <c r="V27" s="78"/>
      <c r="W27" s="76"/>
      <c r="X27" s="78"/>
      <c r="Y27" s="76"/>
      <c r="Z27" s="78"/>
      <c r="AA27" s="76"/>
      <c r="AB27" s="78"/>
      <c r="AC27" s="76"/>
      <c r="AD27" s="78"/>
      <c r="AE27" s="76"/>
      <c r="AF27" s="78"/>
      <c r="AG27" s="76"/>
      <c r="AH27" s="78"/>
      <c r="AI27" s="76"/>
      <c r="AJ27" s="78"/>
      <c r="AK27" s="76"/>
      <c r="AL27" s="78"/>
      <c r="AM27" s="76"/>
      <c r="AN27" s="78"/>
      <c r="AO27" s="76">
        <v>148.5</v>
      </c>
      <c r="AP27" s="78">
        <f t="shared" si="2"/>
        <v>5972967</v>
      </c>
      <c r="AQ27" s="76"/>
      <c r="AR27" s="78"/>
      <c r="AS27" s="76"/>
      <c r="AT27" s="78"/>
      <c r="AU27" s="76"/>
      <c r="AV27" s="78"/>
      <c r="AW27" s="76"/>
      <c r="AX27" s="78"/>
      <c r="AY27" s="76"/>
      <c r="AZ27" s="78"/>
      <c r="BA27" s="76"/>
      <c r="BB27" s="78"/>
      <c r="BC27" s="76"/>
      <c r="BD27" s="78"/>
      <c r="BE27" s="76"/>
      <c r="BF27" s="78"/>
      <c r="BG27" s="76"/>
      <c r="BH27" s="78"/>
      <c r="BI27" s="76"/>
      <c r="BJ27" s="78"/>
    </row>
    <row r="28" spans="1:62"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3"/>
        <v>485.1</v>
      </c>
      <c r="H28" s="69">
        <f>+VLOOKUP(C28,'PRECIOS IDU 2025'!$A$1:$E$3189,4,FALSE)</f>
        <v>175866</v>
      </c>
      <c r="I28" s="69">
        <f t="shared" si="0"/>
        <v>228626</v>
      </c>
      <c r="J28" s="69">
        <f t="shared" si="4"/>
        <v>110906473</v>
      </c>
      <c r="K28" s="9"/>
      <c r="L28" s="3"/>
      <c r="M28" s="76">
        <f>+M13*$O$6*0.7</f>
        <v>464.31</v>
      </c>
      <c r="N28" s="78">
        <f>+ROUND(M28*$I28,0)</f>
        <v>106153338</v>
      </c>
      <c r="O28" s="76"/>
      <c r="P28" s="78"/>
      <c r="Q28" s="76"/>
      <c r="R28" s="78"/>
      <c r="S28" s="76"/>
      <c r="T28" s="78"/>
      <c r="U28" s="76"/>
      <c r="V28" s="78"/>
      <c r="W28" s="76"/>
      <c r="X28" s="78"/>
      <c r="Y28" s="76"/>
      <c r="Z28" s="78"/>
      <c r="AA28" s="76"/>
      <c r="AB28" s="78"/>
      <c r="AC28" s="76"/>
      <c r="AD28" s="78"/>
      <c r="AE28" s="76"/>
      <c r="AF28" s="78"/>
      <c r="AG28" s="76"/>
      <c r="AH28" s="78"/>
      <c r="AI28" s="76"/>
      <c r="AJ28" s="78"/>
      <c r="AK28" s="76"/>
      <c r="AL28" s="78"/>
      <c r="AM28" s="76"/>
      <c r="AN28" s="78"/>
      <c r="AO28" s="76">
        <v>20.79</v>
      </c>
      <c r="AP28" s="78">
        <f>+ROUND(AO28*$I28,0)</f>
        <v>4753135</v>
      </c>
      <c r="AQ28" s="76"/>
      <c r="AR28" s="78"/>
      <c r="AS28" s="76"/>
      <c r="AT28" s="78"/>
      <c r="AU28" s="76"/>
      <c r="AV28" s="78"/>
      <c r="AW28" s="76"/>
      <c r="AX28" s="78"/>
      <c r="AY28" s="76"/>
      <c r="AZ28" s="78"/>
      <c r="BA28" s="76"/>
      <c r="BB28" s="78"/>
      <c r="BC28" s="76"/>
      <c r="BD28" s="78"/>
      <c r="BE28" s="76"/>
      <c r="BF28" s="78"/>
      <c r="BG28" s="76"/>
      <c r="BH28" s="78"/>
      <c r="BI28" s="76"/>
      <c r="BJ28" s="78"/>
    </row>
    <row r="29" spans="1:62"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3"/>
        <v>207.9</v>
      </c>
      <c r="H29" s="69">
        <f>+VLOOKUP(C29,'PRECIOS IDU 2025'!$A$1:$E$3189,4,FALSE)</f>
        <v>166345</v>
      </c>
      <c r="I29" s="69">
        <f t="shared" si="0"/>
        <v>216249</v>
      </c>
      <c r="J29" s="69">
        <f t="shared" si="4"/>
        <v>44958167</v>
      </c>
      <c r="K29" s="9"/>
      <c r="L29" s="3"/>
      <c r="M29" s="76">
        <f>+M13*$O$6*0.3</f>
        <v>198.99</v>
      </c>
      <c r="N29" s="78">
        <f>+ROUND(M29*$I29,0)</f>
        <v>43031389</v>
      </c>
      <c r="O29" s="76"/>
      <c r="P29" s="78"/>
      <c r="Q29" s="76"/>
      <c r="R29" s="78"/>
      <c r="S29" s="76"/>
      <c r="T29" s="78"/>
      <c r="U29" s="76"/>
      <c r="V29" s="78"/>
      <c r="W29" s="76"/>
      <c r="X29" s="78"/>
      <c r="Y29" s="76"/>
      <c r="Z29" s="78"/>
      <c r="AA29" s="76"/>
      <c r="AB29" s="78"/>
      <c r="AC29" s="76"/>
      <c r="AD29" s="78"/>
      <c r="AE29" s="76"/>
      <c r="AF29" s="78"/>
      <c r="AG29" s="76"/>
      <c r="AH29" s="78"/>
      <c r="AI29" s="76"/>
      <c r="AJ29" s="78"/>
      <c r="AK29" s="76"/>
      <c r="AL29" s="78"/>
      <c r="AM29" s="76"/>
      <c r="AN29" s="78"/>
      <c r="AO29" s="76">
        <v>8.91</v>
      </c>
      <c r="AP29" s="78">
        <f>+ROUND(AO29*$I29,0)</f>
        <v>1926779</v>
      </c>
      <c r="AQ29" s="76"/>
      <c r="AR29" s="78"/>
      <c r="AS29" s="76"/>
      <c r="AT29" s="78"/>
      <c r="AU29" s="76"/>
      <c r="AV29" s="78"/>
      <c r="AW29" s="76"/>
      <c r="AX29" s="78"/>
      <c r="AY29" s="76"/>
      <c r="AZ29" s="78"/>
      <c r="BA29" s="76"/>
      <c r="BB29" s="78"/>
      <c r="BC29" s="76"/>
      <c r="BD29" s="78"/>
      <c r="BE29" s="76"/>
      <c r="BF29" s="78"/>
      <c r="BG29" s="76"/>
      <c r="BH29" s="78"/>
      <c r="BI29" s="76"/>
      <c r="BJ29" s="78"/>
    </row>
    <row r="30" spans="1:62"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3"/>
        <v>363.83</v>
      </c>
      <c r="H30" s="69">
        <f>+VLOOKUP(C30,'PRECIOS IDU 2025'!$A$1:$E$3189,4,FALSE)</f>
        <v>191915</v>
      </c>
      <c r="I30" s="69">
        <f t="shared" si="0"/>
        <v>249490</v>
      </c>
      <c r="J30" s="69">
        <f t="shared" si="4"/>
        <v>90771947</v>
      </c>
      <c r="K30" s="9"/>
      <c r="L30" s="3"/>
      <c r="M30" s="76">
        <f>+M13*$N$6*0.7</f>
        <v>348.23249999999996</v>
      </c>
      <c r="N30" s="78">
        <f t="shared" ref="N30:N47" si="5">+ROUND(M30*$I30,0)</f>
        <v>86880526</v>
      </c>
      <c r="O30" s="76"/>
      <c r="P30" s="78"/>
      <c r="Q30" s="76"/>
      <c r="R30" s="78"/>
      <c r="S30" s="76"/>
      <c r="T30" s="78"/>
      <c r="U30" s="76"/>
      <c r="V30" s="78"/>
      <c r="W30" s="76"/>
      <c r="X30" s="78"/>
      <c r="Y30" s="76"/>
      <c r="Z30" s="78"/>
      <c r="AA30" s="76"/>
      <c r="AB30" s="78"/>
      <c r="AC30" s="76"/>
      <c r="AD30" s="78"/>
      <c r="AE30" s="76"/>
      <c r="AF30" s="78"/>
      <c r="AG30" s="76"/>
      <c r="AH30" s="78"/>
      <c r="AI30" s="76"/>
      <c r="AJ30" s="78"/>
      <c r="AK30" s="76"/>
      <c r="AL30" s="78"/>
      <c r="AM30" s="76"/>
      <c r="AN30" s="78"/>
      <c r="AO30" s="76">
        <v>15.592499999999998</v>
      </c>
      <c r="AP30" s="78">
        <f t="shared" ref="AP30:AP93" si="6">+ROUND(AO30*$I30,0)</f>
        <v>3890173</v>
      </c>
      <c r="AQ30" s="76"/>
      <c r="AR30" s="78"/>
      <c r="AS30" s="76"/>
      <c r="AT30" s="78"/>
      <c r="AU30" s="76"/>
      <c r="AV30" s="78"/>
      <c r="AW30" s="76"/>
      <c r="AX30" s="78"/>
      <c r="AY30" s="76"/>
      <c r="AZ30" s="78"/>
      <c r="BA30" s="76"/>
      <c r="BB30" s="78"/>
      <c r="BC30" s="76"/>
      <c r="BD30" s="78"/>
      <c r="BE30" s="76"/>
      <c r="BF30" s="78"/>
      <c r="BG30" s="76"/>
      <c r="BH30" s="78"/>
      <c r="BI30" s="76"/>
      <c r="BJ30" s="78"/>
    </row>
    <row r="31" spans="1:62"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3"/>
        <v>155.93</v>
      </c>
      <c r="H31" s="69">
        <f>+VLOOKUP(C31,'PRECIOS IDU 2025'!$A$1:$E$3189,4,FALSE)</f>
        <v>192883</v>
      </c>
      <c r="I31" s="69">
        <f t="shared" si="0"/>
        <v>250748</v>
      </c>
      <c r="J31" s="69">
        <f t="shared" si="4"/>
        <v>39099136</v>
      </c>
      <c r="K31" s="9"/>
      <c r="L31" s="3"/>
      <c r="M31" s="76">
        <f>+M13*$N$6*0.3</f>
        <v>149.24249999999998</v>
      </c>
      <c r="N31" s="78">
        <f t="shared" si="5"/>
        <v>37422258</v>
      </c>
      <c r="O31" s="76"/>
      <c r="P31" s="78"/>
      <c r="Q31" s="76"/>
      <c r="R31" s="78"/>
      <c r="S31" s="76"/>
      <c r="T31" s="78"/>
      <c r="U31" s="76"/>
      <c r="V31" s="78"/>
      <c r="W31" s="76"/>
      <c r="X31" s="78"/>
      <c r="Y31" s="76"/>
      <c r="Z31" s="78"/>
      <c r="AA31" s="76"/>
      <c r="AB31" s="78"/>
      <c r="AC31" s="76"/>
      <c r="AD31" s="78"/>
      <c r="AE31" s="76"/>
      <c r="AF31" s="78"/>
      <c r="AG31" s="76"/>
      <c r="AH31" s="78"/>
      <c r="AI31" s="76"/>
      <c r="AJ31" s="78"/>
      <c r="AK31" s="76"/>
      <c r="AL31" s="78"/>
      <c r="AM31" s="76"/>
      <c r="AN31" s="78"/>
      <c r="AO31" s="76">
        <v>6.6824999999999992</v>
      </c>
      <c r="AP31" s="78">
        <f t="shared" si="6"/>
        <v>1675624</v>
      </c>
      <c r="AQ31" s="76"/>
      <c r="AR31" s="78"/>
      <c r="AS31" s="76"/>
      <c r="AT31" s="78"/>
      <c r="AU31" s="76"/>
      <c r="AV31" s="78"/>
      <c r="AW31" s="76"/>
      <c r="AX31" s="78"/>
      <c r="AY31" s="76"/>
      <c r="AZ31" s="78"/>
      <c r="BA31" s="76"/>
      <c r="BB31" s="78"/>
      <c r="BC31" s="76"/>
      <c r="BD31" s="78"/>
      <c r="BE31" s="76"/>
      <c r="BF31" s="78"/>
      <c r="BG31" s="76"/>
      <c r="BH31" s="78"/>
      <c r="BI31" s="76"/>
      <c r="BJ31" s="78"/>
    </row>
    <row r="32" spans="1:62"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3"/>
        <v>3465</v>
      </c>
      <c r="H32" s="69">
        <f>+VLOOKUP(C32,'PRECIOS IDU 2025'!$A$1:$E$3189,4,FALSE)</f>
        <v>3189</v>
      </c>
      <c r="I32" s="69">
        <f t="shared" si="0"/>
        <v>4146</v>
      </c>
      <c r="J32" s="69">
        <f t="shared" si="4"/>
        <v>14365890</v>
      </c>
      <c r="K32" s="9"/>
      <c r="L32" s="3"/>
      <c r="M32" s="76">
        <f>+M13</f>
        <v>3316.5</v>
      </c>
      <c r="N32" s="78">
        <f t="shared" si="5"/>
        <v>13750209</v>
      </c>
      <c r="O32" s="76"/>
      <c r="P32" s="78"/>
      <c r="Q32" s="76"/>
      <c r="R32" s="78"/>
      <c r="S32" s="76"/>
      <c r="T32" s="78"/>
      <c r="U32" s="76"/>
      <c r="V32" s="78"/>
      <c r="W32" s="76"/>
      <c r="X32" s="78"/>
      <c r="Y32" s="76"/>
      <c r="Z32" s="78"/>
      <c r="AA32" s="76"/>
      <c r="AB32" s="78"/>
      <c r="AC32" s="76"/>
      <c r="AD32" s="78"/>
      <c r="AE32" s="76"/>
      <c r="AF32" s="78"/>
      <c r="AG32" s="76"/>
      <c r="AH32" s="78"/>
      <c r="AI32" s="76"/>
      <c r="AJ32" s="78"/>
      <c r="AK32" s="76"/>
      <c r="AL32" s="78"/>
      <c r="AM32" s="76"/>
      <c r="AN32" s="78"/>
      <c r="AO32" s="76">
        <v>148.5</v>
      </c>
      <c r="AP32" s="78">
        <f t="shared" si="6"/>
        <v>615681</v>
      </c>
      <c r="AQ32" s="76"/>
      <c r="AR32" s="78"/>
      <c r="AS32" s="76"/>
      <c r="AT32" s="78"/>
      <c r="AU32" s="76"/>
      <c r="AV32" s="78"/>
      <c r="AW32" s="76"/>
      <c r="AX32" s="78"/>
      <c r="AY32" s="76"/>
      <c r="AZ32" s="78"/>
      <c r="BA32" s="76"/>
      <c r="BB32" s="78"/>
      <c r="BC32" s="76"/>
      <c r="BD32" s="78"/>
      <c r="BE32" s="76"/>
      <c r="BF32" s="78"/>
      <c r="BG32" s="76"/>
      <c r="BH32" s="78"/>
      <c r="BI32" s="76"/>
      <c r="BJ32" s="78"/>
    </row>
    <row r="33" spans="1:62"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3"/>
        <v>173.25</v>
      </c>
      <c r="H33" s="69">
        <f>+VLOOKUP(C33,'PRECIOS IDU 2025'!$A$1:$E$3189,4,FALSE)</f>
        <v>3885</v>
      </c>
      <c r="I33" s="69">
        <f t="shared" si="0"/>
        <v>5051</v>
      </c>
      <c r="J33" s="69">
        <f t="shared" si="4"/>
        <v>875086</v>
      </c>
      <c r="K33" s="9"/>
      <c r="L33" s="3"/>
      <c r="M33" s="76">
        <f>+M32*0.05</f>
        <v>165.82500000000002</v>
      </c>
      <c r="N33" s="78">
        <f t="shared" si="5"/>
        <v>837582</v>
      </c>
      <c r="O33" s="76"/>
      <c r="P33" s="78"/>
      <c r="Q33" s="76"/>
      <c r="R33" s="78"/>
      <c r="S33" s="76"/>
      <c r="T33" s="78"/>
      <c r="U33" s="76"/>
      <c r="V33" s="78"/>
      <c r="W33" s="76"/>
      <c r="X33" s="78"/>
      <c r="Y33" s="76"/>
      <c r="Z33" s="78"/>
      <c r="AA33" s="76"/>
      <c r="AB33" s="78"/>
      <c r="AC33" s="76"/>
      <c r="AD33" s="78"/>
      <c r="AE33" s="76"/>
      <c r="AF33" s="78"/>
      <c r="AG33" s="76"/>
      <c r="AH33" s="78"/>
      <c r="AI33" s="76"/>
      <c r="AJ33" s="78"/>
      <c r="AK33" s="76"/>
      <c r="AL33" s="78"/>
      <c r="AM33" s="76"/>
      <c r="AN33" s="78"/>
      <c r="AO33" s="76">
        <v>7.4250000000000007</v>
      </c>
      <c r="AP33" s="78">
        <f t="shared" si="6"/>
        <v>37504</v>
      </c>
      <c r="AQ33" s="76"/>
      <c r="AR33" s="78"/>
      <c r="AS33" s="76"/>
      <c r="AT33" s="78"/>
      <c r="AU33" s="76"/>
      <c r="AV33" s="78"/>
      <c r="AW33" s="76"/>
      <c r="AX33" s="78"/>
      <c r="AY33" s="76"/>
      <c r="AZ33" s="78"/>
      <c r="BA33" s="76"/>
      <c r="BB33" s="78"/>
      <c r="BC33" s="76"/>
      <c r="BD33" s="78"/>
      <c r="BE33" s="76"/>
      <c r="BF33" s="78"/>
      <c r="BG33" s="76"/>
      <c r="BH33" s="78"/>
      <c r="BI33" s="76"/>
      <c r="BJ33" s="78"/>
    </row>
    <row r="34" spans="1:62"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3"/>
        <v>0</v>
      </c>
      <c r="H34" s="69">
        <f>+VLOOKUP(C34,'PRECIOS IDU 2025'!$A$1:$E$3189,4,FALSE)</f>
        <v>1341971</v>
      </c>
      <c r="I34" s="69">
        <f t="shared" si="0"/>
        <v>1744562</v>
      </c>
      <c r="J34" s="69">
        <f t="shared" si="4"/>
        <v>0</v>
      </c>
      <c r="K34" s="9"/>
      <c r="L34" s="3"/>
      <c r="M34" s="76"/>
      <c r="N34" s="78">
        <f t="shared" si="5"/>
        <v>0</v>
      </c>
      <c r="O34" s="76"/>
      <c r="P34" s="78"/>
      <c r="Q34" s="76"/>
      <c r="R34" s="78"/>
      <c r="S34" s="76"/>
      <c r="T34" s="78"/>
      <c r="U34" s="76"/>
      <c r="V34" s="78"/>
      <c r="W34" s="76"/>
      <c r="X34" s="78"/>
      <c r="Y34" s="76"/>
      <c r="Z34" s="78"/>
      <c r="AA34" s="76"/>
      <c r="AB34" s="78"/>
      <c r="AC34" s="76"/>
      <c r="AD34" s="78"/>
      <c r="AE34" s="76"/>
      <c r="AF34" s="78"/>
      <c r="AG34" s="76"/>
      <c r="AH34" s="78"/>
      <c r="AI34" s="76"/>
      <c r="AJ34" s="78"/>
      <c r="AK34" s="76"/>
      <c r="AL34" s="78"/>
      <c r="AM34" s="76"/>
      <c r="AN34" s="78"/>
      <c r="AO34" s="76"/>
      <c r="AP34" s="78">
        <f t="shared" si="6"/>
        <v>0</v>
      </c>
      <c r="AQ34" s="76"/>
      <c r="AR34" s="78"/>
      <c r="AS34" s="76"/>
      <c r="AT34" s="78"/>
      <c r="AU34" s="76"/>
      <c r="AV34" s="78"/>
      <c r="AW34" s="76"/>
      <c r="AX34" s="78"/>
      <c r="AY34" s="76"/>
      <c r="AZ34" s="78"/>
      <c r="BA34" s="76"/>
      <c r="BB34" s="78"/>
      <c r="BC34" s="76"/>
      <c r="BD34" s="78"/>
      <c r="BE34" s="76"/>
      <c r="BF34" s="78"/>
      <c r="BG34" s="76"/>
      <c r="BH34" s="78"/>
      <c r="BI34" s="76"/>
      <c r="BJ34" s="78"/>
    </row>
    <row r="35" spans="1:62"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3"/>
        <v>291.06</v>
      </c>
      <c r="H35" s="69">
        <f>+VLOOKUP(C35,'PRECIOS IDU 2025'!$A$1:$E$3189,4,FALSE)</f>
        <v>1241977</v>
      </c>
      <c r="I35" s="69">
        <f t="shared" si="0"/>
        <v>1614570</v>
      </c>
      <c r="J35" s="69">
        <f t="shared" si="4"/>
        <v>469936744</v>
      </c>
      <c r="K35" s="9"/>
      <c r="L35" s="3"/>
      <c r="M35" s="76">
        <f>+M13*$M$6*0.7</f>
        <v>278.58599999999996</v>
      </c>
      <c r="N35" s="78">
        <f t="shared" si="5"/>
        <v>449796598</v>
      </c>
      <c r="O35" s="76"/>
      <c r="P35" s="78"/>
      <c r="Q35" s="76"/>
      <c r="R35" s="78"/>
      <c r="S35" s="76"/>
      <c r="T35" s="78"/>
      <c r="U35" s="76"/>
      <c r="V35" s="78"/>
      <c r="W35" s="76"/>
      <c r="X35" s="78"/>
      <c r="Y35" s="76"/>
      <c r="Z35" s="78"/>
      <c r="AA35" s="76"/>
      <c r="AB35" s="78"/>
      <c r="AC35" s="76"/>
      <c r="AD35" s="78"/>
      <c r="AE35" s="76"/>
      <c r="AF35" s="78"/>
      <c r="AG35" s="76"/>
      <c r="AH35" s="78"/>
      <c r="AI35" s="76"/>
      <c r="AJ35" s="78"/>
      <c r="AK35" s="76"/>
      <c r="AL35" s="78"/>
      <c r="AM35" s="76"/>
      <c r="AN35" s="78"/>
      <c r="AO35" s="76">
        <v>12.474</v>
      </c>
      <c r="AP35" s="78">
        <f t="shared" si="6"/>
        <v>20140146</v>
      </c>
      <c r="AQ35" s="76"/>
      <c r="AR35" s="78"/>
      <c r="AS35" s="76"/>
      <c r="AT35" s="78"/>
      <c r="AU35" s="76"/>
      <c r="AV35" s="78"/>
      <c r="AW35" s="76"/>
      <c r="AX35" s="78"/>
      <c r="AY35" s="76"/>
      <c r="AZ35" s="78"/>
      <c r="BA35" s="76"/>
      <c r="BB35" s="78"/>
      <c r="BC35" s="76"/>
      <c r="BD35" s="78"/>
      <c r="BE35" s="76"/>
      <c r="BF35" s="78"/>
      <c r="BG35" s="76"/>
      <c r="BH35" s="78"/>
      <c r="BI35" s="76"/>
      <c r="BJ35" s="78"/>
    </row>
    <row r="36" spans="1:62"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3"/>
        <v>124.74</v>
      </c>
      <c r="H36" s="69">
        <f>+VLOOKUP(C36,'PRECIOS IDU 2025'!$A$1:$E$3189,4,FALSE)</f>
        <v>1556215</v>
      </c>
      <c r="I36" s="69">
        <f t="shared" ref="I36:I37" si="7">+ROUND(H36*(1+$J$192),0)</f>
        <v>2023080</v>
      </c>
      <c r="J36" s="69">
        <f t="shared" ref="J36:J37" si="8">+ROUND(I36*G36,0)</f>
        <v>252358999</v>
      </c>
      <c r="K36" s="9"/>
      <c r="L36" s="3"/>
      <c r="M36" s="76">
        <f>+M13*$M$6*0.3</f>
        <v>119.39399999999998</v>
      </c>
      <c r="N36" s="78">
        <f t="shared" si="5"/>
        <v>241543614</v>
      </c>
      <c r="O36" s="76"/>
      <c r="P36" s="78"/>
      <c r="Q36" s="76"/>
      <c r="R36" s="78"/>
      <c r="S36" s="76"/>
      <c r="T36" s="78"/>
      <c r="U36" s="76"/>
      <c r="V36" s="78"/>
      <c r="W36" s="76"/>
      <c r="X36" s="78"/>
      <c r="Y36" s="76"/>
      <c r="Z36" s="78"/>
      <c r="AA36" s="76"/>
      <c r="AB36" s="78"/>
      <c r="AC36" s="76"/>
      <c r="AD36" s="78"/>
      <c r="AE36" s="76"/>
      <c r="AF36" s="78"/>
      <c r="AG36" s="76"/>
      <c r="AH36" s="78"/>
      <c r="AI36" s="76"/>
      <c r="AJ36" s="78"/>
      <c r="AK36" s="76"/>
      <c r="AL36" s="78"/>
      <c r="AM36" s="76"/>
      <c r="AN36" s="78"/>
      <c r="AO36" s="76">
        <v>5.3460000000000001</v>
      </c>
      <c r="AP36" s="78">
        <f t="shared" si="6"/>
        <v>10815386</v>
      </c>
      <c r="AQ36" s="76"/>
      <c r="AR36" s="78"/>
      <c r="AS36" s="76"/>
      <c r="AT36" s="78"/>
      <c r="AU36" s="76"/>
      <c r="AV36" s="78"/>
      <c r="AW36" s="76"/>
      <c r="AX36" s="78"/>
      <c r="AY36" s="76"/>
      <c r="AZ36" s="78"/>
      <c r="BA36" s="76"/>
      <c r="BB36" s="78"/>
      <c r="BC36" s="76"/>
      <c r="BD36" s="78"/>
      <c r="BE36" s="76"/>
      <c r="BF36" s="78"/>
      <c r="BG36" s="76"/>
      <c r="BH36" s="78"/>
      <c r="BI36" s="76"/>
      <c r="BJ36" s="78"/>
    </row>
    <row r="37" spans="1:62" ht="48"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3"/>
        <v>770</v>
      </c>
      <c r="H37" s="69">
        <f>+VLOOKUP(C37,'PRECIOS IDU 2025'!$A$1:$E$3189,4,FALSE)</f>
        <v>142844</v>
      </c>
      <c r="I37" s="69">
        <f t="shared" si="7"/>
        <v>185697</v>
      </c>
      <c r="J37" s="69">
        <f t="shared" si="8"/>
        <v>142986690</v>
      </c>
      <c r="K37" s="9"/>
      <c r="L37" s="3"/>
      <c r="M37" s="76">
        <f>+M11</f>
        <v>737</v>
      </c>
      <c r="N37" s="78">
        <f t="shared" si="5"/>
        <v>136858689</v>
      </c>
      <c r="O37" s="76"/>
      <c r="P37" s="78"/>
      <c r="Q37" s="76"/>
      <c r="R37" s="78"/>
      <c r="S37" s="76"/>
      <c r="T37" s="78"/>
      <c r="U37" s="76"/>
      <c r="V37" s="78"/>
      <c r="W37" s="76"/>
      <c r="X37" s="78"/>
      <c r="Y37" s="76"/>
      <c r="Z37" s="78"/>
      <c r="AA37" s="76"/>
      <c r="AB37" s="78"/>
      <c r="AC37" s="76"/>
      <c r="AD37" s="78"/>
      <c r="AE37" s="76"/>
      <c r="AF37" s="78"/>
      <c r="AG37" s="76"/>
      <c r="AH37" s="78"/>
      <c r="AI37" s="76"/>
      <c r="AJ37" s="78"/>
      <c r="AK37" s="76"/>
      <c r="AL37" s="78"/>
      <c r="AM37" s="76"/>
      <c r="AN37" s="78"/>
      <c r="AO37" s="76">
        <v>33</v>
      </c>
      <c r="AP37" s="78">
        <f t="shared" si="6"/>
        <v>6128001</v>
      </c>
      <c r="AQ37" s="76"/>
      <c r="AR37" s="78"/>
      <c r="AS37" s="76"/>
      <c r="AT37" s="78"/>
      <c r="AU37" s="76"/>
      <c r="AV37" s="78"/>
      <c r="AW37" s="76"/>
      <c r="AX37" s="78"/>
      <c r="AY37" s="76"/>
      <c r="AZ37" s="78"/>
      <c r="BA37" s="76"/>
      <c r="BB37" s="78"/>
      <c r="BC37" s="76"/>
      <c r="BD37" s="78"/>
      <c r="BE37" s="76"/>
      <c r="BF37" s="78"/>
      <c r="BG37" s="76"/>
      <c r="BH37" s="78"/>
      <c r="BI37" s="76"/>
      <c r="BJ37" s="78"/>
    </row>
    <row r="38" spans="1:62"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3"/>
        <v>123.2</v>
      </c>
      <c r="H38" s="69">
        <f>+VLOOKUP(C38,'PRECIOS IDU 2025'!$A$1:$E$3189,4,FALSE)</f>
        <v>749962</v>
      </c>
      <c r="I38" s="69">
        <f t="shared" si="0"/>
        <v>974951</v>
      </c>
      <c r="J38" s="69">
        <f t="shared" si="4"/>
        <v>120113963</v>
      </c>
      <c r="K38" s="9"/>
      <c r="L38" s="3"/>
      <c r="M38" s="76">
        <f>+M11*0.8*0.1*2</f>
        <v>117.92000000000002</v>
      </c>
      <c r="N38" s="78">
        <f t="shared" si="5"/>
        <v>114966222</v>
      </c>
      <c r="O38" s="76"/>
      <c r="P38" s="78"/>
      <c r="Q38" s="76"/>
      <c r="R38" s="78"/>
      <c r="S38" s="76"/>
      <c r="T38" s="78"/>
      <c r="U38" s="76"/>
      <c r="V38" s="78"/>
      <c r="W38" s="76"/>
      <c r="X38" s="78"/>
      <c r="Y38" s="76"/>
      <c r="Z38" s="78"/>
      <c r="AA38" s="76"/>
      <c r="AB38" s="78"/>
      <c r="AC38" s="76"/>
      <c r="AD38" s="78"/>
      <c r="AE38" s="76"/>
      <c r="AF38" s="78"/>
      <c r="AG38" s="76"/>
      <c r="AH38" s="78"/>
      <c r="AI38" s="76"/>
      <c r="AJ38" s="78"/>
      <c r="AK38" s="76"/>
      <c r="AL38" s="78"/>
      <c r="AM38" s="76"/>
      <c r="AN38" s="78"/>
      <c r="AO38" s="76">
        <v>5.2800000000000011</v>
      </c>
      <c r="AP38" s="78">
        <f t="shared" si="6"/>
        <v>5147741</v>
      </c>
      <c r="AQ38" s="76"/>
      <c r="AR38" s="78"/>
      <c r="AS38" s="76"/>
      <c r="AT38" s="78"/>
      <c r="AU38" s="76"/>
      <c r="AV38" s="78"/>
      <c r="AW38" s="76"/>
      <c r="AX38" s="78"/>
      <c r="AY38" s="76"/>
      <c r="AZ38" s="78"/>
      <c r="BA38" s="76"/>
      <c r="BB38" s="78"/>
      <c r="BC38" s="76"/>
      <c r="BD38" s="78"/>
      <c r="BE38" s="76"/>
      <c r="BF38" s="78"/>
      <c r="BG38" s="76"/>
      <c r="BH38" s="78"/>
      <c r="BI38" s="76"/>
      <c r="BJ38" s="78"/>
    </row>
    <row r="39" spans="1:62" ht="30" customHeight="1" x14ac:dyDescent="0.3">
      <c r="A39" s="3"/>
      <c r="B39" s="8"/>
      <c r="C39" s="61" t="s">
        <v>6077</v>
      </c>
      <c r="D39" s="62"/>
      <c r="E39" s="62"/>
      <c r="F39" s="62"/>
      <c r="G39" s="62"/>
      <c r="H39" s="62"/>
      <c r="I39" s="62"/>
      <c r="J39" s="63"/>
      <c r="K39" s="9"/>
      <c r="L39" s="3"/>
      <c r="M39" s="76"/>
      <c r="N39" s="78">
        <f t="shared" si="5"/>
        <v>0</v>
      </c>
      <c r="O39" s="76"/>
      <c r="P39" s="78"/>
      <c r="Q39" s="76"/>
      <c r="R39" s="78"/>
      <c r="S39" s="76"/>
      <c r="T39" s="78"/>
      <c r="U39" s="76"/>
      <c r="V39" s="78"/>
      <c r="W39" s="76"/>
      <c r="X39" s="78"/>
      <c r="Y39" s="76"/>
      <c r="Z39" s="78"/>
      <c r="AA39" s="76"/>
      <c r="AB39" s="78"/>
      <c r="AC39" s="76"/>
      <c r="AD39" s="78"/>
      <c r="AE39" s="76"/>
      <c r="AF39" s="78"/>
      <c r="AG39" s="76"/>
      <c r="AH39" s="78"/>
      <c r="AI39" s="76"/>
      <c r="AJ39" s="78"/>
      <c r="AK39" s="76"/>
      <c r="AL39" s="78"/>
      <c r="AM39" s="76"/>
      <c r="AN39" s="78"/>
      <c r="AO39" s="76"/>
      <c r="AP39" s="78">
        <f t="shared" si="6"/>
        <v>0</v>
      </c>
      <c r="AQ39" s="76"/>
      <c r="AR39" s="78"/>
      <c r="AS39" s="76"/>
      <c r="AT39" s="78"/>
      <c r="AU39" s="76"/>
      <c r="AV39" s="78"/>
      <c r="AW39" s="76"/>
      <c r="AX39" s="78"/>
      <c r="AY39" s="76"/>
      <c r="AZ39" s="78"/>
      <c r="BA39" s="76"/>
      <c r="BB39" s="78"/>
      <c r="BC39" s="76"/>
      <c r="BD39" s="78"/>
      <c r="BE39" s="76"/>
      <c r="BF39" s="78"/>
      <c r="BG39" s="76"/>
      <c r="BH39" s="78"/>
      <c r="BI39" s="76"/>
      <c r="BJ39" s="78"/>
    </row>
    <row r="40" spans="1:62" ht="30" customHeight="1" x14ac:dyDescent="0.3">
      <c r="A40" s="3"/>
      <c r="B40" s="8"/>
      <c r="C40" s="60">
        <v>3007</v>
      </c>
      <c r="D40" s="60">
        <v>2001</v>
      </c>
      <c r="E40" s="60" t="str">
        <f>+VLOOKUP(C40,'PRECIOS IDU 2025'!$A$1:$E$3189,2,FALSE)</f>
        <v>REPLANTEO GENERAL</v>
      </c>
      <c r="F40" s="60" t="str">
        <f>+VLOOKUP(C40,'PRECIOS IDU 2025'!$A$1:$E$3189,3,FALSE)</f>
        <v>M2</v>
      </c>
      <c r="G40" s="108">
        <f t="shared" ref="G40:G67" si="9">+ROUND(M40+O40+Q40+S40+U40+W40+Y40+AA40+AC40+AE40+AG40+AI40+AK40+AM40+AO40+AQ40+AS40+AU40+AW40+AY40+BA40+BC40+BE40+BG40+BI40,2)</f>
        <v>0</v>
      </c>
      <c r="H40" s="69">
        <f>+VLOOKUP(C40,'PRECIOS IDU 2025'!$A$1:$E$3189,4,FALSE)</f>
        <v>909</v>
      </c>
      <c r="I40" s="69">
        <f t="shared" ref="I40:I67" si="10">+ROUND(H40*(1+$J$192),0)</f>
        <v>1182</v>
      </c>
      <c r="J40" s="69">
        <f t="shared" ref="J40:J67" si="11">+ROUND(I40*G40,0)</f>
        <v>0</v>
      </c>
      <c r="K40" s="9"/>
      <c r="L40" s="3"/>
      <c r="M40" s="73"/>
      <c r="N40" s="78">
        <f t="shared" si="5"/>
        <v>0</v>
      </c>
      <c r="O40" s="73"/>
      <c r="P40" s="78"/>
      <c r="Q40" s="73"/>
      <c r="R40" s="78"/>
      <c r="S40" s="73"/>
      <c r="T40" s="78"/>
      <c r="U40" s="73"/>
      <c r="V40" s="78"/>
      <c r="W40" s="73"/>
      <c r="X40" s="78"/>
      <c r="Y40" s="73"/>
      <c r="Z40" s="78"/>
      <c r="AA40" s="73"/>
      <c r="AB40" s="78"/>
      <c r="AC40" s="73"/>
      <c r="AD40" s="78"/>
      <c r="AE40" s="73"/>
      <c r="AF40" s="78"/>
      <c r="AG40" s="73"/>
      <c r="AH40" s="78"/>
      <c r="AI40" s="73"/>
      <c r="AJ40" s="78"/>
      <c r="AK40" s="73"/>
      <c r="AL40" s="78"/>
      <c r="AM40" s="73"/>
      <c r="AN40" s="78"/>
      <c r="AO40" s="73"/>
      <c r="AP40" s="78">
        <f t="shared" si="6"/>
        <v>0</v>
      </c>
      <c r="AQ40" s="73"/>
      <c r="AR40" s="78"/>
      <c r="AS40" s="73"/>
      <c r="AT40" s="78"/>
      <c r="AU40" s="73"/>
      <c r="AV40" s="78"/>
      <c r="AW40" s="73"/>
      <c r="AX40" s="78"/>
      <c r="AY40" s="73"/>
      <c r="AZ40" s="78"/>
      <c r="BA40" s="73"/>
      <c r="BB40" s="78"/>
      <c r="BC40" s="73"/>
      <c r="BD40" s="78"/>
      <c r="BE40" s="73"/>
      <c r="BF40" s="78"/>
      <c r="BG40" s="73"/>
      <c r="BH40" s="78"/>
      <c r="BI40" s="73"/>
      <c r="BJ40" s="78"/>
    </row>
    <row r="41" spans="1:62"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si="9"/>
        <v>0</v>
      </c>
      <c r="H41" s="69">
        <f>+VLOOKUP(C41,'PRECIOS IDU 2025'!$A$1:$E$3189,4,FALSE)</f>
        <v>2659</v>
      </c>
      <c r="I41" s="69">
        <f t="shared" si="10"/>
        <v>3457</v>
      </c>
      <c r="J41" s="69">
        <f t="shared" si="11"/>
        <v>0</v>
      </c>
      <c r="K41" s="9"/>
      <c r="L41" s="3"/>
      <c r="M41" s="73"/>
      <c r="N41" s="78">
        <f t="shared" si="5"/>
        <v>0</v>
      </c>
      <c r="O41" s="73"/>
      <c r="P41" s="78"/>
      <c r="Q41" s="73"/>
      <c r="R41" s="78"/>
      <c r="S41" s="73"/>
      <c r="T41" s="78"/>
      <c r="U41" s="73"/>
      <c r="V41" s="78"/>
      <c r="W41" s="73"/>
      <c r="X41" s="78"/>
      <c r="Y41" s="73"/>
      <c r="Z41" s="78"/>
      <c r="AA41" s="73"/>
      <c r="AB41" s="78"/>
      <c r="AC41" s="73"/>
      <c r="AD41" s="78"/>
      <c r="AE41" s="73"/>
      <c r="AF41" s="78"/>
      <c r="AG41" s="73"/>
      <c r="AH41" s="78"/>
      <c r="AI41" s="73"/>
      <c r="AJ41" s="78"/>
      <c r="AK41" s="73"/>
      <c r="AL41" s="78"/>
      <c r="AM41" s="73"/>
      <c r="AN41" s="78"/>
      <c r="AO41" s="73"/>
      <c r="AP41" s="78">
        <f t="shared" si="6"/>
        <v>0</v>
      </c>
      <c r="AQ41" s="73"/>
      <c r="AR41" s="78"/>
      <c r="AS41" s="73"/>
      <c r="AT41" s="78"/>
      <c r="AU41" s="73"/>
      <c r="AV41" s="78"/>
      <c r="AW41" s="73"/>
      <c r="AX41" s="78"/>
      <c r="AY41" s="73"/>
      <c r="AZ41" s="78"/>
      <c r="BA41" s="73"/>
      <c r="BB41" s="78"/>
      <c r="BC41" s="73"/>
      <c r="BD41" s="78"/>
      <c r="BE41" s="73"/>
      <c r="BF41" s="78"/>
      <c r="BG41" s="73"/>
      <c r="BH41" s="78"/>
      <c r="BI41" s="73"/>
      <c r="BJ41" s="78"/>
    </row>
    <row r="42" spans="1:62"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9"/>
        <v>0</v>
      </c>
      <c r="H42" s="69">
        <f>+VLOOKUP(C42,'PRECIOS IDU 2025'!$A$1:$E$3189,4,FALSE)</f>
        <v>38781</v>
      </c>
      <c r="I42" s="69">
        <f t="shared" si="10"/>
        <v>50415</v>
      </c>
      <c r="J42" s="69">
        <f t="shared" si="11"/>
        <v>0</v>
      </c>
      <c r="K42" s="9"/>
      <c r="L42" s="3"/>
      <c r="M42" s="76"/>
      <c r="N42" s="78">
        <f t="shared" si="5"/>
        <v>0</v>
      </c>
      <c r="O42" s="76"/>
      <c r="P42" s="78"/>
      <c r="Q42" s="76"/>
      <c r="R42" s="78"/>
      <c r="S42" s="76"/>
      <c r="T42" s="78"/>
      <c r="U42" s="76"/>
      <c r="V42" s="78"/>
      <c r="W42" s="76"/>
      <c r="X42" s="78"/>
      <c r="Y42" s="76"/>
      <c r="Z42" s="78"/>
      <c r="AA42" s="76"/>
      <c r="AB42" s="78"/>
      <c r="AC42" s="76"/>
      <c r="AD42" s="78"/>
      <c r="AE42" s="76"/>
      <c r="AF42" s="78"/>
      <c r="AG42" s="76"/>
      <c r="AH42" s="78"/>
      <c r="AI42" s="76"/>
      <c r="AJ42" s="78"/>
      <c r="AK42" s="76"/>
      <c r="AL42" s="78"/>
      <c r="AM42" s="76"/>
      <c r="AN42" s="78"/>
      <c r="AO42" s="76"/>
      <c r="AP42" s="78">
        <f t="shared" si="6"/>
        <v>0</v>
      </c>
      <c r="AQ42" s="76"/>
      <c r="AR42" s="78"/>
      <c r="AS42" s="76"/>
      <c r="AT42" s="78"/>
      <c r="AU42" s="76"/>
      <c r="AV42" s="78"/>
      <c r="AW42" s="76"/>
      <c r="AX42" s="78"/>
      <c r="AY42" s="76"/>
      <c r="AZ42" s="78"/>
      <c r="BA42" s="76"/>
      <c r="BB42" s="78"/>
      <c r="BC42" s="76"/>
      <c r="BD42" s="78"/>
      <c r="BE42" s="76"/>
      <c r="BF42" s="78"/>
      <c r="BG42" s="76"/>
      <c r="BH42" s="78"/>
      <c r="BI42" s="76"/>
      <c r="BJ42" s="78"/>
    </row>
    <row r="43" spans="1:62"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9"/>
        <v>0</v>
      </c>
      <c r="H43" s="69">
        <f>+VLOOKUP(C43,'PRECIOS IDU 2025'!$A$1:$E$3189,4,FALSE)</f>
        <v>187178</v>
      </c>
      <c r="I43" s="69">
        <f t="shared" si="10"/>
        <v>243331</v>
      </c>
      <c r="J43" s="69">
        <f t="shared" si="11"/>
        <v>0</v>
      </c>
      <c r="K43" s="9"/>
      <c r="L43" s="3"/>
      <c r="M43" s="73"/>
      <c r="N43" s="78">
        <f t="shared" si="5"/>
        <v>0</v>
      </c>
      <c r="O43" s="73"/>
      <c r="P43" s="78"/>
      <c r="Q43" s="73"/>
      <c r="R43" s="78"/>
      <c r="S43" s="73"/>
      <c r="T43" s="78"/>
      <c r="U43" s="73"/>
      <c r="V43" s="78"/>
      <c r="W43" s="73"/>
      <c r="X43" s="78"/>
      <c r="Y43" s="73"/>
      <c r="Z43" s="78"/>
      <c r="AA43" s="73"/>
      <c r="AB43" s="78"/>
      <c r="AC43" s="73"/>
      <c r="AD43" s="78"/>
      <c r="AE43" s="73"/>
      <c r="AF43" s="78"/>
      <c r="AG43" s="73"/>
      <c r="AH43" s="78"/>
      <c r="AI43" s="73"/>
      <c r="AJ43" s="78"/>
      <c r="AK43" s="73"/>
      <c r="AL43" s="78"/>
      <c r="AM43" s="73"/>
      <c r="AN43" s="78"/>
      <c r="AO43" s="73"/>
      <c r="AP43" s="78">
        <f t="shared" si="6"/>
        <v>0</v>
      </c>
      <c r="AQ43" s="73"/>
      <c r="AR43" s="78"/>
      <c r="AS43" s="73"/>
      <c r="AT43" s="78"/>
      <c r="AU43" s="73"/>
      <c r="AV43" s="78"/>
      <c r="AW43" s="73"/>
      <c r="AX43" s="78"/>
      <c r="AY43" s="73"/>
      <c r="AZ43" s="78"/>
      <c r="BA43" s="73"/>
      <c r="BB43" s="78"/>
      <c r="BC43" s="73"/>
      <c r="BD43" s="78"/>
      <c r="BE43" s="73"/>
      <c r="BF43" s="78"/>
      <c r="BG43" s="73"/>
      <c r="BH43" s="78"/>
      <c r="BI43" s="73"/>
      <c r="BJ43" s="78"/>
    </row>
    <row r="44" spans="1:62"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9"/>
        <v>0</v>
      </c>
      <c r="H44" s="69">
        <f>+VLOOKUP(C44,'PRECIOS IDU 2025'!$A$1:$E$3189,4,FALSE)</f>
        <v>5741</v>
      </c>
      <c r="I44" s="69">
        <f t="shared" si="10"/>
        <v>7463</v>
      </c>
      <c r="J44" s="69">
        <f t="shared" si="11"/>
        <v>0</v>
      </c>
      <c r="K44" s="9"/>
      <c r="L44" s="3"/>
      <c r="M44" s="73"/>
      <c r="N44" s="78">
        <f t="shared" si="5"/>
        <v>0</v>
      </c>
      <c r="O44" s="73"/>
      <c r="P44" s="78"/>
      <c r="Q44" s="73"/>
      <c r="R44" s="78"/>
      <c r="S44" s="73"/>
      <c r="T44" s="78"/>
      <c r="U44" s="73"/>
      <c r="V44" s="78"/>
      <c r="W44" s="73"/>
      <c r="X44" s="78"/>
      <c r="Y44" s="73"/>
      <c r="Z44" s="78"/>
      <c r="AA44" s="73"/>
      <c r="AB44" s="78"/>
      <c r="AC44" s="73"/>
      <c r="AD44" s="78"/>
      <c r="AE44" s="73"/>
      <c r="AF44" s="78"/>
      <c r="AG44" s="73"/>
      <c r="AH44" s="78"/>
      <c r="AI44" s="73"/>
      <c r="AJ44" s="78"/>
      <c r="AK44" s="73"/>
      <c r="AL44" s="78"/>
      <c r="AM44" s="73"/>
      <c r="AN44" s="78"/>
      <c r="AO44" s="73"/>
      <c r="AP44" s="78">
        <f t="shared" si="6"/>
        <v>0</v>
      </c>
      <c r="AQ44" s="73"/>
      <c r="AR44" s="78"/>
      <c r="AS44" s="73"/>
      <c r="AT44" s="78"/>
      <c r="AU44" s="73"/>
      <c r="AV44" s="78"/>
      <c r="AW44" s="73"/>
      <c r="AX44" s="78"/>
      <c r="AY44" s="73"/>
      <c r="AZ44" s="78"/>
      <c r="BA44" s="73"/>
      <c r="BB44" s="78"/>
      <c r="BC44" s="73"/>
      <c r="BD44" s="78"/>
      <c r="BE44" s="73"/>
      <c r="BF44" s="78"/>
      <c r="BG44" s="73"/>
      <c r="BH44" s="78"/>
      <c r="BI44" s="73"/>
      <c r="BJ44" s="78"/>
    </row>
    <row r="45" spans="1:62"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9"/>
        <v>0</v>
      </c>
      <c r="H45" s="69">
        <f>+VLOOKUP(C45,'PRECIOS IDU 2025'!$A$1:$E$3189,4,FALSE)</f>
        <v>46379</v>
      </c>
      <c r="I45" s="69">
        <f t="shared" si="10"/>
        <v>60293</v>
      </c>
      <c r="J45" s="69">
        <f t="shared" si="11"/>
        <v>0</v>
      </c>
      <c r="K45" s="9"/>
      <c r="L45" s="3"/>
      <c r="M45" s="73"/>
      <c r="N45" s="78">
        <f t="shared" si="5"/>
        <v>0</v>
      </c>
      <c r="O45" s="73"/>
      <c r="P45" s="78"/>
      <c r="Q45" s="73"/>
      <c r="R45" s="78"/>
      <c r="S45" s="73"/>
      <c r="T45" s="78"/>
      <c r="U45" s="73"/>
      <c r="V45" s="78"/>
      <c r="W45" s="73"/>
      <c r="X45" s="78"/>
      <c r="Y45" s="73"/>
      <c r="Z45" s="78"/>
      <c r="AA45" s="73"/>
      <c r="AB45" s="78"/>
      <c r="AC45" s="73"/>
      <c r="AD45" s="78"/>
      <c r="AE45" s="73"/>
      <c r="AF45" s="78"/>
      <c r="AG45" s="73"/>
      <c r="AH45" s="78"/>
      <c r="AI45" s="73"/>
      <c r="AJ45" s="78"/>
      <c r="AK45" s="73"/>
      <c r="AL45" s="78"/>
      <c r="AM45" s="73"/>
      <c r="AN45" s="78"/>
      <c r="AO45" s="73"/>
      <c r="AP45" s="78">
        <f t="shared" si="6"/>
        <v>0</v>
      </c>
      <c r="AQ45" s="73"/>
      <c r="AR45" s="78"/>
      <c r="AS45" s="73"/>
      <c r="AT45" s="78"/>
      <c r="AU45" s="73"/>
      <c r="AV45" s="78"/>
      <c r="AW45" s="73"/>
      <c r="AX45" s="78"/>
      <c r="AY45" s="73"/>
      <c r="AZ45" s="78"/>
      <c r="BA45" s="73"/>
      <c r="BB45" s="78"/>
      <c r="BC45" s="73"/>
      <c r="BD45" s="78"/>
      <c r="BE45" s="73"/>
      <c r="BF45" s="78"/>
      <c r="BG45" s="73"/>
      <c r="BH45" s="78"/>
      <c r="BI45" s="73"/>
      <c r="BJ45" s="78"/>
    </row>
    <row r="46" spans="1:62"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9"/>
        <v>0</v>
      </c>
      <c r="H46" s="69">
        <f>+VLOOKUP(C46,'PRECIOS IDU 2025'!$A$1:$E$3189,4,FALSE)</f>
        <v>45600</v>
      </c>
      <c r="I46" s="69">
        <f t="shared" si="10"/>
        <v>59280</v>
      </c>
      <c r="J46" s="69">
        <f t="shared" si="11"/>
        <v>0</v>
      </c>
      <c r="K46" s="9"/>
      <c r="L46" s="3"/>
      <c r="M46" s="73"/>
      <c r="N46" s="78">
        <f t="shared" si="5"/>
        <v>0</v>
      </c>
      <c r="O46" s="73"/>
      <c r="P46" s="78"/>
      <c r="Q46" s="73"/>
      <c r="R46" s="78"/>
      <c r="S46" s="73"/>
      <c r="T46" s="78"/>
      <c r="U46" s="73"/>
      <c r="V46" s="78"/>
      <c r="W46" s="73"/>
      <c r="X46" s="78"/>
      <c r="Y46" s="73"/>
      <c r="Z46" s="78"/>
      <c r="AA46" s="73"/>
      <c r="AB46" s="78"/>
      <c r="AC46" s="73"/>
      <c r="AD46" s="78"/>
      <c r="AE46" s="73"/>
      <c r="AF46" s="78"/>
      <c r="AG46" s="73"/>
      <c r="AH46" s="78"/>
      <c r="AI46" s="73"/>
      <c r="AJ46" s="78"/>
      <c r="AK46" s="73"/>
      <c r="AL46" s="78"/>
      <c r="AM46" s="73"/>
      <c r="AN46" s="78"/>
      <c r="AO46" s="73"/>
      <c r="AP46" s="78">
        <f t="shared" si="6"/>
        <v>0</v>
      </c>
      <c r="AQ46" s="73"/>
      <c r="AR46" s="78"/>
      <c r="AS46" s="73"/>
      <c r="AT46" s="78"/>
      <c r="AU46" s="73"/>
      <c r="AV46" s="78"/>
      <c r="AW46" s="73"/>
      <c r="AX46" s="78"/>
      <c r="AY46" s="73"/>
      <c r="AZ46" s="78"/>
      <c r="BA46" s="73"/>
      <c r="BB46" s="78"/>
      <c r="BC46" s="73"/>
      <c r="BD46" s="78"/>
      <c r="BE46" s="73"/>
      <c r="BF46" s="78"/>
      <c r="BG46" s="73"/>
      <c r="BH46" s="78"/>
      <c r="BI46" s="73"/>
      <c r="BJ46" s="78"/>
    </row>
    <row r="47" spans="1:62"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9"/>
        <v>0</v>
      </c>
      <c r="H47" s="69">
        <f>+VLOOKUP(C47,'PRECIOS IDU 2025'!$A$1:$E$3189,4,FALSE)</f>
        <v>1757</v>
      </c>
      <c r="I47" s="69">
        <f t="shared" si="10"/>
        <v>2284</v>
      </c>
      <c r="J47" s="69">
        <f t="shared" si="11"/>
        <v>0</v>
      </c>
      <c r="K47" s="9"/>
      <c r="L47" s="3"/>
      <c r="M47" s="73"/>
      <c r="N47" s="78">
        <f t="shared" si="5"/>
        <v>0</v>
      </c>
      <c r="O47" s="73"/>
      <c r="P47" s="78"/>
      <c r="Q47" s="73"/>
      <c r="R47" s="78"/>
      <c r="S47" s="73"/>
      <c r="T47" s="78"/>
      <c r="U47" s="73"/>
      <c r="V47" s="78"/>
      <c r="W47" s="73"/>
      <c r="X47" s="78"/>
      <c r="Y47" s="73"/>
      <c r="Z47" s="78"/>
      <c r="AA47" s="73"/>
      <c r="AB47" s="78"/>
      <c r="AC47" s="73"/>
      <c r="AD47" s="78"/>
      <c r="AE47" s="73"/>
      <c r="AF47" s="78"/>
      <c r="AG47" s="73"/>
      <c r="AH47" s="78"/>
      <c r="AI47" s="73"/>
      <c r="AJ47" s="78"/>
      <c r="AK47" s="73"/>
      <c r="AL47" s="78"/>
      <c r="AM47" s="73"/>
      <c r="AN47" s="78"/>
      <c r="AO47" s="73"/>
      <c r="AP47" s="78">
        <f t="shared" si="6"/>
        <v>0</v>
      </c>
      <c r="AQ47" s="73"/>
      <c r="AR47" s="78"/>
      <c r="AS47" s="73"/>
      <c r="AT47" s="78"/>
      <c r="AU47" s="73"/>
      <c r="AV47" s="78"/>
      <c r="AW47" s="73"/>
      <c r="AX47" s="78"/>
      <c r="AY47" s="73"/>
      <c r="AZ47" s="78"/>
      <c r="BA47" s="73"/>
      <c r="BB47" s="78"/>
      <c r="BC47" s="73"/>
      <c r="BD47" s="78"/>
      <c r="BE47" s="73"/>
      <c r="BF47" s="78"/>
      <c r="BG47" s="73"/>
      <c r="BH47" s="78"/>
      <c r="BI47" s="73"/>
      <c r="BJ47" s="78"/>
    </row>
    <row r="48" spans="1:62"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9"/>
        <v>0</v>
      </c>
      <c r="H48" s="69">
        <f>+VLOOKUP(C48,'PRECIOS IDU 2025'!$A$1:$E$3189,4,FALSE)</f>
        <v>184030</v>
      </c>
      <c r="I48" s="69">
        <f t="shared" si="10"/>
        <v>239239</v>
      </c>
      <c r="J48" s="69">
        <f t="shared" si="11"/>
        <v>0</v>
      </c>
      <c r="K48" s="9"/>
      <c r="L48" s="3"/>
      <c r="M48" s="73"/>
      <c r="N48" s="78">
        <f t="shared" ref="N48:N63" si="12">+ROUND(M48*$I48,0)</f>
        <v>0</v>
      </c>
      <c r="O48" s="73"/>
      <c r="P48" s="78"/>
      <c r="Q48" s="73"/>
      <c r="R48" s="78"/>
      <c r="S48" s="73"/>
      <c r="T48" s="78"/>
      <c r="U48" s="73"/>
      <c r="V48" s="78"/>
      <c r="W48" s="73"/>
      <c r="X48" s="78"/>
      <c r="Y48" s="73"/>
      <c r="Z48" s="78"/>
      <c r="AA48" s="73"/>
      <c r="AB48" s="78"/>
      <c r="AC48" s="73"/>
      <c r="AD48" s="78"/>
      <c r="AE48" s="73"/>
      <c r="AF48" s="78"/>
      <c r="AG48" s="73"/>
      <c r="AH48" s="78"/>
      <c r="AI48" s="73"/>
      <c r="AJ48" s="78"/>
      <c r="AK48" s="73"/>
      <c r="AL48" s="78"/>
      <c r="AM48" s="73"/>
      <c r="AN48" s="78"/>
      <c r="AO48" s="73"/>
      <c r="AP48" s="78">
        <f t="shared" si="6"/>
        <v>0</v>
      </c>
      <c r="AQ48" s="73"/>
      <c r="AR48" s="78"/>
      <c r="AS48" s="73"/>
      <c r="AT48" s="78"/>
      <c r="AU48" s="73"/>
      <c r="AV48" s="78"/>
      <c r="AW48" s="73"/>
      <c r="AX48" s="78"/>
      <c r="AY48" s="73"/>
      <c r="AZ48" s="78"/>
      <c r="BA48" s="73"/>
      <c r="BB48" s="78"/>
      <c r="BC48" s="73"/>
      <c r="BD48" s="78"/>
      <c r="BE48" s="73"/>
      <c r="BF48" s="78"/>
      <c r="BG48" s="73"/>
      <c r="BH48" s="78"/>
      <c r="BI48" s="73"/>
      <c r="BJ48" s="78"/>
    </row>
    <row r="49" spans="1:62"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9"/>
        <v>0</v>
      </c>
      <c r="H49" s="69">
        <f>+VLOOKUP(C49,'PRECIOS IDU 2025'!$A$1:$E$3189,4,FALSE)</f>
        <v>73638</v>
      </c>
      <c r="I49" s="69">
        <f t="shared" si="10"/>
        <v>95729</v>
      </c>
      <c r="J49" s="69">
        <f t="shared" si="11"/>
        <v>0</v>
      </c>
      <c r="K49" s="9"/>
      <c r="L49" s="3"/>
      <c r="M49" s="76"/>
      <c r="N49" s="78">
        <f t="shared" si="12"/>
        <v>0</v>
      </c>
      <c r="O49" s="76"/>
      <c r="P49" s="78"/>
      <c r="Q49" s="76"/>
      <c r="R49" s="78"/>
      <c r="S49" s="76"/>
      <c r="T49" s="78"/>
      <c r="U49" s="76"/>
      <c r="V49" s="78"/>
      <c r="W49" s="76"/>
      <c r="X49" s="78"/>
      <c r="Y49" s="76"/>
      <c r="Z49" s="78"/>
      <c r="AA49" s="76"/>
      <c r="AB49" s="78"/>
      <c r="AC49" s="76"/>
      <c r="AD49" s="78"/>
      <c r="AE49" s="76"/>
      <c r="AF49" s="78"/>
      <c r="AG49" s="76"/>
      <c r="AH49" s="78"/>
      <c r="AI49" s="76"/>
      <c r="AJ49" s="78"/>
      <c r="AK49" s="76"/>
      <c r="AL49" s="78"/>
      <c r="AM49" s="76"/>
      <c r="AN49" s="78"/>
      <c r="AO49" s="76"/>
      <c r="AP49" s="78">
        <f t="shared" si="6"/>
        <v>0</v>
      </c>
      <c r="AQ49" s="76"/>
      <c r="AR49" s="78"/>
      <c r="AS49" s="76"/>
      <c r="AT49" s="78"/>
      <c r="AU49" s="76"/>
      <c r="AV49" s="78"/>
      <c r="AW49" s="76"/>
      <c r="AX49" s="78"/>
      <c r="AY49" s="76"/>
      <c r="AZ49" s="78"/>
      <c r="BA49" s="76"/>
      <c r="BB49" s="78"/>
      <c r="BC49" s="76"/>
      <c r="BD49" s="78"/>
      <c r="BE49" s="76"/>
      <c r="BF49" s="78"/>
      <c r="BG49" s="76"/>
      <c r="BH49" s="78"/>
      <c r="BI49" s="76"/>
      <c r="BJ49" s="78"/>
    </row>
    <row r="50" spans="1:62"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9"/>
        <v>0</v>
      </c>
      <c r="H50" s="69">
        <f>+VLOOKUP(C50,'PRECIOS IDU 2025'!$A$1:$E$3189,4,FALSE)</f>
        <v>13158</v>
      </c>
      <c r="I50" s="69">
        <f t="shared" si="10"/>
        <v>17105</v>
      </c>
      <c r="J50" s="69">
        <f t="shared" si="11"/>
        <v>0</v>
      </c>
      <c r="K50" s="9"/>
      <c r="L50" s="3"/>
      <c r="M50" s="73"/>
      <c r="N50" s="78">
        <f t="shared" si="12"/>
        <v>0</v>
      </c>
      <c r="O50" s="73"/>
      <c r="P50" s="78"/>
      <c r="Q50" s="73"/>
      <c r="R50" s="78"/>
      <c r="S50" s="73"/>
      <c r="T50" s="78"/>
      <c r="U50" s="73"/>
      <c r="V50" s="78"/>
      <c r="W50" s="73"/>
      <c r="X50" s="78"/>
      <c r="Y50" s="73"/>
      <c r="Z50" s="78"/>
      <c r="AA50" s="73"/>
      <c r="AB50" s="78"/>
      <c r="AC50" s="73"/>
      <c r="AD50" s="78"/>
      <c r="AE50" s="73"/>
      <c r="AF50" s="78"/>
      <c r="AG50" s="73"/>
      <c r="AH50" s="78"/>
      <c r="AI50" s="73"/>
      <c r="AJ50" s="78"/>
      <c r="AK50" s="73"/>
      <c r="AL50" s="78"/>
      <c r="AM50" s="73"/>
      <c r="AN50" s="78"/>
      <c r="AO50" s="73"/>
      <c r="AP50" s="78">
        <f t="shared" si="6"/>
        <v>0</v>
      </c>
      <c r="AQ50" s="73"/>
      <c r="AR50" s="78"/>
      <c r="AS50" s="73"/>
      <c r="AT50" s="78"/>
      <c r="AU50" s="73"/>
      <c r="AV50" s="78"/>
      <c r="AW50" s="73"/>
      <c r="AX50" s="78"/>
      <c r="AY50" s="73"/>
      <c r="AZ50" s="78"/>
      <c r="BA50" s="73"/>
      <c r="BB50" s="78"/>
      <c r="BC50" s="73"/>
      <c r="BD50" s="78"/>
      <c r="BE50" s="73"/>
      <c r="BF50" s="78"/>
      <c r="BG50" s="73"/>
      <c r="BH50" s="78"/>
      <c r="BI50" s="73"/>
      <c r="BJ50" s="78"/>
    </row>
    <row r="51" spans="1:62"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9"/>
        <v>0</v>
      </c>
      <c r="H51" s="69">
        <f>+VLOOKUP(C51,'PRECIOS IDU 2025'!$A$1:$E$3189,4,FALSE)</f>
        <v>30940</v>
      </c>
      <c r="I51" s="69">
        <f t="shared" si="10"/>
        <v>40222</v>
      </c>
      <c r="J51" s="69">
        <f t="shared" si="11"/>
        <v>0</v>
      </c>
      <c r="K51" s="9"/>
      <c r="L51" s="3"/>
      <c r="M51" s="73"/>
      <c r="N51" s="78">
        <f t="shared" si="12"/>
        <v>0</v>
      </c>
      <c r="O51" s="73"/>
      <c r="P51" s="78"/>
      <c r="Q51" s="73"/>
      <c r="R51" s="78"/>
      <c r="S51" s="73"/>
      <c r="T51" s="78"/>
      <c r="U51" s="73"/>
      <c r="V51" s="78"/>
      <c r="W51" s="73"/>
      <c r="X51" s="78"/>
      <c r="Y51" s="73"/>
      <c r="Z51" s="78"/>
      <c r="AA51" s="73"/>
      <c r="AB51" s="78"/>
      <c r="AC51" s="73"/>
      <c r="AD51" s="78"/>
      <c r="AE51" s="73"/>
      <c r="AF51" s="78"/>
      <c r="AG51" s="73"/>
      <c r="AH51" s="78"/>
      <c r="AI51" s="73"/>
      <c r="AJ51" s="78"/>
      <c r="AK51" s="73"/>
      <c r="AL51" s="78"/>
      <c r="AM51" s="73"/>
      <c r="AN51" s="78"/>
      <c r="AO51" s="73"/>
      <c r="AP51" s="78">
        <f t="shared" si="6"/>
        <v>0</v>
      </c>
      <c r="AQ51" s="73"/>
      <c r="AR51" s="78"/>
      <c r="AS51" s="73"/>
      <c r="AT51" s="78"/>
      <c r="AU51" s="73"/>
      <c r="AV51" s="78"/>
      <c r="AW51" s="73"/>
      <c r="AX51" s="78"/>
      <c r="AY51" s="73"/>
      <c r="AZ51" s="78"/>
      <c r="BA51" s="73"/>
      <c r="BB51" s="78"/>
      <c r="BC51" s="73"/>
      <c r="BD51" s="78"/>
      <c r="BE51" s="73"/>
      <c r="BF51" s="78"/>
      <c r="BG51" s="73"/>
      <c r="BH51" s="78"/>
      <c r="BI51" s="73"/>
      <c r="BJ51" s="78"/>
    </row>
    <row r="52" spans="1:62"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9"/>
        <v>0</v>
      </c>
      <c r="H52" s="69">
        <f>+VLOOKUP(C52,'PRECIOS IDU 2025'!$A$1:$E$3189,4,FALSE)</f>
        <v>170143</v>
      </c>
      <c r="I52" s="69">
        <f t="shared" si="10"/>
        <v>221186</v>
      </c>
      <c r="J52" s="69">
        <f t="shared" si="11"/>
        <v>0</v>
      </c>
      <c r="K52" s="9"/>
      <c r="L52" s="3"/>
      <c r="M52" s="73"/>
      <c r="N52" s="78">
        <f t="shared" si="12"/>
        <v>0</v>
      </c>
      <c r="O52" s="73"/>
      <c r="P52" s="78"/>
      <c r="Q52" s="73"/>
      <c r="R52" s="78"/>
      <c r="S52" s="73"/>
      <c r="T52" s="78"/>
      <c r="U52" s="73"/>
      <c r="V52" s="78"/>
      <c r="W52" s="73"/>
      <c r="X52" s="78"/>
      <c r="Y52" s="73"/>
      <c r="Z52" s="78"/>
      <c r="AA52" s="73"/>
      <c r="AB52" s="78"/>
      <c r="AC52" s="73"/>
      <c r="AD52" s="78"/>
      <c r="AE52" s="73"/>
      <c r="AF52" s="78"/>
      <c r="AG52" s="73"/>
      <c r="AH52" s="78"/>
      <c r="AI52" s="73"/>
      <c r="AJ52" s="78"/>
      <c r="AK52" s="73"/>
      <c r="AL52" s="78"/>
      <c r="AM52" s="73"/>
      <c r="AN52" s="78"/>
      <c r="AO52" s="73"/>
      <c r="AP52" s="78">
        <f t="shared" si="6"/>
        <v>0</v>
      </c>
      <c r="AQ52" s="73"/>
      <c r="AR52" s="78"/>
      <c r="AS52" s="73"/>
      <c r="AT52" s="78"/>
      <c r="AU52" s="73"/>
      <c r="AV52" s="78"/>
      <c r="AW52" s="73"/>
      <c r="AX52" s="78"/>
      <c r="AY52" s="73"/>
      <c r="AZ52" s="78"/>
      <c r="BA52" s="73"/>
      <c r="BB52" s="78"/>
      <c r="BC52" s="73"/>
      <c r="BD52" s="78"/>
      <c r="BE52" s="73"/>
      <c r="BF52" s="78"/>
      <c r="BG52" s="73"/>
      <c r="BH52" s="78"/>
      <c r="BI52" s="73"/>
      <c r="BJ52" s="78"/>
    </row>
    <row r="53" spans="1:62"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9"/>
        <v>0</v>
      </c>
      <c r="H53" s="69">
        <f>+VLOOKUP(C53,'PRECIOS IDU 2025'!$A$1:$E$3189,4,FALSE)</f>
        <v>163490</v>
      </c>
      <c r="I53" s="69">
        <f t="shared" si="10"/>
        <v>212537</v>
      </c>
      <c r="J53" s="69">
        <f t="shared" si="11"/>
        <v>0</v>
      </c>
      <c r="K53" s="9"/>
      <c r="L53" s="3"/>
      <c r="M53" s="73"/>
      <c r="N53" s="78">
        <f t="shared" si="12"/>
        <v>0</v>
      </c>
      <c r="O53" s="73"/>
      <c r="P53" s="78"/>
      <c r="Q53" s="73"/>
      <c r="R53" s="78"/>
      <c r="S53" s="73"/>
      <c r="T53" s="78"/>
      <c r="U53" s="73"/>
      <c r="V53" s="78"/>
      <c r="W53" s="73"/>
      <c r="X53" s="78"/>
      <c r="Y53" s="73"/>
      <c r="Z53" s="78"/>
      <c r="AA53" s="73"/>
      <c r="AB53" s="78"/>
      <c r="AC53" s="73"/>
      <c r="AD53" s="78"/>
      <c r="AE53" s="73"/>
      <c r="AF53" s="78"/>
      <c r="AG53" s="73"/>
      <c r="AH53" s="78"/>
      <c r="AI53" s="73"/>
      <c r="AJ53" s="78"/>
      <c r="AK53" s="73"/>
      <c r="AL53" s="78"/>
      <c r="AM53" s="73"/>
      <c r="AN53" s="78"/>
      <c r="AO53" s="73"/>
      <c r="AP53" s="78">
        <f t="shared" si="6"/>
        <v>0</v>
      </c>
      <c r="AQ53" s="73"/>
      <c r="AR53" s="78"/>
      <c r="AS53" s="73"/>
      <c r="AT53" s="78"/>
      <c r="AU53" s="73"/>
      <c r="AV53" s="78"/>
      <c r="AW53" s="73"/>
      <c r="AX53" s="78"/>
      <c r="AY53" s="73"/>
      <c r="AZ53" s="78"/>
      <c r="BA53" s="73"/>
      <c r="BB53" s="78"/>
      <c r="BC53" s="73"/>
      <c r="BD53" s="78"/>
      <c r="BE53" s="73"/>
      <c r="BF53" s="78"/>
      <c r="BG53" s="73"/>
      <c r="BH53" s="78"/>
      <c r="BI53" s="73"/>
      <c r="BJ53" s="78"/>
    </row>
    <row r="54" spans="1:62"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9"/>
        <v>0</v>
      </c>
      <c r="H54" s="69">
        <f>+VLOOKUP(C54,'PRECIOS IDU 2025'!$A$1:$E$3189,4,FALSE)</f>
        <v>3189</v>
      </c>
      <c r="I54" s="69">
        <f t="shared" si="10"/>
        <v>4146</v>
      </c>
      <c r="J54" s="69">
        <f t="shared" si="11"/>
        <v>0</v>
      </c>
      <c r="K54" s="9"/>
      <c r="L54" s="3"/>
      <c r="M54" s="73"/>
      <c r="N54" s="78">
        <f t="shared" si="12"/>
        <v>0</v>
      </c>
      <c r="O54" s="73"/>
      <c r="P54" s="78"/>
      <c r="Q54" s="73"/>
      <c r="R54" s="78"/>
      <c r="S54" s="73"/>
      <c r="T54" s="78"/>
      <c r="U54" s="73"/>
      <c r="V54" s="78"/>
      <c r="W54" s="73"/>
      <c r="X54" s="78"/>
      <c r="Y54" s="73"/>
      <c r="Z54" s="78"/>
      <c r="AA54" s="73"/>
      <c r="AB54" s="78"/>
      <c r="AC54" s="73"/>
      <c r="AD54" s="78"/>
      <c r="AE54" s="73"/>
      <c r="AF54" s="78"/>
      <c r="AG54" s="73"/>
      <c r="AH54" s="78"/>
      <c r="AI54" s="73"/>
      <c r="AJ54" s="78"/>
      <c r="AK54" s="73"/>
      <c r="AL54" s="78"/>
      <c r="AM54" s="73"/>
      <c r="AN54" s="78"/>
      <c r="AO54" s="73"/>
      <c r="AP54" s="78">
        <f t="shared" si="6"/>
        <v>0</v>
      </c>
      <c r="AQ54" s="73"/>
      <c r="AR54" s="78"/>
      <c r="AS54" s="73"/>
      <c r="AT54" s="78"/>
      <c r="AU54" s="73"/>
      <c r="AV54" s="78"/>
      <c r="AW54" s="73"/>
      <c r="AX54" s="78"/>
      <c r="AY54" s="73"/>
      <c r="AZ54" s="78"/>
      <c r="BA54" s="73"/>
      <c r="BB54" s="78"/>
      <c r="BC54" s="73"/>
      <c r="BD54" s="78"/>
      <c r="BE54" s="73"/>
      <c r="BF54" s="78"/>
      <c r="BG54" s="73"/>
      <c r="BH54" s="78"/>
      <c r="BI54" s="73"/>
      <c r="BJ54" s="78"/>
    </row>
    <row r="55" spans="1:62"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9"/>
        <v>0</v>
      </c>
      <c r="H55" s="69">
        <f>+VLOOKUP(C55,'PRECIOS IDU 2025'!$A$1:$E$3189,4,FALSE)</f>
        <v>3885</v>
      </c>
      <c r="I55" s="69">
        <f t="shared" si="10"/>
        <v>5051</v>
      </c>
      <c r="J55" s="69">
        <f t="shared" si="11"/>
        <v>0</v>
      </c>
      <c r="K55" s="9"/>
      <c r="L55" s="3"/>
      <c r="M55" s="73"/>
      <c r="N55" s="78">
        <f t="shared" si="12"/>
        <v>0</v>
      </c>
      <c r="O55" s="73"/>
      <c r="P55" s="78"/>
      <c r="Q55" s="73"/>
      <c r="R55" s="78"/>
      <c r="S55" s="73"/>
      <c r="T55" s="78"/>
      <c r="U55" s="73"/>
      <c r="V55" s="78"/>
      <c r="W55" s="73"/>
      <c r="X55" s="78"/>
      <c r="Y55" s="73"/>
      <c r="Z55" s="78"/>
      <c r="AA55" s="73"/>
      <c r="AB55" s="78"/>
      <c r="AC55" s="73"/>
      <c r="AD55" s="78"/>
      <c r="AE55" s="73"/>
      <c r="AF55" s="78"/>
      <c r="AG55" s="73"/>
      <c r="AH55" s="78"/>
      <c r="AI55" s="73"/>
      <c r="AJ55" s="78"/>
      <c r="AK55" s="73"/>
      <c r="AL55" s="78"/>
      <c r="AM55" s="73"/>
      <c r="AN55" s="78"/>
      <c r="AO55" s="73"/>
      <c r="AP55" s="78">
        <f t="shared" si="6"/>
        <v>0</v>
      </c>
      <c r="AQ55" s="73"/>
      <c r="AR55" s="78"/>
      <c r="AS55" s="73"/>
      <c r="AT55" s="78"/>
      <c r="AU55" s="73"/>
      <c r="AV55" s="78"/>
      <c r="AW55" s="73"/>
      <c r="AX55" s="78"/>
      <c r="AY55" s="73"/>
      <c r="AZ55" s="78"/>
      <c r="BA55" s="73"/>
      <c r="BB55" s="78"/>
      <c r="BC55" s="73"/>
      <c r="BD55" s="78"/>
      <c r="BE55" s="73"/>
      <c r="BF55" s="78"/>
      <c r="BG55" s="73"/>
      <c r="BH55" s="78"/>
      <c r="BI55" s="73"/>
      <c r="BJ55" s="78"/>
    </row>
    <row r="56" spans="1:62"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9"/>
        <v>0</v>
      </c>
      <c r="H56" s="69">
        <f>+VLOOKUP(C56,'PRECIOS IDU 2025'!$A$1:$E$3189,4,FALSE)</f>
        <v>1341971</v>
      </c>
      <c r="I56" s="69">
        <f t="shared" si="10"/>
        <v>1744562</v>
      </c>
      <c r="J56" s="69">
        <f t="shared" si="11"/>
        <v>0</v>
      </c>
      <c r="K56" s="9"/>
      <c r="L56" s="3"/>
      <c r="M56" s="73"/>
      <c r="N56" s="78">
        <f t="shared" si="12"/>
        <v>0</v>
      </c>
      <c r="O56" s="73"/>
      <c r="P56" s="78"/>
      <c r="Q56" s="73"/>
      <c r="R56" s="78"/>
      <c r="S56" s="73"/>
      <c r="T56" s="78"/>
      <c r="U56" s="73"/>
      <c r="V56" s="78"/>
      <c r="W56" s="73"/>
      <c r="X56" s="78"/>
      <c r="Y56" s="73"/>
      <c r="Z56" s="78"/>
      <c r="AA56" s="73"/>
      <c r="AB56" s="78"/>
      <c r="AC56" s="73"/>
      <c r="AD56" s="78"/>
      <c r="AE56" s="73"/>
      <c r="AF56" s="78"/>
      <c r="AG56" s="73"/>
      <c r="AH56" s="78"/>
      <c r="AI56" s="73"/>
      <c r="AJ56" s="78"/>
      <c r="AK56" s="73"/>
      <c r="AL56" s="78"/>
      <c r="AM56" s="73"/>
      <c r="AN56" s="78"/>
      <c r="AO56" s="73"/>
      <c r="AP56" s="78">
        <f t="shared" si="6"/>
        <v>0</v>
      </c>
      <c r="AQ56" s="73"/>
      <c r="AR56" s="78"/>
      <c r="AS56" s="73"/>
      <c r="AT56" s="78"/>
      <c r="AU56" s="73"/>
      <c r="AV56" s="78"/>
      <c r="AW56" s="73"/>
      <c r="AX56" s="78"/>
      <c r="AY56" s="73"/>
      <c r="AZ56" s="78"/>
      <c r="BA56" s="73"/>
      <c r="BB56" s="78"/>
      <c r="BC56" s="73"/>
      <c r="BD56" s="78"/>
      <c r="BE56" s="73"/>
      <c r="BF56" s="78"/>
      <c r="BG56" s="73"/>
      <c r="BH56" s="78"/>
      <c r="BI56" s="73"/>
      <c r="BJ56" s="78"/>
    </row>
    <row r="57" spans="1:62"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9"/>
        <v>0</v>
      </c>
      <c r="H57" s="69">
        <f>+VLOOKUP(C57,'PRECIOS IDU 2025'!$A$1:$E$3189,4,FALSE)</f>
        <v>1241977</v>
      </c>
      <c r="I57" s="69">
        <f t="shared" si="10"/>
        <v>1614570</v>
      </c>
      <c r="J57" s="69">
        <f t="shared" si="11"/>
        <v>0</v>
      </c>
      <c r="K57" s="9"/>
      <c r="L57" s="3"/>
      <c r="M57" s="73"/>
      <c r="N57" s="78">
        <f t="shared" si="12"/>
        <v>0</v>
      </c>
      <c r="O57" s="73"/>
      <c r="P57" s="78"/>
      <c r="Q57" s="73"/>
      <c r="R57" s="78"/>
      <c r="S57" s="73"/>
      <c r="T57" s="78"/>
      <c r="U57" s="73"/>
      <c r="V57" s="78"/>
      <c r="W57" s="73"/>
      <c r="X57" s="78"/>
      <c r="Y57" s="73"/>
      <c r="Z57" s="78"/>
      <c r="AA57" s="73"/>
      <c r="AB57" s="78"/>
      <c r="AC57" s="73"/>
      <c r="AD57" s="78"/>
      <c r="AE57" s="73"/>
      <c r="AF57" s="78"/>
      <c r="AG57" s="73"/>
      <c r="AH57" s="78"/>
      <c r="AI57" s="73"/>
      <c r="AJ57" s="78"/>
      <c r="AK57" s="73"/>
      <c r="AL57" s="78"/>
      <c r="AM57" s="73"/>
      <c r="AN57" s="78"/>
      <c r="AO57" s="73"/>
      <c r="AP57" s="78">
        <f t="shared" si="6"/>
        <v>0</v>
      </c>
      <c r="AQ57" s="73"/>
      <c r="AR57" s="78"/>
      <c r="AS57" s="73"/>
      <c r="AT57" s="78"/>
      <c r="AU57" s="73"/>
      <c r="AV57" s="78"/>
      <c r="AW57" s="73"/>
      <c r="AX57" s="78"/>
      <c r="AY57" s="73"/>
      <c r="AZ57" s="78"/>
      <c r="BA57" s="73"/>
      <c r="BB57" s="78"/>
      <c r="BC57" s="73"/>
      <c r="BD57" s="78"/>
      <c r="BE57" s="73"/>
      <c r="BF57" s="78"/>
      <c r="BG57" s="73"/>
      <c r="BH57" s="78"/>
      <c r="BI57" s="73"/>
      <c r="BJ57" s="78"/>
    </row>
    <row r="58" spans="1:62"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9"/>
        <v>0</v>
      </c>
      <c r="H58" s="69">
        <f>+VLOOKUP(C58,'PRECIOS IDU 2025'!$A$1:$E$3189,4,FALSE)</f>
        <v>1556215</v>
      </c>
      <c r="I58" s="69">
        <f t="shared" si="10"/>
        <v>2023080</v>
      </c>
      <c r="J58" s="69">
        <f t="shared" si="11"/>
        <v>0</v>
      </c>
      <c r="K58" s="9"/>
      <c r="L58" s="3"/>
      <c r="M58" s="73"/>
      <c r="N58" s="78">
        <f t="shared" si="12"/>
        <v>0</v>
      </c>
      <c r="O58" s="73"/>
      <c r="P58" s="78"/>
      <c r="Q58" s="73"/>
      <c r="R58" s="78"/>
      <c r="S58" s="73"/>
      <c r="T58" s="78"/>
      <c r="U58" s="73"/>
      <c r="V58" s="78"/>
      <c r="W58" s="73"/>
      <c r="X58" s="78"/>
      <c r="Y58" s="73"/>
      <c r="Z58" s="78"/>
      <c r="AA58" s="73"/>
      <c r="AB58" s="78"/>
      <c r="AC58" s="73"/>
      <c r="AD58" s="78"/>
      <c r="AE58" s="73"/>
      <c r="AF58" s="78"/>
      <c r="AG58" s="73"/>
      <c r="AH58" s="78"/>
      <c r="AI58" s="73"/>
      <c r="AJ58" s="78"/>
      <c r="AK58" s="73"/>
      <c r="AL58" s="78"/>
      <c r="AM58" s="73"/>
      <c r="AN58" s="78"/>
      <c r="AO58" s="73"/>
      <c r="AP58" s="78">
        <f t="shared" si="6"/>
        <v>0</v>
      </c>
      <c r="AQ58" s="73"/>
      <c r="AR58" s="78"/>
      <c r="AS58" s="73"/>
      <c r="AT58" s="78"/>
      <c r="AU58" s="73"/>
      <c r="AV58" s="78"/>
      <c r="AW58" s="73"/>
      <c r="AX58" s="78"/>
      <c r="AY58" s="73"/>
      <c r="AZ58" s="78"/>
      <c r="BA58" s="73"/>
      <c r="BB58" s="78"/>
      <c r="BC58" s="73"/>
      <c r="BD58" s="78"/>
      <c r="BE58" s="73"/>
      <c r="BF58" s="78"/>
      <c r="BG58" s="73"/>
      <c r="BH58" s="78"/>
      <c r="BI58" s="73"/>
      <c r="BJ58" s="78"/>
    </row>
    <row r="59" spans="1:62"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9"/>
        <v>0</v>
      </c>
      <c r="H59" s="69">
        <f>+VLOOKUP(C59,'PRECIOS IDU 2025'!$A$1:$E$3189,4,FALSE)</f>
        <v>5591</v>
      </c>
      <c r="I59" s="69">
        <f t="shared" si="10"/>
        <v>7268</v>
      </c>
      <c r="J59" s="69">
        <f t="shared" si="11"/>
        <v>0</v>
      </c>
      <c r="K59" s="9"/>
      <c r="L59" s="3"/>
      <c r="M59" s="76"/>
      <c r="N59" s="78">
        <f t="shared" si="12"/>
        <v>0</v>
      </c>
      <c r="O59" s="76"/>
      <c r="P59" s="78"/>
      <c r="Q59" s="76"/>
      <c r="R59" s="78"/>
      <c r="S59" s="76"/>
      <c r="T59" s="78"/>
      <c r="U59" s="76"/>
      <c r="V59" s="78"/>
      <c r="W59" s="76"/>
      <c r="X59" s="78"/>
      <c r="Y59" s="76"/>
      <c r="Z59" s="78"/>
      <c r="AA59" s="76"/>
      <c r="AB59" s="78"/>
      <c r="AC59" s="76"/>
      <c r="AD59" s="78"/>
      <c r="AE59" s="76"/>
      <c r="AF59" s="78"/>
      <c r="AG59" s="76"/>
      <c r="AH59" s="78"/>
      <c r="AI59" s="76"/>
      <c r="AJ59" s="78"/>
      <c r="AK59" s="76"/>
      <c r="AL59" s="78"/>
      <c r="AM59" s="76"/>
      <c r="AN59" s="78"/>
      <c r="AO59" s="76"/>
      <c r="AP59" s="78">
        <f t="shared" si="6"/>
        <v>0</v>
      </c>
      <c r="AQ59" s="76"/>
      <c r="AR59" s="78"/>
      <c r="AS59" s="76"/>
      <c r="AT59" s="78"/>
      <c r="AU59" s="76"/>
      <c r="AV59" s="78"/>
      <c r="AW59" s="76"/>
      <c r="AX59" s="78"/>
      <c r="AY59" s="76"/>
      <c r="AZ59" s="78"/>
      <c r="BA59" s="76"/>
      <c r="BB59" s="78"/>
      <c r="BC59" s="76"/>
      <c r="BD59" s="78"/>
      <c r="BE59" s="76"/>
      <c r="BF59" s="78"/>
      <c r="BG59" s="76"/>
      <c r="BH59" s="78"/>
      <c r="BI59" s="76"/>
      <c r="BJ59" s="78"/>
    </row>
    <row r="60" spans="1:62"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9"/>
        <v>0</v>
      </c>
      <c r="H60" s="69">
        <f>+VLOOKUP(C60,'PRECIOS IDU 2025'!$A$1:$E$3189,4,FALSE)</f>
        <v>8404</v>
      </c>
      <c r="I60" s="69">
        <f t="shared" si="10"/>
        <v>10925</v>
      </c>
      <c r="J60" s="69">
        <f t="shared" si="11"/>
        <v>0</v>
      </c>
      <c r="K60" s="9"/>
      <c r="L60" s="3"/>
      <c r="M60" s="76"/>
      <c r="N60" s="78">
        <f t="shared" si="12"/>
        <v>0</v>
      </c>
      <c r="O60" s="76"/>
      <c r="P60" s="78"/>
      <c r="Q60" s="76"/>
      <c r="R60" s="78"/>
      <c r="S60" s="76"/>
      <c r="T60" s="78"/>
      <c r="U60" s="76"/>
      <c r="V60" s="78"/>
      <c r="W60" s="76"/>
      <c r="X60" s="78"/>
      <c r="Y60" s="76"/>
      <c r="Z60" s="78"/>
      <c r="AA60" s="76"/>
      <c r="AB60" s="78"/>
      <c r="AC60" s="76"/>
      <c r="AD60" s="78"/>
      <c r="AE60" s="76"/>
      <c r="AF60" s="78"/>
      <c r="AG60" s="76"/>
      <c r="AH60" s="78"/>
      <c r="AI60" s="76"/>
      <c r="AJ60" s="78"/>
      <c r="AK60" s="76"/>
      <c r="AL60" s="78"/>
      <c r="AM60" s="76"/>
      <c r="AN60" s="78"/>
      <c r="AO60" s="76"/>
      <c r="AP60" s="78">
        <f t="shared" si="6"/>
        <v>0</v>
      </c>
      <c r="AQ60" s="76"/>
      <c r="AR60" s="78"/>
      <c r="AS60" s="76"/>
      <c r="AT60" s="78"/>
      <c r="AU60" s="76"/>
      <c r="AV60" s="78"/>
      <c r="AW60" s="76"/>
      <c r="AX60" s="78"/>
      <c r="AY60" s="76"/>
      <c r="AZ60" s="78"/>
      <c r="BA60" s="76"/>
      <c r="BB60" s="78"/>
      <c r="BC60" s="76"/>
      <c r="BD60" s="78"/>
      <c r="BE60" s="76"/>
      <c r="BF60" s="78"/>
      <c r="BG60" s="76"/>
      <c r="BH60" s="78"/>
      <c r="BI60" s="76"/>
      <c r="BJ60" s="78"/>
    </row>
    <row r="61" spans="1:62"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9"/>
        <v>0</v>
      </c>
      <c r="H61" s="69">
        <f>+VLOOKUP(C61,'PRECIOS IDU 2025'!$A$1:$E$3189,4,FALSE)</f>
        <v>7882</v>
      </c>
      <c r="I61" s="69">
        <f t="shared" si="10"/>
        <v>10247</v>
      </c>
      <c r="J61" s="69">
        <f t="shared" si="11"/>
        <v>0</v>
      </c>
      <c r="K61" s="9"/>
      <c r="L61" s="3"/>
      <c r="M61" s="76"/>
      <c r="N61" s="78">
        <f t="shared" si="12"/>
        <v>0</v>
      </c>
      <c r="O61" s="76"/>
      <c r="P61" s="78"/>
      <c r="Q61" s="76"/>
      <c r="R61" s="78"/>
      <c r="S61" s="76"/>
      <c r="T61" s="78"/>
      <c r="U61" s="76"/>
      <c r="V61" s="78"/>
      <c r="W61" s="76"/>
      <c r="X61" s="78"/>
      <c r="Y61" s="76"/>
      <c r="Z61" s="78"/>
      <c r="AA61" s="76"/>
      <c r="AB61" s="78"/>
      <c r="AC61" s="76"/>
      <c r="AD61" s="78"/>
      <c r="AE61" s="76"/>
      <c r="AF61" s="78"/>
      <c r="AG61" s="76"/>
      <c r="AH61" s="78"/>
      <c r="AI61" s="76"/>
      <c r="AJ61" s="78"/>
      <c r="AK61" s="76"/>
      <c r="AL61" s="78"/>
      <c r="AM61" s="76"/>
      <c r="AN61" s="78"/>
      <c r="AO61" s="76"/>
      <c r="AP61" s="78">
        <f t="shared" si="6"/>
        <v>0</v>
      </c>
      <c r="AQ61" s="76"/>
      <c r="AR61" s="78"/>
      <c r="AS61" s="76"/>
      <c r="AT61" s="78"/>
      <c r="AU61" s="76"/>
      <c r="AV61" s="78"/>
      <c r="AW61" s="76"/>
      <c r="AX61" s="78"/>
      <c r="AY61" s="76"/>
      <c r="AZ61" s="78"/>
      <c r="BA61" s="76"/>
      <c r="BB61" s="78"/>
      <c r="BC61" s="76"/>
      <c r="BD61" s="78"/>
      <c r="BE61" s="76"/>
      <c r="BF61" s="78"/>
      <c r="BG61" s="76"/>
      <c r="BH61" s="78"/>
      <c r="BI61" s="76"/>
      <c r="BJ61" s="78"/>
    </row>
    <row r="62" spans="1:62"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9"/>
        <v>0</v>
      </c>
      <c r="H62" s="69">
        <f>+VLOOKUP(C62,'PRECIOS IDU 2025'!$A$1:$E$3189,4,FALSE)</f>
        <v>7882</v>
      </c>
      <c r="I62" s="69">
        <f t="shared" si="10"/>
        <v>10247</v>
      </c>
      <c r="J62" s="69">
        <f t="shared" si="11"/>
        <v>0</v>
      </c>
      <c r="K62" s="9"/>
      <c r="L62" s="3"/>
      <c r="M62" s="76"/>
      <c r="N62" s="78">
        <f t="shared" si="12"/>
        <v>0</v>
      </c>
      <c r="O62" s="76"/>
      <c r="P62" s="78"/>
      <c r="Q62" s="76"/>
      <c r="R62" s="78"/>
      <c r="S62" s="76"/>
      <c r="T62" s="78"/>
      <c r="U62" s="76"/>
      <c r="V62" s="78"/>
      <c r="W62" s="76"/>
      <c r="X62" s="78"/>
      <c r="Y62" s="76"/>
      <c r="Z62" s="78"/>
      <c r="AA62" s="76"/>
      <c r="AB62" s="78"/>
      <c r="AC62" s="76"/>
      <c r="AD62" s="78"/>
      <c r="AE62" s="76"/>
      <c r="AF62" s="78"/>
      <c r="AG62" s="76"/>
      <c r="AH62" s="78"/>
      <c r="AI62" s="76"/>
      <c r="AJ62" s="78"/>
      <c r="AK62" s="76"/>
      <c r="AL62" s="78"/>
      <c r="AM62" s="76"/>
      <c r="AN62" s="78"/>
      <c r="AO62" s="76"/>
      <c r="AP62" s="78">
        <f t="shared" si="6"/>
        <v>0</v>
      </c>
      <c r="AQ62" s="76"/>
      <c r="AR62" s="78"/>
      <c r="AS62" s="76"/>
      <c r="AT62" s="78"/>
      <c r="AU62" s="76"/>
      <c r="AV62" s="78"/>
      <c r="AW62" s="76"/>
      <c r="AX62" s="78"/>
      <c r="AY62" s="76"/>
      <c r="AZ62" s="78"/>
      <c r="BA62" s="76"/>
      <c r="BB62" s="78"/>
      <c r="BC62" s="76"/>
      <c r="BD62" s="78"/>
      <c r="BE62" s="76"/>
      <c r="BF62" s="78"/>
      <c r="BG62" s="76"/>
      <c r="BH62" s="78"/>
      <c r="BI62" s="76"/>
      <c r="BJ62" s="78"/>
    </row>
    <row r="63" spans="1:62"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9"/>
        <v>0</v>
      </c>
      <c r="H63" s="69">
        <f>+VLOOKUP(C63,'PRECIOS IDU 2025'!$A$1:$E$3189,4,FALSE)</f>
        <v>875661</v>
      </c>
      <c r="I63" s="69">
        <f t="shared" si="10"/>
        <v>1138359</v>
      </c>
      <c r="J63" s="69">
        <f t="shared" si="11"/>
        <v>0</v>
      </c>
      <c r="K63" s="9"/>
      <c r="L63" s="3"/>
      <c r="M63" s="76"/>
      <c r="N63" s="78">
        <f t="shared" si="12"/>
        <v>0</v>
      </c>
      <c r="O63" s="76"/>
      <c r="P63" s="78"/>
      <c r="Q63" s="76"/>
      <c r="R63" s="78"/>
      <c r="S63" s="76"/>
      <c r="T63" s="78"/>
      <c r="U63" s="76"/>
      <c r="V63" s="78"/>
      <c r="W63" s="76"/>
      <c r="X63" s="78"/>
      <c r="Y63" s="76"/>
      <c r="Z63" s="78"/>
      <c r="AA63" s="76"/>
      <c r="AB63" s="78"/>
      <c r="AC63" s="76"/>
      <c r="AD63" s="78"/>
      <c r="AE63" s="76"/>
      <c r="AF63" s="78"/>
      <c r="AG63" s="76"/>
      <c r="AH63" s="78"/>
      <c r="AI63" s="76"/>
      <c r="AJ63" s="78"/>
      <c r="AK63" s="76"/>
      <c r="AL63" s="78"/>
      <c r="AM63" s="76"/>
      <c r="AN63" s="78"/>
      <c r="AO63" s="76"/>
      <c r="AP63" s="78">
        <f t="shared" si="6"/>
        <v>0</v>
      </c>
      <c r="AQ63" s="76"/>
      <c r="AR63" s="78"/>
      <c r="AS63" s="76"/>
      <c r="AT63" s="78"/>
      <c r="AU63" s="76"/>
      <c r="AV63" s="78"/>
      <c r="AW63" s="76"/>
      <c r="AX63" s="78"/>
      <c r="AY63" s="76"/>
      <c r="AZ63" s="78"/>
      <c r="BA63" s="76"/>
      <c r="BB63" s="78"/>
      <c r="BC63" s="76"/>
      <c r="BD63" s="78"/>
      <c r="BE63" s="76"/>
      <c r="BF63" s="78"/>
      <c r="BG63" s="76"/>
      <c r="BH63" s="78"/>
      <c r="BI63" s="76"/>
      <c r="BJ63" s="78"/>
    </row>
    <row r="64" spans="1:62"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9"/>
        <v>0</v>
      </c>
      <c r="H64" s="69">
        <f>+VLOOKUP(C64,'PRECIOS IDU 2025'!$A$1:$E$3189,4,FALSE)</f>
        <v>890453</v>
      </c>
      <c r="I64" s="69">
        <f t="shared" si="10"/>
        <v>1157589</v>
      </c>
      <c r="J64" s="69">
        <f t="shared" si="11"/>
        <v>0</v>
      </c>
      <c r="K64" s="9"/>
      <c r="L64" s="3"/>
      <c r="M64" s="76"/>
      <c r="N64" s="78">
        <f t="shared" ref="N64:N99" si="13">+ROUND(M64*$I64,0)</f>
        <v>0</v>
      </c>
      <c r="O64" s="76"/>
      <c r="P64" s="78"/>
      <c r="Q64" s="76"/>
      <c r="R64" s="78"/>
      <c r="S64" s="76"/>
      <c r="T64" s="78"/>
      <c r="U64" s="76"/>
      <c r="V64" s="78"/>
      <c r="W64" s="76"/>
      <c r="X64" s="78"/>
      <c r="Y64" s="76"/>
      <c r="Z64" s="78"/>
      <c r="AA64" s="76"/>
      <c r="AB64" s="78"/>
      <c r="AC64" s="76"/>
      <c r="AD64" s="78"/>
      <c r="AE64" s="76"/>
      <c r="AF64" s="78"/>
      <c r="AG64" s="76"/>
      <c r="AH64" s="78"/>
      <c r="AI64" s="76"/>
      <c r="AJ64" s="78"/>
      <c r="AK64" s="76"/>
      <c r="AL64" s="78"/>
      <c r="AM64" s="76"/>
      <c r="AN64" s="78"/>
      <c r="AO64" s="76"/>
      <c r="AP64" s="78">
        <f t="shared" si="6"/>
        <v>0</v>
      </c>
      <c r="AQ64" s="76"/>
      <c r="AR64" s="78"/>
      <c r="AS64" s="76"/>
      <c r="AT64" s="78"/>
      <c r="AU64" s="76"/>
      <c r="AV64" s="78"/>
      <c r="AW64" s="76"/>
      <c r="AX64" s="78"/>
      <c r="AY64" s="76"/>
      <c r="AZ64" s="78"/>
      <c r="BA64" s="76"/>
      <c r="BB64" s="78"/>
      <c r="BC64" s="76"/>
      <c r="BD64" s="78"/>
      <c r="BE64" s="76"/>
      <c r="BF64" s="78"/>
      <c r="BG64" s="76"/>
      <c r="BH64" s="78"/>
      <c r="BI64" s="76"/>
      <c r="BJ64" s="78"/>
    </row>
    <row r="65" spans="1:62"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9"/>
        <v>0</v>
      </c>
      <c r="H65" s="69">
        <f>+VLOOKUP(C65,'PRECIOS IDU 2025'!$A$1:$E$3189,4,FALSE)</f>
        <v>2554</v>
      </c>
      <c r="I65" s="69">
        <f t="shared" si="10"/>
        <v>3320</v>
      </c>
      <c r="J65" s="69">
        <f t="shared" si="11"/>
        <v>0</v>
      </c>
      <c r="K65" s="9"/>
      <c r="L65" s="3"/>
      <c r="M65" s="76"/>
      <c r="N65" s="78">
        <f t="shared" si="13"/>
        <v>0</v>
      </c>
      <c r="O65" s="76"/>
      <c r="P65" s="78"/>
      <c r="Q65" s="76"/>
      <c r="R65" s="78"/>
      <c r="S65" s="76"/>
      <c r="T65" s="78"/>
      <c r="U65" s="76"/>
      <c r="V65" s="78"/>
      <c r="W65" s="76"/>
      <c r="X65" s="78"/>
      <c r="Y65" s="76"/>
      <c r="Z65" s="78"/>
      <c r="AA65" s="76"/>
      <c r="AB65" s="78"/>
      <c r="AC65" s="76"/>
      <c r="AD65" s="78"/>
      <c r="AE65" s="76"/>
      <c r="AF65" s="78"/>
      <c r="AG65" s="76"/>
      <c r="AH65" s="78"/>
      <c r="AI65" s="76"/>
      <c r="AJ65" s="78"/>
      <c r="AK65" s="76"/>
      <c r="AL65" s="78"/>
      <c r="AM65" s="76"/>
      <c r="AN65" s="78"/>
      <c r="AO65" s="76"/>
      <c r="AP65" s="78">
        <f t="shared" si="6"/>
        <v>0</v>
      </c>
      <c r="AQ65" s="76"/>
      <c r="AR65" s="78"/>
      <c r="AS65" s="76"/>
      <c r="AT65" s="78"/>
      <c r="AU65" s="76"/>
      <c r="AV65" s="78"/>
      <c r="AW65" s="76"/>
      <c r="AX65" s="78"/>
      <c r="AY65" s="76"/>
      <c r="AZ65" s="78"/>
      <c r="BA65" s="76"/>
      <c r="BB65" s="78"/>
      <c r="BC65" s="76"/>
      <c r="BD65" s="78"/>
      <c r="BE65" s="76"/>
      <c r="BF65" s="78"/>
      <c r="BG65" s="76"/>
      <c r="BH65" s="78"/>
      <c r="BI65" s="76"/>
      <c r="BJ65" s="78"/>
    </row>
    <row r="66" spans="1:62"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9"/>
        <v>0</v>
      </c>
      <c r="H66" s="69">
        <f>+VLOOKUP(C66,'PRECIOS IDU 2025'!$A$1:$E$3189,4,FALSE)</f>
        <v>13778</v>
      </c>
      <c r="I66" s="69">
        <f t="shared" si="10"/>
        <v>17911</v>
      </c>
      <c r="J66" s="69">
        <f t="shared" si="11"/>
        <v>0</v>
      </c>
      <c r="K66" s="9"/>
      <c r="L66" s="3"/>
      <c r="M66" s="76"/>
      <c r="N66" s="78">
        <f t="shared" si="13"/>
        <v>0</v>
      </c>
      <c r="O66" s="76"/>
      <c r="P66" s="78"/>
      <c r="Q66" s="76"/>
      <c r="R66" s="78"/>
      <c r="S66" s="76"/>
      <c r="T66" s="78"/>
      <c r="U66" s="76"/>
      <c r="V66" s="78"/>
      <c r="W66" s="76"/>
      <c r="X66" s="78"/>
      <c r="Y66" s="76"/>
      <c r="Z66" s="78"/>
      <c r="AA66" s="76"/>
      <c r="AB66" s="78"/>
      <c r="AC66" s="76"/>
      <c r="AD66" s="78"/>
      <c r="AE66" s="76"/>
      <c r="AF66" s="78"/>
      <c r="AG66" s="76"/>
      <c r="AH66" s="78"/>
      <c r="AI66" s="76"/>
      <c r="AJ66" s="78"/>
      <c r="AK66" s="76"/>
      <c r="AL66" s="78"/>
      <c r="AM66" s="76"/>
      <c r="AN66" s="78"/>
      <c r="AO66" s="76"/>
      <c r="AP66" s="78">
        <f t="shared" si="6"/>
        <v>0</v>
      </c>
      <c r="AQ66" s="76"/>
      <c r="AR66" s="78"/>
      <c r="AS66" s="76"/>
      <c r="AT66" s="78"/>
      <c r="AU66" s="76"/>
      <c r="AV66" s="78"/>
      <c r="AW66" s="76"/>
      <c r="AX66" s="78"/>
      <c r="AY66" s="76"/>
      <c r="AZ66" s="78"/>
      <c r="BA66" s="76"/>
      <c r="BB66" s="78"/>
      <c r="BC66" s="76"/>
      <c r="BD66" s="78"/>
      <c r="BE66" s="76"/>
      <c r="BF66" s="78"/>
      <c r="BG66" s="76"/>
      <c r="BH66" s="78"/>
      <c r="BI66" s="76"/>
      <c r="BJ66" s="78"/>
    </row>
    <row r="67" spans="1:62"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9"/>
        <v>0</v>
      </c>
      <c r="H67" s="69">
        <f>+VLOOKUP(C67,'PRECIOS IDU 2025'!$A$1:$E$3189,4,FALSE)</f>
        <v>10578</v>
      </c>
      <c r="I67" s="69">
        <f t="shared" si="10"/>
        <v>13751</v>
      </c>
      <c r="J67" s="69">
        <f t="shared" si="11"/>
        <v>0</v>
      </c>
      <c r="K67" s="9"/>
      <c r="L67" s="3"/>
      <c r="M67" s="76"/>
      <c r="N67" s="78">
        <f t="shared" si="13"/>
        <v>0</v>
      </c>
      <c r="O67" s="76"/>
      <c r="P67" s="78"/>
      <c r="Q67" s="76"/>
      <c r="R67" s="78"/>
      <c r="S67" s="76"/>
      <c r="T67" s="78"/>
      <c r="U67" s="76"/>
      <c r="V67" s="78"/>
      <c r="W67" s="76"/>
      <c r="X67" s="78"/>
      <c r="Y67" s="76"/>
      <c r="Z67" s="78"/>
      <c r="AA67" s="76"/>
      <c r="AB67" s="78"/>
      <c r="AC67" s="76"/>
      <c r="AD67" s="78"/>
      <c r="AE67" s="76"/>
      <c r="AF67" s="78"/>
      <c r="AG67" s="76"/>
      <c r="AH67" s="78"/>
      <c r="AI67" s="76"/>
      <c r="AJ67" s="78"/>
      <c r="AK67" s="76"/>
      <c r="AL67" s="78"/>
      <c r="AM67" s="76"/>
      <c r="AN67" s="78"/>
      <c r="AO67" s="76"/>
      <c r="AP67" s="78">
        <f t="shared" si="6"/>
        <v>0</v>
      </c>
      <c r="AQ67" s="76"/>
      <c r="AR67" s="78"/>
      <c r="AS67" s="76"/>
      <c r="AT67" s="78"/>
      <c r="AU67" s="76"/>
      <c r="AV67" s="78"/>
      <c r="AW67" s="76"/>
      <c r="AX67" s="78"/>
      <c r="AY67" s="76"/>
      <c r="AZ67" s="78"/>
      <c r="BA67" s="76"/>
      <c r="BB67" s="78"/>
      <c r="BC67" s="76"/>
      <c r="BD67" s="78"/>
      <c r="BE67" s="76"/>
      <c r="BF67" s="78"/>
      <c r="BG67" s="76"/>
      <c r="BH67" s="78"/>
      <c r="BI67" s="76"/>
      <c r="BJ67" s="78"/>
    </row>
    <row r="68" spans="1:62" ht="30" customHeight="1" x14ac:dyDescent="0.3">
      <c r="A68" s="3"/>
      <c r="B68" s="8"/>
      <c r="C68" s="61" t="s">
        <v>6078</v>
      </c>
      <c r="D68" s="62"/>
      <c r="E68" s="62"/>
      <c r="F68" s="62"/>
      <c r="G68" s="62"/>
      <c r="H68" s="62"/>
      <c r="I68" s="62"/>
      <c r="J68" s="63"/>
      <c r="K68" s="9"/>
      <c r="L68" s="3"/>
      <c r="M68" s="76"/>
      <c r="N68" s="78">
        <f t="shared" si="13"/>
        <v>0</v>
      </c>
      <c r="O68" s="76"/>
      <c r="P68" s="78"/>
      <c r="Q68" s="76"/>
      <c r="R68" s="78"/>
      <c r="S68" s="76"/>
      <c r="T68" s="78"/>
      <c r="U68" s="76"/>
      <c r="V68" s="78"/>
      <c r="W68" s="76"/>
      <c r="X68" s="78"/>
      <c r="Y68" s="76"/>
      <c r="Z68" s="78"/>
      <c r="AA68" s="76"/>
      <c r="AB68" s="78"/>
      <c r="AC68" s="76"/>
      <c r="AD68" s="78"/>
      <c r="AE68" s="76"/>
      <c r="AF68" s="78"/>
      <c r="AG68" s="76"/>
      <c r="AH68" s="78"/>
      <c r="AI68" s="76"/>
      <c r="AJ68" s="78"/>
      <c r="AK68" s="76"/>
      <c r="AL68" s="78"/>
      <c r="AM68" s="76"/>
      <c r="AN68" s="78"/>
      <c r="AO68" s="76"/>
      <c r="AP68" s="78">
        <f t="shared" si="6"/>
        <v>0</v>
      </c>
      <c r="AQ68" s="76"/>
      <c r="AR68" s="78"/>
      <c r="AS68" s="76"/>
      <c r="AT68" s="78"/>
      <c r="AU68" s="76"/>
      <c r="AV68" s="78"/>
      <c r="AW68" s="76"/>
      <c r="AX68" s="78"/>
      <c r="AY68" s="76"/>
      <c r="AZ68" s="78"/>
      <c r="BA68" s="76"/>
      <c r="BB68" s="78"/>
      <c r="BC68" s="76"/>
      <c r="BD68" s="78"/>
      <c r="BE68" s="76"/>
      <c r="BF68" s="78"/>
      <c r="BG68" s="76"/>
      <c r="BH68" s="78"/>
      <c r="BI68" s="76"/>
      <c r="BJ68" s="78"/>
    </row>
    <row r="69" spans="1:62" ht="30" customHeight="1" x14ac:dyDescent="0.3">
      <c r="A69" s="3"/>
      <c r="B69" s="8"/>
      <c r="C69" s="60">
        <v>3007</v>
      </c>
      <c r="D69" s="60">
        <v>3001</v>
      </c>
      <c r="E69" s="60" t="str">
        <f>+VLOOKUP(C69,'PRECIOS IDU 2025'!$A$1:$E$3189,2,FALSE)</f>
        <v>REPLANTEO GENERAL</v>
      </c>
      <c r="F69" s="60" t="str">
        <f>+VLOOKUP(C69,'PRECIOS IDU 2025'!$A$1:$E$3189,3,FALSE)</f>
        <v>M2</v>
      </c>
      <c r="G69" s="108">
        <f t="shared" ref="G69:G85" si="14">+ROUND(M69+O69+Q69+S69+U69+W69+Y69+AA69+AC69+AE69+AG69+AI69+AK69+AM69+AO69+AQ69+AS69+AU69+AW69+AY69+BA69+BC69+BE69+BG69+BI69,2)</f>
        <v>0</v>
      </c>
      <c r="H69" s="69">
        <f>+VLOOKUP(C69,'PRECIOS IDU 2025'!$A$1:$E$3189,4,FALSE)</f>
        <v>909</v>
      </c>
      <c r="I69" s="69">
        <f t="shared" ref="I69:I85" si="15">+ROUND(H69*(1+$J$192),0)</f>
        <v>1182</v>
      </c>
      <c r="J69" s="69">
        <f t="shared" ref="J69:J85" si="16">+ROUND(I69*G69,0)</f>
        <v>0</v>
      </c>
      <c r="K69" s="9"/>
      <c r="L69" s="3"/>
      <c r="M69" s="76"/>
      <c r="N69" s="78">
        <f t="shared" si="13"/>
        <v>0</v>
      </c>
      <c r="O69" s="76"/>
      <c r="P69" s="78"/>
      <c r="Q69" s="76"/>
      <c r="R69" s="78"/>
      <c r="S69" s="76"/>
      <c r="T69" s="78"/>
      <c r="U69" s="76"/>
      <c r="V69" s="78"/>
      <c r="W69" s="76"/>
      <c r="X69" s="78"/>
      <c r="Y69" s="76"/>
      <c r="Z69" s="78"/>
      <c r="AA69" s="76"/>
      <c r="AB69" s="78"/>
      <c r="AC69" s="76"/>
      <c r="AD69" s="78"/>
      <c r="AE69" s="76"/>
      <c r="AF69" s="78"/>
      <c r="AG69" s="76"/>
      <c r="AH69" s="78"/>
      <c r="AI69" s="76"/>
      <c r="AJ69" s="78"/>
      <c r="AK69" s="76"/>
      <c r="AL69" s="78"/>
      <c r="AM69" s="76"/>
      <c r="AN69" s="78"/>
      <c r="AO69" s="76"/>
      <c r="AP69" s="78">
        <f t="shared" si="6"/>
        <v>0</v>
      </c>
      <c r="AQ69" s="76"/>
      <c r="AR69" s="78"/>
      <c r="AS69" s="76"/>
      <c r="AT69" s="78"/>
      <c r="AU69" s="76"/>
      <c r="AV69" s="78"/>
      <c r="AW69" s="76"/>
      <c r="AX69" s="78"/>
      <c r="AY69" s="76"/>
      <c r="AZ69" s="78"/>
      <c r="BA69" s="76"/>
      <c r="BB69" s="78"/>
      <c r="BC69" s="76"/>
      <c r="BD69" s="78"/>
      <c r="BE69" s="76"/>
      <c r="BF69" s="78"/>
      <c r="BG69" s="76"/>
      <c r="BH69" s="78"/>
      <c r="BI69" s="76"/>
      <c r="BJ69" s="78"/>
    </row>
    <row r="70" spans="1:62"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14"/>
        <v>0</v>
      </c>
      <c r="H70" s="69">
        <f>+VLOOKUP(C70,'PRECIOS IDU 2025'!$A$1:$E$3189,4,FALSE)</f>
        <v>2659</v>
      </c>
      <c r="I70" s="69">
        <f t="shared" si="15"/>
        <v>3457</v>
      </c>
      <c r="J70" s="69">
        <f t="shared" si="16"/>
        <v>0</v>
      </c>
      <c r="K70" s="9"/>
      <c r="L70" s="3"/>
      <c r="M70" s="76"/>
      <c r="N70" s="78">
        <f t="shared" si="13"/>
        <v>0</v>
      </c>
      <c r="O70" s="76"/>
      <c r="P70" s="78"/>
      <c r="Q70" s="76"/>
      <c r="R70" s="78"/>
      <c r="S70" s="76"/>
      <c r="T70" s="78"/>
      <c r="U70" s="76"/>
      <c r="V70" s="78"/>
      <c r="W70" s="76"/>
      <c r="X70" s="78"/>
      <c r="Y70" s="76"/>
      <c r="Z70" s="78"/>
      <c r="AA70" s="76"/>
      <c r="AB70" s="78"/>
      <c r="AC70" s="76"/>
      <c r="AD70" s="78"/>
      <c r="AE70" s="76"/>
      <c r="AF70" s="78"/>
      <c r="AG70" s="76"/>
      <c r="AH70" s="78"/>
      <c r="AI70" s="76"/>
      <c r="AJ70" s="78"/>
      <c r="AK70" s="76"/>
      <c r="AL70" s="78"/>
      <c r="AM70" s="76"/>
      <c r="AN70" s="78"/>
      <c r="AO70" s="76"/>
      <c r="AP70" s="78">
        <f t="shared" si="6"/>
        <v>0</v>
      </c>
      <c r="AQ70" s="76"/>
      <c r="AR70" s="78"/>
      <c r="AS70" s="76"/>
      <c r="AT70" s="78"/>
      <c r="AU70" s="76"/>
      <c r="AV70" s="78"/>
      <c r="AW70" s="76"/>
      <c r="AX70" s="78"/>
      <c r="AY70" s="76"/>
      <c r="AZ70" s="78"/>
      <c r="BA70" s="76"/>
      <c r="BB70" s="78"/>
      <c r="BC70" s="76"/>
      <c r="BD70" s="78"/>
      <c r="BE70" s="76"/>
      <c r="BF70" s="78"/>
      <c r="BG70" s="76"/>
      <c r="BH70" s="78"/>
      <c r="BI70" s="76"/>
      <c r="BJ70" s="78"/>
    </row>
    <row r="71" spans="1:62"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14"/>
        <v>0</v>
      </c>
      <c r="H71" s="69">
        <f>+VLOOKUP(C71,'PRECIOS IDU 2025'!$A$1:$E$3189,4,FALSE)</f>
        <v>38781</v>
      </c>
      <c r="I71" s="69">
        <f t="shared" si="15"/>
        <v>50415</v>
      </c>
      <c r="J71" s="69">
        <f t="shared" si="16"/>
        <v>0</v>
      </c>
      <c r="K71" s="9"/>
      <c r="L71" s="3"/>
      <c r="M71" s="76"/>
      <c r="N71" s="78">
        <f t="shared" si="13"/>
        <v>0</v>
      </c>
      <c r="O71" s="76"/>
      <c r="P71" s="78"/>
      <c r="Q71" s="76"/>
      <c r="R71" s="78"/>
      <c r="S71" s="76"/>
      <c r="T71" s="78"/>
      <c r="U71" s="76"/>
      <c r="V71" s="78"/>
      <c r="W71" s="76"/>
      <c r="X71" s="78"/>
      <c r="Y71" s="76"/>
      <c r="Z71" s="78"/>
      <c r="AA71" s="76"/>
      <c r="AB71" s="78"/>
      <c r="AC71" s="76"/>
      <c r="AD71" s="78"/>
      <c r="AE71" s="76"/>
      <c r="AF71" s="78"/>
      <c r="AG71" s="76"/>
      <c r="AH71" s="78"/>
      <c r="AI71" s="76"/>
      <c r="AJ71" s="78"/>
      <c r="AK71" s="76"/>
      <c r="AL71" s="78"/>
      <c r="AM71" s="76"/>
      <c r="AN71" s="78"/>
      <c r="AO71" s="76"/>
      <c r="AP71" s="78">
        <f t="shared" si="6"/>
        <v>0</v>
      </c>
      <c r="AQ71" s="76"/>
      <c r="AR71" s="78"/>
      <c r="AS71" s="76"/>
      <c r="AT71" s="78"/>
      <c r="AU71" s="76"/>
      <c r="AV71" s="78"/>
      <c r="AW71" s="76"/>
      <c r="AX71" s="78"/>
      <c r="AY71" s="76"/>
      <c r="AZ71" s="78"/>
      <c r="BA71" s="76"/>
      <c r="BB71" s="78"/>
      <c r="BC71" s="76"/>
      <c r="BD71" s="78"/>
      <c r="BE71" s="76"/>
      <c r="BF71" s="78"/>
      <c r="BG71" s="76"/>
      <c r="BH71" s="78"/>
      <c r="BI71" s="76"/>
      <c r="BJ71" s="78"/>
    </row>
    <row r="72" spans="1:62"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14"/>
        <v>0</v>
      </c>
      <c r="H72" s="69">
        <f>+VLOOKUP(C72,'PRECIOS IDU 2025'!$A$1:$E$3189,4,FALSE)</f>
        <v>5741</v>
      </c>
      <c r="I72" s="69">
        <f t="shared" si="15"/>
        <v>7463</v>
      </c>
      <c r="J72" s="69">
        <f t="shared" si="16"/>
        <v>0</v>
      </c>
      <c r="K72" s="9"/>
      <c r="L72" s="3"/>
      <c r="M72" s="76"/>
      <c r="N72" s="78">
        <f t="shared" si="13"/>
        <v>0</v>
      </c>
      <c r="O72" s="76"/>
      <c r="P72" s="78"/>
      <c r="Q72" s="76"/>
      <c r="R72" s="78"/>
      <c r="S72" s="76"/>
      <c r="T72" s="78"/>
      <c r="U72" s="76"/>
      <c r="V72" s="78"/>
      <c r="W72" s="76"/>
      <c r="X72" s="78"/>
      <c r="Y72" s="76"/>
      <c r="Z72" s="78"/>
      <c r="AA72" s="76"/>
      <c r="AB72" s="78"/>
      <c r="AC72" s="76"/>
      <c r="AD72" s="78"/>
      <c r="AE72" s="76"/>
      <c r="AF72" s="78"/>
      <c r="AG72" s="76"/>
      <c r="AH72" s="78"/>
      <c r="AI72" s="76"/>
      <c r="AJ72" s="78"/>
      <c r="AK72" s="76"/>
      <c r="AL72" s="78"/>
      <c r="AM72" s="76"/>
      <c r="AN72" s="78"/>
      <c r="AO72" s="76"/>
      <c r="AP72" s="78">
        <f t="shared" si="6"/>
        <v>0</v>
      </c>
      <c r="AQ72" s="76"/>
      <c r="AR72" s="78"/>
      <c r="AS72" s="76"/>
      <c r="AT72" s="78"/>
      <c r="AU72" s="76"/>
      <c r="AV72" s="78"/>
      <c r="AW72" s="76"/>
      <c r="AX72" s="78"/>
      <c r="AY72" s="76"/>
      <c r="AZ72" s="78"/>
      <c r="BA72" s="76"/>
      <c r="BB72" s="78"/>
      <c r="BC72" s="76"/>
      <c r="BD72" s="78"/>
      <c r="BE72" s="76"/>
      <c r="BF72" s="78"/>
      <c r="BG72" s="76"/>
      <c r="BH72" s="78"/>
      <c r="BI72" s="76"/>
      <c r="BJ72" s="78"/>
    </row>
    <row r="73" spans="1:62"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14"/>
        <v>0</v>
      </c>
      <c r="H73" s="69">
        <f>+VLOOKUP(C73,'PRECIOS IDU 2025'!$A$1:$E$3189,4,FALSE)</f>
        <v>46379</v>
      </c>
      <c r="I73" s="69">
        <f t="shared" si="15"/>
        <v>60293</v>
      </c>
      <c r="J73" s="69">
        <f t="shared" si="16"/>
        <v>0</v>
      </c>
      <c r="K73" s="9"/>
      <c r="L73" s="3"/>
      <c r="M73" s="76"/>
      <c r="N73" s="78">
        <f t="shared" si="13"/>
        <v>0</v>
      </c>
      <c r="O73" s="76"/>
      <c r="P73" s="78"/>
      <c r="Q73" s="76"/>
      <c r="R73" s="78"/>
      <c r="S73" s="76"/>
      <c r="T73" s="78"/>
      <c r="U73" s="76"/>
      <c r="V73" s="78"/>
      <c r="W73" s="76"/>
      <c r="X73" s="78"/>
      <c r="Y73" s="76"/>
      <c r="Z73" s="78"/>
      <c r="AA73" s="76"/>
      <c r="AB73" s="78"/>
      <c r="AC73" s="76"/>
      <c r="AD73" s="78"/>
      <c r="AE73" s="76"/>
      <c r="AF73" s="78"/>
      <c r="AG73" s="76"/>
      <c r="AH73" s="78"/>
      <c r="AI73" s="76"/>
      <c r="AJ73" s="78"/>
      <c r="AK73" s="76"/>
      <c r="AL73" s="78"/>
      <c r="AM73" s="76"/>
      <c r="AN73" s="78"/>
      <c r="AO73" s="76"/>
      <c r="AP73" s="78">
        <f t="shared" si="6"/>
        <v>0</v>
      </c>
      <c r="AQ73" s="76"/>
      <c r="AR73" s="78"/>
      <c r="AS73" s="76"/>
      <c r="AT73" s="78"/>
      <c r="AU73" s="76"/>
      <c r="AV73" s="78"/>
      <c r="AW73" s="76"/>
      <c r="AX73" s="78"/>
      <c r="AY73" s="76"/>
      <c r="AZ73" s="78"/>
      <c r="BA73" s="76"/>
      <c r="BB73" s="78"/>
      <c r="BC73" s="76"/>
      <c r="BD73" s="78"/>
      <c r="BE73" s="76"/>
      <c r="BF73" s="78"/>
      <c r="BG73" s="76"/>
      <c r="BH73" s="78"/>
      <c r="BI73" s="76"/>
      <c r="BJ73" s="78"/>
    </row>
    <row r="74" spans="1:62"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14"/>
        <v>0</v>
      </c>
      <c r="H74" s="69">
        <f>+VLOOKUP(C74,'PRECIOS IDU 2025'!$A$1:$E$3189,4,FALSE)</f>
        <v>45600</v>
      </c>
      <c r="I74" s="69">
        <f t="shared" si="15"/>
        <v>59280</v>
      </c>
      <c r="J74" s="69">
        <f t="shared" si="16"/>
        <v>0</v>
      </c>
      <c r="K74" s="9"/>
      <c r="L74" s="3"/>
      <c r="M74" s="76"/>
      <c r="N74" s="78">
        <f t="shared" si="13"/>
        <v>0</v>
      </c>
      <c r="O74" s="76"/>
      <c r="P74" s="78"/>
      <c r="Q74" s="76"/>
      <c r="R74" s="78"/>
      <c r="S74" s="76"/>
      <c r="T74" s="78"/>
      <c r="U74" s="76"/>
      <c r="V74" s="78"/>
      <c r="W74" s="76"/>
      <c r="X74" s="78"/>
      <c r="Y74" s="76"/>
      <c r="Z74" s="78"/>
      <c r="AA74" s="76"/>
      <c r="AB74" s="78"/>
      <c r="AC74" s="76"/>
      <c r="AD74" s="78"/>
      <c r="AE74" s="76"/>
      <c r="AF74" s="78"/>
      <c r="AG74" s="76"/>
      <c r="AH74" s="78"/>
      <c r="AI74" s="76"/>
      <c r="AJ74" s="78"/>
      <c r="AK74" s="76"/>
      <c r="AL74" s="78"/>
      <c r="AM74" s="76"/>
      <c r="AN74" s="78"/>
      <c r="AO74" s="76"/>
      <c r="AP74" s="78">
        <f t="shared" si="6"/>
        <v>0</v>
      </c>
      <c r="AQ74" s="76"/>
      <c r="AR74" s="78"/>
      <c r="AS74" s="76"/>
      <c r="AT74" s="78"/>
      <c r="AU74" s="76"/>
      <c r="AV74" s="78"/>
      <c r="AW74" s="76"/>
      <c r="AX74" s="78"/>
      <c r="AY74" s="76"/>
      <c r="AZ74" s="78"/>
      <c r="BA74" s="76"/>
      <c r="BB74" s="78"/>
      <c r="BC74" s="76"/>
      <c r="BD74" s="78"/>
      <c r="BE74" s="76"/>
      <c r="BF74" s="78"/>
      <c r="BG74" s="76"/>
      <c r="BH74" s="78"/>
      <c r="BI74" s="76"/>
      <c r="BJ74" s="78"/>
    </row>
    <row r="75" spans="1:62" ht="15.6" x14ac:dyDescent="0.3">
      <c r="A75" s="3"/>
      <c r="B75" s="8"/>
      <c r="C75" s="60">
        <v>3800</v>
      </c>
      <c r="D75" s="60">
        <v>3007</v>
      </c>
      <c r="E75" s="60" t="str">
        <f>+VLOOKUP(C75,'PRECIOS IDU 2025'!$A$1:$E$3189,2,FALSE)</f>
        <v>NIVELACION Y COMPACTACIÓN DE SUBRASANTE</v>
      </c>
      <c r="F75" s="60" t="str">
        <f>+VLOOKUP(C75,'PRECIOS IDU 2025'!$A$1:$E$3189,3,FALSE)</f>
        <v>M2</v>
      </c>
      <c r="G75" s="108">
        <f t="shared" si="14"/>
        <v>0</v>
      </c>
      <c r="H75" s="69">
        <f>+VLOOKUP(C75,'PRECIOS IDU 2025'!$A$1:$E$3189,4,FALSE)</f>
        <v>1757</v>
      </c>
      <c r="I75" s="69">
        <f t="shared" si="15"/>
        <v>2284</v>
      </c>
      <c r="J75" s="69">
        <f t="shared" si="16"/>
        <v>0</v>
      </c>
      <c r="K75" s="9"/>
      <c r="L75" s="3"/>
      <c r="M75" s="76"/>
      <c r="N75" s="78">
        <f t="shared" si="13"/>
        <v>0</v>
      </c>
      <c r="O75" s="76"/>
      <c r="P75" s="78"/>
      <c r="Q75" s="76"/>
      <c r="R75" s="78"/>
      <c r="S75" s="76"/>
      <c r="T75" s="78"/>
      <c r="U75" s="76"/>
      <c r="V75" s="78"/>
      <c r="W75" s="76"/>
      <c r="X75" s="78"/>
      <c r="Y75" s="76"/>
      <c r="Z75" s="78"/>
      <c r="AA75" s="76"/>
      <c r="AB75" s="78"/>
      <c r="AC75" s="76"/>
      <c r="AD75" s="78"/>
      <c r="AE75" s="76"/>
      <c r="AF75" s="78"/>
      <c r="AG75" s="76"/>
      <c r="AH75" s="78"/>
      <c r="AI75" s="76"/>
      <c r="AJ75" s="78"/>
      <c r="AK75" s="76"/>
      <c r="AL75" s="78"/>
      <c r="AM75" s="76"/>
      <c r="AN75" s="78"/>
      <c r="AO75" s="76"/>
      <c r="AP75" s="78">
        <f t="shared" si="6"/>
        <v>0</v>
      </c>
      <c r="AQ75" s="76"/>
      <c r="AR75" s="78"/>
      <c r="AS75" s="76"/>
      <c r="AT75" s="78"/>
      <c r="AU75" s="76"/>
      <c r="AV75" s="78"/>
      <c r="AW75" s="76"/>
      <c r="AX75" s="78"/>
      <c r="AY75" s="76"/>
      <c r="AZ75" s="78"/>
      <c r="BA75" s="76"/>
      <c r="BB75" s="78"/>
      <c r="BC75" s="76"/>
      <c r="BD75" s="78"/>
      <c r="BE75" s="76"/>
      <c r="BF75" s="78"/>
      <c r="BG75" s="76"/>
      <c r="BH75" s="78"/>
      <c r="BI75" s="76"/>
      <c r="BJ75" s="78"/>
    </row>
    <row r="76" spans="1:62"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14"/>
        <v>0</v>
      </c>
      <c r="H76" s="69">
        <f>+VLOOKUP(C76,'PRECIOS IDU 2025'!$A$1:$E$3189,4,FALSE)</f>
        <v>32622</v>
      </c>
      <c r="I76" s="69">
        <f t="shared" si="15"/>
        <v>42409</v>
      </c>
      <c r="J76" s="69">
        <f t="shared" si="16"/>
        <v>0</v>
      </c>
      <c r="K76" s="9"/>
      <c r="L76" s="3"/>
      <c r="M76" s="76"/>
      <c r="N76" s="78">
        <f t="shared" si="13"/>
        <v>0</v>
      </c>
      <c r="O76" s="76"/>
      <c r="P76" s="78"/>
      <c r="Q76" s="76"/>
      <c r="R76" s="78"/>
      <c r="S76" s="76"/>
      <c r="T76" s="78"/>
      <c r="U76" s="76"/>
      <c r="V76" s="78"/>
      <c r="W76" s="76"/>
      <c r="X76" s="78"/>
      <c r="Y76" s="76"/>
      <c r="Z76" s="78"/>
      <c r="AA76" s="76"/>
      <c r="AB76" s="78"/>
      <c r="AC76" s="76"/>
      <c r="AD76" s="78"/>
      <c r="AE76" s="76"/>
      <c r="AF76" s="78"/>
      <c r="AG76" s="76"/>
      <c r="AH76" s="78"/>
      <c r="AI76" s="76"/>
      <c r="AJ76" s="78"/>
      <c r="AK76" s="76"/>
      <c r="AL76" s="78"/>
      <c r="AM76" s="76"/>
      <c r="AN76" s="78"/>
      <c r="AO76" s="76"/>
      <c r="AP76" s="78">
        <f t="shared" si="6"/>
        <v>0</v>
      </c>
      <c r="AQ76" s="76"/>
      <c r="AR76" s="78"/>
      <c r="AS76" s="76"/>
      <c r="AT76" s="78"/>
      <c r="AU76" s="76"/>
      <c r="AV76" s="78"/>
      <c r="AW76" s="76"/>
      <c r="AX76" s="78"/>
      <c r="AY76" s="76"/>
      <c r="AZ76" s="78"/>
      <c r="BA76" s="76"/>
      <c r="BB76" s="78"/>
      <c r="BC76" s="76"/>
      <c r="BD76" s="78"/>
      <c r="BE76" s="76"/>
      <c r="BF76" s="78"/>
      <c r="BG76" s="76"/>
      <c r="BH76" s="78"/>
      <c r="BI76" s="76"/>
      <c r="BJ76" s="78"/>
    </row>
    <row r="77" spans="1:62"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14"/>
        <v>0</v>
      </c>
      <c r="H77" s="69">
        <f>+VLOOKUP(C77,'PRECIOS IDU 2025'!$A$1:$E$3189,4,FALSE)</f>
        <v>3189</v>
      </c>
      <c r="I77" s="69">
        <f t="shared" si="15"/>
        <v>4146</v>
      </c>
      <c r="J77" s="69">
        <f t="shared" si="16"/>
        <v>0</v>
      </c>
      <c r="K77" s="9"/>
      <c r="L77" s="3"/>
      <c r="M77" s="76"/>
      <c r="N77" s="78">
        <f t="shared" si="13"/>
        <v>0</v>
      </c>
      <c r="O77" s="76"/>
      <c r="P77" s="78"/>
      <c r="Q77" s="76"/>
      <c r="R77" s="78"/>
      <c r="S77" s="76"/>
      <c r="T77" s="78"/>
      <c r="U77" s="76"/>
      <c r="V77" s="78"/>
      <c r="W77" s="76"/>
      <c r="X77" s="78"/>
      <c r="Y77" s="76"/>
      <c r="Z77" s="78"/>
      <c r="AA77" s="76"/>
      <c r="AB77" s="78"/>
      <c r="AC77" s="76"/>
      <c r="AD77" s="78"/>
      <c r="AE77" s="76"/>
      <c r="AF77" s="78"/>
      <c r="AG77" s="76"/>
      <c r="AH77" s="78"/>
      <c r="AI77" s="76"/>
      <c r="AJ77" s="78"/>
      <c r="AK77" s="76"/>
      <c r="AL77" s="78"/>
      <c r="AM77" s="76"/>
      <c r="AN77" s="78"/>
      <c r="AO77" s="76"/>
      <c r="AP77" s="78">
        <f t="shared" si="6"/>
        <v>0</v>
      </c>
      <c r="AQ77" s="76"/>
      <c r="AR77" s="78"/>
      <c r="AS77" s="76"/>
      <c r="AT77" s="78"/>
      <c r="AU77" s="76"/>
      <c r="AV77" s="78"/>
      <c r="AW77" s="76"/>
      <c r="AX77" s="78"/>
      <c r="AY77" s="76"/>
      <c r="AZ77" s="78"/>
      <c r="BA77" s="76"/>
      <c r="BB77" s="78"/>
      <c r="BC77" s="76"/>
      <c r="BD77" s="78"/>
      <c r="BE77" s="76"/>
      <c r="BF77" s="78"/>
      <c r="BG77" s="76"/>
      <c r="BH77" s="78"/>
      <c r="BI77" s="76"/>
      <c r="BJ77" s="78"/>
    </row>
    <row r="78" spans="1:62"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14"/>
        <v>0</v>
      </c>
      <c r="H78" s="69">
        <f>+VLOOKUP(C78,'PRECIOS IDU 2025'!$A$1:$E$3189,4,FALSE)</f>
        <v>3885</v>
      </c>
      <c r="I78" s="69">
        <f t="shared" si="15"/>
        <v>5051</v>
      </c>
      <c r="J78" s="69">
        <f t="shared" si="16"/>
        <v>0</v>
      </c>
      <c r="K78" s="9"/>
      <c r="L78" s="3"/>
      <c r="M78" s="76"/>
      <c r="N78" s="78">
        <f t="shared" si="13"/>
        <v>0</v>
      </c>
      <c r="O78" s="76"/>
      <c r="P78" s="78"/>
      <c r="Q78" s="76"/>
      <c r="R78" s="78"/>
      <c r="S78" s="76"/>
      <c r="T78" s="78"/>
      <c r="U78" s="76"/>
      <c r="V78" s="78"/>
      <c r="W78" s="76"/>
      <c r="X78" s="78"/>
      <c r="Y78" s="76"/>
      <c r="Z78" s="78"/>
      <c r="AA78" s="76"/>
      <c r="AB78" s="78"/>
      <c r="AC78" s="76"/>
      <c r="AD78" s="78"/>
      <c r="AE78" s="76"/>
      <c r="AF78" s="78"/>
      <c r="AG78" s="76"/>
      <c r="AH78" s="78"/>
      <c r="AI78" s="76"/>
      <c r="AJ78" s="78"/>
      <c r="AK78" s="76"/>
      <c r="AL78" s="78"/>
      <c r="AM78" s="76"/>
      <c r="AN78" s="78"/>
      <c r="AO78" s="76"/>
      <c r="AP78" s="78">
        <f t="shared" si="6"/>
        <v>0</v>
      </c>
      <c r="AQ78" s="76"/>
      <c r="AR78" s="78"/>
      <c r="AS78" s="76"/>
      <c r="AT78" s="78"/>
      <c r="AU78" s="76"/>
      <c r="AV78" s="78"/>
      <c r="AW78" s="76"/>
      <c r="AX78" s="78"/>
      <c r="AY78" s="76"/>
      <c r="AZ78" s="78"/>
      <c r="BA78" s="76"/>
      <c r="BB78" s="78"/>
      <c r="BC78" s="76"/>
      <c r="BD78" s="78"/>
      <c r="BE78" s="76"/>
      <c r="BF78" s="78"/>
      <c r="BG78" s="76"/>
      <c r="BH78" s="78"/>
      <c r="BI78" s="76"/>
      <c r="BJ78" s="78"/>
    </row>
    <row r="79" spans="1:62"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14"/>
        <v>0</v>
      </c>
      <c r="H79" s="69">
        <f>+VLOOKUP(C79,'PRECIOS IDU 2025'!$A$1:$E$3189,4,FALSE)</f>
        <v>1341971</v>
      </c>
      <c r="I79" s="69">
        <f t="shared" si="15"/>
        <v>1744562</v>
      </c>
      <c r="J79" s="69">
        <f t="shared" si="16"/>
        <v>0</v>
      </c>
      <c r="K79" s="9"/>
      <c r="L79" s="3"/>
      <c r="M79" s="76"/>
      <c r="N79" s="78">
        <f t="shared" si="13"/>
        <v>0</v>
      </c>
      <c r="O79" s="76"/>
      <c r="P79" s="78"/>
      <c r="Q79" s="76"/>
      <c r="R79" s="78"/>
      <c r="S79" s="76"/>
      <c r="T79" s="78"/>
      <c r="U79" s="76"/>
      <c r="V79" s="78"/>
      <c r="W79" s="76"/>
      <c r="X79" s="78"/>
      <c r="Y79" s="76"/>
      <c r="Z79" s="78"/>
      <c r="AA79" s="76"/>
      <c r="AB79" s="78"/>
      <c r="AC79" s="76"/>
      <c r="AD79" s="78"/>
      <c r="AE79" s="76"/>
      <c r="AF79" s="78"/>
      <c r="AG79" s="76"/>
      <c r="AH79" s="78"/>
      <c r="AI79" s="76"/>
      <c r="AJ79" s="78"/>
      <c r="AK79" s="76"/>
      <c r="AL79" s="78"/>
      <c r="AM79" s="76"/>
      <c r="AN79" s="78"/>
      <c r="AO79" s="76"/>
      <c r="AP79" s="78">
        <f t="shared" si="6"/>
        <v>0</v>
      </c>
      <c r="AQ79" s="76"/>
      <c r="AR79" s="78"/>
      <c r="AS79" s="76"/>
      <c r="AT79" s="78"/>
      <c r="AU79" s="76"/>
      <c r="AV79" s="78"/>
      <c r="AW79" s="76"/>
      <c r="AX79" s="78"/>
      <c r="AY79" s="76"/>
      <c r="AZ79" s="78"/>
      <c r="BA79" s="76"/>
      <c r="BB79" s="78"/>
      <c r="BC79" s="76"/>
      <c r="BD79" s="78"/>
      <c r="BE79" s="76"/>
      <c r="BF79" s="78"/>
      <c r="BG79" s="76"/>
      <c r="BH79" s="78"/>
      <c r="BI79" s="76"/>
      <c r="BJ79" s="78"/>
    </row>
    <row r="80" spans="1:62"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14"/>
        <v>0</v>
      </c>
      <c r="H80" s="69">
        <f>+VLOOKUP(C80,'PRECIOS IDU 2025'!$A$1:$E$3189,4,FALSE)</f>
        <v>1241977</v>
      </c>
      <c r="I80" s="69">
        <f t="shared" si="15"/>
        <v>1614570</v>
      </c>
      <c r="J80" s="69">
        <f t="shared" si="16"/>
        <v>0</v>
      </c>
      <c r="K80" s="9"/>
      <c r="L80" s="3"/>
      <c r="M80" s="76"/>
      <c r="N80" s="78">
        <f t="shared" si="13"/>
        <v>0</v>
      </c>
      <c r="O80" s="76"/>
      <c r="P80" s="78"/>
      <c r="Q80" s="76"/>
      <c r="R80" s="78"/>
      <c r="S80" s="76"/>
      <c r="T80" s="78"/>
      <c r="U80" s="76"/>
      <c r="V80" s="78"/>
      <c r="W80" s="76"/>
      <c r="X80" s="78"/>
      <c r="Y80" s="76"/>
      <c r="Z80" s="78"/>
      <c r="AA80" s="76"/>
      <c r="AB80" s="78"/>
      <c r="AC80" s="76"/>
      <c r="AD80" s="78"/>
      <c r="AE80" s="76"/>
      <c r="AF80" s="78"/>
      <c r="AG80" s="76"/>
      <c r="AH80" s="78"/>
      <c r="AI80" s="76"/>
      <c r="AJ80" s="78"/>
      <c r="AK80" s="76"/>
      <c r="AL80" s="78"/>
      <c r="AM80" s="76"/>
      <c r="AN80" s="78"/>
      <c r="AO80" s="76"/>
      <c r="AP80" s="78">
        <f t="shared" si="6"/>
        <v>0</v>
      </c>
      <c r="AQ80" s="76"/>
      <c r="AR80" s="78"/>
      <c r="AS80" s="76"/>
      <c r="AT80" s="78"/>
      <c r="AU80" s="76"/>
      <c r="AV80" s="78"/>
      <c r="AW80" s="76"/>
      <c r="AX80" s="78"/>
      <c r="AY80" s="76"/>
      <c r="AZ80" s="78"/>
      <c r="BA80" s="76"/>
      <c r="BB80" s="78"/>
      <c r="BC80" s="76"/>
      <c r="BD80" s="78"/>
      <c r="BE80" s="76"/>
      <c r="BF80" s="78"/>
      <c r="BG80" s="76"/>
      <c r="BH80" s="78"/>
      <c r="BI80" s="76"/>
      <c r="BJ80" s="78"/>
    </row>
    <row r="81" spans="1:62"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14"/>
        <v>0</v>
      </c>
      <c r="H81" s="69">
        <f>+VLOOKUP(C81,'PRECIOS IDU 2025'!$A$1:$E$3189,4,FALSE)</f>
        <v>1556215</v>
      </c>
      <c r="I81" s="69">
        <f t="shared" si="15"/>
        <v>2023080</v>
      </c>
      <c r="J81" s="69">
        <f t="shared" si="16"/>
        <v>0</v>
      </c>
      <c r="K81" s="9"/>
      <c r="L81" s="3"/>
      <c r="M81" s="76"/>
      <c r="N81" s="78">
        <f t="shared" si="13"/>
        <v>0</v>
      </c>
      <c r="O81" s="76"/>
      <c r="P81" s="78"/>
      <c r="Q81" s="76"/>
      <c r="R81" s="78"/>
      <c r="S81" s="76"/>
      <c r="T81" s="78"/>
      <c r="U81" s="76"/>
      <c r="V81" s="78"/>
      <c r="W81" s="76"/>
      <c r="X81" s="78"/>
      <c r="Y81" s="76"/>
      <c r="Z81" s="78"/>
      <c r="AA81" s="76"/>
      <c r="AB81" s="78"/>
      <c r="AC81" s="76"/>
      <c r="AD81" s="78"/>
      <c r="AE81" s="76"/>
      <c r="AF81" s="78"/>
      <c r="AG81" s="76"/>
      <c r="AH81" s="78"/>
      <c r="AI81" s="76"/>
      <c r="AJ81" s="78"/>
      <c r="AK81" s="76"/>
      <c r="AL81" s="78"/>
      <c r="AM81" s="76"/>
      <c r="AN81" s="78"/>
      <c r="AO81" s="76"/>
      <c r="AP81" s="78">
        <f t="shared" si="6"/>
        <v>0</v>
      </c>
      <c r="AQ81" s="76"/>
      <c r="AR81" s="78"/>
      <c r="AS81" s="76"/>
      <c r="AT81" s="78"/>
      <c r="AU81" s="76"/>
      <c r="AV81" s="78"/>
      <c r="AW81" s="76"/>
      <c r="AX81" s="78"/>
      <c r="AY81" s="76"/>
      <c r="AZ81" s="78"/>
      <c r="BA81" s="76"/>
      <c r="BB81" s="78"/>
      <c r="BC81" s="76"/>
      <c r="BD81" s="78"/>
      <c r="BE81" s="76"/>
      <c r="BF81" s="78"/>
      <c r="BG81" s="76"/>
      <c r="BH81" s="78"/>
      <c r="BI81" s="76"/>
      <c r="BJ81" s="78"/>
    </row>
    <row r="82" spans="1:62" ht="30" customHeight="1" x14ac:dyDescent="0.3">
      <c r="A82" s="3"/>
      <c r="B82" s="8"/>
      <c r="C82" s="60">
        <v>4598</v>
      </c>
      <c r="D82" s="60">
        <v>3014</v>
      </c>
      <c r="E82" s="60" t="str">
        <f>+VLOOKUP(C82,'PRECIOS IDU 2025'!$A$1:$E$3189,2,FALSE)</f>
        <v>SELLO DE GRIETAS</v>
      </c>
      <c r="F82" s="60" t="str">
        <f>+VLOOKUP(C82,'PRECIOS IDU 2025'!$A$1:$E$3189,3,FALSE)</f>
        <v>ML</v>
      </c>
      <c r="G82" s="108">
        <f t="shared" si="14"/>
        <v>0</v>
      </c>
      <c r="H82" s="69">
        <f>+VLOOKUP(C82,'PRECIOS IDU 2025'!$A$1:$E$3189,4,FALSE)</f>
        <v>10386</v>
      </c>
      <c r="I82" s="69">
        <f t="shared" si="15"/>
        <v>13502</v>
      </c>
      <c r="J82" s="69">
        <f t="shared" si="16"/>
        <v>0</v>
      </c>
      <c r="K82" s="9"/>
      <c r="L82" s="3"/>
      <c r="M82" s="76"/>
      <c r="N82" s="78">
        <f t="shared" si="13"/>
        <v>0</v>
      </c>
      <c r="O82" s="76"/>
      <c r="P82" s="78"/>
      <c r="Q82" s="76"/>
      <c r="R82" s="78"/>
      <c r="S82" s="76"/>
      <c r="T82" s="78"/>
      <c r="U82" s="76"/>
      <c r="V82" s="78"/>
      <c r="W82" s="76"/>
      <c r="X82" s="78"/>
      <c r="Y82" s="76"/>
      <c r="Z82" s="78"/>
      <c r="AA82" s="76"/>
      <c r="AB82" s="78"/>
      <c r="AC82" s="76"/>
      <c r="AD82" s="78"/>
      <c r="AE82" s="76"/>
      <c r="AF82" s="78"/>
      <c r="AG82" s="76"/>
      <c r="AH82" s="78"/>
      <c r="AI82" s="76"/>
      <c r="AJ82" s="78"/>
      <c r="AK82" s="76"/>
      <c r="AL82" s="78"/>
      <c r="AM82" s="76"/>
      <c r="AN82" s="78"/>
      <c r="AO82" s="76"/>
      <c r="AP82" s="78">
        <f t="shared" si="6"/>
        <v>0</v>
      </c>
      <c r="AQ82" s="76"/>
      <c r="AR82" s="78"/>
      <c r="AS82" s="76"/>
      <c r="AT82" s="78"/>
      <c r="AU82" s="76"/>
      <c r="AV82" s="78"/>
      <c r="AW82" s="76"/>
      <c r="AX82" s="78"/>
      <c r="AY82" s="76"/>
      <c r="AZ82" s="78"/>
      <c r="BA82" s="76"/>
      <c r="BB82" s="78"/>
      <c r="BC82" s="76"/>
      <c r="BD82" s="78"/>
      <c r="BE82" s="76"/>
      <c r="BF82" s="78"/>
      <c r="BG82" s="76"/>
      <c r="BH82" s="78"/>
      <c r="BI82" s="76"/>
      <c r="BJ82" s="78"/>
    </row>
    <row r="83" spans="1:62" ht="30" customHeight="1" x14ac:dyDescent="0.3">
      <c r="A83" s="3"/>
      <c r="B83" s="8"/>
      <c r="C83" s="60">
        <v>4758</v>
      </c>
      <c r="D83" s="60">
        <v>3015</v>
      </c>
      <c r="E83" s="60" t="str">
        <f>+VLOOKUP(C83,'PRECIOS IDU 2025'!$A$1:$E$3189,2,FALSE)</f>
        <v>SELLO DE FISURAS</v>
      </c>
      <c r="F83" s="60" t="str">
        <f>+VLOOKUP(C83,'PRECIOS IDU 2025'!$A$1:$E$3189,3,FALSE)</f>
        <v>ML</v>
      </c>
      <c r="G83" s="108">
        <f t="shared" si="14"/>
        <v>0</v>
      </c>
      <c r="H83" s="69">
        <f>+VLOOKUP(C83,'PRECIOS IDU 2025'!$A$1:$E$3189,4,FALSE)</f>
        <v>8877</v>
      </c>
      <c r="I83" s="69">
        <f t="shared" si="15"/>
        <v>11540</v>
      </c>
      <c r="J83" s="69">
        <f t="shared" si="16"/>
        <v>0</v>
      </c>
      <c r="K83" s="9"/>
      <c r="L83" s="3"/>
      <c r="M83" s="76"/>
      <c r="N83" s="78">
        <f t="shared" si="13"/>
        <v>0</v>
      </c>
      <c r="O83" s="76"/>
      <c r="P83" s="78"/>
      <c r="Q83" s="76"/>
      <c r="R83" s="78"/>
      <c r="S83" s="76"/>
      <c r="T83" s="78"/>
      <c r="U83" s="76"/>
      <c r="V83" s="78"/>
      <c r="W83" s="76"/>
      <c r="X83" s="78"/>
      <c r="Y83" s="76"/>
      <c r="Z83" s="78"/>
      <c r="AA83" s="76"/>
      <c r="AB83" s="78"/>
      <c r="AC83" s="76"/>
      <c r="AD83" s="78"/>
      <c r="AE83" s="76"/>
      <c r="AF83" s="78"/>
      <c r="AG83" s="76"/>
      <c r="AH83" s="78"/>
      <c r="AI83" s="76"/>
      <c r="AJ83" s="78"/>
      <c r="AK83" s="76"/>
      <c r="AL83" s="78"/>
      <c r="AM83" s="76"/>
      <c r="AN83" s="78"/>
      <c r="AO83" s="76"/>
      <c r="AP83" s="78">
        <f t="shared" si="6"/>
        <v>0</v>
      </c>
      <c r="AQ83" s="76"/>
      <c r="AR83" s="78"/>
      <c r="AS83" s="76"/>
      <c r="AT83" s="78"/>
      <c r="AU83" s="76"/>
      <c r="AV83" s="78"/>
      <c r="AW83" s="76"/>
      <c r="AX83" s="78"/>
      <c r="AY83" s="76"/>
      <c r="AZ83" s="78"/>
      <c r="BA83" s="76"/>
      <c r="BB83" s="78"/>
      <c r="BC83" s="76"/>
      <c r="BD83" s="78"/>
      <c r="BE83" s="76"/>
      <c r="BF83" s="78"/>
      <c r="BG83" s="76"/>
      <c r="BH83" s="78"/>
      <c r="BI83" s="76"/>
      <c r="BJ83" s="78"/>
    </row>
    <row r="84" spans="1:62"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14"/>
        <v>0</v>
      </c>
      <c r="H84" s="69">
        <f>+VLOOKUP(C84,'PRECIOS IDU 2025'!$A$1:$E$3189,4,FALSE)</f>
        <v>104695</v>
      </c>
      <c r="I84" s="69">
        <f t="shared" si="15"/>
        <v>136104</v>
      </c>
      <c r="J84" s="69">
        <f t="shared" si="16"/>
        <v>0</v>
      </c>
      <c r="K84" s="9"/>
      <c r="L84" s="3"/>
      <c r="M84" s="76"/>
      <c r="N84" s="78">
        <f t="shared" si="13"/>
        <v>0</v>
      </c>
      <c r="O84" s="76"/>
      <c r="P84" s="78"/>
      <c r="Q84" s="76"/>
      <c r="R84" s="78"/>
      <c r="S84" s="76"/>
      <c r="T84" s="78"/>
      <c r="U84" s="76"/>
      <c r="V84" s="78"/>
      <c r="W84" s="76"/>
      <c r="X84" s="78"/>
      <c r="Y84" s="76"/>
      <c r="Z84" s="78"/>
      <c r="AA84" s="76"/>
      <c r="AB84" s="78"/>
      <c r="AC84" s="76"/>
      <c r="AD84" s="78"/>
      <c r="AE84" s="76"/>
      <c r="AF84" s="78"/>
      <c r="AG84" s="76"/>
      <c r="AH84" s="78"/>
      <c r="AI84" s="76"/>
      <c r="AJ84" s="78"/>
      <c r="AK84" s="76"/>
      <c r="AL84" s="78"/>
      <c r="AM84" s="76"/>
      <c r="AN84" s="78"/>
      <c r="AO84" s="76"/>
      <c r="AP84" s="78">
        <f t="shared" si="6"/>
        <v>0</v>
      </c>
      <c r="AQ84" s="76"/>
      <c r="AR84" s="78"/>
      <c r="AS84" s="76"/>
      <c r="AT84" s="78"/>
      <c r="AU84" s="76"/>
      <c r="AV84" s="78"/>
      <c r="AW84" s="76"/>
      <c r="AX84" s="78"/>
      <c r="AY84" s="76"/>
      <c r="AZ84" s="78"/>
      <c r="BA84" s="76"/>
      <c r="BB84" s="78"/>
      <c r="BC84" s="76"/>
      <c r="BD84" s="78"/>
      <c r="BE84" s="76"/>
      <c r="BF84" s="78"/>
      <c r="BG84" s="76"/>
      <c r="BH84" s="78"/>
      <c r="BI84" s="76"/>
      <c r="BJ84" s="78"/>
    </row>
    <row r="85" spans="1:62"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14"/>
        <v>0</v>
      </c>
      <c r="H85" s="69">
        <f>+VLOOKUP(C85,'PRECIOS IDU 2025'!$A$1:$E$3189,4,FALSE)</f>
        <v>104695</v>
      </c>
      <c r="I85" s="69">
        <f t="shared" si="15"/>
        <v>136104</v>
      </c>
      <c r="J85" s="69">
        <f t="shared" si="16"/>
        <v>0</v>
      </c>
      <c r="K85" s="9"/>
      <c r="L85" s="3"/>
      <c r="M85" s="76"/>
      <c r="N85" s="78">
        <f t="shared" si="13"/>
        <v>0</v>
      </c>
      <c r="O85" s="76"/>
      <c r="P85" s="78"/>
      <c r="Q85" s="76"/>
      <c r="R85" s="78"/>
      <c r="S85" s="76"/>
      <c r="T85" s="78"/>
      <c r="U85" s="76"/>
      <c r="V85" s="78"/>
      <c r="W85" s="76"/>
      <c r="X85" s="78"/>
      <c r="Y85" s="76"/>
      <c r="Z85" s="78"/>
      <c r="AA85" s="76"/>
      <c r="AB85" s="78"/>
      <c r="AC85" s="76"/>
      <c r="AD85" s="78"/>
      <c r="AE85" s="76"/>
      <c r="AF85" s="78"/>
      <c r="AG85" s="76"/>
      <c r="AH85" s="78"/>
      <c r="AI85" s="76"/>
      <c r="AJ85" s="78"/>
      <c r="AK85" s="76"/>
      <c r="AL85" s="78"/>
      <c r="AM85" s="76"/>
      <c r="AN85" s="78"/>
      <c r="AO85" s="76"/>
      <c r="AP85" s="78">
        <f t="shared" si="6"/>
        <v>0</v>
      </c>
      <c r="AQ85" s="76"/>
      <c r="AR85" s="78"/>
      <c r="AS85" s="76"/>
      <c r="AT85" s="78"/>
      <c r="AU85" s="76"/>
      <c r="AV85" s="78"/>
      <c r="AW85" s="76"/>
      <c r="AX85" s="78"/>
      <c r="AY85" s="76"/>
      <c r="AZ85" s="78"/>
      <c r="BA85" s="76"/>
      <c r="BB85" s="78"/>
      <c r="BC85" s="76"/>
      <c r="BD85" s="78"/>
      <c r="BE85" s="76"/>
      <c r="BF85" s="78"/>
      <c r="BG85" s="76"/>
      <c r="BH85" s="78"/>
      <c r="BI85" s="76"/>
      <c r="BJ85" s="78"/>
    </row>
    <row r="86" spans="1:62" ht="30" customHeight="1" x14ac:dyDescent="0.3">
      <c r="A86" s="3"/>
      <c r="B86" s="8"/>
      <c r="C86" s="66" t="s">
        <v>6079</v>
      </c>
      <c r="D86" s="62"/>
      <c r="E86" s="62"/>
      <c r="F86" s="62"/>
      <c r="G86" s="62"/>
      <c r="H86" s="62"/>
      <c r="I86" s="62"/>
      <c r="J86" s="63"/>
      <c r="K86" s="9"/>
      <c r="L86" s="3"/>
      <c r="M86" s="76"/>
      <c r="N86" s="78">
        <f t="shared" si="13"/>
        <v>0</v>
      </c>
      <c r="O86" s="76"/>
      <c r="P86" s="78"/>
      <c r="Q86" s="76"/>
      <c r="R86" s="78"/>
      <c r="S86" s="76"/>
      <c r="T86" s="78"/>
      <c r="U86" s="76"/>
      <c r="V86" s="78"/>
      <c r="W86" s="76"/>
      <c r="X86" s="78"/>
      <c r="Y86" s="76"/>
      <c r="Z86" s="78"/>
      <c r="AA86" s="76"/>
      <c r="AB86" s="78"/>
      <c r="AC86" s="76"/>
      <c r="AD86" s="78"/>
      <c r="AE86" s="76"/>
      <c r="AF86" s="78"/>
      <c r="AG86" s="76"/>
      <c r="AH86" s="78"/>
      <c r="AI86" s="76"/>
      <c r="AJ86" s="78"/>
      <c r="AK86" s="76"/>
      <c r="AL86" s="78"/>
      <c r="AM86" s="76"/>
      <c r="AN86" s="78"/>
      <c r="AO86" s="76"/>
      <c r="AP86" s="78">
        <f t="shared" si="6"/>
        <v>0</v>
      </c>
      <c r="AQ86" s="76"/>
      <c r="AR86" s="78"/>
      <c r="AS86" s="76"/>
      <c r="AT86" s="78"/>
      <c r="AU86" s="76"/>
      <c r="AV86" s="78"/>
      <c r="AW86" s="76"/>
      <c r="AX86" s="78"/>
      <c r="AY86" s="76"/>
      <c r="AZ86" s="78"/>
      <c r="BA86" s="76"/>
      <c r="BB86" s="78"/>
      <c r="BC86" s="76"/>
      <c r="BD86" s="78"/>
      <c r="BE86" s="76"/>
      <c r="BF86" s="78"/>
      <c r="BG86" s="76"/>
      <c r="BH86" s="78"/>
      <c r="BI86" s="76"/>
      <c r="BJ86" s="78"/>
    </row>
    <row r="87" spans="1:62" ht="30" customHeight="1" x14ac:dyDescent="0.3">
      <c r="A87" s="3"/>
      <c r="B87" s="8"/>
      <c r="C87" s="60">
        <v>3007</v>
      </c>
      <c r="D87" s="60">
        <v>4001</v>
      </c>
      <c r="E87" s="60" t="str">
        <f>+VLOOKUP(C87,'PRECIOS IDU 2025'!$A$1:$E$3189,2,FALSE)</f>
        <v>REPLANTEO GENERAL</v>
      </c>
      <c r="F87" s="60" t="str">
        <f>+VLOOKUP(C87,'PRECIOS IDU 2025'!$A$1:$E$3189,3,FALSE)</f>
        <v>M2</v>
      </c>
      <c r="G87" s="108">
        <f t="shared" ref="G87:G110" si="17">+ROUND(M87+O87+Q87+S87+U87+W87+Y87+AA87+AC87+AE87+AG87+AI87+AK87+AM87+AO87+AQ87+AS87+AU87+AW87+AY87+BA87+BC87+BE87+BG87+BI87,2)</f>
        <v>0</v>
      </c>
      <c r="H87" s="69">
        <f>+VLOOKUP(C87,'PRECIOS IDU 2025'!$A$1:$E$3189,4,FALSE)</f>
        <v>909</v>
      </c>
      <c r="I87" s="69">
        <f t="shared" ref="I87:I110" si="18">+ROUND(H87*(1+$J$192),0)</f>
        <v>1182</v>
      </c>
      <c r="J87" s="69">
        <f t="shared" ref="J87:J110" si="19">+ROUND(I87*G87,0)</f>
        <v>0</v>
      </c>
      <c r="K87" s="9"/>
      <c r="L87" s="3"/>
      <c r="M87" s="76"/>
      <c r="N87" s="78">
        <f t="shared" si="13"/>
        <v>0</v>
      </c>
      <c r="O87" s="76"/>
      <c r="P87" s="78"/>
      <c r="Q87" s="76"/>
      <c r="R87" s="78"/>
      <c r="S87" s="76"/>
      <c r="T87" s="78"/>
      <c r="U87" s="76"/>
      <c r="V87" s="78"/>
      <c r="W87" s="76"/>
      <c r="X87" s="78"/>
      <c r="Y87" s="76"/>
      <c r="Z87" s="78"/>
      <c r="AA87" s="76"/>
      <c r="AB87" s="78"/>
      <c r="AC87" s="76"/>
      <c r="AD87" s="78"/>
      <c r="AE87" s="76"/>
      <c r="AF87" s="78"/>
      <c r="AG87" s="76"/>
      <c r="AH87" s="78"/>
      <c r="AI87" s="76"/>
      <c r="AJ87" s="78"/>
      <c r="AK87" s="76"/>
      <c r="AL87" s="78"/>
      <c r="AM87" s="76"/>
      <c r="AN87" s="78"/>
      <c r="AO87" s="76"/>
      <c r="AP87" s="78">
        <f t="shared" si="6"/>
        <v>0</v>
      </c>
      <c r="AQ87" s="76"/>
      <c r="AR87" s="78"/>
      <c r="AS87" s="76"/>
      <c r="AT87" s="78"/>
      <c r="AU87" s="76"/>
      <c r="AV87" s="78"/>
      <c r="AW87" s="76"/>
      <c r="AX87" s="78"/>
      <c r="AY87" s="76"/>
      <c r="AZ87" s="78"/>
      <c r="BA87" s="76"/>
      <c r="BB87" s="78"/>
      <c r="BC87" s="76"/>
      <c r="BD87" s="78"/>
      <c r="BE87" s="76"/>
      <c r="BF87" s="78"/>
      <c r="BG87" s="76"/>
      <c r="BH87" s="78"/>
      <c r="BI87" s="76"/>
      <c r="BJ87" s="78"/>
    </row>
    <row r="88" spans="1:62"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17"/>
        <v>0</v>
      </c>
      <c r="H88" s="69">
        <f>+VLOOKUP(C88,'PRECIOS IDU 2025'!$A$1:$E$3189,4,FALSE)</f>
        <v>2659</v>
      </c>
      <c r="I88" s="69">
        <f t="shared" si="18"/>
        <v>3457</v>
      </c>
      <c r="J88" s="69">
        <f t="shared" si="19"/>
        <v>0</v>
      </c>
      <c r="K88" s="9"/>
      <c r="L88" s="3"/>
      <c r="M88" s="76"/>
      <c r="N88" s="78">
        <f t="shared" si="13"/>
        <v>0</v>
      </c>
      <c r="O88" s="76"/>
      <c r="P88" s="78"/>
      <c r="Q88" s="76"/>
      <c r="R88" s="78"/>
      <c r="S88" s="76"/>
      <c r="T88" s="78"/>
      <c r="U88" s="76"/>
      <c r="V88" s="78"/>
      <c r="W88" s="76"/>
      <c r="X88" s="78"/>
      <c r="Y88" s="76"/>
      <c r="Z88" s="78"/>
      <c r="AA88" s="76"/>
      <c r="AB88" s="78"/>
      <c r="AC88" s="76"/>
      <c r="AD88" s="78"/>
      <c r="AE88" s="76"/>
      <c r="AF88" s="78"/>
      <c r="AG88" s="76"/>
      <c r="AH88" s="78"/>
      <c r="AI88" s="76"/>
      <c r="AJ88" s="78"/>
      <c r="AK88" s="76"/>
      <c r="AL88" s="78"/>
      <c r="AM88" s="76"/>
      <c r="AN88" s="78"/>
      <c r="AO88" s="76"/>
      <c r="AP88" s="78">
        <f t="shared" si="6"/>
        <v>0</v>
      </c>
      <c r="AQ88" s="76"/>
      <c r="AR88" s="78"/>
      <c r="AS88" s="76"/>
      <c r="AT88" s="78"/>
      <c r="AU88" s="76"/>
      <c r="AV88" s="78"/>
      <c r="AW88" s="76"/>
      <c r="AX88" s="78"/>
      <c r="AY88" s="76"/>
      <c r="AZ88" s="78"/>
      <c r="BA88" s="76"/>
      <c r="BB88" s="78"/>
      <c r="BC88" s="76"/>
      <c r="BD88" s="78"/>
      <c r="BE88" s="76"/>
      <c r="BF88" s="78"/>
      <c r="BG88" s="76"/>
      <c r="BH88" s="78"/>
      <c r="BI88" s="76"/>
      <c r="BJ88" s="78"/>
    </row>
    <row r="89" spans="1:62"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17"/>
        <v>0</v>
      </c>
      <c r="H89" s="69">
        <f>+VLOOKUP(C89,'PRECIOS IDU 2025'!$A$1:$E$3189,4,FALSE)</f>
        <v>38781</v>
      </c>
      <c r="I89" s="69">
        <f t="shared" si="18"/>
        <v>50415</v>
      </c>
      <c r="J89" s="69">
        <f t="shared" si="19"/>
        <v>0</v>
      </c>
      <c r="K89" s="9"/>
      <c r="L89" s="3"/>
      <c r="M89" s="76"/>
      <c r="N89" s="78">
        <f t="shared" si="13"/>
        <v>0</v>
      </c>
      <c r="O89" s="76"/>
      <c r="P89" s="78"/>
      <c r="Q89" s="76"/>
      <c r="R89" s="78"/>
      <c r="S89" s="76"/>
      <c r="T89" s="78"/>
      <c r="U89" s="76"/>
      <c r="V89" s="78"/>
      <c r="W89" s="76"/>
      <c r="X89" s="78"/>
      <c r="Y89" s="76"/>
      <c r="Z89" s="78"/>
      <c r="AA89" s="76"/>
      <c r="AB89" s="78"/>
      <c r="AC89" s="76"/>
      <c r="AD89" s="78"/>
      <c r="AE89" s="76"/>
      <c r="AF89" s="78"/>
      <c r="AG89" s="76"/>
      <c r="AH89" s="78"/>
      <c r="AI89" s="76"/>
      <c r="AJ89" s="78"/>
      <c r="AK89" s="76"/>
      <c r="AL89" s="78"/>
      <c r="AM89" s="76"/>
      <c r="AN89" s="78"/>
      <c r="AO89" s="76"/>
      <c r="AP89" s="78">
        <f t="shared" si="6"/>
        <v>0</v>
      </c>
      <c r="AQ89" s="76"/>
      <c r="AR89" s="78"/>
      <c r="AS89" s="76"/>
      <c r="AT89" s="78"/>
      <c r="AU89" s="76"/>
      <c r="AV89" s="78"/>
      <c r="AW89" s="76"/>
      <c r="AX89" s="78"/>
      <c r="AY89" s="76"/>
      <c r="AZ89" s="78"/>
      <c r="BA89" s="76"/>
      <c r="BB89" s="78"/>
      <c r="BC89" s="76"/>
      <c r="BD89" s="78"/>
      <c r="BE89" s="76"/>
      <c r="BF89" s="78"/>
      <c r="BG89" s="76"/>
      <c r="BH89" s="78"/>
      <c r="BI89" s="76"/>
      <c r="BJ89" s="78"/>
    </row>
    <row r="90" spans="1:62"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17"/>
        <v>0</v>
      </c>
      <c r="H90" s="69">
        <f>+VLOOKUP(C90,'PRECIOS IDU 2025'!$A$1:$E$3189,4,FALSE)</f>
        <v>187178</v>
      </c>
      <c r="I90" s="69">
        <f t="shared" si="18"/>
        <v>243331</v>
      </c>
      <c r="J90" s="69">
        <f t="shared" si="19"/>
        <v>0</v>
      </c>
      <c r="K90" s="9"/>
      <c r="L90" s="3"/>
      <c r="M90" s="76"/>
      <c r="N90" s="78">
        <f t="shared" si="13"/>
        <v>0</v>
      </c>
      <c r="O90" s="76"/>
      <c r="P90" s="78"/>
      <c r="Q90" s="76"/>
      <c r="R90" s="78"/>
      <c r="S90" s="76"/>
      <c r="T90" s="78"/>
      <c r="U90" s="76"/>
      <c r="V90" s="78"/>
      <c r="W90" s="76"/>
      <c r="X90" s="78"/>
      <c r="Y90" s="76"/>
      <c r="Z90" s="78"/>
      <c r="AA90" s="76"/>
      <c r="AB90" s="78"/>
      <c r="AC90" s="76"/>
      <c r="AD90" s="78"/>
      <c r="AE90" s="76"/>
      <c r="AF90" s="78"/>
      <c r="AG90" s="76"/>
      <c r="AH90" s="78"/>
      <c r="AI90" s="76"/>
      <c r="AJ90" s="78"/>
      <c r="AK90" s="76"/>
      <c r="AL90" s="78"/>
      <c r="AM90" s="76"/>
      <c r="AN90" s="78"/>
      <c r="AO90" s="76"/>
      <c r="AP90" s="78">
        <f t="shared" si="6"/>
        <v>0</v>
      </c>
      <c r="AQ90" s="76"/>
      <c r="AR90" s="78"/>
      <c r="AS90" s="76"/>
      <c r="AT90" s="78"/>
      <c r="AU90" s="76"/>
      <c r="AV90" s="78"/>
      <c r="AW90" s="76"/>
      <c r="AX90" s="78"/>
      <c r="AY90" s="76"/>
      <c r="AZ90" s="78"/>
      <c r="BA90" s="76"/>
      <c r="BB90" s="78"/>
      <c r="BC90" s="76"/>
      <c r="BD90" s="78"/>
      <c r="BE90" s="76"/>
      <c r="BF90" s="78"/>
      <c r="BG90" s="76"/>
      <c r="BH90" s="78"/>
      <c r="BI90" s="76"/>
      <c r="BJ90" s="78"/>
    </row>
    <row r="91" spans="1:62"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17"/>
        <v>0</v>
      </c>
      <c r="H91" s="69">
        <f>+VLOOKUP(C91,'PRECIOS IDU 2025'!$A$1:$E$3189,4,FALSE)</f>
        <v>5741</v>
      </c>
      <c r="I91" s="69">
        <f t="shared" si="18"/>
        <v>7463</v>
      </c>
      <c r="J91" s="69">
        <f t="shared" si="19"/>
        <v>0</v>
      </c>
      <c r="K91" s="9"/>
      <c r="L91" s="3"/>
      <c r="M91" s="76"/>
      <c r="N91" s="78">
        <f t="shared" si="13"/>
        <v>0</v>
      </c>
      <c r="O91" s="76"/>
      <c r="P91" s="78"/>
      <c r="Q91" s="76"/>
      <c r="R91" s="78"/>
      <c r="S91" s="76"/>
      <c r="T91" s="78"/>
      <c r="U91" s="76"/>
      <c r="V91" s="78"/>
      <c r="W91" s="76"/>
      <c r="X91" s="78"/>
      <c r="Y91" s="76"/>
      <c r="Z91" s="78"/>
      <c r="AA91" s="76"/>
      <c r="AB91" s="78"/>
      <c r="AC91" s="76"/>
      <c r="AD91" s="78"/>
      <c r="AE91" s="76"/>
      <c r="AF91" s="78"/>
      <c r="AG91" s="76"/>
      <c r="AH91" s="78"/>
      <c r="AI91" s="76"/>
      <c r="AJ91" s="78"/>
      <c r="AK91" s="76"/>
      <c r="AL91" s="78"/>
      <c r="AM91" s="76"/>
      <c r="AN91" s="78"/>
      <c r="AO91" s="76"/>
      <c r="AP91" s="78">
        <f t="shared" si="6"/>
        <v>0</v>
      </c>
      <c r="AQ91" s="76"/>
      <c r="AR91" s="78"/>
      <c r="AS91" s="76"/>
      <c r="AT91" s="78"/>
      <c r="AU91" s="76"/>
      <c r="AV91" s="78"/>
      <c r="AW91" s="76"/>
      <c r="AX91" s="78"/>
      <c r="AY91" s="76"/>
      <c r="AZ91" s="78"/>
      <c r="BA91" s="76"/>
      <c r="BB91" s="78"/>
      <c r="BC91" s="76"/>
      <c r="BD91" s="78"/>
      <c r="BE91" s="76"/>
      <c r="BF91" s="78"/>
      <c r="BG91" s="76"/>
      <c r="BH91" s="78"/>
      <c r="BI91" s="76"/>
      <c r="BJ91" s="78"/>
    </row>
    <row r="92" spans="1:62"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17"/>
        <v>0</v>
      </c>
      <c r="H92" s="69">
        <f>+VLOOKUP(C92,'PRECIOS IDU 2025'!$A$1:$E$3189,4,FALSE)</f>
        <v>46379</v>
      </c>
      <c r="I92" s="69">
        <f t="shared" si="18"/>
        <v>60293</v>
      </c>
      <c r="J92" s="69">
        <f t="shared" si="19"/>
        <v>0</v>
      </c>
      <c r="K92" s="9"/>
      <c r="L92" s="3"/>
      <c r="M92" s="76"/>
      <c r="N92" s="78">
        <f t="shared" si="13"/>
        <v>0</v>
      </c>
      <c r="O92" s="76"/>
      <c r="P92" s="78"/>
      <c r="Q92" s="76"/>
      <c r="R92" s="78"/>
      <c r="S92" s="76"/>
      <c r="T92" s="78"/>
      <c r="U92" s="76"/>
      <c r="V92" s="78"/>
      <c r="W92" s="76"/>
      <c r="X92" s="78"/>
      <c r="Y92" s="76"/>
      <c r="Z92" s="78"/>
      <c r="AA92" s="76"/>
      <c r="AB92" s="78"/>
      <c r="AC92" s="76"/>
      <c r="AD92" s="78"/>
      <c r="AE92" s="76"/>
      <c r="AF92" s="78"/>
      <c r="AG92" s="76"/>
      <c r="AH92" s="78"/>
      <c r="AI92" s="76"/>
      <c r="AJ92" s="78"/>
      <c r="AK92" s="76"/>
      <c r="AL92" s="78"/>
      <c r="AM92" s="76"/>
      <c r="AN92" s="78"/>
      <c r="AO92" s="76"/>
      <c r="AP92" s="78">
        <f t="shared" si="6"/>
        <v>0</v>
      </c>
      <c r="AQ92" s="76"/>
      <c r="AR92" s="78"/>
      <c r="AS92" s="76"/>
      <c r="AT92" s="78"/>
      <c r="AU92" s="76"/>
      <c r="AV92" s="78"/>
      <c r="AW92" s="76"/>
      <c r="AX92" s="78"/>
      <c r="AY92" s="76"/>
      <c r="AZ92" s="78"/>
      <c r="BA92" s="76"/>
      <c r="BB92" s="78"/>
      <c r="BC92" s="76"/>
      <c r="BD92" s="78"/>
      <c r="BE92" s="76"/>
      <c r="BF92" s="78"/>
      <c r="BG92" s="76"/>
      <c r="BH92" s="78"/>
      <c r="BI92" s="76"/>
      <c r="BJ92" s="78"/>
    </row>
    <row r="93" spans="1:62"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17"/>
        <v>0</v>
      </c>
      <c r="H93" s="69">
        <f>+VLOOKUP(C93,'PRECIOS IDU 2025'!$A$1:$E$3189,4,FALSE)</f>
        <v>45600</v>
      </c>
      <c r="I93" s="69">
        <f t="shared" si="18"/>
        <v>59280</v>
      </c>
      <c r="J93" s="69">
        <f t="shared" si="19"/>
        <v>0</v>
      </c>
      <c r="K93" s="9"/>
      <c r="L93" s="3"/>
      <c r="M93" s="76"/>
      <c r="N93" s="78">
        <f t="shared" si="13"/>
        <v>0</v>
      </c>
      <c r="O93" s="76"/>
      <c r="P93" s="78"/>
      <c r="Q93" s="76"/>
      <c r="R93" s="78"/>
      <c r="S93" s="76"/>
      <c r="T93" s="78"/>
      <c r="U93" s="76"/>
      <c r="V93" s="78"/>
      <c r="W93" s="76"/>
      <c r="X93" s="78"/>
      <c r="Y93" s="76"/>
      <c r="Z93" s="78"/>
      <c r="AA93" s="76"/>
      <c r="AB93" s="78"/>
      <c r="AC93" s="76"/>
      <c r="AD93" s="78"/>
      <c r="AE93" s="76"/>
      <c r="AF93" s="78"/>
      <c r="AG93" s="76"/>
      <c r="AH93" s="78"/>
      <c r="AI93" s="76"/>
      <c r="AJ93" s="78"/>
      <c r="AK93" s="76"/>
      <c r="AL93" s="78"/>
      <c r="AM93" s="76"/>
      <c r="AN93" s="78"/>
      <c r="AO93" s="76"/>
      <c r="AP93" s="78">
        <f t="shared" si="6"/>
        <v>0</v>
      </c>
      <c r="AQ93" s="76"/>
      <c r="AR93" s="78"/>
      <c r="AS93" s="76"/>
      <c r="AT93" s="78"/>
      <c r="AU93" s="76"/>
      <c r="AV93" s="78"/>
      <c r="AW93" s="76"/>
      <c r="AX93" s="78"/>
      <c r="AY93" s="76"/>
      <c r="AZ93" s="78"/>
      <c r="BA93" s="76"/>
      <c r="BB93" s="78"/>
      <c r="BC93" s="76"/>
      <c r="BD93" s="78"/>
      <c r="BE93" s="76"/>
      <c r="BF93" s="78"/>
      <c r="BG93" s="76"/>
      <c r="BH93" s="78"/>
      <c r="BI93" s="76"/>
      <c r="BJ93" s="78"/>
    </row>
    <row r="94" spans="1:62"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17"/>
        <v>0</v>
      </c>
      <c r="H94" s="69">
        <f>+VLOOKUP(C94,'PRECIOS IDU 2025'!$A$1:$E$3189,4,FALSE)</f>
        <v>1757</v>
      </c>
      <c r="I94" s="69">
        <f t="shared" si="18"/>
        <v>2284</v>
      </c>
      <c r="J94" s="69">
        <f t="shared" si="19"/>
        <v>0</v>
      </c>
      <c r="K94" s="9"/>
      <c r="L94" s="3"/>
      <c r="M94" s="76"/>
      <c r="N94" s="78">
        <f t="shared" si="13"/>
        <v>0</v>
      </c>
      <c r="O94" s="76"/>
      <c r="P94" s="78"/>
      <c r="Q94" s="76"/>
      <c r="R94" s="78"/>
      <c r="S94" s="76"/>
      <c r="T94" s="78"/>
      <c r="U94" s="76"/>
      <c r="V94" s="78"/>
      <c r="W94" s="76"/>
      <c r="X94" s="78"/>
      <c r="Y94" s="76"/>
      <c r="Z94" s="78"/>
      <c r="AA94" s="76"/>
      <c r="AB94" s="78"/>
      <c r="AC94" s="76"/>
      <c r="AD94" s="78"/>
      <c r="AE94" s="76"/>
      <c r="AF94" s="78"/>
      <c r="AG94" s="76"/>
      <c r="AH94" s="78"/>
      <c r="AI94" s="76"/>
      <c r="AJ94" s="78"/>
      <c r="AK94" s="76"/>
      <c r="AL94" s="78"/>
      <c r="AM94" s="76"/>
      <c r="AN94" s="78"/>
      <c r="AO94" s="76"/>
      <c r="AP94" s="78">
        <f t="shared" ref="AP94:AP99" si="20">+ROUND(AO94*$I94,0)</f>
        <v>0</v>
      </c>
      <c r="AQ94" s="76"/>
      <c r="AR94" s="78"/>
      <c r="AS94" s="76"/>
      <c r="AT94" s="78"/>
      <c r="AU94" s="76"/>
      <c r="AV94" s="78"/>
      <c r="AW94" s="76"/>
      <c r="AX94" s="78"/>
      <c r="AY94" s="76"/>
      <c r="AZ94" s="78"/>
      <c r="BA94" s="76"/>
      <c r="BB94" s="78"/>
      <c r="BC94" s="76"/>
      <c r="BD94" s="78"/>
      <c r="BE94" s="76"/>
      <c r="BF94" s="78"/>
      <c r="BG94" s="76"/>
      <c r="BH94" s="78"/>
      <c r="BI94" s="76"/>
      <c r="BJ94" s="78"/>
    </row>
    <row r="95" spans="1:62"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17"/>
        <v>0</v>
      </c>
      <c r="H95" s="69">
        <f>+VLOOKUP(C95,'PRECIOS IDU 2025'!$A$1:$E$3189,4,FALSE)</f>
        <v>3189</v>
      </c>
      <c r="I95" s="69">
        <f t="shared" si="18"/>
        <v>4146</v>
      </c>
      <c r="J95" s="69">
        <f t="shared" si="19"/>
        <v>0</v>
      </c>
      <c r="K95" s="9"/>
      <c r="L95" s="3"/>
      <c r="M95" s="76"/>
      <c r="N95" s="78">
        <f t="shared" si="13"/>
        <v>0</v>
      </c>
      <c r="O95" s="76"/>
      <c r="P95" s="78"/>
      <c r="Q95" s="76"/>
      <c r="R95" s="78"/>
      <c r="S95" s="76"/>
      <c r="T95" s="78"/>
      <c r="U95" s="76"/>
      <c r="V95" s="78"/>
      <c r="W95" s="76"/>
      <c r="X95" s="78"/>
      <c r="Y95" s="76"/>
      <c r="Z95" s="78"/>
      <c r="AA95" s="76"/>
      <c r="AB95" s="78"/>
      <c r="AC95" s="76"/>
      <c r="AD95" s="78"/>
      <c r="AE95" s="76"/>
      <c r="AF95" s="78"/>
      <c r="AG95" s="76"/>
      <c r="AH95" s="78"/>
      <c r="AI95" s="76"/>
      <c r="AJ95" s="78"/>
      <c r="AK95" s="76"/>
      <c r="AL95" s="78"/>
      <c r="AM95" s="76"/>
      <c r="AN95" s="78"/>
      <c r="AO95" s="76"/>
      <c r="AP95" s="78">
        <f t="shared" si="20"/>
        <v>0</v>
      </c>
      <c r="AQ95" s="76"/>
      <c r="AR95" s="78"/>
      <c r="AS95" s="76"/>
      <c r="AT95" s="78"/>
      <c r="AU95" s="76"/>
      <c r="AV95" s="78"/>
      <c r="AW95" s="76"/>
      <c r="AX95" s="78"/>
      <c r="AY95" s="76"/>
      <c r="AZ95" s="78"/>
      <c r="BA95" s="76"/>
      <c r="BB95" s="78"/>
      <c r="BC95" s="76"/>
      <c r="BD95" s="78"/>
      <c r="BE95" s="76"/>
      <c r="BF95" s="78"/>
      <c r="BG95" s="76"/>
      <c r="BH95" s="78"/>
      <c r="BI95" s="76"/>
      <c r="BJ95" s="78"/>
    </row>
    <row r="96" spans="1:62"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17"/>
        <v>0</v>
      </c>
      <c r="H96" s="69">
        <f>+VLOOKUP(C96,'PRECIOS IDU 2025'!$A$1:$E$3189,4,FALSE)</f>
        <v>3885</v>
      </c>
      <c r="I96" s="69">
        <f t="shared" si="18"/>
        <v>5051</v>
      </c>
      <c r="J96" s="69">
        <f t="shared" si="19"/>
        <v>0</v>
      </c>
      <c r="K96" s="9"/>
      <c r="L96" s="3"/>
      <c r="M96" s="76"/>
      <c r="N96" s="78">
        <f t="shared" si="13"/>
        <v>0</v>
      </c>
      <c r="O96" s="76"/>
      <c r="P96" s="78"/>
      <c r="Q96" s="76"/>
      <c r="R96" s="78"/>
      <c r="S96" s="76"/>
      <c r="T96" s="78"/>
      <c r="U96" s="76"/>
      <c r="V96" s="78"/>
      <c r="W96" s="76"/>
      <c r="X96" s="78"/>
      <c r="Y96" s="76"/>
      <c r="Z96" s="78"/>
      <c r="AA96" s="76"/>
      <c r="AB96" s="78"/>
      <c r="AC96" s="76"/>
      <c r="AD96" s="78"/>
      <c r="AE96" s="76"/>
      <c r="AF96" s="78"/>
      <c r="AG96" s="76"/>
      <c r="AH96" s="78"/>
      <c r="AI96" s="76"/>
      <c r="AJ96" s="78"/>
      <c r="AK96" s="76"/>
      <c r="AL96" s="78"/>
      <c r="AM96" s="76"/>
      <c r="AN96" s="78"/>
      <c r="AO96" s="76"/>
      <c r="AP96" s="78">
        <f t="shared" si="20"/>
        <v>0</v>
      </c>
      <c r="AQ96" s="76"/>
      <c r="AR96" s="78"/>
      <c r="AS96" s="76"/>
      <c r="AT96" s="78"/>
      <c r="AU96" s="76"/>
      <c r="AV96" s="78"/>
      <c r="AW96" s="76"/>
      <c r="AX96" s="78"/>
      <c r="AY96" s="76"/>
      <c r="AZ96" s="78"/>
      <c r="BA96" s="76"/>
      <c r="BB96" s="78"/>
      <c r="BC96" s="76"/>
      <c r="BD96" s="78"/>
      <c r="BE96" s="76"/>
      <c r="BF96" s="78"/>
      <c r="BG96" s="76"/>
      <c r="BH96" s="78"/>
      <c r="BI96" s="76"/>
      <c r="BJ96" s="78"/>
    </row>
    <row r="97" spans="1:62"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17"/>
        <v>0</v>
      </c>
      <c r="H97" s="69">
        <f>+VLOOKUP(C97,'PRECIOS IDU 2025'!$A$1:$E$3189,4,FALSE)</f>
        <v>1341971</v>
      </c>
      <c r="I97" s="69">
        <f t="shared" si="18"/>
        <v>1744562</v>
      </c>
      <c r="J97" s="69">
        <f t="shared" si="19"/>
        <v>0</v>
      </c>
      <c r="K97" s="9"/>
      <c r="L97" s="3"/>
      <c r="M97" s="76"/>
      <c r="N97" s="78">
        <f t="shared" si="13"/>
        <v>0</v>
      </c>
      <c r="O97" s="76"/>
      <c r="P97" s="78"/>
      <c r="Q97" s="76"/>
      <c r="R97" s="78"/>
      <c r="S97" s="76"/>
      <c r="T97" s="78"/>
      <c r="U97" s="76"/>
      <c r="V97" s="78"/>
      <c r="W97" s="76"/>
      <c r="X97" s="78"/>
      <c r="Y97" s="76"/>
      <c r="Z97" s="78"/>
      <c r="AA97" s="76"/>
      <c r="AB97" s="78"/>
      <c r="AC97" s="76"/>
      <c r="AD97" s="78"/>
      <c r="AE97" s="76"/>
      <c r="AF97" s="78"/>
      <c r="AG97" s="76"/>
      <c r="AH97" s="78"/>
      <c r="AI97" s="76"/>
      <c r="AJ97" s="78"/>
      <c r="AK97" s="76"/>
      <c r="AL97" s="78"/>
      <c r="AM97" s="76"/>
      <c r="AN97" s="78"/>
      <c r="AO97" s="76"/>
      <c r="AP97" s="78">
        <f t="shared" si="20"/>
        <v>0</v>
      </c>
      <c r="AQ97" s="76"/>
      <c r="AR97" s="78"/>
      <c r="AS97" s="76"/>
      <c r="AT97" s="78"/>
      <c r="AU97" s="76"/>
      <c r="AV97" s="78"/>
      <c r="AW97" s="76"/>
      <c r="AX97" s="78"/>
      <c r="AY97" s="76"/>
      <c r="AZ97" s="78"/>
      <c r="BA97" s="76"/>
      <c r="BB97" s="78"/>
      <c r="BC97" s="76"/>
      <c r="BD97" s="78"/>
      <c r="BE97" s="76"/>
      <c r="BF97" s="78"/>
      <c r="BG97" s="76"/>
      <c r="BH97" s="78"/>
      <c r="BI97" s="76"/>
      <c r="BJ97" s="78"/>
    </row>
    <row r="98" spans="1:62"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17"/>
        <v>0</v>
      </c>
      <c r="H98" s="69">
        <f>+VLOOKUP(C98,'PRECIOS IDU 2025'!$A$1:$E$3189,4,FALSE)</f>
        <v>1241977</v>
      </c>
      <c r="I98" s="69">
        <f t="shared" si="18"/>
        <v>1614570</v>
      </c>
      <c r="J98" s="69">
        <f t="shared" si="19"/>
        <v>0</v>
      </c>
      <c r="K98" s="9"/>
      <c r="L98" s="3"/>
      <c r="M98" s="76"/>
      <c r="N98" s="78">
        <f t="shared" si="13"/>
        <v>0</v>
      </c>
      <c r="O98" s="76"/>
      <c r="P98" s="78"/>
      <c r="Q98" s="76"/>
      <c r="R98" s="78"/>
      <c r="S98" s="76"/>
      <c r="T98" s="78"/>
      <c r="U98" s="76"/>
      <c r="V98" s="78"/>
      <c r="W98" s="76"/>
      <c r="X98" s="78"/>
      <c r="Y98" s="76"/>
      <c r="Z98" s="78"/>
      <c r="AA98" s="76"/>
      <c r="AB98" s="78"/>
      <c r="AC98" s="76"/>
      <c r="AD98" s="78"/>
      <c r="AE98" s="76"/>
      <c r="AF98" s="78"/>
      <c r="AG98" s="76"/>
      <c r="AH98" s="78"/>
      <c r="AI98" s="76"/>
      <c r="AJ98" s="78"/>
      <c r="AK98" s="76"/>
      <c r="AL98" s="78"/>
      <c r="AM98" s="76"/>
      <c r="AN98" s="78"/>
      <c r="AO98" s="76"/>
      <c r="AP98" s="78">
        <f t="shared" si="20"/>
        <v>0</v>
      </c>
      <c r="AQ98" s="76"/>
      <c r="AR98" s="78"/>
      <c r="AS98" s="76"/>
      <c r="AT98" s="78"/>
      <c r="AU98" s="76"/>
      <c r="AV98" s="78"/>
      <c r="AW98" s="76"/>
      <c r="AX98" s="78"/>
      <c r="AY98" s="76"/>
      <c r="AZ98" s="78"/>
      <c r="BA98" s="76"/>
      <c r="BB98" s="78"/>
      <c r="BC98" s="76"/>
      <c r="BD98" s="78"/>
      <c r="BE98" s="76"/>
      <c r="BF98" s="78"/>
      <c r="BG98" s="76"/>
      <c r="BH98" s="78"/>
      <c r="BI98" s="76"/>
      <c r="BJ98" s="78"/>
    </row>
    <row r="99" spans="1:62"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17"/>
        <v>0</v>
      </c>
      <c r="H99" s="69">
        <f>+VLOOKUP(C99,'PRECIOS IDU 2025'!$A$1:$E$3189,4,FALSE)</f>
        <v>1556215</v>
      </c>
      <c r="I99" s="69">
        <f t="shared" si="18"/>
        <v>2023080</v>
      </c>
      <c r="J99" s="69">
        <f t="shared" si="19"/>
        <v>0</v>
      </c>
      <c r="K99" s="9"/>
      <c r="L99" s="3"/>
      <c r="M99" s="76"/>
      <c r="N99" s="78">
        <f t="shared" si="13"/>
        <v>0</v>
      </c>
      <c r="O99" s="76"/>
      <c r="P99" s="78"/>
      <c r="Q99" s="76"/>
      <c r="R99" s="78"/>
      <c r="S99" s="76"/>
      <c r="T99" s="78"/>
      <c r="U99" s="76"/>
      <c r="V99" s="78"/>
      <c r="W99" s="76"/>
      <c r="X99" s="78"/>
      <c r="Y99" s="76"/>
      <c r="Z99" s="78"/>
      <c r="AA99" s="76"/>
      <c r="AB99" s="78"/>
      <c r="AC99" s="76"/>
      <c r="AD99" s="78"/>
      <c r="AE99" s="76"/>
      <c r="AF99" s="78"/>
      <c r="AG99" s="76"/>
      <c r="AH99" s="78"/>
      <c r="AI99" s="76"/>
      <c r="AJ99" s="78"/>
      <c r="AK99" s="76"/>
      <c r="AL99" s="78"/>
      <c r="AM99" s="76"/>
      <c r="AN99" s="78"/>
      <c r="AO99" s="76"/>
      <c r="AP99" s="78">
        <f t="shared" si="20"/>
        <v>0</v>
      </c>
      <c r="AQ99" s="76"/>
      <c r="AR99" s="78"/>
      <c r="AS99" s="76"/>
      <c r="AT99" s="78"/>
      <c r="AU99" s="76"/>
      <c r="AV99" s="78"/>
      <c r="AW99" s="76"/>
      <c r="AX99" s="78"/>
      <c r="AY99" s="76"/>
      <c r="AZ99" s="78"/>
      <c r="BA99" s="76"/>
      <c r="BB99" s="78"/>
      <c r="BC99" s="76"/>
      <c r="BD99" s="78"/>
      <c r="BE99" s="76"/>
      <c r="BF99" s="78"/>
      <c r="BG99" s="76"/>
      <c r="BH99" s="78"/>
      <c r="BI99" s="76"/>
      <c r="BJ99" s="78"/>
    </row>
    <row r="100" spans="1:62"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17"/>
        <v>0</v>
      </c>
      <c r="H100" s="69">
        <f>+VLOOKUP(C100,'PRECIOS IDU 2025'!$A$1:$E$3189,4,FALSE)</f>
        <v>5591</v>
      </c>
      <c r="I100" s="69">
        <f t="shared" si="18"/>
        <v>7268</v>
      </c>
      <c r="J100" s="69">
        <f t="shared" si="19"/>
        <v>0</v>
      </c>
      <c r="K100" s="9"/>
      <c r="L100" s="3"/>
      <c r="M100" s="76"/>
      <c r="N100" s="78"/>
      <c r="O100" s="76"/>
      <c r="P100" s="78"/>
      <c r="Q100" s="76"/>
      <c r="R100" s="78"/>
      <c r="S100" s="76"/>
      <c r="T100" s="78"/>
      <c r="U100" s="76"/>
      <c r="V100" s="78"/>
      <c r="W100" s="76"/>
      <c r="X100" s="78"/>
      <c r="Y100" s="76"/>
      <c r="Z100" s="78"/>
      <c r="AA100" s="76"/>
      <c r="AB100" s="78"/>
      <c r="AC100" s="76"/>
      <c r="AD100" s="78"/>
      <c r="AE100" s="76"/>
      <c r="AF100" s="78"/>
      <c r="AG100" s="76"/>
      <c r="AH100" s="78"/>
      <c r="AI100" s="76"/>
      <c r="AJ100" s="78"/>
      <c r="AK100" s="76"/>
      <c r="AL100" s="78"/>
      <c r="AM100" s="76"/>
      <c r="AN100" s="78"/>
      <c r="AO100" s="76"/>
      <c r="AP100" s="78"/>
      <c r="AQ100" s="76"/>
      <c r="AR100" s="78"/>
      <c r="AS100" s="76"/>
      <c r="AT100" s="78"/>
      <c r="AU100" s="76"/>
      <c r="AV100" s="78"/>
      <c r="AW100" s="76"/>
      <c r="AX100" s="78"/>
      <c r="AY100" s="76"/>
      <c r="AZ100" s="78"/>
      <c r="BA100" s="76"/>
      <c r="BB100" s="78"/>
      <c r="BC100" s="76"/>
      <c r="BD100" s="78"/>
      <c r="BE100" s="76"/>
      <c r="BF100" s="78"/>
      <c r="BG100" s="76"/>
      <c r="BH100" s="78"/>
      <c r="BI100" s="76"/>
      <c r="BJ100" s="78"/>
    </row>
    <row r="101" spans="1:62"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17"/>
        <v>0</v>
      </c>
      <c r="H101" s="69">
        <f>+VLOOKUP(C101,'PRECIOS IDU 2025'!$A$1:$E$3189,4,FALSE)</f>
        <v>8404</v>
      </c>
      <c r="I101" s="69">
        <f t="shared" si="18"/>
        <v>10925</v>
      </c>
      <c r="J101" s="69">
        <f t="shared" si="19"/>
        <v>0</v>
      </c>
      <c r="K101" s="9"/>
      <c r="L101" s="3"/>
      <c r="M101" s="76"/>
      <c r="N101" s="78">
        <f t="shared" ref="N101:N128" si="21">+ROUND(M101*$I101,0)</f>
        <v>0</v>
      </c>
      <c r="O101" s="76"/>
      <c r="P101" s="78"/>
      <c r="Q101" s="76"/>
      <c r="R101" s="78"/>
      <c r="S101" s="76"/>
      <c r="T101" s="78"/>
      <c r="U101" s="76"/>
      <c r="V101" s="78"/>
      <c r="W101" s="76"/>
      <c r="X101" s="78"/>
      <c r="Y101" s="76"/>
      <c r="Z101" s="78"/>
      <c r="AA101" s="76"/>
      <c r="AB101" s="78"/>
      <c r="AC101" s="76"/>
      <c r="AD101" s="78"/>
      <c r="AE101" s="76"/>
      <c r="AF101" s="78"/>
      <c r="AG101" s="76"/>
      <c r="AH101" s="78"/>
      <c r="AI101" s="76"/>
      <c r="AJ101" s="78"/>
      <c r="AK101" s="76"/>
      <c r="AL101" s="78"/>
      <c r="AM101" s="76"/>
      <c r="AN101" s="78"/>
      <c r="AO101" s="76"/>
      <c r="AP101" s="78">
        <f t="shared" ref="AP101:AP164" si="22">+ROUND(AO101*$I101,0)</f>
        <v>0</v>
      </c>
      <c r="AQ101" s="76"/>
      <c r="AR101" s="78"/>
      <c r="AS101" s="76"/>
      <c r="AT101" s="78"/>
      <c r="AU101" s="76"/>
      <c r="AV101" s="78"/>
      <c r="AW101" s="76"/>
      <c r="AX101" s="78"/>
      <c r="AY101" s="76"/>
      <c r="AZ101" s="78"/>
      <c r="BA101" s="76"/>
      <c r="BB101" s="78"/>
      <c r="BC101" s="76"/>
      <c r="BD101" s="78"/>
      <c r="BE101" s="76"/>
      <c r="BF101" s="78"/>
      <c r="BG101" s="76"/>
      <c r="BH101" s="78"/>
      <c r="BI101" s="76"/>
      <c r="BJ101" s="78"/>
    </row>
    <row r="102" spans="1:62"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17"/>
        <v>0</v>
      </c>
      <c r="H102" s="69">
        <f>+VLOOKUP(C102,'PRECIOS IDU 2025'!$A$1:$E$3189,4,FALSE)</f>
        <v>7882</v>
      </c>
      <c r="I102" s="69">
        <f t="shared" si="18"/>
        <v>10247</v>
      </c>
      <c r="J102" s="69">
        <f t="shared" si="19"/>
        <v>0</v>
      </c>
      <c r="K102" s="9"/>
      <c r="L102" s="3"/>
      <c r="M102" s="76"/>
      <c r="N102" s="78">
        <f t="shared" si="21"/>
        <v>0</v>
      </c>
      <c r="O102" s="76"/>
      <c r="P102" s="78"/>
      <c r="Q102" s="76"/>
      <c r="R102" s="78"/>
      <c r="S102" s="76"/>
      <c r="T102" s="78"/>
      <c r="U102" s="76"/>
      <c r="V102" s="78"/>
      <c r="W102" s="76"/>
      <c r="X102" s="78"/>
      <c r="Y102" s="76"/>
      <c r="Z102" s="78"/>
      <c r="AA102" s="76"/>
      <c r="AB102" s="78"/>
      <c r="AC102" s="76"/>
      <c r="AD102" s="78"/>
      <c r="AE102" s="76"/>
      <c r="AF102" s="78"/>
      <c r="AG102" s="76"/>
      <c r="AH102" s="78"/>
      <c r="AI102" s="76"/>
      <c r="AJ102" s="78"/>
      <c r="AK102" s="76"/>
      <c r="AL102" s="78"/>
      <c r="AM102" s="76"/>
      <c r="AN102" s="78"/>
      <c r="AO102" s="76"/>
      <c r="AP102" s="78">
        <f t="shared" si="22"/>
        <v>0</v>
      </c>
      <c r="AQ102" s="76"/>
      <c r="AR102" s="78"/>
      <c r="AS102" s="76"/>
      <c r="AT102" s="78"/>
      <c r="AU102" s="76"/>
      <c r="AV102" s="78"/>
      <c r="AW102" s="76"/>
      <c r="AX102" s="78"/>
      <c r="AY102" s="76"/>
      <c r="AZ102" s="78"/>
      <c r="BA102" s="76"/>
      <c r="BB102" s="78"/>
      <c r="BC102" s="76"/>
      <c r="BD102" s="78"/>
      <c r="BE102" s="76"/>
      <c r="BF102" s="78"/>
      <c r="BG102" s="76"/>
      <c r="BH102" s="78"/>
      <c r="BI102" s="76"/>
      <c r="BJ102" s="78"/>
    </row>
    <row r="103" spans="1:62"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17"/>
        <v>0</v>
      </c>
      <c r="H103" s="69">
        <f>+VLOOKUP(C103,'PRECIOS IDU 2025'!$A$1:$E$3189,4,FALSE)</f>
        <v>7882</v>
      </c>
      <c r="I103" s="69">
        <f t="shared" si="18"/>
        <v>10247</v>
      </c>
      <c r="J103" s="69">
        <f t="shared" si="19"/>
        <v>0</v>
      </c>
      <c r="K103" s="9"/>
      <c r="L103" s="3"/>
      <c r="M103" s="76"/>
      <c r="N103" s="78">
        <f t="shared" si="21"/>
        <v>0</v>
      </c>
      <c r="O103" s="76"/>
      <c r="P103" s="78"/>
      <c r="Q103" s="76"/>
      <c r="R103" s="78"/>
      <c r="S103" s="76"/>
      <c r="T103" s="78"/>
      <c r="U103" s="76"/>
      <c r="V103" s="78"/>
      <c r="W103" s="76"/>
      <c r="X103" s="78"/>
      <c r="Y103" s="76"/>
      <c r="Z103" s="78"/>
      <c r="AA103" s="76"/>
      <c r="AB103" s="78"/>
      <c r="AC103" s="76"/>
      <c r="AD103" s="78"/>
      <c r="AE103" s="76"/>
      <c r="AF103" s="78"/>
      <c r="AG103" s="76"/>
      <c r="AH103" s="78"/>
      <c r="AI103" s="76"/>
      <c r="AJ103" s="78"/>
      <c r="AK103" s="76"/>
      <c r="AL103" s="78"/>
      <c r="AM103" s="76"/>
      <c r="AN103" s="78"/>
      <c r="AO103" s="76"/>
      <c r="AP103" s="78">
        <f t="shared" si="22"/>
        <v>0</v>
      </c>
      <c r="AQ103" s="76"/>
      <c r="AR103" s="78"/>
      <c r="AS103" s="76"/>
      <c r="AT103" s="78"/>
      <c r="AU103" s="76"/>
      <c r="AV103" s="78"/>
      <c r="AW103" s="76"/>
      <c r="AX103" s="78"/>
      <c r="AY103" s="76"/>
      <c r="AZ103" s="78"/>
      <c r="BA103" s="76"/>
      <c r="BB103" s="78"/>
      <c r="BC103" s="76"/>
      <c r="BD103" s="78"/>
      <c r="BE103" s="76"/>
      <c r="BF103" s="78"/>
      <c r="BG103" s="76"/>
      <c r="BH103" s="78"/>
      <c r="BI103" s="76"/>
      <c r="BJ103" s="78"/>
    </row>
    <row r="104" spans="1:62"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17"/>
        <v>0</v>
      </c>
      <c r="H104" s="69">
        <f>+VLOOKUP(C104,'PRECIOS IDU 2025'!$A$1:$E$3189,4,FALSE)</f>
        <v>875661</v>
      </c>
      <c r="I104" s="69">
        <f t="shared" si="18"/>
        <v>1138359</v>
      </c>
      <c r="J104" s="69">
        <f t="shared" si="19"/>
        <v>0</v>
      </c>
      <c r="K104" s="9"/>
      <c r="L104" s="3"/>
      <c r="M104" s="76"/>
      <c r="N104" s="78">
        <f t="shared" si="21"/>
        <v>0</v>
      </c>
      <c r="O104" s="76"/>
      <c r="P104" s="78"/>
      <c r="Q104" s="76"/>
      <c r="R104" s="78"/>
      <c r="S104" s="76"/>
      <c r="T104" s="78"/>
      <c r="U104" s="76"/>
      <c r="V104" s="78"/>
      <c r="W104" s="76"/>
      <c r="X104" s="78"/>
      <c r="Y104" s="76"/>
      <c r="Z104" s="78"/>
      <c r="AA104" s="76"/>
      <c r="AB104" s="78"/>
      <c r="AC104" s="76"/>
      <c r="AD104" s="78"/>
      <c r="AE104" s="76"/>
      <c r="AF104" s="78"/>
      <c r="AG104" s="76"/>
      <c r="AH104" s="78"/>
      <c r="AI104" s="76"/>
      <c r="AJ104" s="78"/>
      <c r="AK104" s="76"/>
      <c r="AL104" s="78"/>
      <c r="AM104" s="76"/>
      <c r="AN104" s="78"/>
      <c r="AO104" s="76"/>
      <c r="AP104" s="78">
        <f t="shared" si="22"/>
        <v>0</v>
      </c>
      <c r="AQ104" s="76"/>
      <c r="AR104" s="78"/>
      <c r="AS104" s="76"/>
      <c r="AT104" s="78"/>
      <c r="AU104" s="76"/>
      <c r="AV104" s="78"/>
      <c r="AW104" s="76"/>
      <c r="AX104" s="78"/>
      <c r="AY104" s="76"/>
      <c r="AZ104" s="78"/>
      <c r="BA104" s="76"/>
      <c r="BB104" s="78"/>
      <c r="BC104" s="76"/>
      <c r="BD104" s="78"/>
      <c r="BE104" s="76"/>
      <c r="BF104" s="78"/>
      <c r="BG104" s="76"/>
      <c r="BH104" s="78"/>
      <c r="BI104" s="76"/>
      <c r="BJ104" s="78"/>
    </row>
    <row r="105" spans="1:62"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17"/>
        <v>0</v>
      </c>
      <c r="H105" s="69">
        <f>+VLOOKUP(C105,'PRECIOS IDU 2025'!$A$1:$E$3189,4,FALSE)</f>
        <v>890453</v>
      </c>
      <c r="I105" s="69">
        <f t="shared" si="18"/>
        <v>1157589</v>
      </c>
      <c r="J105" s="69">
        <f t="shared" si="19"/>
        <v>0</v>
      </c>
      <c r="K105" s="9"/>
      <c r="L105" s="3"/>
      <c r="M105" s="76"/>
      <c r="N105" s="78">
        <f t="shared" si="21"/>
        <v>0</v>
      </c>
      <c r="O105" s="76"/>
      <c r="P105" s="78"/>
      <c r="Q105" s="76"/>
      <c r="R105" s="78"/>
      <c r="S105" s="76"/>
      <c r="T105" s="78"/>
      <c r="U105" s="76"/>
      <c r="V105" s="78"/>
      <c r="W105" s="76"/>
      <c r="X105" s="78"/>
      <c r="Y105" s="76"/>
      <c r="Z105" s="78"/>
      <c r="AA105" s="76"/>
      <c r="AB105" s="78"/>
      <c r="AC105" s="76"/>
      <c r="AD105" s="78"/>
      <c r="AE105" s="76"/>
      <c r="AF105" s="78"/>
      <c r="AG105" s="76"/>
      <c r="AH105" s="78"/>
      <c r="AI105" s="76"/>
      <c r="AJ105" s="78"/>
      <c r="AK105" s="76"/>
      <c r="AL105" s="78"/>
      <c r="AM105" s="76"/>
      <c r="AN105" s="78"/>
      <c r="AO105" s="76"/>
      <c r="AP105" s="78">
        <f t="shared" si="22"/>
        <v>0</v>
      </c>
      <c r="AQ105" s="76"/>
      <c r="AR105" s="78"/>
      <c r="AS105" s="76"/>
      <c r="AT105" s="78"/>
      <c r="AU105" s="76"/>
      <c r="AV105" s="78"/>
      <c r="AW105" s="76"/>
      <c r="AX105" s="78"/>
      <c r="AY105" s="76"/>
      <c r="AZ105" s="78"/>
      <c r="BA105" s="76"/>
      <c r="BB105" s="78"/>
      <c r="BC105" s="76"/>
      <c r="BD105" s="78"/>
      <c r="BE105" s="76"/>
      <c r="BF105" s="78"/>
      <c r="BG105" s="76"/>
      <c r="BH105" s="78"/>
      <c r="BI105" s="76"/>
      <c r="BJ105" s="78"/>
    </row>
    <row r="106" spans="1:62"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17"/>
        <v>0</v>
      </c>
      <c r="H106" s="69">
        <f>+VLOOKUP(C106,'PRECIOS IDU 2025'!$A$1:$E$3189,4,FALSE)</f>
        <v>2554</v>
      </c>
      <c r="I106" s="69">
        <f t="shared" si="18"/>
        <v>3320</v>
      </c>
      <c r="J106" s="69">
        <f t="shared" si="19"/>
        <v>0</v>
      </c>
      <c r="K106" s="9"/>
      <c r="L106" s="3"/>
      <c r="M106" s="76"/>
      <c r="N106" s="78">
        <f t="shared" si="21"/>
        <v>0</v>
      </c>
      <c r="O106" s="76"/>
      <c r="P106" s="78"/>
      <c r="Q106" s="76"/>
      <c r="R106" s="78"/>
      <c r="S106" s="76"/>
      <c r="T106" s="78"/>
      <c r="U106" s="76"/>
      <c r="V106" s="78"/>
      <c r="W106" s="76"/>
      <c r="X106" s="78"/>
      <c r="Y106" s="76"/>
      <c r="Z106" s="78"/>
      <c r="AA106" s="76"/>
      <c r="AB106" s="78"/>
      <c r="AC106" s="76"/>
      <c r="AD106" s="78"/>
      <c r="AE106" s="76"/>
      <c r="AF106" s="78"/>
      <c r="AG106" s="76"/>
      <c r="AH106" s="78"/>
      <c r="AI106" s="76"/>
      <c r="AJ106" s="78"/>
      <c r="AK106" s="76"/>
      <c r="AL106" s="78"/>
      <c r="AM106" s="76"/>
      <c r="AN106" s="78"/>
      <c r="AO106" s="76"/>
      <c r="AP106" s="78">
        <f t="shared" si="22"/>
        <v>0</v>
      </c>
      <c r="AQ106" s="76"/>
      <c r="AR106" s="78"/>
      <c r="AS106" s="76"/>
      <c r="AT106" s="78"/>
      <c r="AU106" s="76"/>
      <c r="AV106" s="78"/>
      <c r="AW106" s="76"/>
      <c r="AX106" s="78"/>
      <c r="AY106" s="76"/>
      <c r="AZ106" s="78"/>
      <c r="BA106" s="76"/>
      <c r="BB106" s="78"/>
      <c r="BC106" s="76"/>
      <c r="BD106" s="78"/>
      <c r="BE106" s="76"/>
      <c r="BF106" s="78"/>
      <c r="BG106" s="76"/>
      <c r="BH106" s="78"/>
      <c r="BI106" s="76"/>
      <c r="BJ106" s="78"/>
    </row>
    <row r="107" spans="1:62"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17"/>
        <v>0</v>
      </c>
      <c r="H107" s="69">
        <f>+VLOOKUP(C107,'PRECIOS IDU 2025'!$A$1:$E$3189,4,FALSE)</f>
        <v>13778</v>
      </c>
      <c r="I107" s="69">
        <f t="shared" si="18"/>
        <v>17911</v>
      </c>
      <c r="J107" s="69">
        <f t="shared" si="19"/>
        <v>0</v>
      </c>
      <c r="K107" s="9"/>
      <c r="L107" s="3"/>
      <c r="M107" s="76"/>
      <c r="N107" s="78">
        <f t="shared" si="21"/>
        <v>0</v>
      </c>
      <c r="O107" s="76"/>
      <c r="P107" s="78"/>
      <c r="Q107" s="76"/>
      <c r="R107" s="78"/>
      <c r="S107" s="76"/>
      <c r="T107" s="78"/>
      <c r="U107" s="76"/>
      <c r="V107" s="78"/>
      <c r="W107" s="76"/>
      <c r="X107" s="78"/>
      <c r="Y107" s="76"/>
      <c r="Z107" s="78"/>
      <c r="AA107" s="76"/>
      <c r="AB107" s="78"/>
      <c r="AC107" s="76"/>
      <c r="AD107" s="78"/>
      <c r="AE107" s="76"/>
      <c r="AF107" s="78"/>
      <c r="AG107" s="76"/>
      <c r="AH107" s="78"/>
      <c r="AI107" s="76"/>
      <c r="AJ107" s="78"/>
      <c r="AK107" s="76"/>
      <c r="AL107" s="78"/>
      <c r="AM107" s="76"/>
      <c r="AN107" s="78"/>
      <c r="AO107" s="76"/>
      <c r="AP107" s="78">
        <f t="shared" si="22"/>
        <v>0</v>
      </c>
      <c r="AQ107" s="76"/>
      <c r="AR107" s="78"/>
      <c r="AS107" s="76"/>
      <c r="AT107" s="78"/>
      <c r="AU107" s="76"/>
      <c r="AV107" s="78"/>
      <c r="AW107" s="76"/>
      <c r="AX107" s="78"/>
      <c r="AY107" s="76"/>
      <c r="AZ107" s="78"/>
      <c r="BA107" s="76"/>
      <c r="BB107" s="78"/>
      <c r="BC107" s="76"/>
      <c r="BD107" s="78"/>
      <c r="BE107" s="76"/>
      <c r="BF107" s="78"/>
      <c r="BG107" s="76"/>
      <c r="BH107" s="78"/>
      <c r="BI107" s="76"/>
      <c r="BJ107" s="78"/>
    </row>
    <row r="108" spans="1:62"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17"/>
        <v>0</v>
      </c>
      <c r="H108" s="69">
        <f>+VLOOKUP(C108,'PRECIOS IDU 2025'!$A$1:$E$3189,4,FALSE)</f>
        <v>10578</v>
      </c>
      <c r="I108" s="69">
        <f t="shared" si="18"/>
        <v>13751</v>
      </c>
      <c r="J108" s="69">
        <f t="shared" si="19"/>
        <v>0</v>
      </c>
      <c r="K108" s="9"/>
      <c r="L108" s="3"/>
      <c r="M108" s="76"/>
      <c r="N108" s="78">
        <f t="shared" si="21"/>
        <v>0</v>
      </c>
      <c r="O108" s="76"/>
      <c r="P108" s="78"/>
      <c r="Q108" s="76"/>
      <c r="R108" s="78"/>
      <c r="S108" s="76"/>
      <c r="T108" s="78"/>
      <c r="U108" s="76"/>
      <c r="V108" s="78"/>
      <c r="W108" s="76"/>
      <c r="X108" s="78"/>
      <c r="Y108" s="76"/>
      <c r="Z108" s="78"/>
      <c r="AA108" s="76"/>
      <c r="AB108" s="78"/>
      <c r="AC108" s="76"/>
      <c r="AD108" s="78"/>
      <c r="AE108" s="76"/>
      <c r="AF108" s="78"/>
      <c r="AG108" s="76"/>
      <c r="AH108" s="78"/>
      <c r="AI108" s="76"/>
      <c r="AJ108" s="78"/>
      <c r="AK108" s="76"/>
      <c r="AL108" s="78"/>
      <c r="AM108" s="76"/>
      <c r="AN108" s="78"/>
      <c r="AO108" s="76"/>
      <c r="AP108" s="78">
        <f t="shared" si="22"/>
        <v>0</v>
      </c>
      <c r="AQ108" s="76"/>
      <c r="AR108" s="78"/>
      <c r="AS108" s="76"/>
      <c r="AT108" s="78"/>
      <c r="AU108" s="76"/>
      <c r="AV108" s="78"/>
      <c r="AW108" s="76"/>
      <c r="AX108" s="78"/>
      <c r="AY108" s="76"/>
      <c r="AZ108" s="78"/>
      <c r="BA108" s="76"/>
      <c r="BB108" s="78"/>
      <c r="BC108" s="76"/>
      <c r="BD108" s="78"/>
      <c r="BE108" s="76"/>
      <c r="BF108" s="78"/>
      <c r="BG108" s="76"/>
      <c r="BH108" s="78"/>
      <c r="BI108" s="76"/>
      <c r="BJ108" s="78"/>
    </row>
    <row r="109" spans="1:62"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17"/>
        <v>0</v>
      </c>
      <c r="H109" s="69">
        <f>+VLOOKUP(C109,'PRECIOS IDU 2025'!$A$1:$E$3189,4,FALSE)</f>
        <v>104695</v>
      </c>
      <c r="I109" s="69">
        <f t="shared" si="18"/>
        <v>136104</v>
      </c>
      <c r="J109" s="69">
        <f t="shared" si="19"/>
        <v>0</v>
      </c>
      <c r="K109" s="9"/>
      <c r="L109" s="3"/>
      <c r="M109" s="76"/>
      <c r="N109" s="78">
        <f t="shared" si="21"/>
        <v>0</v>
      </c>
      <c r="O109" s="76"/>
      <c r="P109" s="78"/>
      <c r="Q109" s="76"/>
      <c r="R109" s="78"/>
      <c r="S109" s="76"/>
      <c r="T109" s="78"/>
      <c r="U109" s="76"/>
      <c r="V109" s="78"/>
      <c r="W109" s="76"/>
      <c r="X109" s="78"/>
      <c r="Y109" s="76"/>
      <c r="Z109" s="78"/>
      <c r="AA109" s="76"/>
      <c r="AB109" s="78"/>
      <c r="AC109" s="76"/>
      <c r="AD109" s="78"/>
      <c r="AE109" s="76"/>
      <c r="AF109" s="78"/>
      <c r="AG109" s="76"/>
      <c r="AH109" s="78"/>
      <c r="AI109" s="76"/>
      <c r="AJ109" s="78"/>
      <c r="AK109" s="76"/>
      <c r="AL109" s="78"/>
      <c r="AM109" s="76"/>
      <c r="AN109" s="78"/>
      <c r="AO109" s="76"/>
      <c r="AP109" s="78">
        <f t="shared" si="22"/>
        <v>0</v>
      </c>
      <c r="AQ109" s="76"/>
      <c r="AR109" s="78"/>
      <c r="AS109" s="76"/>
      <c r="AT109" s="78"/>
      <c r="AU109" s="76"/>
      <c r="AV109" s="78"/>
      <c r="AW109" s="76"/>
      <c r="AX109" s="78"/>
      <c r="AY109" s="76"/>
      <c r="AZ109" s="78"/>
      <c r="BA109" s="76"/>
      <c r="BB109" s="78"/>
      <c r="BC109" s="76"/>
      <c r="BD109" s="78"/>
      <c r="BE109" s="76"/>
      <c r="BF109" s="78"/>
      <c r="BG109" s="76"/>
      <c r="BH109" s="78"/>
      <c r="BI109" s="76"/>
      <c r="BJ109" s="78"/>
    </row>
    <row r="110" spans="1:62"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17"/>
        <v>0</v>
      </c>
      <c r="H110" s="69">
        <f>+VLOOKUP(C110,'PRECIOS IDU 2025'!$A$1:$E$3189,4,FALSE)</f>
        <v>104695</v>
      </c>
      <c r="I110" s="69">
        <f t="shared" si="18"/>
        <v>136104</v>
      </c>
      <c r="J110" s="69">
        <f t="shared" si="19"/>
        <v>0</v>
      </c>
      <c r="K110" s="9"/>
      <c r="L110" s="3"/>
      <c r="M110" s="76"/>
      <c r="N110" s="78">
        <f t="shared" si="21"/>
        <v>0</v>
      </c>
      <c r="O110" s="76"/>
      <c r="P110" s="78"/>
      <c r="Q110" s="76"/>
      <c r="R110" s="78"/>
      <c r="S110" s="76"/>
      <c r="T110" s="78"/>
      <c r="U110" s="76"/>
      <c r="V110" s="78"/>
      <c r="W110" s="76"/>
      <c r="X110" s="78"/>
      <c r="Y110" s="76"/>
      <c r="Z110" s="78"/>
      <c r="AA110" s="76"/>
      <c r="AB110" s="78"/>
      <c r="AC110" s="76"/>
      <c r="AD110" s="78"/>
      <c r="AE110" s="76"/>
      <c r="AF110" s="78"/>
      <c r="AG110" s="76"/>
      <c r="AH110" s="78"/>
      <c r="AI110" s="76"/>
      <c r="AJ110" s="78"/>
      <c r="AK110" s="76"/>
      <c r="AL110" s="78"/>
      <c r="AM110" s="76"/>
      <c r="AN110" s="78"/>
      <c r="AO110" s="76"/>
      <c r="AP110" s="78">
        <f t="shared" si="22"/>
        <v>0</v>
      </c>
      <c r="AQ110" s="76"/>
      <c r="AR110" s="78"/>
      <c r="AS110" s="76"/>
      <c r="AT110" s="78"/>
      <c r="AU110" s="76"/>
      <c r="AV110" s="78"/>
      <c r="AW110" s="76"/>
      <c r="AX110" s="78"/>
      <c r="AY110" s="76"/>
      <c r="AZ110" s="78"/>
      <c r="BA110" s="76"/>
      <c r="BB110" s="78"/>
      <c r="BC110" s="76"/>
      <c r="BD110" s="78"/>
      <c r="BE110" s="76"/>
      <c r="BF110" s="78"/>
      <c r="BG110" s="76"/>
      <c r="BH110" s="78"/>
      <c r="BI110" s="76"/>
      <c r="BJ110" s="78"/>
    </row>
    <row r="111" spans="1:62" ht="30" customHeight="1" x14ac:dyDescent="0.3">
      <c r="A111" s="3"/>
      <c r="B111" s="8"/>
      <c r="C111" s="66" t="s">
        <v>6080</v>
      </c>
      <c r="D111" s="67"/>
      <c r="E111" s="67"/>
      <c r="F111" s="67"/>
      <c r="G111" s="67"/>
      <c r="H111" s="67"/>
      <c r="I111" s="67"/>
      <c r="J111" s="68"/>
      <c r="K111" s="9"/>
      <c r="L111" s="3"/>
      <c r="M111" s="76"/>
      <c r="N111" s="78">
        <f t="shared" si="21"/>
        <v>0</v>
      </c>
      <c r="O111" s="76"/>
      <c r="P111" s="78"/>
      <c r="Q111" s="76"/>
      <c r="R111" s="78"/>
      <c r="S111" s="76"/>
      <c r="T111" s="78"/>
      <c r="U111" s="76"/>
      <c r="V111" s="78"/>
      <c r="W111" s="76"/>
      <c r="X111" s="78"/>
      <c r="Y111" s="76"/>
      <c r="Z111" s="78"/>
      <c r="AA111" s="76"/>
      <c r="AB111" s="78"/>
      <c r="AC111" s="76"/>
      <c r="AD111" s="78"/>
      <c r="AE111" s="76"/>
      <c r="AF111" s="78"/>
      <c r="AG111" s="76"/>
      <c r="AH111" s="78"/>
      <c r="AI111" s="76"/>
      <c r="AJ111" s="78"/>
      <c r="AK111" s="76"/>
      <c r="AL111" s="78"/>
      <c r="AM111" s="76"/>
      <c r="AN111" s="78"/>
      <c r="AO111" s="76"/>
      <c r="AP111" s="78">
        <f t="shared" si="22"/>
        <v>0</v>
      </c>
      <c r="AQ111" s="76"/>
      <c r="AR111" s="78"/>
      <c r="AS111" s="76"/>
      <c r="AT111" s="78"/>
      <c r="AU111" s="76"/>
      <c r="AV111" s="78"/>
      <c r="AW111" s="76"/>
      <c r="AX111" s="78"/>
      <c r="AY111" s="76"/>
      <c r="AZ111" s="78"/>
      <c r="BA111" s="76"/>
      <c r="BB111" s="78"/>
      <c r="BC111" s="76"/>
      <c r="BD111" s="78"/>
      <c r="BE111" s="76"/>
      <c r="BF111" s="78"/>
      <c r="BG111" s="76"/>
      <c r="BH111" s="78"/>
      <c r="BI111" s="76"/>
      <c r="BJ111" s="78"/>
    </row>
    <row r="112" spans="1:62"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23">+ROUND(M112+O112+Q112+S112+U112+W112+Y112+AA112+AC112+AE112+AG112+AI112+AK112+AM112+AO112+AQ112+AS112+AU112+AW112+AY112+BA112+BC112+BE112+BG112+BI112,2)</f>
        <v>0</v>
      </c>
      <c r="H112" s="69">
        <f>+VLOOKUP(C112,'PRECIOS IDU 2025'!$A$1:$E$3189,4,FALSE)</f>
        <v>8262</v>
      </c>
      <c r="I112" s="69">
        <f t="shared" ref="I112:I128" si="24">+ROUND(H112*(1+$J$192),0)</f>
        <v>10741</v>
      </c>
      <c r="J112" s="69">
        <f t="shared" ref="J112:J128" si="25">+ROUND(I112*G112,0)</f>
        <v>0</v>
      </c>
      <c r="K112" s="9"/>
      <c r="L112" s="3"/>
      <c r="M112" s="76"/>
      <c r="N112" s="78">
        <f t="shared" si="21"/>
        <v>0</v>
      </c>
      <c r="O112" s="76"/>
      <c r="P112" s="78"/>
      <c r="Q112" s="76"/>
      <c r="R112" s="78"/>
      <c r="S112" s="76"/>
      <c r="T112" s="78"/>
      <c r="U112" s="76"/>
      <c r="V112" s="78"/>
      <c r="W112" s="76"/>
      <c r="X112" s="78"/>
      <c r="Y112" s="76"/>
      <c r="Z112" s="78"/>
      <c r="AA112" s="76"/>
      <c r="AB112" s="78"/>
      <c r="AC112" s="76"/>
      <c r="AD112" s="78"/>
      <c r="AE112" s="76"/>
      <c r="AF112" s="78"/>
      <c r="AG112" s="76"/>
      <c r="AH112" s="78"/>
      <c r="AI112" s="76"/>
      <c r="AJ112" s="78"/>
      <c r="AK112" s="76"/>
      <c r="AL112" s="78"/>
      <c r="AM112" s="76"/>
      <c r="AN112" s="78"/>
      <c r="AO112" s="76"/>
      <c r="AP112" s="78">
        <f t="shared" si="22"/>
        <v>0</v>
      </c>
      <c r="AQ112" s="76"/>
      <c r="AR112" s="78"/>
      <c r="AS112" s="76"/>
      <c r="AT112" s="78"/>
      <c r="AU112" s="76"/>
      <c r="AV112" s="78"/>
      <c r="AW112" s="76"/>
      <c r="AX112" s="78"/>
      <c r="AY112" s="76"/>
      <c r="AZ112" s="78"/>
      <c r="BA112" s="76"/>
      <c r="BB112" s="78"/>
      <c r="BC112" s="76"/>
      <c r="BD112" s="78"/>
      <c r="BE112" s="76"/>
      <c r="BF112" s="78"/>
      <c r="BG112" s="76"/>
      <c r="BH112" s="78"/>
      <c r="BI112" s="76"/>
      <c r="BJ112" s="78"/>
    </row>
    <row r="113" spans="1:62"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23"/>
        <v>0</v>
      </c>
      <c r="H113" s="69">
        <f>+VLOOKUP(C113,'PRECIOS IDU 2025'!$A$1:$E$3189,4,FALSE)</f>
        <v>6417</v>
      </c>
      <c r="I113" s="69">
        <f t="shared" si="24"/>
        <v>8342</v>
      </c>
      <c r="J113" s="69">
        <f t="shared" si="25"/>
        <v>0</v>
      </c>
      <c r="K113" s="9"/>
      <c r="L113" s="3"/>
      <c r="M113" s="76"/>
      <c r="N113" s="78">
        <f t="shared" si="21"/>
        <v>0</v>
      </c>
      <c r="O113" s="76"/>
      <c r="P113" s="78"/>
      <c r="Q113" s="76"/>
      <c r="R113" s="78"/>
      <c r="S113" s="76"/>
      <c r="T113" s="78"/>
      <c r="U113" s="76"/>
      <c r="V113" s="78"/>
      <c r="W113" s="76"/>
      <c r="X113" s="78"/>
      <c r="Y113" s="76"/>
      <c r="Z113" s="78"/>
      <c r="AA113" s="76"/>
      <c r="AB113" s="78"/>
      <c r="AC113" s="76"/>
      <c r="AD113" s="78"/>
      <c r="AE113" s="76"/>
      <c r="AF113" s="78"/>
      <c r="AG113" s="76"/>
      <c r="AH113" s="78"/>
      <c r="AI113" s="76"/>
      <c r="AJ113" s="78"/>
      <c r="AK113" s="76"/>
      <c r="AL113" s="78"/>
      <c r="AM113" s="76"/>
      <c r="AN113" s="78"/>
      <c r="AO113" s="76"/>
      <c r="AP113" s="78">
        <f t="shared" si="22"/>
        <v>0</v>
      </c>
      <c r="AQ113" s="76"/>
      <c r="AR113" s="78"/>
      <c r="AS113" s="76"/>
      <c r="AT113" s="78"/>
      <c r="AU113" s="76"/>
      <c r="AV113" s="78"/>
      <c r="AW113" s="76"/>
      <c r="AX113" s="78"/>
      <c r="AY113" s="76"/>
      <c r="AZ113" s="78"/>
      <c r="BA113" s="76"/>
      <c r="BB113" s="78"/>
      <c r="BC113" s="76"/>
      <c r="BD113" s="78"/>
      <c r="BE113" s="76"/>
      <c r="BF113" s="78"/>
      <c r="BG113" s="76"/>
      <c r="BH113" s="78"/>
      <c r="BI113" s="76"/>
      <c r="BJ113" s="78"/>
    </row>
    <row r="114" spans="1:62"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23"/>
        <v>0</v>
      </c>
      <c r="H114" s="69">
        <f>+VLOOKUP(C114,'PRECIOS IDU 2025'!$A$1:$E$3189,4,FALSE)</f>
        <v>46379</v>
      </c>
      <c r="I114" s="69">
        <f t="shared" si="24"/>
        <v>60293</v>
      </c>
      <c r="J114" s="69">
        <f t="shared" si="25"/>
        <v>0</v>
      </c>
      <c r="K114" s="9"/>
      <c r="L114" s="3"/>
      <c r="M114" s="76"/>
      <c r="N114" s="78">
        <f t="shared" si="21"/>
        <v>0</v>
      </c>
      <c r="O114" s="76"/>
      <c r="P114" s="78"/>
      <c r="Q114" s="76"/>
      <c r="R114" s="78"/>
      <c r="S114" s="76"/>
      <c r="T114" s="78"/>
      <c r="U114" s="76"/>
      <c r="V114" s="78"/>
      <c r="W114" s="76"/>
      <c r="X114" s="78"/>
      <c r="Y114" s="76"/>
      <c r="Z114" s="78"/>
      <c r="AA114" s="76"/>
      <c r="AB114" s="78"/>
      <c r="AC114" s="76"/>
      <c r="AD114" s="78"/>
      <c r="AE114" s="76"/>
      <c r="AF114" s="78"/>
      <c r="AG114" s="76"/>
      <c r="AH114" s="78"/>
      <c r="AI114" s="76"/>
      <c r="AJ114" s="78"/>
      <c r="AK114" s="76"/>
      <c r="AL114" s="78"/>
      <c r="AM114" s="76"/>
      <c r="AN114" s="78"/>
      <c r="AO114" s="76"/>
      <c r="AP114" s="78">
        <f t="shared" si="22"/>
        <v>0</v>
      </c>
      <c r="AQ114" s="76"/>
      <c r="AR114" s="78"/>
      <c r="AS114" s="76"/>
      <c r="AT114" s="78"/>
      <c r="AU114" s="76"/>
      <c r="AV114" s="78"/>
      <c r="AW114" s="76"/>
      <c r="AX114" s="78"/>
      <c r="AY114" s="76"/>
      <c r="AZ114" s="78"/>
      <c r="BA114" s="76"/>
      <c r="BB114" s="78"/>
      <c r="BC114" s="76"/>
      <c r="BD114" s="78"/>
      <c r="BE114" s="76"/>
      <c r="BF114" s="78"/>
      <c r="BG114" s="76"/>
      <c r="BH114" s="78"/>
      <c r="BI114" s="76"/>
      <c r="BJ114" s="78"/>
    </row>
    <row r="115" spans="1:62"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23"/>
        <v>0</v>
      </c>
      <c r="H115" s="69">
        <f>+VLOOKUP(C115,'PRECIOS IDU 2025'!$A$1:$E$3189,4,FALSE)</f>
        <v>45600</v>
      </c>
      <c r="I115" s="69">
        <f t="shared" si="24"/>
        <v>59280</v>
      </c>
      <c r="J115" s="69">
        <f t="shared" si="25"/>
        <v>0</v>
      </c>
      <c r="K115" s="9"/>
      <c r="L115" s="3"/>
      <c r="M115" s="76"/>
      <c r="N115" s="78">
        <f t="shared" si="21"/>
        <v>0</v>
      </c>
      <c r="O115" s="76"/>
      <c r="P115" s="78"/>
      <c r="Q115" s="76"/>
      <c r="R115" s="78"/>
      <c r="S115" s="76"/>
      <c r="T115" s="78"/>
      <c r="U115" s="76"/>
      <c r="V115" s="78"/>
      <c r="W115" s="76"/>
      <c r="X115" s="78"/>
      <c r="Y115" s="76"/>
      <c r="Z115" s="78"/>
      <c r="AA115" s="76"/>
      <c r="AB115" s="78"/>
      <c r="AC115" s="76"/>
      <c r="AD115" s="78"/>
      <c r="AE115" s="76"/>
      <c r="AF115" s="78"/>
      <c r="AG115" s="76"/>
      <c r="AH115" s="78"/>
      <c r="AI115" s="76"/>
      <c r="AJ115" s="78"/>
      <c r="AK115" s="76"/>
      <c r="AL115" s="78"/>
      <c r="AM115" s="76"/>
      <c r="AN115" s="78"/>
      <c r="AO115" s="76"/>
      <c r="AP115" s="78">
        <f t="shared" si="22"/>
        <v>0</v>
      </c>
      <c r="AQ115" s="76"/>
      <c r="AR115" s="78"/>
      <c r="AS115" s="76"/>
      <c r="AT115" s="78"/>
      <c r="AU115" s="76"/>
      <c r="AV115" s="78"/>
      <c r="AW115" s="76"/>
      <c r="AX115" s="78"/>
      <c r="AY115" s="76"/>
      <c r="AZ115" s="78"/>
      <c r="BA115" s="76"/>
      <c r="BB115" s="78"/>
      <c r="BC115" s="76"/>
      <c r="BD115" s="78"/>
      <c r="BE115" s="76"/>
      <c r="BF115" s="78"/>
      <c r="BG115" s="76"/>
      <c r="BH115" s="78"/>
      <c r="BI115" s="76"/>
      <c r="BJ115" s="78"/>
    </row>
    <row r="116" spans="1:62"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23"/>
        <v>0</v>
      </c>
      <c r="H116" s="69">
        <f>+VLOOKUP(C116,'PRECIOS IDU 2025'!$A$1:$E$3189,4,FALSE)</f>
        <v>167049</v>
      </c>
      <c r="I116" s="69">
        <f t="shared" si="24"/>
        <v>217164</v>
      </c>
      <c r="J116" s="69">
        <f t="shared" si="25"/>
        <v>0</v>
      </c>
      <c r="K116" s="9"/>
      <c r="L116" s="3"/>
      <c r="M116" s="76"/>
      <c r="N116" s="78">
        <f t="shared" si="21"/>
        <v>0</v>
      </c>
      <c r="O116" s="76"/>
      <c r="P116" s="78"/>
      <c r="Q116" s="76"/>
      <c r="R116" s="78"/>
      <c r="S116" s="76"/>
      <c r="T116" s="78"/>
      <c r="U116" s="76"/>
      <c r="V116" s="78"/>
      <c r="W116" s="76"/>
      <c r="X116" s="78"/>
      <c r="Y116" s="76"/>
      <c r="Z116" s="78"/>
      <c r="AA116" s="76"/>
      <c r="AB116" s="78"/>
      <c r="AC116" s="76"/>
      <c r="AD116" s="78"/>
      <c r="AE116" s="76"/>
      <c r="AF116" s="78"/>
      <c r="AG116" s="76"/>
      <c r="AH116" s="78"/>
      <c r="AI116" s="76"/>
      <c r="AJ116" s="78"/>
      <c r="AK116" s="76"/>
      <c r="AL116" s="78"/>
      <c r="AM116" s="76"/>
      <c r="AN116" s="78"/>
      <c r="AO116" s="76"/>
      <c r="AP116" s="78">
        <f t="shared" si="22"/>
        <v>0</v>
      </c>
      <c r="AQ116" s="76"/>
      <c r="AR116" s="78"/>
      <c r="AS116" s="76"/>
      <c r="AT116" s="78"/>
      <c r="AU116" s="76"/>
      <c r="AV116" s="78"/>
      <c r="AW116" s="76"/>
      <c r="AX116" s="78"/>
      <c r="AY116" s="76"/>
      <c r="AZ116" s="78"/>
      <c r="BA116" s="76"/>
      <c r="BB116" s="78"/>
      <c r="BC116" s="76"/>
      <c r="BD116" s="78"/>
      <c r="BE116" s="76"/>
      <c r="BF116" s="78"/>
      <c r="BG116" s="76"/>
      <c r="BH116" s="78"/>
      <c r="BI116" s="76"/>
      <c r="BJ116" s="78"/>
    </row>
    <row r="117" spans="1:62"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23"/>
        <v>0</v>
      </c>
      <c r="H117" s="69">
        <f>+VLOOKUP(C117,'PRECIOS IDU 2025'!$A$1:$E$3189,4,FALSE)</f>
        <v>162047</v>
      </c>
      <c r="I117" s="69">
        <f t="shared" si="24"/>
        <v>210661</v>
      </c>
      <c r="J117" s="69">
        <f t="shared" si="25"/>
        <v>0</v>
      </c>
      <c r="K117" s="9"/>
      <c r="L117" s="3"/>
      <c r="M117" s="76"/>
      <c r="N117" s="78">
        <f t="shared" si="21"/>
        <v>0</v>
      </c>
      <c r="O117" s="76"/>
      <c r="P117" s="78"/>
      <c r="Q117" s="76"/>
      <c r="R117" s="78"/>
      <c r="S117" s="76"/>
      <c r="T117" s="78"/>
      <c r="U117" s="76"/>
      <c r="V117" s="78"/>
      <c r="W117" s="76"/>
      <c r="X117" s="78"/>
      <c r="Y117" s="76"/>
      <c r="Z117" s="78"/>
      <c r="AA117" s="76"/>
      <c r="AB117" s="78"/>
      <c r="AC117" s="76"/>
      <c r="AD117" s="78"/>
      <c r="AE117" s="76"/>
      <c r="AF117" s="78"/>
      <c r="AG117" s="76"/>
      <c r="AH117" s="78"/>
      <c r="AI117" s="76"/>
      <c r="AJ117" s="78"/>
      <c r="AK117" s="76"/>
      <c r="AL117" s="78"/>
      <c r="AM117" s="76"/>
      <c r="AN117" s="78"/>
      <c r="AO117" s="76"/>
      <c r="AP117" s="78">
        <f t="shared" si="22"/>
        <v>0</v>
      </c>
      <c r="AQ117" s="76"/>
      <c r="AR117" s="78"/>
      <c r="AS117" s="76"/>
      <c r="AT117" s="78"/>
      <c r="AU117" s="76"/>
      <c r="AV117" s="78"/>
      <c r="AW117" s="76"/>
      <c r="AX117" s="78"/>
      <c r="AY117" s="76"/>
      <c r="AZ117" s="78"/>
      <c r="BA117" s="76"/>
      <c r="BB117" s="78"/>
      <c r="BC117" s="76"/>
      <c r="BD117" s="78"/>
      <c r="BE117" s="76"/>
      <c r="BF117" s="78"/>
      <c r="BG117" s="76"/>
      <c r="BH117" s="78"/>
      <c r="BI117" s="76"/>
      <c r="BJ117" s="78"/>
    </row>
    <row r="118" spans="1:62"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23"/>
        <v>0</v>
      </c>
      <c r="H118" s="69">
        <f>+VLOOKUP(C118,'PRECIOS IDU 2025'!$A$1:$E$3189,4,FALSE)</f>
        <v>83828</v>
      </c>
      <c r="I118" s="69">
        <f t="shared" si="24"/>
        <v>108976</v>
      </c>
      <c r="J118" s="69">
        <f t="shared" si="25"/>
        <v>0</v>
      </c>
      <c r="K118" s="9"/>
      <c r="L118" s="3"/>
      <c r="M118" s="76"/>
      <c r="N118" s="78">
        <f t="shared" si="21"/>
        <v>0</v>
      </c>
      <c r="O118" s="76"/>
      <c r="P118" s="78"/>
      <c r="Q118" s="76"/>
      <c r="R118" s="78"/>
      <c r="S118" s="76"/>
      <c r="T118" s="78"/>
      <c r="U118" s="76"/>
      <c r="V118" s="78"/>
      <c r="W118" s="76"/>
      <c r="X118" s="78"/>
      <c r="Y118" s="76"/>
      <c r="Z118" s="78"/>
      <c r="AA118" s="76"/>
      <c r="AB118" s="78"/>
      <c r="AC118" s="76"/>
      <c r="AD118" s="78"/>
      <c r="AE118" s="76"/>
      <c r="AF118" s="78"/>
      <c r="AG118" s="76"/>
      <c r="AH118" s="78"/>
      <c r="AI118" s="76"/>
      <c r="AJ118" s="78"/>
      <c r="AK118" s="76"/>
      <c r="AL118" s="78"/>
      <c r="AM118" s="76"/>
      <c r="AN118" s="78"/>
      <c r="AO118" s="76"/>
      <c r="AP118" s="78">
        <f t="shared" si="22"/>
        <v>0</v>
      </c>
      <c r="AQ118" s="76"/>
      <c r="AR118" s="78"/>
      <c r="AS118" s="76"/>
      <c r="AT118" s="78"/>
      <c r="AU118" s="76"/>
      <c r="AV118" s="78"/>
      <c r="AW118" s="76"/>
      <c r="AX118" s="78"/>
      <c r="AY118" s="76"/>
      <c r="AZ118" s="78"/>
      <c r="BA118" s="76"/>
      <c r="BB118" s="78"/>
      <c r="BC118" s="76"/>
      <c r="BD118" s="78"/>
      <c r="BE118" s="76"/>
      <c r="BF118" s="78"/>
      <c r="BG118" s="76"/>
      <c r="BH118" s="78"/>
      <c r="BI118" s="76"/>
      <c r="BJ118" s="78"/>
    </row>
    <row r="119" spans="1:62"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23"/>
        <v>0</v>
      </c>
      <c r="H119" s="69">
        <f>+VLOOKUP(C119,'PRECIOS IDU 2025'!$A$1:$E$3189,4,FALSE)</f>
        <v>7346</v>
      </c>
      <c r="I119" s="69">
        <f t="shared" si="24"/>
        <v>9550</v>
      </c>
      <c r="J119" s="69">
        <f t="shared" si="25"/>
        <v>0</v>
      </c>
      <c r="K119" s="9"/>
      <c r="L119" s="3"/>
      <c r="M119" s="76"/>
      <c r="N119" s="78">
        <f t="shared" si="21"/>
        <v>0</v>
      </c>
      <c r="O119" s="76"/>
      <c r="P119" s="78"/>
      <c r="Q119" s="76"/>
      <c r="R119" s="78"/>
      <c r="S119" s="76"/>
      <c r="T119" s="78"/>
      <c r="U119" s="76"/>
      <c r="V119" s="78"/>
      <c r="W119" s="76"/>
      <c r="X119" s="78"/>
      <c r="Y119" s="76"/>
      <c r="Z119" s="78"/>
      <c r="AA119" s="76"/>
      <c r="AB119" s="78"/>
      <c r="AC119" s="76"/>
      <c r="AD119" s="78"/>
      <c r="AE119" s="76"/>
      <c r="AF119" s="78"/>
      <c r="AG119" s="76"/>
      <c r="AH119" s="78"/>
      <c r="AI119" s="76"/>
      <c r="AJ119" s="78"/>
      <c r="AK119" s="76"/>
      <c r="AL119" s="78"/>
      <c r="AM119" s="76"/>
      <c r="AN119" s="78"/>
      <c r="AO119" s="76"/>
      <c r="AP119" s="78">
        <f t="shared" si="22"/>
        <v>0</v>
      </c>
      <c r="AQ119" s="76"/>
      <c r="AR119" s="78"/>
      <c r="AS119" s="76"/>
      <c r="AT119" s="78"/>
      <c r="AU119" s="76"/>
      <c r="AV119" s="78"/>
      <c r="AW119" s="76"/>
      <c r="AX119" s="78"/>
      <c r="AY119" s="76"/>
      <c r="AZ119" s="78"/>
      <c r="BA119" s="76"/>
      <c r="BB119" s="78"/>
      <c r="BC119" s="76"/>
      <c r="BD119" s="78"/>
      <c r="BE119" s="76"/>
      <c r="BF119" s="78"/>
      <c r="BG119" s="76"/>
      <c r="BH119" s="78"/>
      <c r="BI119" s="76"/>
      <c r="BJ119" s="78"/>
    </row>
    <row r="120" spans="1:62"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23"/>
        <v>0</v>
      </c>
      <c r="H120" s="69">
        <f>+VLOOKUP(C120,'PRECIOS IDU 2025'!$A$1:$E$3189,4,FALSE)</f>
        <v>184030</v>
      </c>
      <c r="I120" s="69">
        <f t="shared" si="24"/>
        <v>239239</v>
      </c>
      <c r="J120" s="69">
        <f t="shared" si="25"/>
        <v>0</v>
      </c>
      <c r="K120" s="9"/>
      <c r="L120" s="3"/>
      <c r="M120" s="76"/>
      <c r="N120" s="78">
        <f t="shared" si="21"/>
        <v>0</v>
      </c>
      <c r="O120" s="76"/>
      <c r="P120" s="78"/>
      <c r="Q120" s="76"/>
      <c r="R120" s="78"/>
      <c r="S120" s="76"/>
      <c r="T120" s="78"/>
      <c r="U120" s="76"/>
      <c r="V120" s="78"/>
      <c r="W120" s="76"/>
      <c r="X120" s="78"/>
      <c r="Y120" s="76"/>
      <c r="Z120" s="78"/>
      <c r="AA120" s="76"/>
      <c r="AB120" s="78"/>
      <c r="AC120" s="76"/>
      <c r="AD120" s="78"/>
      <c r="AE120" s="76"/>
      <c r="AF120" s="78"/>
      <c r="AG120" s="76"/>
      <c r="AH120" s="78"/>
      <c r="AI120" s="76"/>
      <c r="AJ120" s="78"/>
      <c r="AK120" s="76"/>
      <c r="AL120" s="78"/>
      <c r="AM120" s="76"/>
      <c r="AN120" s="78"/>
      <c r="AO120" s="76"/>
      <c r="AP120" s="78">
        <f t="shared" si="22"/>
        <v>0</v>
      </c>
      <c r="AQ120" s="76"/>
      <c r="AR120" s="78"/>
      <c r="AS120" s="76"/>
      <c r="AT120" s="78"/>
      <c r="AU120" s="76"/>
      <c r="AV120" s="78"/>
      <c r="AW120" s="76"/>
      <c r="AX120" s="78"/>
      <c r="AY120" s="76"/>
      <c r="AZ120" s="78"/>
      <c r="BA120" s="76"/>
      <c r="BB120" s="78"/>
      <c r="BC120" s="76"/>
      <c r="BD120" s="78"/>
      <c r="BE120" s="76"/>
      <c r="BF120" s="78"/>
      <c r="BG120" s="76"/>
      <c r="BH120" s="78"/>
      <c r="BI120" s="76"/>
      <c r="BJ120" s="78"/>
    </row>
    <row r="121" spans="1:62"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23"/>
        <v>0</v>
      </c>
      <c r="H121" s="69">
        <f>+VLOOKUP(C121,'PRECIOS IDU 2025'!$A$1:$E$3189,4,FALSE)</f>
        <v>966133</v>
      </c>
      <c r="I121" s="69">
        <f t="shared" si="24"/>
        <v>1255973</v>
      </c>
      <c r="J121" s="69">
        <f t="shared" si="25"/>
        <v>0</v>
      </c>
      <c r="K121" s="9"/>
      <c r="L121" s="3"/>
      <c r="M121" s="76"/>
      <c r="N121" s="78">
        <f t="shared" si="21"/>
        <v>0</v>
      </c>
      <c r="O121" s="76"/>
      <c r="P121" s="78"/>
      <c r="Q121" s="76"/>
      <c r="R121" s="78"/>
      <c r="S121" s="76"/>
      <c r="T121" s="78"/>
      <c r="U121" s="76"/>
      <c r="V121" s="78"/>
      <c r="W121" s="76"/>
      <c r="X121" s="78"/>
      <c r="Y121" s="76"/>
      <c r="Z121" s="78"/>
      <c r="AA121" s="76"/>
      <c r="AB121" s="78"/>
      <c r="AC121" s="76"/>
      <c r="AD121" s="78"/>
      <c r="AE121" s="76"/>
      <c r="AF121" s="78"/>
      <c r="AG121" s="76"/>
      <c r="AH121" s="78"/>
      <c r="AI121" s="76"/>
      <c r="AJ121" s="78"/>
      <c r="AK121" s="76"/>
      <c r="AL121" s="78"/>
      <c r="AM121" s="76"/>
      <c r="AN121" s="78"/>
      <c r="AO121" s="76"/>
      <c r="AP121" s="78">
        <f t="shared" si="22"/>
        <v>0</v>
      </c>
      <c r="AQ121" s="76"/>
      <c r="AR121" s="78"/>
      <c r="AS121" s="76"/>
      <c r="AT121" s="78"/>
      <c r="AU121" s="76"/>
      <c r="AV121" s="78"/>
      <c r="AW121" s="76"/>
      <c r="AX121" s="78"/>
      <c r="AY121" s="76"/>
      <c r="AZ121" s="78"/>
      <c r="BA121" s="76"/>
      <c r="BB121" s="78"/>
      <c r="BC121" s="76"/>
      <c r="BD121" s="78"/>
      <c r="BE121" s="76"/>
      <c r="BF121" s="78"/>
      <c r="BG121" s="76"/>
      <c r="BH121" s="78"/>
      <c r="BI121" s="76"/>
      <c r="BJ121" s="78"/>
    </row>
    <row r="122" spans="1:62"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23"/>
        <v>0</v>
      </c>
      <c r="H122" s="69">
        <f>+VLOOKUP(C122,'PRECIOS IDU 2025'!$A$1:$E$3189,4,FALSE)</f>
        <v>62386</v>
      </c>
      <c r="I122" s="69">
        <f t="shared" si="24"/>
        <v>81102</v>
      </c>
      <c r="J122" s="69">
        <f t="shared" si="25"/>
        <v>0</v>
      </c>
      <c r="K122" s="9"/>
      <c r="L122" s="3"/>
      <c r="M122" s="76"/>
      <c r="N122" s="78">
        <f t="shared" si="21"/>
        <v>0</v>
      </c>
      <c r="O122" s="76"/>
      <c r="P122" s="78"/>
      <c r="Q122" s="76"/>
      <c r="R122" s="78"/>
      <c r="S122" s="76"/>
      <c r="T122" s="78"/>
      <c r="U122" s="76"/>
      <c r="V122" s="78"/>
      <c r="W122" s="76"/>
      <c r="X122" s="78"/>
      <c r="Y122" s="76"/>
      <c r="Z122" s="78"/>
      <c r="AA122" s="76"/>
      <c r="AB122" s="78"/>
      <c r="AC122" s="76"/>
      <c r="AD122" s="78"/>
      <c r="AE122" s="76"/>
      <c r="AF122" s="78"/>
      <c r="AG122" s="76"/>
      <c r="AH122" s="78"/>
      <c r="AI122" s="76"/>
      <c r="AJ122" s="78"/>
      <c r="AK122" s="76"/>
      <c r="AL122" s="78"/>
      <c r="AM122" s="76"/>
      <c r="AN122" s="78"/>
      <c r="AO122" s="76"/>
      <c r="AP122" s="78">
        <f t="shared" si="22"/>
        <v>0</v>
      </c>
      <c r="AQ122" s="76"/>
      <c r="AR122" s="78"/>
      <c r="AS122" s="76"/>
      <c r="AT122" s="78"/>
      <c r="AU122" s="76"/>
      <c r="AV122" s="78"/>
      <c r="AW122" s="76"/>
      <c r="AX122" s="78"/>
      <c r="AY122" s="76"/>
      <c r="AZ122" s="78"/>
      <c r="BA122" s="76"/>
      <c r="BB122" s="78"/>
      <c r="BC122" s="76"/>
      <c r="BD122" s="78"/>
      <c r="BE122" s="76"/>
      <c r="BF122" s="78"/>
      <c r="BG122" s="76"/>
      <c r="BH122" s="78"/>
      <c r="BI122" s="76"/>
      <c r="BJ122" s="78"/>
    </row>
    <row r="123" spans="1:62"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23"/>
        <v>770</v>
      </c>
      <c r="H123" s="69">
        <f>+VLOOKUP(C123,'PRECIOS IDU 2025'!$A$1:$E$3189,4,FALSE)</f>
        <v>82015</v>
      </c>
      <c r="I123" s="69">
        <f t="shared" si="24"/>
        <v>106620</v>
      </c>
      <c r="J123" s="69">
        <f t="shared" si="25"/>
        <v>82097400</v>
      </c>
      <c r="K123" s="9"/>
      <c r="L123" s="3"/>
      <c r="M123" s="76">
        <f>+M11</f>
        <v>737</v>
      </c>
      <c r="N123" s="78">
        <f t="shared" si="21"/>
        <v>78578940</v>
      </c>
      <c r="O123" s="76"/>
      <c r="P123" s="78"/>
      <c r="Q123" s="76"/>
      <c r="R123" s="78"/>
      <c r="S123" s="76"/>
      <c r="T123" s="78"/>
      <c r="U123" s="76"/>
      <c r="V123" s="78"/>
      <c r="W123" s="76"/>
      <c r="X123" s="78"/>
      <c r="Y123" s="76"/>
      <c r="Z123" s="78"/>
      <c r="AA123" s="76"/>
      <c r="AB123" s="78"/>
      <c r="AC123" s="76"/>
      <c r="AD123" s="78"/>
      <c r="AE123" s="76"/>
      <c r="AF123" s="78"/>
      <c r="AG123" s="76"/>
      <c r="AH123" s="78"/>
      <c r="AI123" s="76"/>
      <c r="AJ123" s="78"/>
      <c r="AK123" s="76"/>
      <c r="AL123" s="78"/>
      <c r="AM123" s="76"/>
      <c r="AN123" s="78"/>
      <c r="AO123" s="76">
        <v>33</v>
      </c>
      <c r="AP123" s="78">
        <f t="shared" si="22"/>
        <v>3518460</v>
      </c>
      <c r="AQ123" s="76"/>
      <c r="AR123" s="78"/>
      <c r="AS123" s="76"/>
      <c r="AT123" s="78"/>
      <c r="AU123" s="76"/>
      <c r="AV123" s="78"/>
      <c r="AW123" s="76"/>
      <c r="AX123" s="78"/>
      <c r="AY123" s="76"/>
      <c r="AZ123" s="78"/>
      <c r="BA123" s="76"/>
      <c r="BB123" s="78"/>
      <c r="BC123" s="76"/>
      <c r="BD123" s="78"/>
      <c r="BE123" s="76"/>
      <c r="BF123" s="78"/>
      <c r="BG123" s="76"/>
      <c r="BH123" s="78"/>
      <c r="BI123" s="76"/>
      <c r="BJ123" s="78"/>
    </row>
    <row r="124" spans="1:62"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23"/>
        <v>0</v>
      </c>
      <c r="H124" s="69">
        <f>+VLOOKUP(C124,'PRECIOS IDU 2025'!$A$1:$E$3189,4,FALSE)</f>
        <v>69041</v>
      </c>
      <c r="I124" s="69">
        <f t="shared" si="24"/>
        <v>89753</v>
      </c>
      <c r="J124" s="69">
        <f t="shared" si="25"/>
        <v>0</v>
      </c>
      <c r="K124" s="9"/>
      <c r="L124" s="3"/>
      <c r="M124" s="76"/>
      <c r="N124" s="78">
        <f t="shared" si="21"/>
        <v>0</v>
      </c>
      <c r="O124" s="76"/>
      <c r="P124" s="78"/>
      <c r="Q124" s="76"/>
      <c r="R124" s="78"/>
      <c r="S124" s="76"/>
      <c r="T124" s="78"/>
      <c r="U124" s="76"/>
      <c r="V124" s="78"/>
      <c r="W124" s="76"/>
      <c r="X124" s="78"/>
      <c r="Y124" s="76"/>
      <c r="Z124" s="78"/>
      <c r="AA124" s="76"/>
      <c r="AB124" s="78"/>
      <c r="AC124" s="76"/>
      <c r="AD124" s="78"/>
      <c r="AE124" s="76"/>
      <c r="AF124" s="78"/>
      <c r="AG124" s="76"/>
      <c r="AH124" s="78"/>
      <c r="AI124" s="76"/>
      <c r="AJ124" s="78"/>
      <c r="AK124" s="76"/>
      <c r="AL124" s="78"/>
      <c r="AM124" s="76"/>
      <c r="AN124" s="78"/>
      <c r="AO124" s="76"/>
      <c r="AP124" s="78">
        <f t="shared" si="22"/>
        <v>0</v>
      </c>
      <c r="AQ124" s="76"/>
      <c r="AR124" s="78"/>
      <c r="AS124" s="76"/>
      <c r="AT124" s="78"/>
      <c r="AU124" s="76"/>
      <c r="AV124" s="78"/>
      <c r="AW124" s="76"/>
      <c r="AX124" s="78"/>
      <c r="AY124" s="76"/>
      <c r="AZ124" s="78"/>
      <c r="BA124" s="76"/>
      <c r="BB124" s="78"/>
      <c r="BC124" s="76"/>
      <c r="BD124" s="78"/>
      <c r="BE124" s="76"/>
      <c r="BF124" s="78"/>
      <c r="BG124" s="76"/>
      <c r="BH124" s="78"/>
      <c r="BI124" s="76"/>
      <c r="BJ124" s="78"/>
    </row>
    <row r="125" spans="1:62"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23"/>
        <v>0</v>
      </c>
      <c r="H125" s="69">
        <f>+VLOOKUP(C125,'PRECIOS IDU 2025'!$A$1:$E$3189,4,FALSE)</f>
        <v>2560</v>
      </c>
      <c r="I125" s="69">
        <f t="shared" si="24"/>
        <v>3328</v>
      </c>
      <c r="J125" s="69">
        <f t="shared" si="25"/>
        <v>0</v>
      </c>
      <c r="K125" s="9"/>
      <c r="L125" s="3"/>
      <c r="M125" s="76"/>
      <c r="N125" s="78">
        <f t="shared" si="21"/>
        <v>0</v>
      </c>
      <c r="O125" s="76"/>
      <c r="P125" s="78"/>
      <c r="Q125" s="76"/>
      <c r="R125" s="78"/>
      <c r="S125" s="76"/>
      <c r="T125" s="78"/>
      <c r="U125" s="76"/>
      <c r="V125" s="78"/>
      <c r="W125" s="76"/>
      <c r="X125" s="78"/>
      <c r="Y125" s="76"/>
      <c r="Z125" s="78"/>
      <c r="AA125" s="76"/>
      <c r="AB125" s="78"/>
      <c r="AC125" s="76"/>
      <c r="AD125" s="78"/>
      <c r="AE125" s="76"/>
      <c r="AF125" s="78"/>
      <c r="AG125" s="76"/>
      <c r="AH125" s="78"/>
      <c r="AI125" s="76"/>
      <c r="AJ125" s="78"/>
      <c r="AK125" s="76"/>
      <c r="AL125" s="78"/>
      <c r="AM125" s="76"/>
      <c r="AN125" s="78"/>
      <c r="AO125" s="76"/>
      <c r="AP125" s="78">
        <f t="shared" si="22"/>
        <v>0</v>
      </c>
      <c r="AQ125" s="76"/>
      <c r="AR125" s="78"/>
      <c r="AS125" s="76"/>
      <c r="AT125" s="78"/>
      <c r="AU125" s="76"/>
      <c r="AV125" s="78"/>
      <c r="AW125" s="76"/>
      <c r="AX125" s="78"/>
      <c r="AY125" s="76"/>
      <c r="AZ125" s="78"/>
      <c r="BA125" s="76"/>
      <c r="BB125" s="78"/>
      <c r="BC125" s="76"/>
      <c r="BD125" s="78"/>
      <c r="BE125" s="76"/>
      <c r="BF125" s="78"/>
      <c r="BG125" s="76"/>
      <c r="BH125" s="78"/>
      <c r="BI125" s="76"/>
      <c r="BJ125" s="78"/>
    </row>
    <row r="126" spans="1:62"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23"/>
        <v>0</v>
      </c>
      <c r="H126" s="69">
        <f>+VLOOKUP(C126,'PRECIOS IDU 2025'!$A$1:$E$3189,4,FALSE)</f>
        <v>738210</v>
      </c>
      <c r="I126" s="69">
        <f t="shared" si="24"/>
        <v>959673</v>
      </c>
      <c r="J126" s="69">
        <f t="shared" si="25"/>
        <v>0</v>
      </c>
      <c r="K126" s="9"/>
      <c r="L126" s="3"/>
      <c r="M126" s="76"/>
      <c r="N126" s="78">
        <f t="shared" si="21"/>
        <v>0</v>
      </c>
      <c r="O126" s="76"/>
      <c r="P126" s="78"/>
      <c r="Q126" s="76"/>
      <c r="R126" s="78"/>
      <c r="S126" s="76"/>
      <c r="T126" s="78"/>
      <c r="U126" s="76"/>
      <c r="V126" s="78"/>
      <c r="W126" s="76"/>
      <c r="X126" s="78"/>
      <c r="Y126" s="76"/>
      <c r="Z126" s="78"/>
      <c r="AA126" s="76"/>
      <c r="AB126" s="78"/>
      <c r="AC126" s="76"/>
      <c r="AD126" s="78"/>
      <c r="AE126" s="76"/>
      <c r="AF126" s="78"/>
      <c r="AG126" s="76"/>
      <c r="AH126" s="78"/>
      <c r="AI126" s="76"/>
      <c r="AJ126" s="78"/>
      <c r="AK126" s="76"/>
      <c r="AL126" s="78"/>
      <c r="AM126" s="76"/>
      <c r="AN126" s="78"/>
      <c r="AO126" s="76"/>
      <c r="AP126" s="78">
        <f t="shared" si="22"/>
        <v>0</v>
      </c>
      <c r="AQ126" s="76"/>
      <c r="AR126" s="78"/>
      <c r="AS126" s="76"/>
      <c r="AT126" s="78"/>
      <c r="AU126" s="76"/>
      <c r="AV126" s="78"/>
      <c r="AW126" s="76"/>
      <c r="AX126" s="78"/>
      <c r="AY126" s="76"/>
      <c r="AZ126" s="78"/>
      <c r="BA126" s="76"/>
      <c r="BB126" s="78"/>
      <c r="BC126" s="76"/>
      <c r="BD126" s="78"/>
      <c r="BE126" s="76"/>
      <c r="BF126" s="78"/>
      <c r="BG126" s="76"/>
      <c r="BH126" s="78"/>
      <c r="BI126" s="76"/>
      <c r="BJ126" s="78"/>
    </row>
    <row r="127" spans="1:62"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23"/>
        <v>0</v>
      </c>
      <c r="H127" s="69">
        <f>+VLOOKUP(C127,'PRECIOS IDU 2025'!$A$1:$E$3189,4,FALSE)</f>
        <v>63798</v>
      </c>
      <c r="I127" s="69">
        <f t="shared" si="24"/>
        <v>82937</v>
      </c>
      <c r="J127" s="69">
        <f t="shared" si="25"/>
        <v>0</v>
      </c>
      <c r="K127" s="9"/>
      <c r="L127" s="3"/>
      <c r="M127" s="76"/>
      <c r="N127" s="78">
        <f t="shared" si="21"/>
        <v>0</v>
      </c>
      <c r="O127" s="76"/>
      <c r="P127" s="78"/>
      <c r="Q127" s="76"/>
      <c r="R127" s="78"/>
      <c r="S127" s="76"/>
      <c r="T127" s="78"/>
      <c r="U127" s="76"/>
      <c r="V127" s="78"/>
      <c r="W127" s="76"/>
      <c r="X127" s="78"/>
      <c r="Y127" s="76"/>
      <c r="Z127" s="78"/>
      <c r="AA127" s="76"/>
      <c r="AB127" s="78"/>
      <c r="AC127" s="76"/>
      <c r="AD127" s="78"/>
      <c r="AE127" s="76"/>
      <c r="AF127" s="78"/>
      <c r="AG127" s="76"/>
      <c r="AH127" s="78"/>
      <c r="AI127" s="76"/>
      <c r="AJ127" s="78"/>
      <c r="AK127" s="76"/>
      <c r="AL127" s="78"/>
      <c r="AM127" s="76"/>
      <c r="AN127" s="78"/>
      <c r="AO127" s="76"/>
      <c r="AP127" s="78">
        <f t="shared" si="22"/>
        <v>0</v>
      </c>
      <c r="AQ127" s="76"/>
      <c r="AR127" s="78"/>
      <c r="AS127" s="76"/>
      <c r="AT127" s="78"/>
      <c r="AU127" s="76"/>
      <c r="AV127" s="78"/>
      <c r="AW127" s="76"/>
      <c r="AX127" s="78"/>
      <c r="AY127" s="76"/>
      <c r="AZ127" s="78"/>
      <c r="BA127" s="76"/>
      <c r="BB127" s="78"/>
      <c r="BC127" s="76"/>
      <c r="BD127" s="78"/>
      <c r="BE127" s="76"/>
      <c r="BF127" s="78"/>
      <c r="BG127" s="76"/>
      <c r="BH127" s="78"/>
      <c r="BI127" s="76"/>
      <c r="BJ127" s="78"/>
    </row>
    <row r="128" spans="1:62"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23"/>
        <v>0</v>
      </c>
      <c r="H128" s="69">
        <f>+VLOOKUP(C128,'PRECIOS IDU 2025'!$A$1:$E$3189,4,FALSE)</f>
        <v>112423</v>
      </c>
      <c r="I128" s="69">
        <f t="shared" si="24"/>
        <v>146150</v>
      </c>
      <c r="J128" s="69">
        <f t="shared" si="25"/>
        <v>0</v>
      </c>
      <c r="K128" s="9"/>
      <c r="L128" s="3"/>
      <c r="M128" s="76"/>
      <c r="N128" s="78">
        <f t="shared" si="21"/>
        <v>0</v>
      </c>
      <c r="O128" s="76"/>
      <c r="P128" s="78"/>
      <c r="Q128" s="76"/>
      <c r="R128" s="78"/>
      <c r="S128" s="76"/>
      <c r="T128" s="78"/>
      <c r="U128" s="76"/>
      <c r="V128" s="78"/>
      <c r="W128" s="76"/>
      <c r="X128" s="78"/>
      <c r="Y128" s="76"/>
      <c r="Z128" s="78"/>
      <c r="AA128" s="76"/>
      <c r="AB128" s="78"/>
      <c r="AC128" s="76"/>
      <c r="AD128" s="78"/>
      <c r="AE128" s="76"/>
      <c r="AF128" s="78"/>
      <c r="AG128" s="76"/>
      <c r="AH128" s="78"/>
      <c r="AI128" s="76"/>
      <c r="AJ128" s="78"/>
      <c r="AK128" s="76"/>
      <c r="AL128" s="78"/>
      <c r="AM128" s="76"/>
      <c r="AN128" s="78"/>
      <c r="AO128" s="76"/>
      <c r="AP128" s="78">
        <f t="shared" si="22"/>
        <v>0</v>
      </c>
      <c r="AQ128" s="76"/>
      <c r="AR128" s="78"/>
      <c r="AS128" s="76"/>
      <c r="AT128" s="78"/>
      <c r="AU128" s="76"/>
      <c r="AV128" s="78"/>
      <c r="AW128" s="76"/>
      <c r="AX128" s="78"/>
      <c r="AY128" s="76"/>
      <c r="AZ128" s="78"/>
      <c r="BA128" s="76"/>
      <c r="BB128" s="78"/>
      <c r="BC128" s="76"/>
      <c r="BD128" s="78"/>
      <c r="BE128" s="76"/>
      <c r="BF128" s="78"/>
      <c r="BG128" s="76"/>
      <c r="BH128" s="78"/>
      <c r="BI128" s="76"/>
      <c r="BJ128" s="78"/>
    </row>
    <row r="129" spans="1:62" ht="30" customHeight="1" x14ac:dyDescent="0.3">
      <c r="A129" s="3"/>
      <c r="B129" s="8"/>
      <c r="C129" s="66" t="s">
        <v>6081</v>
      </c>
      <c r="D129" s="67"/>
      <c r="E129" s="67"/>
      <c r="F129" s="67"/>
      <c r="G129" s="67"/>
      <c r="H129" s="67"/>
      <c r="I129" s="67"/>
      <c r="J129" s="68"/>
      <c r="K129" s="9"/>
      <c r="L129" s="3"/>
      <c r="M129" s="76"/>
      <c r="N129" s="78">
        <f t="shared" ref="N129:N179" si="26">+ROUND(M129*$I129,0)</f>
        <v>0</v>
      </c>
      <c r="O129" s="76"/>
      <c r="P129" s="78"/>
      <c r="Q129" s="76"/>
      <c r="R129" s="78"/>
      <c r="S129" s="76"/>
      <c r="T129" s="78"/>
      <c r="U129" s="76"/>
      <c r="V129" s="78"/>
      <c r="W129" s="76"/>
      <c r="X129" s="78"/>
      <c r="Y129" s="76"/>
      <c r="Z129" s="78"/>
      <c r="AA129" s="76"/>
      <c r="AB129" s="78"/>
      <c r="AC129" s="76"/>
      <c r="AD129" s="78"/>
      <c r="AE129" s="76"/>
      <c r="AF129" s="78"/>
      <c r="AG129" s="76"/>
      <c r="AH129" s="78"/>
      <c r="AI129" s="76"/>
      <c r="AJ129" s="78"/>
      <c r="AK129" s="76"/>
      <c r="AL129" s="78"/>
      <c r="AM129" s="76"/>
      <c r="AN129" s="78"/>
      <c r="AO129" s="76"/>
      <c r="AP129" s="78">
        <f t="shared" si="22"/>
        <v>0</v>
      </c>
      <c r="AQ129" s="76"/>
      <c r="AR129" s="78"/>
      <c r="AS129" s="76"/>
      <c r="AT129" s="78"/>
      <c r="AU129" s="76"/>
      <c r="AV129" s="78"/>
      <c r="AW129" s="76"/>
      <c r="AX129" s="78"/>
      <c r="AY129" s="76"/>
      <c r="AZ129" s="78"/>
      <c r="BA129" s="76"/>
      <c r="BB129" s="78"/>
      <c r="BC129" s="76"/>
      <c r="BD129" s="78"/>
      <c r="BE129" s="76"/>
      <c r="BF129" s="78"/>
      <c r="BG129" s="76"/>
      <c r="BH129" s="78"/>
      <c r="BI129" s="76"/>
      <c r="BJ129" s="78"/>
    </row>
    <row r="130" spans="1:62"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27">+ROUND(M130+O130+Q130+S130+U130+W130+Y130+AA130+AC130+AE130+AG130+AI130+AK130+AM130+AO130+AQ130+AS130+AU130+AW130+AY130+BA130+BC130+BE130+BG130+BI130,2)</f>
        <v>0</v>
      </c>
      <c r="H130" s="69">
        <f>+VLOOKUP(C130,'PRECIOS IDU 2025'!$A$1:$E$3189,4,FALSE)</f>
        <v>46379</v>
      </c>
      <c r="I130" s="69">
        <f t="shared" ref="I130:I163" si="28">+ROUND(H130*(1+$J$192),0)</f>
        <v>60293</v>
      </c>
      <c r="J130" s="69">
        <f t="shared" ref="J130:J163" si="29">+ROUND(I130*G130,0)</f>
        <v>0</v>
      </c>
      <c r="K130" s="9"/>
      <c r="L130" s="3"/>
      <c r="M130" s="76"/>
      <c r="N130" s="78">
        <f t="shared" si="26"/>
        <v>0</v>
      </c>
      <c r="O130" s="76"/>
      <c r="P130" s="78"/>
      <c r="Q130" s="76"/>
      <c r="R130" s="78"/>
      <c r="S130" s="76"/>
      <c r="T130" s="78"/>
      <c r="U130" s="76"/>
      <c r="V130" s="78"/>
      <c r="W130" s="76"/>
      <c r="X130" s="78"/>
      <c r="Y130" s="76"/>
      <c r="Z130" s="78"/>
      <c r="AA130" s="76"/>
      <c r="AB130" s="78"/>
      <c r="AC130" s="76"/>
      <c r="AD130" s="78"/>
      <c r="AE130" s="76"/>
      <c r="AF130" s="78"/>
      <c r="AG130" s="76"/>
      <c r="AH130" s="78"/>
      <c r="AI130" s="76"/>
      <c r="AJ130" s="78"/>
      <c r="AK130" s="76"/>
      <c r="AL130" s="78"/>
      <c r="AM130" s="76"/>
      <c r="AN130" s="78"/>
      <c r="AO130" s="76"/>
      <c r="AP130" s="78">
        <f t="shared" si="22"/>
        <v>0</v>
      </c>
      <c r="AQ130" s="76"/>
      <c r="AR130" s="78"/>
      <c r="AS130" s="76"/>
      <c r="AT130" s="78"/>
      <c r="AU130" s="76"/>
      <c r="AV130" s="78"/>
      <c r="AW130" s="76"/>
      <c r="AX130" s="78"/>
      <c r="AY130" s="76"/>
      <c r="AZ130" s="78"/>
      <c r="BA130" s="76"/>
      <c r="BB130" s="78"/>
      <c r="BC130" s="76"/>
      <c r="BD130" s="78"/>
      <c r="BE130" s="76"/>
      <c r="BF130" s="78"/>
      <c r="BG130" s="76"/>
      <c r="BH130" s="78"/>
      <c r="BI130" s="76"/>
      <c r="BJ130" s="78"/>
    </row>
    <row r="131" spans="1:62"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27"/>
        <v>0</v>
      </c>
      <c r="H131" s="69">
        <f>+VLOOKUP(C131,'PRECIOS IDU 2025'!$A$1:$E$3189,4,FALSE)</f>
        <v>268852</v>
      </c>
      <c r="I131" s="69">
        <f t="shared" si="28"/>
        <v>349508</v>
      </c>
      <c r="J131" s="69">
        <f t="shared" si="29"/>
        <v>0</v>
      </c>
      <c r="K131" s="9"/>
      <c r="L131" s="3"/>
      <c r="M131" s="76"/>
      <c r="N131" s="78">
        <f t="shared" si="26"/>
        <v>0</v>
      </c>
      <c r="O131" s="76"/>
      <c r="P131" s="78"/>
      <c r="Q131" s="76"/>
      <c r="R131" s="78"/>
      <c r="S131" s="76"/>
      <c r="T131" s="78"/>
      <c r="U131" s="76"/>
      <c r="V131" s="78"/>
      <c r="W131" s="76"/>
      <c r="X131" s="78"/>
      <c r="Y131" s="76"/>
      <c r="Z131" s="78"/>
      <c r="AA131" s="76"/>
      <c r="AB131" s="78"/>
      <c r="AC131" s="76"/>
      <c r="AD131" s="78"/>
      <c r="AE131" s="76"/>
      <c r="AF131" s="78"/>
      <c r="AG131" s="76"/>
      <c r="AH131" s="78"/>
      <c r="AI131" s="76"/>
      <c r="AJ131" s="78"/>
      <c r="AK131" s="76"/>
      <c r="AL131" s="78"/>
      <c r="AM131" s="76"/>
      <c r="AN131" s="78"/>
      <c r="AO131" s="76"/>
      <c r="AP131" s="78">
        <f t="shared" si="22"/>
        <v>0</v>
      </c>
      <c r="AQ131" s="76"/>
      <c r="AR131" s="78"/>
      <c r="AS131" s="76"/>
      <c r="AT131" s="78"/>
      <c r="AU131" s="76"/>
      <c r="AV131" s="78"/>
      <c r="AW131" s="76"/>
      <c r="AX131" s="78"/>
      <c r="AY131" s="76"/>
      <c r="AZ131" s="78"/>
      <c r="BA131" s="76"/>
      <c r="BB131" s="78"/>
      <c r="BC131" s="76"/>
      <c r="BD131" s="78"/>
      <c r="BE131" s="76"/>
      <c r="BF131" s="78"/>
      <c r="BG131" s="76"/>
      <c r="BH131" s="78"/>
      <c r="BI131" s="76"/>
      <c r="BJ131" s="78"/>
    </row>
    <row r="132" spans="1:62"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27"/>
        <v>0</v>
      </c>
      <c r="H132" s="69">
        <f>+VLOOKUP(C132,'PRECIOS IDU 2025'!$A$1:$E$3189,4,FALSE)</f>
        <v>10836</v>
      </c>
      <c r="I132" s="69">
        <f t="shared" si="28"/>
        <v>14087</v>
      </c>
      <c r="J132" s="69">
        <f t="shared" si="29"/>
        <v>0</v>
      </c>
      <c r="K132" s="9"/>
      <c r="L132" s="3"/>
      <c r="M132" s="76"/>
      <c r="N132" s="78">
        <f t="shared" si="26"/>
        <v>0</v>
      </c>
      <c r="O132" s="76"/>
      <c r="P132" s="78"/>
      <c r="Q132" s="76"/>
      <c r="R132" s="78"/>
      <c r="S132" s="76"/>
      <c r="T132" s="78"/>
      <c r="U132" s="76"/>
      <c r="V132" s="78"/>
      <c r="W132" s="76"/>
      <c r="X132" s="78"/>
      <c r="Y132" s="76"/>
      <c r="Z132" s="78"/>
      <c r="AA132" s="76"/>
      <c r="AB132" s="78"/>
      <c r="AC132" s="76"/>
      <c r="AD132" s="78"/>
      <c r="AE132" s="76"/>
      <c r="AF132" s="78"/>
      <c r="AG132" s="76"/>
      <c r="AH132" s="78"/>
      <c r="AI132" s="76"/>
      <c r="AJ132" s="78"/>
      <c r="AK132" s="76"/>
      <c r="AL132" s="78"/>
      <c r="AM132" s="76"/>
      <c r="AN132" s="78"/>
      <c r="AO132" s="76"/>
      <c r="AP132" s="78">
        <f t="shared" si="22"/>
        <v>0</v>
      </c>
      <c r="AQ132" s="76"/>
      <c r="AR132" s="78"/>
      <c r="AS132" s="76"/>
      <c r="AT132" s="78"/>
      <c r="AU132" s="76"/>
      <c r="AV132" s="78"/>
      <c r="AW132" s="76"/>
      <c r="AX132" s="78"/>
      <c r="AY132" s="76"/>
      <c r="AZ132" s="78"/>
      <c r="BA132" s="76"/>
      <c r="BB132" s="78"/>
      <c r="BC132" s="76"/>
      <c r="BD132" s="78"/>
      <c r="BE132" s="76"/>
      <c r="BF132" s="78"/>
      <c r="BG132" s="76"/>
      <c r="BH132" s="78"/>
      <c r="BI132" s="76"/>
      <c r="BJ132" s="78"/>
    </row>
    <row r="133" spans="1:62"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27"/>
        <v>0</v>
      </c>
      <c r="H133" s="69">
        <f>+VLOOKUP(C133,'PRECIOS IDU 2025'!$A$1:$E$3189,4,FALSE)</f>
        <v>189054</v>
      </c>
      <c r="I133" s="69">
        <f t="shared" si="28"/>
        <v>245770</v>
      </c>
      <c r="J133" s="69">
        <f t="shared" si="29"/>
        <v>0</v>
      </c>
      <c r="K133" s="9"/>
      <c r="L133" s="3"/>
      <c r="M133" s="76"/>
      <c r="N133" s="78">
        <f t="shared" si="26"/>
        <v>0</v>
      </c>
      <c r="O133" s="76"/>
      <c r="P133" s="78"/>
      <c r="Q133" s="76"/>
      <c r="R133" s="78"/>
      <c r="S133" s="76"/>
      <c r="T133" s="78"/>
      <c r="U133" s="76"/>
      <c r="V133" s="78"/>
      <c r="W133" s="76"/>
      <c r="X133" s="78"/>
      <c r="Y133" s="76"/>
      <c r="Z133" s="78"/>
      <c r="AA133" s="76"/>
      <c r="AB133" s="78"/>
      <c r="AC133" s="76"/>
      <c r="AD133" s="78"/>
      <c r="AE133" s="76"/>
      <c r="AF133" s="78"/>
      <c r="AG133" s="76"/>
      <c r="AH133" s="78"/>
      <c r="AI133" s="76"/>
      <c r="AJ133" s="78"/>
      <c r="AK133" s="76"/>
      <c r="AL133" s="78"/>
      <c r="AM133" s="76"/>
      <c r="AN133" s="78"/>
      <c r="AO133" s="76"/>
      <c r="AP133" s="78">
        <f t="shared" si="22"/>
        <v>0</v>
      </c>
      <c r="AQ133" s="76"/>
      <c r="AR133" s="78"/>
      <c r="AS133" s="76"/>
      <c r="AT133" s="78"/>
      <c r="AU133" s="76"/>
      <c r="AV133" s="78"/>
      <c r="AW133" s="76"/>
      <c r="AX133" s="78"/>
      <c r="AY133" s="76"/>
      <c r="AZ133" s="78"/>
      <c r="BA133" s="76"/>
      <c r="BB133" s="78"/>
      <c r="BC133" s="76"/>
      <c r="BD133" s="78"/>
      <c r="BE133" s="76"/>
      <c r="BF133" s="78"/>
      <c r="BG133" s="76"/>
      <c r="BH133" s="78"/>
      <c r="BI133" s="76"/>
      <c r="BJ133" s="78"/>
    </row>
    <row r="134" spans="1:62"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27"/>
        <v>0</v>
      </c>
      <c r="H134" s="69">
        <f>+VLOOKUP(C134,'PRECIOS IDU 2025'!$A$1:$E$3189,4,FALSE)</f>
        <v>45600</v>
      </c>
      <c r="I134" s="69">
        <f t="shared" si="28"/>
        <v>59280</v>
      </c>
      <c r="J134" s="69">
        <f t="shared" si="29"/>
        <v>0</v>
      </c>
      <c r="K134" s="9"/>
      <c r="L134" s="3"/>
      <c r="M134" s="76"/>
      <c r="N134" s="78">
        <f t="shared" si="26"/>
        <v>0</v>
      </c>
      <c r="O134" s="76"/>
      <c r="P134" s="78"/>
      <c r="Q134" s="76"/>
      <c r="R134" s="78"/>
      <c r="S134" s="76"/>
      <c r="T134" s="78"/>
      <c r="U134" s="76"/>
      <c r="V134" s="78"/>
      <c r="W134" s="76"/>
      <c r="X134" s="78"/>
      <c r="Y134" s="76"/>
      <c r="Z134" s="78"/>
      <c r="AA134" s="76"/>
      <c r="AB134" s="78"/>
      <c r="AC134" s="76"/>
      <c r="AD134" s="78"/>
      <c r="AE134" s="76"/>
      <c r="AF134" s="78"/>
      <c r="AG134" s="76"/>
      <c r="AH134" s="78"/>
      <c r="AI134" s="76"/>
      <c r="AJ134" s="78"/>
      <c r="AK134" s="76"/>
      <c r="AL134" s="78"/>
      <c r="AM134" s="76"/>
      <c r="AN134" s="78"/>
      <c r="AO134" s="76"/>
      <c r="AP134" s="78">
        <f t="shared" si="22"/>
        <v>0</v>
      </c>
      <c r="AQ134" s="76"/>
      <c r="AR134" s="78"/>
      <c r="AS134" s="76"/>
      <c r="AT134" s="78"/>
      <c r="AU134" s="76"/>
      <c r="AV134" s="78"/>
      <c r="AW134" s="76"/>
      <c r="AX134" s="78"/>
      <c r="AY134" s="76"/>
      <c r="AZ134" s="78"/>
      <c r="BA134" s="76"/>
      <c r="BB134" s="78"/>
      <c r="BC134" s="76"/>
      <c r="BD134" s="78"/>
      <c r="BE134" s="76"/>
      <c r="BF134" s="78"/>
      <c r="BG134" s="76"/>
      <c r="BH134" s="78"/>
      <c r="BI134" s="76"/>
      <c r="BJ134" s="78"/>
    </row>
    <row r="135" spans="1:62"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27"/>
        <v>0</v>
      </c>
      <c r="H135" s="69">
        <f>+VLOOKUP(C135,'PRECIOS IDU 2025'!$A$1:$E$3189,4,FALSE)</f>
        <v>58200</v>
      </c>
      <c r="I135" s="69">
        <f t="shared" si="28"/>
        <v>75660</v>
      </c>
      <c r="J135" s="69">
        <f t="shared" si="29"/>
        <v>0</v>
      </c>
      <c r="K135" s="9"/>
      <c r="L135" s="3"/>
      <c r="M135" s="76"/>
      <c r="N135" s="78">
        <f t="shared" si="26"/>
        <v>0</v>
      </c>
      <c r="O135" s="76"/>
      <c r="P135" s="78"/>
      <c r="Q135" s="76"/>
      <c r="R135" s="78"/>
      <c r="S135" s="76"/>
      <c r="T135" s="78"/>
      <c r="U135" s="76"/>
      <c r="V135" s="78"/>
      <c r="W135" s="76"/>
      <c r="X135" s="78"/>
      <c r="Y135" s="76"/>
      <c r="Z135" s="78"/>
      <c r="AA135" s="76"/>
      <c r="AB135" s="78"/>
      <c r="AC135" s="76"/>
      <c r="AD135" s="78"/>
      <c r="AE135" s="76"/>
      <c r="AF135" s="78"/>
      <c r="AG135" s="76"/>
      <c r="AH135" s="78"/>
      <c r="AI135" s="76"/>
      <c r="AJ135" s="78"/>
      <c r="AK135" s="76"/>
      <c r="AL135" s="78"/>
      <c r="AM135" s="76"/>
      <c r="AN135" s="78"/>
      <c r="AO135" s="76"/>
      <c r="AP135" s="78">
        <f t="shared" si="22"/>
        <v>0</v>
      </c>
      <c r="AQ135" s="76"/>
      <c r="AR135" s="78"/>
      <c r="AS135" s="76"/>
      <c r="AT135" s="78"/>
      <c r="AU135" s="76"/>
      <c r="AV135" s="78"/>
      <c r="AW135" s="76"/>
      <c r="AX135" s="78"/>
      <c r="AY135" s="76"/>
      <c r="AZ135" s="78"/>
      <c r="BA135" s="76"/>
      <c r="BB135" s="78"/>
      <c r="BC135" s="76"/>
      <c r="BD135" s="78"/>
      <c r="BE135" s="76"/>
      <c r="BF135" s="78"/>
      <c r="BG135" s="76"/>
      <c r="BH135" s="78"/>
      <c r="BI135" s="76"/>
      <c r="BJ135" s="78"/>
    </row>
    <row r="136" spans="1:62"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27"/>
        <v>0</v>
      </c>
      <c r="H136" s="69">
        <f>+VLOOKUP(C136,'PRECIOS IDU 2025'!$A$1:$E$3189,4,FALSE)</f>
        <v>39211</v>
      </c>
      <c r="I136" s="69">
        <f t="shared" si="28"/>
        <v>50974</v>
      </c>
      <c r="J136" s="69">
        <f t="shared" si="29"/>
        <v>0</v>
      </c>
      <c r="K136" s="9"/>
      <c r="L136" s="3"/>
      <c r="M136" s="76"/>
      <c r="N136" s="78">
        <f t="shared" si="26"/>
        <v>0</v>
      </c>
      <c r="O136" s="76"/>
      <c r="P136" s="78"/>
      <c r="Q136" s="76"/>
      <c r="R136" s="78"/>
      <c r="S136" s="76"/>
      <c r="T136" s="78"/>
      <c r="U136" s="76"/>
      <c r="V136" s="78"/>
      <c r="W136" s="76"/>
      <c r="X136" s="78"/>
      <c r="Y136" s="76"/>
      <c r="Z136" s="78"/>
      <c r="AA136" s="76"/>
      <c r="AB136" s="78"/>
      <c r="AC136" s="76"/>
      <c r="AD136" s="78"/>
      <c r="AE136" s="76"/>
      <c r="AF136" s="78"/>
      <c r="AG136" s="76"/>
      <c r="AH136" s="78"/>
      <c r="AI136" s="76"/>
      <c r="AJ136" s="78"/>
      <c r="AK136" s="76"/>
      <c r="AL136" s="78"/>
      <c r="AM136" s="76"/>
      <c r="AN136" s="78"/>
      <c r="AO136" s="76"/>
      <c r="AP136" s="78">
        <f t="shared" si="22"/>
        <v>0</v>
      </c>
      <c r="AQ136" s="76"/>
      <c r="AR136" s="78"/>
      <c r="AS136" s="76"/>
      <c r="AT136" s="78"/>
      <c r="AU136" s="76"/>
      <c r="AV136" s="78"/>
      <c r="AW136" s="76"/>
      <c r="AX136" s="78"/>
      <c r="AY136" s="76"/>
      <c r="AZ136" s="78"/>
      <c r="BA136" s="76"/>
      <c r="BB136" s="78"/>
      <c r="BC136" s="76"/>
      <c r="BD136" s="78"/>
      <c r="BE136" s="76"/>
      <c r="BF136" s="78"/>
      <c r="BG136" s="76"/>
      <c r="BH136" s="78"/>
      <c r="BI136" s="76"/>
      <c r="BJ136" s="78"/>
    </row>
    <row r="137" spans="1:62"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27"/>
        <v>0</v>
      </c>
      <c r="H137" s="69">
        <f>+VLOOKUP(C137,'PRECIOS IDU 2025'!$A$1:$E$3189,4,FALSE)</f>
        <v>167159</v>
      </c>
      <c r="I137" s="69">
        <f t="shared" si="28"/>
        <v>217307</v>
      </c>
      <c r="J137" s="69">
        <f t="shared" si="29"/>
        <v>0</v>
      </c>
      <c r="K137" s="9"/>
      <c r="L137" s="3"/>
      <c r="M137" s="76"/>
      <c r="N137" s="78">
        <f t="shared" si="26"/>
        <v>0</v>
      </c>
      <c r="O137" s="76"/>
      <c r="P137" s="78"/>
      <c r="Q137" s="76"/>
      <c r="R137" s="78"/>
      <c r="S137" s="76"/>
      <c r="T137" s="78"/>
      <c r="U137" s="76"/>
      <c r="V137" s="78"/>
      <c r="W137" s="76"/>
      <c r="X137" s="78"/>
      <c r="Y137" s="76"/>
      <c r="Z137" s="78"/>
      <c r="AA137" s="76"/>
      <c r="AB137" s="78"/>
      <c r="AC137" s="76"/>
      <c r="AD137" s="78"/>
      <c r="AE137" s="76"/>
      <c r="AF137" s="78"/>
      <c r="AG137" s="76"/>
      <c r="AH137" s="78"/>
      <c r="AI137" s="76"/>
      <c r="AJ137" s="78"/>
      <c r="AK137" s="76"/>
      <c r="AL137" s="78"/>
      <c r="AM137" s="76"/>
      <c r="AN137" s="78"/>
      <c r="AO137" s="76"/>
      <c r="AP137" s="78">
        <f t="shared" si="22"/>
        <v>0</v>
      </c>
      <c r="AQ137" s="76"/>
      <c r="AR137" s="78"/>
      <c r="AS137" s="76"/>
      <c r="AT137" s="78"/>
      <c r="AU137" s="76"/>
      <c r="AV137" s="78"/>
      <c r="AW137" s="76"/>
      <c r="AX137" s="78"/>
      <c r="AY137" s="76"/>
      <c r="AZ137" s="78"/>
      <c r="BA137" s="76"/>
      <c r="BB137" s="78"/>
      <c r="BC137" s="76"/>
      <c r="BD137" s="78"/>
      <c r="BE137" s="76"/>
      <c r="BF137" s="78"/>
      <c r="BG137" s="76"/>
      <c r="BH137" s="78"/>
      <c r="BI137" s="76"/>
      <c r="BJ137" s="78"/>
    </row>
    <row r="138" spans="1:62"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27"/>
        <v>0</v>
      </c>
      <c r="H138" s="69">
        <f>+VLOOKUP(C138,'PRECIOS IDU 2025'!$A$1:$E$3189,4,FALSE)</f>
        <v>100367</v>
      </c>
      <c r="I138" s="69">
        <f t="shared" si="28"/>
        <v>130477</v>
      </c>
      <c r="J138" s="69">
        <f t="shared" si="29"/>
        <v>0</v>
      </c>
      <c r="K138" s="9"/>
      <c r="L138" s="3"/>
      <c r="M138" s="76"/>
      <c r="N138" s="78">
        <f t="shared" si="26"/>
        <v>0</v>
      </c>
      <c r="O138" s="76"/>
      <c r="P138" s="78"/>
      <c r="Q138" s="76"/>
      <c r="R138" s="78"/>
      <c r="S138" s="76"/>
      <c r="T138" s="78"/>
      <c r="U138" s="76"/>
      <c r="V138" s="78"/>
      <c r="W138" s="76"/>
      <c r="X138" s="78"/>
      <c r="Y138" s="76"/>
      <c r="Z138" s="78"/>
      <c r="AA138" s="76"/>
      <c r="AB138" s="78"/>
      <c r="AC138" s="76"/>
      <c r="AD138" s="78"/>
      <c r="AE138" s="76"/>
      <c r="AF138" s="78"/>
      <c r="AG138" s="76"/>
      <c r="AH138" s="78"/>
      <c r="AI138" s="76"/>
      <c r="AJ138" s="78"/>
      <c r="AK138" s="76"/>
      <c r="AL138" s="78"/>
      <c r="AM138" s="76"/>
      <c r="AN138" s="78"/>
      <c r="AO138" s="76"/>
      <c r="AP138" s="78">
        <f t="shared" si="22"/>
        <v>0</v>
      </c>
      <c r="AQ138" s="76"/>
      <c r="AR138" s="78"/>
      <c r="AS138" s="76"/>
      <c r="AT138" s="78"/>
      <c r="AU138" s="76"/>
      <c r="AV138" s="78"/>
      <c r="AW138" s="76"/>
      <c r="AX138" s="78"/>
      <c r="AY138" s="76"/>
      <c r="AZ138" s="78"/>
      <c r="BA138" s="76"/>
      <c r="BB138" s="78"/>
      <c r="BC138" s="76"/>
      <c r="BD138" s="78"/>
      <c r="BE138" s="76"/>
      <c r="BF138" s="78"/>
      <c r="BG138" s="76"/>
      <c r="BH138" s="78"/>
      <c r="BI138" s="76"/>
      <c r="BJ138" s="78"/>
    </row>
    <row r="139" spans="1:62"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27"/>
        <v>0</v>
      </c>
      <c r="H139" s="69">
        <f>+VLOOKUP(C139,'PRECIOS IDU 2025'!$A$1:$E$3189,4,FALSE)</f>
        <v>214107</v>
      </c>
      <c r="I139" s="69">
        <f t="shared" si="28"/>
        <v>278339</v>
      </c>
      <c r="J139" s="69">
        <f t="shared" si="29"/>
        <v>0</v>
      </c>
      <c r="K139" s="9"/>
      <c r="L139" s="3"/>
      <c r="M139" s="76"/>
      <c r="N139" s="78">
        <f t="shared" si="26"/>
        <v>0</v>
      </c>
      <c r="O139" s="76"/>
      <c r="P139" s="78"/>
      <c r="Q139" s="76"/>
      <c r="R139" s="78"/>
      <c r="S139" s="76"/>
      <c r="T139" s="78"/>
      <c r="U139" s="76"/>
      <c r="V139" s="78"/>
      <c r="W139" s="76"/>
      <c r="X139" s="78"/>
      <c r="Y139" s="76"/>
      <c r="Z139" s="78"/>
      <c r="AA139" s="76"/>
      <c r="AB139" s="78"/>
      <c r="AC139" s="76"/>
      <c r="AD139" s="78"/>
      <c r="AE139" s="76"/>
      <c r="AF139" s="78"/>
      <c r="AG139" s="76"/>
      <c r="AH139" s="78"/>
      <c r="AI139" s="76"/>
      <c r="AJ139" s="78"/>
      <c r="AK139" s="76"/>
      <c r="AL139" s="78"/>
      <c r="AM139" s="76"/>
      <c r="AN139" s="78"/>
      <c r="AO139" s="76"/>
      <c r="AP139" s="78">
        <f t="shared" si="22"/>
        <v>0</v>
      </c>
      <c r="AQ139" s="76"/>
      <c r="AR139" s="78"/>
      <c r="AS139" s="76"/>
      <c r="AT139" s="78"/>
      <c r="AU139" s="76"/>
      <c r="AV139" s="78"/>
      <c r="AW139" s="76"/>
      <c r="AX139" s="78"/>
      <c r="AY139" s="76"/>
      <c r="AZ139" s="78"/>
      <c r="BA139" s="76"/>
      <c r="BB139" s="78"/>
      <c r="BC139" s="76"/>
      <c r="BD139" s="78"/>
      <c r="BE139" s="76"/>
      <c r="BF139" s="78"/>
      <c r="BG139" s="76"/>
      <c r="BH139" s="78"/>
      <c r="BI139" s="76"/>
      <c r="BJ139" s="78"/>
    </row>
    <row r="140" spans="1:62"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27"/>
        <v>0</v>
      </c>
      <c r="H140" s="69">
        <f>+VLOOKUP(C140,'PRECIOS IDU 2025'!$A$1:$E$3189,4,FALSE)</f>
        <v>155503</v>
      </c>
      <c r="I140" s="69">
        <f t="shared" si="28"/>
        <v>202154</v>
      </c>
      <c r="J140" s="69">
        <f t="shared" si="29"/>
        <v>0</v>
      </c>
      <c r="K140" s="9"/>
      <c r="L140" s="3"/>
      <c r="M140" s="76"/>
      <c r="N140" s="78">
        <f t="shared" si="26"/>
        <v>0</v>
      </c>
      <c r="O140" s="76"/>
      <c r="P140" s="78"/>
      <c r="Q140" s="76"/>
      <c r="R140" s="78"/>
      <c r="S140" s="76"/>
      <c r="T140" s="78"/>
      <c r="U140" s="76"/>
      <c r="V140" s="78"/>
      <c r="W140" s="76"/>
      <c r="X140" s="78"/>
      <c r="Y140" s="76"/>
      <c r="Z140" s="78"/>
      <c r="AA140" s="76"/>
      <c r="AB140" s="78"/>
      <c r="AC140" s="76"/>
      <c r="AD140" s="78"/>
      <c r="AE140" s="76"/>
      <c r="AF140" s="78"/>
      <c r="AG140" s="76"/>
      <c r="AH140" s="78"/>
      <c r="AI140" s="76"/>
      <c r="AJ140" s="78"/>
      <c r="AK140" s="76"/>
      <c r="AL140" s="78"/>
      <c r="AM140" s="76"/>
      <c r="AN140" s="78"/>
      <c r="AO140" s="76"/>
      <c r="AP140" s="78">
        <f t="shared" si="22"/>
        <v>0</v>
      </c>
      <c r="AQ140" s="76"/>
      <c r="AR140" s="78"/>
      <c r="AS140" s="76"/>
      <c r="AT140" s="78"/>
      <c r="AU140" s="76"/>
      <c r="AV140" s="78"/>
      <c r="AW140" s="76"/>
      <c r="AX140" s="78"/>
      <c r="AY140" s="76"/>
      <c r="AZ140" s="78"/>
      <c r="BA140" s="76"/>
      <c r="BB140" s="78"/>
      <c r="BC140" s="76"/>
      <c r="BD140" s="78"/>
      <c r="BE140" s="76"/>
      <c r="BF140" s="78"/>
      <c r="BG140" s="76"/>
      <c r="BH140" s="78"/>
      <c r="BI140" s="76"/>
      <c r="BJ140" s="78"/>
    </row>
    <row r="141" spans="1:62"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27"/>
        <v>0</v>
      </c>
      <c r="H141" s="69">
        <f>+VLOOKUP(C141,'PRECIOS IDU 2025'!$A$1:$E$3189,4,FALSE)</f>
        <v>1895915</v>
      </c>
      <c r="I141" s="69">
        <f t="shared" si="28"/>
        <v>2464690</v>
      </c>
      <c r="J141" s="69">
        <f t="shared" si="29"/>
        <v>0</v>
      </c>
      <c r="K141" s="9"/>
      <c r="L141" s="3"/>
      <c r="M141" s="76"/>
      <c r="N141" s="78">
        <f t="shared" si="26"/>
        <v>0</v>
      </c>
      <c r="O141" s="76"/>
      <c r="P141" s="78"/>
      <c r="Q141" s="76"/>
      <c r="R141" s="78"/>
      <c r="S141" s="76"/>
      <c r="T141" s="78"/>
      <c r="U141" s="76"/>
      <c r="V141" s="78"/>
      <c r="W141" s="76"/>
      <c r="X141" s="78"/>
      <c r="Y141" s="76"/>
      <c r="Z141" s="78"/>
      <c r="AA141" s="76"/>
      <c r="AB141" s="78"/>
      <c r="AC141" s="76"/>
      <c r="AD141" s="78"/>
      <c r="AE141" s="76"/>
      <c r="AF141" s="78"/>
      <c r="AG141" s="76"/>
      <c r="AH141" s="78"/>
      <c r="AI141" s="76"/>
      <c r="AJ141" s="78"/>
      <c r="AK141" s="76"/>
      <c r="AL141" s="78"/>
      <c r="AM141" s="76"/>
      <c r="AN141" s="78"/>
      <c r="AO141" s="76"/>
      <c r="AP141" s="78">
        <f t="shared" si="22"/>
        <v>0</v>
      </c>
      <c r="AQ141" s="76"/>
      <c r="AR141" s="78"/>
      <c r="AS141" s="76"/>
      <c r="AT141" s="78"/>
      <c r="AU141" s="76"/>
      <c r="AV141" s="78"/>
      <c r="AW141" s="76"/>
      <c r="AX141" s="78"/>
      <c r="AY141" s="76"/>
      <c r="AZ141" s="78"/>
      <c r="BA141" s="76"/>
      <c r="BB141" s="78"/>
      <c r="BC141" s="76"/>
      <c r="BD141" s="78"/>
      <c r="BE141" s="76"/>
      <c r="BF141" s="78"/>
      <c r="BG141" s="76"/>
      <c r="BH141" s="78"/>
      <c r="BI141" s="76"/>
      <c r="BJ141" s="78"/>
    </row>
    <row r="142" spans="1:62"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27"/>
        <v>0</v>
      </c>
      <c r="H142" s="69">
        <f>+VLOOKUP(C142,'PRECIOS IDU 2025'!$A$1:$E$3189,4,FALSE)</f>
        <v>739808</v>
      </c>
      <c r="I142" s="69">
        <f t="shared" si="28"/>
        <v>961750</v>
      </c>
      <c r="J142" s="69">
        <f t="shared" si="29"/>
        <v>0</v>
      </c>
      <c r="K142" s="9"/>
      <c r="L142" s="3"/>
      <c r="M142" s="76"/>
      <c r="N142" s="78">
        <f t="shared" si="26"/>
        <v>0</v>
      </c>
      <c r="O142" s="76"/>
      <c r="P142" s="78"/>
      <c r="Q142" s="76"/>
      <c r="R142" s="78"/>
      <c r="S142" s="76"/>
      <c r="T142" s="78"/>
      <c r="U142" s="76"/>
      <c r="V142" s="78"/>
      <c r="W142" s="76"/>
      <c r="X142" s="78"/>
      <c r="Y142" s="76"/>
      <c r="Z142" s="78"/>
      <c r="AA142" s="76"/>
      <c r="AB142" s="78"/>
      <c r="AC142" s="76"/>
      <c r="AD142" s="78"/>
      <c r="AE142" s="76"/>
      <c r="AF142" s="78"/>
      <c r="AG142" s="76"/>
      <c r="AH142" s="78"/>
      <c r="AI142" s="76"/>
      <c r="AJ142" s="78"/>
      <c r="AK142" s="76"/>
      <c r="AL142" s="78"/>
      <c r="AM142" s="76"/>
      <c r="AN142" s="78"/>
      <c r="AO142" s="76"/>
      <c r="AP142" s="78">
        <f t="shared" si="22"/>
        <v>0</v>
      </c>
      <c r="AQ142" s="76"/>
      <c r="AR142" s="78"/>
      <c r="AS142" s="76"/>
      <c r="AT142" s="78"/>
      <c r="AU142" s="76"/>
      <c r="AV142" s="78"/>
      <c r="AW142" s="76"/>
      <c r="AX142" s="78"/>
      <c r="AY142" s="76"/>
      <c r="AZ142" s="78"/>
      <c r="BA142" s="76"/>
      <c r="BB142" s="78"/>
      <c r="BC142" s="76"/>
      <c r="BD142" s="78"/>
      <c r="BE142" s="76"/>
      <c r="BF142" s="78"/>
      <c r="BG142" s="76"/>
      <c r="BH142" s="78"/>
      <c r="BI142" s="76"/>
      <c r="BJ142" s="78"/>
    </row>
    <row r="143" spans="1:62"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27"/>
        <v>0</v>
      </c>
      <c r="H143" s="69">
        <f>+VLOOKUP(C143,'PRECIOS IDU 2025'!$A$1:$E$3189,4,FALSE)</f>
        <v>135984</v>
      </c>
      <c r="I143" s="69">
        <f t="shared" si="28"/>
        <v>176779</v>
      </c>
      <c r="J143" s="69">
        <f t="shared" si="29"/>
        <v>0</v>
      </c>
      <c r="K143" s="9"/>
      <c r="L143" s="3"/>
      <c r="M143" s="76"/>
      <c r="N143" s="78">
        <f t="shared" si="26"/>
        <v>0</v>
      </c>
      <c r="O143" s="76"/>
      <c r="P143" s="78"/>
      <c r="Q143" s="76"/>
      <c r="R143" s="78"/>
      <c r="S143" s="76"/>
      <c r="T143" s="78"/>
      <c r="U143" s="76"/>
      <c r="V143" s="78"/>
      <c r="W143" s="76"/>
      <c r="X143" s="78"/>
      <c r="Y143" s="76"/>
      <c r="Z143" s="78"/>
      <c r="AA143" s="76"/>
      <c r="AB143" s="78"/>
      <c r="AC143" s="76"/>
      <c r="AD143" s="78"/>
      <c r="AE143" s="76"/>
      <c r="AF143" s="78"/>
      <c r="AG143" s="76"/>
      <c r="AH143" s="78"/>
      <c r="AI143" s="76"/>
      <c r="AJ143" s="78"/>
      <c r="AK143" s="76"/>
      <c r="AL143" s="78"/>
      <c r="AM143" s="76"/>
      <c r="AN143" s="78"/>
      <c r="AO143" s="76"/>
      <c r="AP143" s="78">
        <f t="shared" si="22"/>
        <v>0</v>
      </c>
      <c r="AQ143" s="76"/>
      <c r="AR143" s="78"/>
      <c r="AS143" s="76"/>
      <c r="AT143" s="78"/>
      <c r="AU143" s="76"/>
      <c r="AV143" s="78"/>
      <c r="AW143" s="76"/>
      <c r="AX143" s="78"/>
      <c r="AY143" s="76"/>
      <c r="AZ143" s="78"/>
      <c r="BA143" s="76"/>
      <c r="BB143" s="78"/>
      <c r="BC143" s="76"/>
      <c r="BD143" s="78"/>
      <c r="BE143" s="76"/>
      <c r="BF143" s="78"/>
      <c r="BG143" s="76"/>
      <c r="BH143" s="78"/>
      <c r="BI143" s="76"/>
      <c r="BJ143" s="78"/>
    </row>
    <row r="144" spans="1:62"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27"/>
        <v>0</v>
      </c>
      <c r="H144" s="69">
        <f>+VLOOKUP(C144,'PRECIOS IDU 2025'!$A$1:$E$3189,4,FALSE)</f>
        <v>37349</v>
      </c>
      <c r="I144" s="69">
        <f t="shared" si="28"/>
        <v>48554</v>
      </c>
      <c r="J144" s="69">
        <f t="shared" si="29"/>
        <v>0</v>
      </c>
      <c r="K144" s="9"/>
      <c r="L144" s="3"/>
      <c r="M144" s="76"/>
      <c r="N144" s="78">
        <f t="shared" si="26"/>
        <v>0</v>
      </c>
      <c r="O144" s="76"/>
      <c r="P144" s="78"/>
      <c r="Q144" s="76"/>
      <c r="R144" s="78"/>
      <c r="S144" s="76"/>
      <c r="T144" s="78"/>
      <c r="U144" s="76"/>
      <c r="V144" s="78"/>
      <c r="W144" s="76"/>
      <c r="X144" s="78"/>
      <c r="Y144" s="76"/>
      <c r="Z144" s="78"/>
      <c r="AA144" s="76"/>
      <c r="AB144" s="78"/>
      <c r="AC144" s="76"/>
      <c r="AD144" s="78"/>
      <c r="AE144" s="76"/>
      <c r="AF144" s="78"/>
      <c r="AG144" s="76"/>
      <c r="AH144" s="78"/>
      <c r="AI144" s="76"/>
      <c r="AJ144" s="78"/>
      <c r="AK144" s="76"/>
      <c r="AL144" s="78"/>
      <c r="AM144" s="76"/>
      <c r="AN144" s="78"/>
      <c r="AO144" s="76"/>
      <c r="AP144" s="78">
        <f t="shared" si="22"/>
        <v>0</v>
      </c>
      <c r="AQ144" s="76"/>
      <c r="AR144" s="78"/>
      <c r="AS144" s="76"/>
      <c r="AT144" s="78"/>
      <c r="AU144" s="76"/>
      <c r="AV144" s="78"/>
      <c r="AW144" s="76"/>
      <c r="AX144" s="78"/>
      <c r="AY144" s="76"/>
      <c r="AZ144" s="78"/>
      <c r="BA144" s="76"/>
      <c r="BB144" s="78"/>
      <c r="BC144" s="76"/>
      <c r="BD144" s="78"/>
      <c r="BE144" s="76"/>
      <c r="BF144" s="78"/>
      <c r="BG144" s="76"/>
      <c r="BH144" s="78"/>
      <c r="BI144" s="76"/>
      <c r="BJ144" s="78"/>
    </row>
    <row r="145" spans="1:62"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27"/>
        <v>0</v>
      </c>
      <c r="H145" s="69">
        <f>+VLOOKUP(C145,'PRECIOS IDU 2025'!$A$1:$E$3189,4,FALSE)</f>
        <v>63957</v>
      </c>
      <c r="I145" s="69">
        <f t="shared" si="28"/>
        <v>83144</v>
      </c>
      <c r="J145" s="69">
        <f t="shared" si="29"/>
        <v>0</v>
      </c>
      <c r="K145" s="9"/>
      <c r="L145" s="3"/>
      <c r="M145" s="76"/>
      <c r="N145" s="78">
        <f t="shared" si="26"/>
        <v>0</v>
      </c>
      <c r="O145" s="76"/>
      <c r="P145" s="78"/>
      <c r="Q145" s="76"/>
      <c r="R145" s="78"/>
      <c r="S145" s="76"/>
      <c r="T145" s="78"/>
      <c r="U145" s="76"/>
      <c r="V145" s="78"/>
      <c r="W145" s="76"/>
      <c r="X145" s="78"/>
      <c r="Y145" s="76"/>
      <c r="Z145" s="78"/>
      <c r="AA145" s="76"/>
      <c r="AB145" s="78"/>
      <c r="AC145" s="76"/>
      <c r="AD145" s="78"/>
      <c r="AE145" s="76"/>
      <c r="AF145" s="78"/>
      <c r="AG145" s="76"/>
      <c r="AH145" s="78"/>
      <c r="AI145" s="76"/>
      <c r="AJ145" s="78"/>
      <c r="AK145" s="76"/>
      <c r="AL145" s="78"/>
      <c r="AM145" s="76"/>
      <c r="AN145" s="78"/>
      <c r="AO145" s="76"/>
      <c r="AP145" s="78">
        <f t="shared" si="22"/>
        <v>0</v>
      </c>
      <c r="AQ145" s="76"/>
      <c r="AR145" s="78"/>
      <c r="AS145" s="76"/>
      <c r="AT145" s="78"/>
      <c r="AU145" s="76"/>
      <c r="AV145" s="78"/>
      <c r="AW145" s="76"/>
      <c r="AX145" s="78"/>
      <c r="AY145" s="76"/>
      <c r="AZ145" s="78"/>
      <c r="BA145" s="76"/>
      <c r="BB145" s="78"/>
      <c r="BC145" s="76"/>
      <c r="BD145" s="78"/>
      <c r="BE145" s="76"/>
      <c r="BF145" s="78"/>
      <c r="BG145" s="76"/>
      <c r="BH145" s="78"/>
      <c r="BI145" s="76"/>
      <c r="BJ145" s="78"/>
    </row>
    <row r="146" spans="1:62"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27"/>
        <v>0</v>
      </c>
      <c r="H146" s="69">
        <f>+VLOOKUP(C146,'PRECIOS IDU 2025'!$A$1:$E$3189,4,FALSE)</f>
        <v>88930</v>
      </c>
      <c r="I146" s="69">
        <f t="shared" si="28"/>
        <v>115609</v>
      </c>
      <c r="J146" s="69">
        <f t="shared" si="29"/>
        <v>0</v>
      </c>
      <c r="K146" s="9"/>
      <c r="L146" s="3"/>
      <c r="M146" s="76"/>
      <c r="N146" s="78">
        <f t="shared" si="26"/>
        <v>0</v>
      </c>
      <c r="O146" s="76"/>
      <c r="P146" s="78"/>
      <c r="Q146" s="76"/>
      <c r="R146" s="78"/>
      <c r="S146" s="76"/>
      <c r="T146" s="78"/>
      <c r="U146" s="76"/>
      <c r="V146" s="78"/>
      <c r="W146" s="76"/>
      <c r="X146" s="78"/>
      <c r="Y146" s="76"/>
      <c r="Z146" s="78"/>
      <c r="AA146" s="76"/>
      <c r="AB146" s="78"/>
      <c r="AC146" s="76"/>
      <c r="AD146" s="78"/>
      <c r="AE146" s="76"/>
      <c r="AF146" s="78"/>
      <c r="AG146" s="76"/>
      <c r="AH146" s="78"/>
      <c r="AI146" s="76"/>
      <c r="AJ146" s="78"/>
      <c r="AK146" s="76"/>
      <c r="AL146" s="78"/>
      <c r="AM146" s="76"/>
      <c r="AN146" s="78"/>
      <c r="AO146" s="76"/>
      <c r="AP146" s="78">
        <f t="shared" si="22"/>
        <v>0</v>
      </c>
      <c r="AQ146" s="76"/>
      <c r="AR146" s="78"/>
      <c r="AS146" s="76"/>
      <c r="AT146" s="78"/>
      <c r="AU146" s="76"/>
      <c r="AV146" s="78"/>
      <c r="AW146" s="76"/>
      <c r="AX146" s="78"/>
      <c r="AY146" s="76"/>
      <c r="AZ146" s="78"/>
      <c r="BA146" s="76"/>
      <c r="BB146" s="78"/>
      <c r="BC146" s="76"/>
      <c r="BD146" s="78"/>
      <c r="BE146" s="76"/>
      <c r="BF146" s="78"/>
      <c r="BG146" s="76"/>
      <c r="BH146" s="78"/>
      <c r="BI146" s="76"/>
      <c r="BJ146" s="78"/>
    </row>
    <row r="147" spans="1:62"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27"/>
        <v>0</v>
      </c>
      <c r="H147" s="69">
        <f>+VLOOKUP(C147,'PRECIOS IDU 2025'!$A$1:$E$3189,4,FALSE)</f>
        <v>125950</v>
      </c>
      <c r="I147" s="69">
        <f t="shared" si="28"/>
        <v>163735</v>
      </c>
      <c r="J147" s="69">
        <f t="shared" si="29"/>
        <v>0</v>
      </c>
      <c r="K147" s="9"/>
      <c r="L147" s="3"/>
      <c r="M147" s="76"/>
      <c r="N147" s="78">
        <f t="shared" si="26"/>
        <v>0</v>
      </c>
      <c r="O147" s="76"/>
      <c r="P147" s="78"/>
      <c r="Q147" s="76"/>
      <c r="R147" s="78"/>
      <c r="S147" s="76"/>
      <c r="T147" s="78"/>
      <c r="U147" s="76"/>
      <c r="V147" s="78"/>
      <c r="W147" s="76"/>
      <c r="X147" s="78"/>
      <c r="Y147" s="76"/>
      <c r="Z147" s="78"/>
      <c r="AA147" s="76"/>
      <c r="AB147" s="78"/>
      <c r="AC147" s="76"/>
      <c r="AD147" s="78"/>
      <c r="AE147" s="76"/>
      <c r="AF147" s="78"/>
      <c r="AG147" s="76"/>
      <c r="AH147" s="78"/>
      <c r="AI147" s="76"/>
      <c r="AJ147" s="78"/>
      <c r="AK147" s="76"/>
      <c r="AL147" s="78"/>
      <c r="AM147" s="76"/>
      <c r="AN147" s="78"/>
      <c r="AO147" s="76"/>
      <c r="AP147" s="78">
        <f t="shared" si="22"/>
        <v>0</v>
      </c>
      <c r="AQ147" s="76"/>
      <c r="AR147" s="78"/>
      <c r="AS147" s="76"/>
      <c r="AT147" s="78"/>
      <c r="AU147" s="76"/>
      <c r="AV147" s="78"/>
      <c r="AW147" s="76"/>
      <c r="AX147" s="78"/>
      <c r="AY147" s="76"/>
      <c r="AZ147" s="78"/>
      <c r="BA147" s="76"/>
      <c r="BB147" s="78"/>
      <c r="BC147" s="76"/>
      <c r="BD147" s="78"/>
      <c r="BE147" s="76"/>
      <c r="BF147" s="78"/>
      <c r="BG147" s="76"/>
      <c r="BH147" s="78"/>
      <c r="BI147" s="76"/>
      <c r="BJ147" s="78"/>
    </row>
    <row r="148" spans="1:62"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27"/>
        <v>0</v>
      </c>
      <c r="H148" s="69">
        <f>+VLOOKUP(C148,'PRECIOS IDU 2025'!$A$1:$E$3189,4,FALSE)</f>
        <v>176674</v>
      </c>
      <c r="I148" s="69">
        <f t="shared" si="28"/>
        <v>229676</v>
      </c>
      <c r="J148" s="69">
        <f t="shared" si="29"/>
        <v>0</v>
      </c>
      <c r="K148" s="9"/>
      <c r="L148" s="3"/>
      <c r="M148" s="76"/>
      <c r="N148" s="78">
        <f t="shared" si="26"/>
        <v>0</v>
      </c>
      <c r="O148" s="76"/>
      <c r="P148" s="78"/>
      <c r="Q148" s="76"/>
      <c r="R148" s="78"/>
      <c r="S148" s="76"/>
      <c r="T148" s="78"/>
      <c r="U148" s="76"/>
      <c r="V148" s="78"/>
      <c r="W148" s="76"/>
      <c r="X148" s="78"/>
      <c r="Y148" s="76"/>
      <c r="Z148" s="78"/>
      <c r="AA148" s="76"/>
      <c r="AB148" s="78"/>
      <c r="AC148" s="76"/>
      <c r="AD148" s="78"/>
      <c r="AE148" s="76"/>
      <c r="AF148" s="78"/>
      <c r="AG148" s="76"/>
      <c r="AH148" s="78"/>
      <c r="AI148" s="76"/>
      <c r="AJ148" s="78"/>
      <c r="AK148" s="76"/>
      <c r="AL148" s="78"/>
      <c r="AM148" s="76"/>
      <c r="AN148" s="78"/>
      <c r="AO148" s="76"/>
      <c r="AP148" s="78">
        <f t="shared" si="22"/>
        <v>0</v>
      </c>
      <c r="AQ148" s="76"/>
      <c r="AR148" s="78"/>
      <c r="AS148" s="76"/>
      <c r="AT148" s="78"/>
      <c r="AU148" s="76"/>
      <c r="AV148" s="78"/>
      <c r="AW148" s="76"/>
      <c r="AX148" s="78"/>
      <c r="AY148" s="76"/>
      <c r="AZ148" s="78"/>
      <c r="BA148" s="76"/>
      <c r="BB148" s="78"/>
      <c r="BC148" s="76"/>
      <c r="BD148" s="78"/>
      <c r="BE148" s="76"/>
      <c r="BF148" s="78"/>
      <c r="BG148" s="76"/>
      <c r="BH148" s="78"/>
      <c r="BI148" s="76"/>
      <c r="BJ148" s="78"/>
    </row>
    <row r="149" spans="1:62"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27"/>
        <v>0</v>
      </c>
      <c r="H149" s="69">
        <f>+VLOOKUP(C149,'PRECIOS IDU 2025'!$A$1:$E$3189,4,FALSE)</f>
        <v>314109</v>
      </c>
      <c r="I149" s="69">
        <f t="shared" si="28"/>
        <v>408342</v>
      </c>
      <c r="J149" s="69">
        <f t="shared" si="29"/>
        <v>0</v>
      </c>
      <c r="K149" s="9"/>
      <c r="L149" s="3"/>
      <c r="M149" s="76"/>
      <c r="N149" s="78">
        <f t="shared" si="26"/>
        <v>0</v>
      </c>
      <c r="O149" s="76"/>
      <c r="P149" s="78"/>
      <c r="Q149" s="76"/>
      <c r="R149" s="78"/>
      <c r="S149" s="76"/>
      <c r="T149" s="78"/>
      <c r="U149" s="76"/>
      <c r="V149" s="78"/>
      <c r="W149" s="76"/>
      <c r="X149" s="78"/>
      <c r="Y149" s="76"/>
      <c r="Z149" s="78"/>
      <c r="AA149" s="76"/>
      <c r="AB149" s="78"/>
      <c r="AC149" s="76"/>
      <c r="AD149" s="78"/>
      <c r="AE149" s="76"/>
      <c r="AF149" s="78"/>
      <c r="AG149" s="76"/>
      <c r="AH149" s="78"/>
      <c r="AI149" s="76"/>
      <c r="AJ149" s="78"/>
      <c r="AK149" s="76"/>
      <c r="AL149" s="78"/>
      <c r="AM149" s="76"/>
      <c r="AN149" s="78"/>
      <c r="AO149" s="76"/>
      <c r="AP149" s="78">
        <f t="shared" si="22"/>
        <v>0</v>
      </c>
      <c r="AQ149" s="76"/>
      <c r="AR149" s="78"/>
      <c r="AS149" s="76"/>
      <c r="AT149" s="78"/>
      <c r="AU149" s="76"/>
      <c r="AV149" s="78"/>
      <c r="AW149" s="76"/>
      <c r="AX149" s="78"/>
      <c r="AY149" s="76"/>
      <c r="AZ149" s="78"/>
      <c r="BA149" s="76"/>
      <c r="BB149" s="78"/>
      <c r="BC149" s="76"/>
      <c r="BD149" s="78"/>
      <c r="BE149" s="76"/>
      <c r="BF149" s="78"/>
      <c r="BG149" s="76"/>
      <c r="BH149" s="78"/>
      <c r="BI149" s="76"/>
      <c r="BJ149" s="78"/>
    </row>
    <row r="150" spans="1:62"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27"/>
        <v>0</v>
      </c>
      <c r="H150" s="69">
        <f>+VLOOKUP(C150,'PRECIOS IDU 2025'!$A$1:$E$3189,4,FALSE)</f>
        <v>426915</v>
      </c>
      <c r="I150" s="69">
        <f t="shared" si="28"/>
        <v>554990</v>
      </c>
      <c r="J150" s="69">
        <f t="shared" si="29"/>
        <v>0</v>
      </c>
      <c r="K150" s="9"/>
      <c r="L150" s="3"/>
      <c r="M150" s="76"/>
      <c r="N150" s="78">
        <f t="shared" si="26"/>
        <v>0</v>
      </c>
      <c r="O150" s="76"/>
      <c r="P150" s="78"/>
      <c r="Q150" s="76"/>
      <c r="R150" s="78"/>
      <c r="S150" s="76"/>
      <c r="T150" s="78"/>
      <c r="U150" s="76"/>
      <c r="V150" s="78"/>
      <c r="W150" s="76"/>
      <c r="X150" s="78"/>
      <c r="Y150" s="76"/>
      <c r="Z150" s="78"/>
      <c r="AA150" s="76"/>
      <c r="AB150" s="78"/>
      <c r="AC150" s="76"/>
      <c r="AD150" s="78"/>
      <c r="AE150" s="76"/>
      <c r="AF150" s="78"/>
      <c r="AG150" s="76"/>
      <c r="AH150" s="78"/>
      <c r="AI150" s="76"/>
      <c r="AJ150" s="78"/>
      <c r="AK150" s="76"/>
      <c r="AL150" s="78"/>
      <c r="AM150" s="76"/>
      <c r="AN150" s="78"/>
      <c r="AO150" s="76"/>
      <c r="AP150" s="78">
        <f t="shared" si="22"/>
        <v>0</v>
      </c>
      <c r="AQ150" s="76"/>
      <c r="AR150" s="78"/>
      <c r="AS150" s="76"/>
      <c r="AT150" s="78"/>
      <c r="AU150" s="76"/>
      <c r="AV150" s="78"/>
      <c r="AW150" s="76"/>
      <c r="AX150" s="78"/>
      <c r="AY150" s="76"/>
      <c r="AZ150" s="78"/>
      <c r="BA150" s="76"/>
      <c r="BB150" s="78"/>
      <c r="BC150" s="76"/>
      <c r="BD150" s="78"/>
      <c r="BE150" s="76"/>
      <c r="BF150" s="78"/>
      <c r="BG150" s="76"/>
      <c r="BH150" s="78"/>
      <c r="BI150" s="76"/>
      <c r="BJ150" s="78"/>
    </row>
    <row r="151" spans="1:62"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27"/>
        <v>0</v>
      </c>
      <c r="H151" s="69">
        <f>+VLOOKUP(C151,'PRECIOS IDU 2025'!$A$1:$E$3189,4,FALSE)</f>
        <v>520777</v>
      </c>
      <c r="I151" s="69">
        <f t="shared" si="28"/>
        <v>677010</v>
      </c>
      <c r="J151" s="69">
        <f t="shared" si="29"/>
        <v>0</v>
      </c>
      <c r="K151" s="9"/>
      <c r="L151" s="3"/>
      <c r="M151" s="76"/>
      <c r="N151" s="78">
        <f t="shared" si="26"/>
        <v>0</v>
      </c>
      <c r="O151" s="76"/>
      <c r="P151" s="78"/>
      <c r="Q151" s="76"/>
      <c r="R151" s="78"/>
      <c r="S151" s="76"/>
      <c r="T151" s="78"/>
      <c r="U151" s="76"/>
      <c r="V151" s="78"/>
      <c r="W151" s="76"/>
      <c r="X151" s="78"/>
      <c r="Y151" s="76"/>
      <c r="Z151" s="78"/>
      <c r="AA151" s="76"/>
      <c r="AB151" s="78"/>
      <c r="AC151" s="76"/>
      <c r="AD151" s="78"/>
      <c r="AE151" s="76"/>
      <c r="AF151" s="78"/>
      <c r="AG151" s="76"/>
      <c r="AH151" s="78"/>
      <c r="AI151" s="76"/>
      <c r="AJ151" s="78"/>
      <c r="AK151" s="76"/>
      <c r="AL151" s="78"/>
      <c r="AM151" s="76"/>
      <c r="AN151" s="78"/>
      <c r="AO151" s="76"/>
      <c r="AP151" s="78">
        <f t="shared" si="22"/>
        <v>0</v>
      </c>
      <c r="AQ151" s="76"/>
      <c r="AR151" s="78"/>
      <c r="AS151" s="76"/>
      <c r="AT151" s="78"/>
      <c r="AU151" s="76"/>
      <c r="AV151" s="78"/>
      <c r="AW151" s="76"/>
      <c r="AX151" s="78"/>
      <c r="AY151" s="76"/>
      <c r="AZ151" s="78"/>
      <c r="BA151" s="76"/>
      <c r="BB151" s="78"/>
      <c r="BC151" s="76"/>
      <c r="BD151" s="78"/>
      <c r="BE151" s="76"/>
      <c r="BF151" s="78"/>
      <c r="BG151" s="76"/>
      <c r="BH151" s="78"/>
      <c r="BI151" s="76"/>
      <c r="BJ151" s="78"/>
    </row>
    <row r="152" spans="1:62"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27"/>
        <v>0</v>
      </c>
      <c r="H152" s="69">
        <f>+VLOOKUP(C152,'PRECIOS IDU 2025'!$A$1:$E$3189,4,FALSE)</f>
        <v>235700</v>
      </c>
      <c r="I152" s="69">
        <f t="shared" si="28"/>
        <v>306410</v>
      </c>
      <c r="J152" s="69">
        <f t="shared" si="29"/>
        <v>0</v>
      </c>
      <c r="K152" s="9"/>
      <c r="L152" s="3"/>
      <c r="M152" s="76"/>
      <c r="N152" s="78">
        <f t="shared" si="26"/>
        <v>0</v>
      </c>
      <c r="O152" s="76"/>
      <c r="P152" s="78"/>
      <c r="Q152" s="76"/>
      <c r="R152" s="78"/>
      <c r="S152" s="76"/>
      <c r="T152" s="78"/>
      <c r="U152" s="76"/>
      <c r="V152" s="78"/>
      <c r="W152" s="76"/>
      <c r="X152" s="78"/>
      <c r="Y152" s="76"/>
      <c r="Z152" s="78"/>
      <c r="AA152" s="76"/>
      <c r="AB152" s="78"/>
      <c r="AC152" s="76"/>
      <c r="AD152" s="78"/>
      <c r="AE152" s="76"/>
      <c r="AF152" s="78"/>
      <c r="AG152" s="76"/>
      <c r="AH152" s="78"/>
      <c r="AI152" s="76"/>
      <c r="AJ152" s="78"/>
      <c r="AK152" s="76"/>
      <c r="AL152" s="78"/>
      <c r="AM152" s="76"/>
      <c r="AN152" s="78"/>
      <c r="AO152" s="76"/>
      <c r="AP152" s="78">
        <f t="shared" si="22"/>
        <v>0</v>
      </c>
      <c r="AQ152" s="76"/>
      <c r="AR152" s="78"/>
      <c r="AS152" s="76"/>
      <c r="AT152" s="78"/>
      <c r="AU152" s="76"/>
      <c r="AV152" s="78"/>
      <c r="AW152" s="76"/>
      <c r="AX152" s="78"/>
      <c r="AY152" s="76"/>
      <c r="AZ152" s="78"/>
      <c r="BA152" s="76"/>
      <c r="BB152" s="78"/>
      <c r="BC152" s="76"/>
      <c r="BD152" s="78"/>
      <c r="BE152" s="76"/>
      <c r="BF152" s="78"/>
      <c r="BG152" s="76"/>
      <c r="BH152" s="78"/>
      <c r="BI152" s="76"/>
      <c r="BJ152" s="78"/>
    </row>
    <row r="153" spans="1:62"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27"/>
        <v>0</v>
      </c>
      <c r="H153" s="69">
        <f>+VLOOKUP(C153,'PRECIOS IDU 2025'!$A$1:$E$3189,4,FALSE)</f>
        <v>235700</v>
      </c>
      <c r="I153" s="69">
        <f t="shared" si="28"/>
        <v>306410</v>
      </c>
      <c r="J153" s="69">
        <f t="shared" si="29"/>
        <v>0</v>
      </c>
      <c r="K153" s="9"/>
      <c r="L153" s="3"/>
      <c r="M153" s="76"/>
      <c r="N153" s="78">
        <f t="shared" si="26"/>
        <v>0</v>
      </c>
      <c r="O153" s="76"/>
      <c r="P153" s="78"/>
      <c r="Q153" s="76"/>
      <c r="R153" s="78"/>
      <c r="S153" s="76"/>
      <c r="T153" s="78"/>
      <c r="U153" s="76"/>
      <c r="V153" s="78"/>
      <c r="W153" s="76"/>
      <c r="X153" s="78"/>
      <c r="Y153" s="76"/>
      <c r="Z153" s="78"/>
      <c r="AA153" s="76"/>
      <c r="AB153" s="78"/>
      <c r="AC153" s="76"/>
      <c r="AD153" s="78"/>
      <c r="AE153" s="76"/>
      <c r="AF153" s="78"/>
      <c r="AG153" s="76"/>
      <c r="AH153" s="78"/>
      <c r="AI153" s="76"/>
      <c r="AJ153" s="78"/>
      <c r="AK153" s="76"/>
      <c r="AL153" s="78"/>
      <c r="AM153" s="76"/>
      <c r="AN153" s="78"/>
      <c r="AO153" s="76"/>
      <c r="AP153" s="78">
        <f t="shared" si="22"/>
        <v>0</v>
      </c>
      <c r="AQ153" s="76"/>
      <c r="AR153" s="78"/>
      <c r="AS153" s="76"/>
      <c r="AT153" s="78"/>
      <c r="AU153" s="76"/>
      <c r="AV153" s="78"/>
      <c r="AW153" s="76"/>
      <c r="AX153" s="78"/>
      <c r="AY153" s="76"/>
      <c r="AZ153" s="78"/>
      <c r="BA153" s="76"/>
      <c r="BB153" s="78"/>
      <c r="BC153" s="76"/>
      <c r="BD153" s="78"/>
      <c r="BE153" s="76"/>
      <c r="BF153" s="78"/>
      <c r="BG153" s="76"/>
      <c r="BH153" s="78"/>
      <c r="BI153" s="76"/>
      <c r="BJ153" s="78"/>
    </row>
    <row r="154" spans="1:62"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27"/>
        <v>0</v>
      </c>
      <c r="H154" s="69">
        <f>+VLOOKUP(C154,'PRECIOS IDU 2025'!$A$1:$E$3189,4,FALSE)</f>
        <v>238084</v>
      </c>
      <c r="I154" s="69">
        <f t="shared" si="28"/>
        <v>309509</v>
      </c>
      <c r="J154" s="69">
        <f t="shared" si="29"/>
        <v>0</v>
      </c>
      <c r="K154" s="9"/>
      <c r="L154" s="3"/>
      <c r="M154" s="76"/>
      <c r="N154" s="78">
        <f t="shared" si="26"/>
        <v>0</v>
      </c>
      <c r="O154" s="76"/>
      <c r="P154" s="78"/>
      <c r="Q154" s="76"/>
      <c r="R154" s="78"/>
      <c r="S154" s="76"/>
      <c r="T154" s="78"/>
      <c r="U154" s="76"/>
      <c r="V154" s="78"/>
      <c r="W154" s="76"/>
      <c r="X154" s="78"/>
      <c r="Y154" s="76"/>
      <c r="Z154" s="78"/>
      <c r="AA154" s="76"/>
      <c r="AB154" s="78"/>
      <c r="AC154" s="76"/>
      <c r="AD154" s="78"/>
      <c r="AE154" s="76"/>
      <c r="AF154" s="78"/>
      <c r="AG154" s="76"/>
      <c r="AH154" s="78"/>
      <c r="AI154" s="76"/>
      <c r="AJ154" s="78"/>
      <c r="AK154" s="76"/>
      <c r="AL154" s="78"/>
      <c r="AM154" s="76"/>
      <c r="AN154" s="78"/>
      <c r="AO154" s="76"/>
      <c r="AP154" s="78">
        <f t="shared" si="22"/>
        <v>0</v>
      </c>
      <c r="AQ154" s="76"/>
      <c r="AR154" s="78"/>
      <c r="AS154" s="76"/>
      <c r="AT154" s="78"/>
      <c r="AU154" s="76"/>
      <c r="AV154" s="78"/>
      <c r="AW154" s="76"/>
      <c r="AX154" s="78"/>
      <c r="AY154" s="76"/>
      <c r="AZ154" s="78"/>
      <c r="BA154" s="76"/>
      <c r="BB154" s="78"/>
      <c r="BC154" s="76"/>
      <c r="BD154" s="78"/>
      <c r="BE154" s="76"/>
      <c r="BF154" s="78"/>
      <c r="BG154" s="76"/>
      <c r="BH154" s="78"/>
      <c r="BI154" s="76"/>
      <c r="BJ154" s="78"/>
    </row>
    <row r="155" spans="1:62"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27"/>
        <v>0</v>
      </c>
      <c r="H155" s="69">
        <f>+VLOOKUP(C155,'PRECIOS IDU 2025'!$A$1:$E$3189,4,FALSE)</f>
        <v>298533</v>
      </c>
      <c r="I155" s="69">
        <f t="shared" si="28"/>
        <v>388093</v>
      </c>
      <c r="J155" s="69">
        <f t="shared" si="29"/>
        <v>0</v>
      </c>
      <c r="K155" s="9"/>
      <c r="L155" s="3"/>
      <c r="M155" s="76"/>
      <c r="N155" s="78">
        <f t="shared" si="26"/>
        <v>0</v>
      </c>
      <c r="O155" s="76"/>
      <c r="P155" s="78"/>
      <c r="Q155" s="76"/>
      <c r="R155" s="78"/>
      <c r="S155" s="76"/>
      <c r="T155" s="78"/>
      <c r="U155" s="76"/>
      <c r="V155" s="78"/>
      <c r="W155" s="76"/>
      <c r="X155" s="78"/>
      <c r="Y155" s="76"/>
      <c r="Z155" s="78"/>
      <c r="AA155" s="76"/>
      <c r="AB155" s="78"/>
      <c r="AC155" s="76"/>
      <c r="AD155" s="78"/>
      <c r="AE155" s="76"/>
      <c r="AF155" s="78"/>
      <c r="AG155" s="76"/>
      <c r="AH155" s="78"/>
      <c r="AI155" s="76"/>
      <c r="AJ155" s="78"/>
      <c r="AK155" s="76"/>
      <c r="AL155" s="78"/>
      <c r="AM155" s="76"/>
      <c r="AN155" s="78"/>
      <c r="AO155" s="76"/>
      <c r="AP155" s="78">
        <f t="shared" si="22"/>
        <v>0</v>
      </c>
      <c r="AQ155" s="76"/>
      <c r="AR155" s="78"/>
      <c r="AS155" s="76"/>
      <c r="AT155" s="78"/>
      <c r="AU155" s="76"/>
      <c r="AV155" s="78"/>
      <c r="AW155" s="76"/>
      <c r="AX155" s="78"/>
      <c r="AY155" s="76"/>
      <c r="AZ155" s="78"/>
      <c r="BA155" s="76"/>
      <c r="BB155" s="78"/>
      <c r="BC155" s="76"/>
      <c r="BD155" s="78"/>
      <c r="BE155" s="76"/>
      <c r="BF155" s="78"/>
      <c r="BG155" s="76"/>
      <c r="BH155" s="78"/>
      <c r="BI155" s="76"/>
      <c r="BJ155" s="78"/>
    </row>
    <row r="156" spans="1:62"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27"/>
        <v>0</v>
      </c>
      <c r="H156" s="69">
        <f>+VLOOKUP(C156,'PRECIOS IDU 2025'!$A$1:$E$3189,4,FALSE)</f>
        <v>298533</v>
      </c>
      <c r="I156" s="69">
        <f t="shared" si="28"/>
        <v>388093</v>
      </c>
      <c r="J156" s="69">
        <f t="shared" si="29"/>
        <v>0</v>
      </c>
      <c r="K156" s="9"/>
      <c r="L156" s="3"/>
      <c r="M156" s="76"/>
      <c r="N156" s="78">
        <f t="shared" si="26"/>
        <v>0</v>
      </c>
      <c r="O156" s="76"/>
      <c r="P156" s="78"/>
      <c r="Q156" s="76"/>
      <c r="R156" s="78"/>
      <c r="S156" s="76"/>
      <c r="T156" s="78"/>
      <c r="U156" s="76"/>
      <c r="V156" s="78"/>
      <c r="W156" s="76"/>
      <c r="X156" s="78"/>
      <c r="Y156" s="76"/>
      <c r="Z156" s="78"/>
      <c r="AA156" s="76"/>
      <c r="AB156" s="78"/>
      <c r="AC156" s="76"/>
      <c r="AD156" s="78"/>
      <c r="AE156" s="76"/>
      <c r="AF156" s="78"/>
      <c r="AG156" s="76"/>
      <c r="AH156" s="78"/>
      <c r="AI156" s="76"/>
      <c r="AJ156" s="78"/>
      <c r="AK156" s="76"/>
      <c r="AL156" s="78"/>
      <c r="AM156" s="76"/>
      <c r="AN156" s="78"/>
      <c r="AO156" s="76"/>
      <c r="AP156" s="78">
        <f t="shared" si="22"/>
        <v>0</v>
      </c>
      <c r="AQ156" s="76"/>
      <c r="AR156" s="78"/>
      <c r="AS156" s="76"/>
      <c r="AT156" s="78"/>
      <c r="AU156" s="76"/>
      <c r="AV156" s="78"/>
      <c r="AW156" s="76"/>
      <c r="AX156" s="78"/>
      <c r="AY156" s="76"/>
      <c r="AZ156" s="78"/>
      <c r="BA156" s="76"/>
      <c r="BB156" s="78"/>
      <c r="BC156" s="76"/>
      <c r="BD156" s="78"/>
      <c r="BE156" s="76"/>
      <c r="BF156" s="78"/>
      <c r="BG156" s="76"/>
      <c r="BH156" s="78"/>
      <c r="BI156" s="76"/>
      <c r="BJ156" s="78"/>
    </row>
    <row r="157" spans="1:62"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27"/>
        <v>0</v>
      </c>
      <c r="H157" s="69">
        <f>+VLOOKUP(C157,'PRECIOS IDU 2025'!$A$1:$E$3189,4,FALSE)</f>
        <v>309435</v>
      </c>
      <c r="I157" s="69">
        <f t="shared" si="28"/>
        <v>402266</v>
      </c>
      <c r="J157" s="69">
        <f t="shared" si="29"/>
        <v>0</v>
      </c>
      <c r="K157" s="9"/>
      <c r="L157" s="3"/>
      <c r="M157" s="76"/>
      <c r="N157" s="78">
        <f t="shared" si="26"/>
        <v>0</v>
      </c>
      <c r="O157" s="76"/>
      <c r="P157" s="78"/>
      <c r="Q157" s="76"/>
      <c r="R157" s="78"/>
      <c r="S157" s="76"/>
      <c r="T157" s="78"/>
      <c r="U157" s="76"/>
      <c r="V157" s="78"/>
      <c r="W157" s="76"/>
      <c r="X157" s="78"/>
      <c r="Y157" s="76"/>
      <c r="Z157" s="78"/>
      <c r="AA157" s="76"/>
      <c r="AB157" s="78"/>
      <c r="AC157" s="76"/>
      <c r="AD157" s="78"/>
      <c r="AE157" s="76"/>
      <c r="AF157" s="78"/>
      <c r="AG157" s="76"/>
      <c r="AH157" s="78"/>
      <c r="AI157" s="76"/>
      <c r="AJ157" s="78"/>
      <c r="AK157" s="76"/>
      <c r="AL157" s="78"/>
      <c r="AM157" s="76"/>
      <c r="AN157" s="78"/>
      <c r="AO157" s="76"/>
      <c r="AP157" s="78">
        <f t="shared" si="22"/>
        <v>0</v>
      </c>
      <c r="AQ157" s="76"/>
      <c r="AR157" s="78"/>
      <c r="AS157" s="76"/>
      <c r="AT157" s="78"/>
      <c r="AU157" s="76"/>
      <c r="AV157" s="78"/>
      <c r="AW157" s="76"/>
      <c r="AX157" s="78"/>
      <c r="AY157" s="76"/>
      <c r="AZ157" s="78"/>
      <c r="BA157" s="76"/>
      <c r="BB157" s="78"/>
      <c r="BC157" s="76"/>
      <c r="BD157" s="78"/>
      <c r="BE157" s="76"/>
      <c r="BF157" s="78"/>
      <c r="BG157" s="76"/>
      <c r="BH157" s="78"/>
      <c r="BI157" s="76"/>
      <c r="BJ157" s="78"/>
    </row>
    <row r="158" spans="1:62"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27"/>
        <v>0</v>
      </c>
      <c r="H158" s="69">
        <f>+VLOOKUP(C158,'PRECIOS IDU 2025'!$A$1:$E$3189,4,FALSE)</f>
        <v>191968</v>
      </c>
      <c r="I158" s="69">
        <f t="shared" si="28"/>
        <v>249558</v>
      </c>
      <c r="J158" s="69">
        <f t="shared" si="29"/>
        <v>0</v>
      </c>
      <c r="K158" s="9"/>
      <c r="L158" s="3"/>
      <c r="M158" s="76"/>
      <c r="N158" s="78">
        <f t="shared" si="26"/>
        <v>0</v>
      </c>
      <c r="O158" s="76"/>
      <c r="P158" s="78"/>
      <c r="Q158" s="76"/>
      <c r="R158" s="78"/>
      <c r="S158" s="76"/>
      <c r="T158" s="78"/>
      <c r="U158" s="76"/>
      <c r="V158" s="78"/>
      <c r="W158" s="76"/>
      <c r="X158" s="78"/>
      <c r="Y158" s="76"/>
      <c r="Z158" s="78"/>
      <c r="AA158" s="76"/>
      <c r="AB158" s="78"/>
      <c r="AC158" s="76"/>
      <c r="AD158" s="78"/>
      <c r="AE158" s="76"/>
      <c r="AF158" s="78"/>
      <c r="AG158" s="76"/>
      <c r="AH158" s="78"/>
      <c r="AI158" s="76"/>
      <c r="AJ158" s="78"/>
      <c r="AK158" s="76"/>
      <c r="AL158" s="78"/>
      <c r="AM158" s="76"/>
      <c r="AN158" s="78"/>
      <c r="AO158" s="76"/>
      <c r="AP158" s="78">
        <f t="shared" si="22"/>
        <v>0</v>
      </c>
      <c r="AQ158" s="76"/>
      <c r="AR158" s="78"/>
      <c r="AS158" s="76"/>
      <c r="AT158" s="78"/>
      <c r="AU158" s="76"/>
      <c r="AV158" s="78"/>
      <c r="AW158" s="76"/>
      <c r="AX158" s="78"/>
      <c r="AY158" s="76"/>
      <c r="AZ158" s="78"/>
      <c r="BA158" s="76"/>
      <c r="BB158" s="78"/>
      <c r="BC158" s="76"/>
      <c r="BD158" s="78"/>
      <c r="BE158" s="76"/>
      <c r="BF158" s="78"/>
      <c r="BG158" s="76"/>
      <c r="BH158" s="78"/>
      <c r="BI158" s="76"/>
      <c r="BJ158" s="78"/>
    </row>
    <row r="159" spans="1:62"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27"/>
        <v>0</v>
      </c>
      <c r="H159" s="69">
        <f>+VLOOKUP(C159,'PRECIOS IDU 2025'!$A$1:$E$3189,4,FALSE)</f>
        <v>622071</v>
      </c>
      <c r="I159" s="69">
        <f t="shared" si="28"/>
        <v>808692</v>
      </c>
      <c r="J159" s="69">
        <f t="shared" si="29"/>
        <v>0</v>
      </c>
      <c r="K159" s="9"/>
      <c r="L159" s="3"/>
      <c r="M159" s="76"/>
      <c r="N159" s="78">
        <f t="shared" si="26"/>
        <v>0</v>
      </c>
      <c r="O159" s="76"/>
      <c r="P159" s="78"/>
      <c r="Q159" s="76"/>
      <c r="R159" s="78"/>
      <c r="S159" s="76"/>
      <c r="T159" s="78"/>
      <c r="U159" s="76"/>
      <c r="V159" s="78"/>
      <c r="W159" s="76"/>
      <c r="X159" s="78"/>
      <c r="Y159" s="76"/>
      <c r="Z159" s="78"/>
      <c r="AA159" s="76"/>
      <c r="AB159" s="78"/>
      <c r="AC159" s="76"/>
      <c r="AD159" s="78"/>
      <c r="AE159" s="76"/>
      <c r="AF159" s="78"/>
      <c r="AG159" s="76"/>
      <c r="AH159" s="78"/>
      <c r="AI159" s="76"/>
      <c r="AJ159" s="78"/>
      <c r="AK159" s="76"/>
      <c r="AL159" s="78"/>
      <c r="AM159" s="76"/>
      <c r="AN159" s="78"/>
      <c r="AO159" s="76"/>
      <c r="AP159" s="78">
        <f t="shared" si="22"/>
        <v>0</v>
      </c>
      <c r="AQ159" s="76"/>
      <c r="AR159" s="78"/>
      <c r="AS159" s="76"/>
      <c r="AT159" s="78"/>
      <c r="AU159" s="76"/>
      <c r="AV159" s="78"/>
      <c r="AW159" s="76"/>
      <c r="AX159" s="78"/>
      <c r="AY159" s="76"/>
      <c r="AZ159" s="78"/>
      <c r="BA159" s="76"/>
      <c r="BB159" s="78"/>
      <c r="BC159" s="76"/>
      <c r="BD159" s="78"/>
      <c r="BE159" s="76"/>
      <c r="BF159" s="78"/>
      <c r="BG159" s="76"/>
      <c r="BH159" s="78"/>
      <c r="BI159" s="76"/>
      <c r="BJ159" s="78"/>
    </row>
    <row r="160" spans="1:62" ht="30" customHeight="1" x14ac:dyDescent="0.3">
      <c r="A160" s="3"/>
      <c r="B160" s="8"/>
      <c r="C160" s="60">
        <v>7830</v>
      </c>
      <c r="D160" s="60">
        <v>6031</v>
      </c>
      <c r="E160" s="60" t="e">
        <f>+VLOOKUP(C160,'PRECIOS IDU 2025'!$A$1:$E$3189,2,FALSE)</f>
        <v>#N/A</v>
      </c>
      <c r="F160" s="60" t="e">
        <f>+VLOOKUP(C160,'PRECIOS IDU 2025'!$A$1:$E$3189,3,FALSE)</f>
        <v>#N/A</v>
      </c>
      <c r="G160" s="108">
        <f t="shared" si="27"/>
        <v>0</v>
      </c>
      <c r="H160" s="69" t="e">
        <f>+VLOOKUP(C160,'PRECIOS IDU 2025'!$A$1:$E$3189,4,FALSE)</f>
        <v>#N/A</v>
      </c>
      <c r="I160" s="69" t="e">
        <f t="shared" si="28"/>
        <v>#N/A</v>
      </c>
      <c r="J160" s="69" t="e">
        <f t="shared" si="29"/>
        <v>#N/A</v>
      </c>
      <c r="K160" s="9"/>
      <c r="L160" s="3"/>
      <c r="M160" s="76"/>
      <c r="N160" s="78" t="e">
        <f t="shared" si="26"/>
        <v>#N/A</v>
      </c>
      <c r="O160" s="76"/>
      <c r="P160" s="78"/>
      <c r="Q160" s="76"/>
      <c r="R160" s="78"/>
      <c r="S160" s="76"/>
      <c r="T160" s="78"/>
      <c r="U160" s="76"/>
      <c r="V160" s="78"/>
      <c r="W160" s="76"/>
      <c r="X160" s="78"/>
      <c r="Y160" s="76"/>
      <c r="Z160" s="78"/>
      <c r="AA160" s="76"/>
      <c r="AB160" s="78"/>
      <c r="AC160" s="76"/>
      <c r="AD160" s="78"/>
      <c r="AE160" s="76"/>
      <c r="AF160" s="78"/>
      <c r="AG160" s="76"/>
      <c r="AH160" s="78"/>
      <c r="AI160" s="76"/>
      <c r="AJ160" s="78"/>
      <c r="AK160" s="76"/>
      <c r="AL160" s="78"/>
      <c r="AM160" s="76"/>
      <c r="AN160" s="78"/>
      <c r="AO160" s="76"/>
      <c r="AP160" s="78" t="e">
        <f t="shared" si="22"/>
        <v>#N/A</v>
      </c>
      <c r="AQ160" s="76"/>
      <c r="AR160" s="78"/>
      <c r="AS160" s="76"/>
      <c r="AT160" s="78"/>
      <c r="AU160" s="76"/>
      <c r="AV160" s="78"/>
      <c r="AW160" s="76"/>
      <c r="AX160" s="78"/>
      <c r="AY160" s="76"/>
      <c r="AZ160" s="78"/>
      <c r="BA160" s="76"/>
      <c r="BB160" s="78"/>
      <c r="BC160" s="76"/>
      <c r="BD160" s="78"/>
      <c r="BE160" s="76"/>
      <c r="BF160" s="78"/>
      <c r="BG160" s="76"/>
      <c r="BH160" s="78"/>
      <c r="BI160" s="76"/>
      <c r="BJ160" s="78"/>
    </row>
    <row r="161" spans="1:62" ht="30" customHeight="1" x14ac:dyDescent="0.3">
      <c r="A161" s="3"/>
      <c r="B161" s="8"/>
      <c r="C161" s="60">
        <v>7831</v>
      </c>
      <c r="D161" s="60">
        <v>6032</v>
      </c>
      <c r="E161" s="60" t="e">
        <f>+VLOOKUP(C161,'PRECIOS IDU 2025'!$A$1:$E$3189,2,FALSE)</f>
        <v>#N/A</v>
      </c>
      <c r="F161" s="60" t="e">
        <f>+VLOOKUP(C161,'PRECIOS IDU 2025'!$A$1:$E$3189,3,FALSE)</f>
        <v>#N/A</v>
      </c>
      <c r="G161" s="108">
        <f t="shared" si="27"/>
        <v>0</v>
      </c>
      <c r="H161" s="69" t="e">
        <f>+VLOOKUP(C161,'PRECIOS IDU 2025'!$A$1:$E$3189,4,FALSE)</f>
        <v>#N/A</v>
      </c>
      <c r="I161" s="69" t="e">
        <f t="shared" si="28"/>
        <v>#N/A</v>
      </c>
      <c r="J161" s="69" t="e">
        <f t="shared" si="29"/>
        <v>#N/A</v>
      </c>
      <c r="K161" s="9"/>
      <c r="L161" s="3"/>
      <c r="M161" s="76"/>
      <c r="N161" s="78" t="e">
        <f t="shared" si="26"/>
        <v>#N/A</v>
      </c>
      <c r="O161" s="76"/>
      <c r="P161" s="78"/>
      <c r="Q161" s="76"/>
      <c r="R161" s="78"/>
      <c r="S161" s="76"/>
      <c r="T161" s="78"/>
      <c r="U161" s="76"/>
      <c r="V161" s="78"/>
      <c r="W161" s="76"/>
      <c r="X161" s="78"/>
      <c r="Y161" s="76"/>
      <c r="Z161" s="78"/>
      <c r="AA161" s="76"/>
      <c r="AB161" s="78"/>
      <c r="AC161" s="76"/>
      <c r="AD161" s="78"/>
      <c r="AE161" s="76"/>
      <c r="AF161" s="78"/>
      <c r="AG161" s="76"/>
      <c r="AH161" s="78"/>
      <c r="AI161" s="76"/>
      <c r="AJ161" s="78"/>
      <c r="AK161" s="76"/>
      <c r="AL161" s="78"/>
      <c r="AM161" s="76"/>
      <c r="AN161" s="78"/>
      <c r="AO161" s="76"/>
      <c r="AP161" s="78" t="e">
        <f t="shared" si="22"/>
        <v>#N/A</v>
      </c>
      <c r="AQ161" s="76"/>
      <c r="AR161" s="78"/>
      <c r="AS161" s="76"/>
      <c r="AT161" s="78"/>
      <c r="AU161" s="76"/>
      <c r="AV161" s="78"/>
      <c r="AW161" s="76"/>
      <c r="AX161" s="78"/>
      <c r="AY161" s="76"/>
      <c r="AZ161" s="78"/>
      <c r="BA161" s="76"/>
      <c r="BB161" s="78"/>
      <c r="BC161" s="76"/>
      <c r="BD161" s="78"/>
      <c r="BE161" s="76"/>
      <c r="BF161" s="78"/>
      <c r="BG161" s="76"/>
      <c r="BH161" s="78"/>
      <c r="BI161" s="76"/>
      <c r="BJ161" s="78"/>
    </row>
    <row r="162" spans="1:62"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27"/>
        <v>0</v>
      </c>
      <c r="H162" s="69">
        <f>+VLOOKUP(C162,'PRECIOS IDU 2025'!$A$1:$E$3189,4,FALSE)</f>
        <v>407062</v>
      </c>
      <c r="I162" s="69">
        <f t="shared" si="28"/>
        <v>529181</v>
      </c>
      <c r="J162" s="69">
        <f t="shared" si="29"/>
        <v>0</v>
      </c>
      <c r="K162" s="9"/>
      <c r="L162" s="3"/>
      <c r="M162" s="76"/>
      <c r="N162" s="78">
        <f t="shared" si="26"/>
        <v>0</v>
      </c>
      <c r="O162" s="76"/>
      <c r="P162" s="78"/>
      <c r="Q162" s="76"/>
      <c r="R162" s="78"/>
      <c r="S162" s="76"/>
      <c r="T162" s="78"/>
      <c r="U162" s="76"/>
      <c r="V162" s="78"/>
      <c r="W162" s="76"/>
      <c r="X162" s="78"/>
      <c r="Y162" s="76"/>
      <c r="Z162" s="78"/>
      <c r="AA162" s="76"/>
      <c r="AB162" s="78"/>
      <c r="AC162" s="76"/>
      <c r="AD162" s="78"/>
      <c r="AE162" s="76"/>
      <c r="AF162" s="78"/>
      <c r="AG162" s="76"/>
      <c r="AH162" s="78"/>
      <c r="AI162" s="76"/>
      <c r="AJ162" s="78"/>
      <c r="AK162" s="76"/>
      <c r="AL162" s="78"/>
      <c r="AM162" s="76"/>
      <c r="AN162" s="78"/>
      <c r="AO162" s="76"/>
      <c r="AP162" s="78">
        <f t="shared" si="22"/>
        <v>0</v>
      </c>
      <c r="AQ162" s="76"/>
      <c r="AR162" s="78"/>
      <c r="AS162" s="76"/>
      <c r="AT162" s="78"/>
      <c r="AU162" s="76"/>
      <c r="AV162" s="78"/>
      <c r="AW162" s="76"/>
      <c r="AX162" s="78"/>
      <c r="AY162" s="76"/>
      <c r="AZ162" s="78"/>
      <c r="BA162" s="76"/>
      <c r="BB162" s="78"/>
      <c r="BC162" s="76"/>
      <c r="BD162" s="78"/>
      <c r="BE162" s="76"/>
      <c r="BF162" s="78"/>
      <c r="BG162" s="76"/>
      <c r="BH162" s="78"/>
      <c r="BI162" s="76"/>
      <c r="BJ162" s="78"/>
    </row>
    <row r="163" spans="1:62"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27"/>
        <v>0</v>
      </c>
      <c r="H163" s="69">
        <f>+VLOOKUP(C163,'PRECIOS IDU 2025'!$A$1:$E$3189,4,FALSE)</f>
        <v>7624362</v>
      </c>
      <c r="I163" s="69">
        <f t="shared" si="28"/>
        <v>9911671</v>
      </c>
      <c r="J163" s="69">
        <f t="shared" si="29"/>
        <v>0</v>
      </c>
      <c r="K163" s="9"/>
      <c r="L163" s="3"/>
      <c r="M163" s="76"/>
      <c r="N163" s="78">
        <f t="shared" si="26"/>
        <v>0</v>
      </c>
      <c r="O163" s="76"/>
      <c r="P163" s="78"/>
      <c r="Q163" s="76"/>
      <c r="R163" s="78"/>
      <c r="S163" s="76"/>
      <c r="T163" s="78"/>
      <c r="U163" s="76"/>
      <c r="V163" s="78"/>
      <c r="W163" s="76"/>
      <c r="X163" s="78"/>
      <c r="Y163" s="76"/>
      <c r="Z163" s="78"/>
      <c r="AA163" s="76"/>
      <c r="AB163" s="78"/>
      <c r="AC163" s="76"/>
      <c r="AD163" s="78"/>
      <c r="AE163" s="76"/>
      <c r="AF163" s="78"/>
      <c r="AG163" s="76"/>
      <c r="AH163" s="78"/>
      <c r="AI163" s="76"/>
      <c r="AJ163" s="78"/>
      <c r="AK163" s="76"/>
      <c r="AL163" s="78"/>
      <c r="AM163" s="76"/>
      <c r="AN163" s="78"/>
      <c r="AO163" s="76"/>
      <c r="AP163" s="78">
        <f t="shared" si="22"/>
        <v>0</v>
      </c>
      <c r="AQ163" s="76"/>
      <c r="AR163" s="78"/>
      <c r="AS163" s="76"/>
      <c r="AT163" s="78"/>
      <c r="AU163" s="76"/>
      <c r="AV163" s="78"/>
      <c r="AW163" s="76"/>
      <c r="AX163" s="78"/>
      <c r="AY163" s="76"/>
      <c r="AZ163" s="78"/>
      <c r="BA163" s="76"/>
      <c r="BB163" s="78"/>
      <c r="BC163" s="76"/>
      <c r="BD163" s="78"/>
      <c r="BE163" s="76"/>
      <c r="BF163" s="78"/>
      <c r="BG163" s="76"/>
      <c r="BH163" s="78"/>
      <c r="BI163" s="76"/>
      <c r="BJ163" s="78"/>
    </row>
    <row r="164" spans="1:62" ht="30" customHeight="1" x14ac:dyDescent="0.3">
      <c r="A164" s="3"/>
      <c r="B164" s="8"/>
      <c r="C164" s="66" t="s">
        <v>6082</v>
      </c>
      <c r="D164" s="67"/>
      <c r="E164" s="67"/>
      <c r="F164" s="67"/>
      <c r="G164" s="67"/>
      <c r="H164" s="67"/>
      <c r="I164" s="67"/>
      <c r="J164" s="68"/>
      <c r="K164" s="9"/>
      <c r="L164" s="3"/>
      <c r="M164" s="76"/>
      <c r="N164" s="78">
        <f t="shared" si="26"/>
        <v>0</v>
      </c>
      <c r="O164" s="76"/>
      <c r="P164" s="78"/>
      <c r="Q164" s="76"/>
      <c r="R164" s="78"/>
      <c r="S164" s="76"/>
      <c r="T164" s="78"/>
      <c r="U164" s="76"/>
      <c r="V164" s="78"/>
      <c r="W164" s="76"/>
      <c r="X164" s="78"/>
      <c r="Y164" s="76"/>
      <c r="Z164" s="78"/>
      <c r="AA164" s="76"/>
      <c r="AB164" s="78"/>
      <c r="AC164" s="76"/>
      <c r="AD164" s="78"/>
      <c r="AE164" s="76"/>
      <c r="AF164" s="78"/>
      <c r="AG164" s="76"/>
      <c r="AH164" s="78"/>
      <c r="AI164" s="76"/>
      <c r="AJ164" s="78"/>
      <c r="AK164" s="76"/>
      <c r="AL164" s="78"/>
      <c r="AM164" s="76"/>
      <c r="AN164" s="78"/>
      <c r="AO164" s="76"/>
      <c r="AP164" s="78">
        <f t="shared" si="22"/>
        <v>0</v>
      </c>
      <c r="AQ164" s="76"/>
      <c r="AR164" s="78"/>
      <c r="AS164" s="76"/>
      <c r="AT164" s="78"/>
      <c r="AU164" s="76"/>
      <c r="AV164" s="78"/>
      <c r="AW164" s="76"/>
      <c r="AX164" s="78"/>
      <c r="AY164" s="76"/>
      <c r="AZ164" s="78"/>
      <c r="BA164" s="76"/>
      <c r="BB164" s="78"/>
      <c r="BC164" s="76"/>
      <c r="BD164" s="78"/>
      <c r="BE164" s="76"/>
      <c r="BF164" s="78"/>
      <c r="BG164" s="76"/>
      <c r="BH164" s="78"/>
      <c r="BI164" s="76"/>
      <c r="BJ164" s="78"/>
    </row>
    <row r="165" spans="1:62"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30">+ROUND(M165+O165+Q165+S165+U165+W165+Y165+AA165+AC165+AE165+AG165+AI165+AK165+AM165+AO165+AQ165+AS165+AU165+AW165+AY165+BA165+BC165+BE165+BG165+BI165,2)</f>
        <v>1540</v>
      </c>
      <c r="H165" s="69">
        <f>+VLOOKUP(C165,'PRECIOS IDU 2025'!$A$1:$E$3189,4,FALSE)</f>
        <v>18177</v>
      </c>
      <c r="I165" s="69">
        <f t="shared" ref="I165:I179" si="31">+ROUND(H165*(1+$J$192),0)</f>
        <v>23630</v>
      </c>
      <c r="J165" s="69">
        <f t="shared" ref="J165:J179" si="32">+ROUND(I165*G165,0)</f>
        <v>36390200</v>
      </c>
      <c r="K165" s="9"/>
      <c r="L165" s="3"/>
      <c r="M165" s="76">
        <f>+M11*2</f>
        <v>1474</v>
      </c>
      <c r="N165" s="78">
        <f t="shared" si="26"/>
        <v>34830620</v>
      </c>
      <c r="O165" s="76"/>
      <c r="P165" s="78"/>
      <c r="Q165" s="76"/>
      <c r="R165" s="78"/>
      <c r="S165" s="76"/>
      <c r="T165" s="78"/>
      <c r="U165" s="76"/>
      <c r="V165" s="78"/>
      <c r="W165" s="76"/>
      <c r="X165" s="78"/>
      <c r="Y165" s="76"/>
      <c r="Z165" s="78"/>
      <c r="AA165" s="76"/>
      <c r="AB165" s="78"/>
      <c r="AC165" s="76"/>
      <c r="AD165" s="78"/>
      <c r="AE165" s="76"/>
      <c r="AF165" s="78"/>
      <c r="AG165" s="76"/>
      <c r="AH165" s="78"/>
      <c r="AI165" s="76"/>
      <c r="AJ165" s="78"/>
      <c r="AK165" s="76"/>
      <c r="AL165" s="78"/>
      <c r="AM165" s="76"/>
      <c r="AN165" s="78"/>
      <c r="AO165" s="76">
        <v>66</v>
      </c>
      <c r="AP165" s="78">
        <f t="shared" ref="AP165:AP179" si="33">+ROUND(AO165*$I165,0)</f>
        <v>1559580</v>
      </c>
      <c r="AQ165" s="76"/>
      <c r="AR165" s="78"/>
      <c r="AS165" s="76"/>
      <c r="AT165" s="78"/>
      <c r="AU165" s="76"/>
      <c r="AV165" s="78"/>
      <c r="AW165" s="76"/>
      <c r="AX165" s="78"/>
      <c r="AY165" s="76"/>
      <c r="AZ165" s="78"/>
      <c r="BA165" s="76"/>
      <c r="BB165" s="78"/>
      <c r="BC165" s="76"/>
      <c r="BD165" s="78"/>
      <c r="BE165" s="76"/>
      <c r="BF165" s="78"/>
      <c r="BG165" s="76"/>
      <c r="BH165" s="78"/>
      <c r="BI165" s="76"/>
      <c r="BJ165" s="78"/>
    </row>
    <row r="166" spans="1:62"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30"/>
        <v>0</v>
      </c>
      <c r="H166" s="69">
        <f>+VLOOKUP(C166,'PRECIOS IDU 2025'!$A$1:$E$3189,4,FALSE)</f>
        <v>181765</v>
      </c>
      <c r="I166" s="69">
        <f t="shared" si="31"/>
        <v>236295</v>
      </c>
      <c r="J166" s="69">
        <f t="shared" si="32"/>
        <v>0</v>
      </c>
      <c r="K166" s="9"/>
      <c r="L166" s="3"/>
      <c r="M166" s="76"/>
      <c r="N166" s="78">
        <f t="shared" si="26"/>
        <v>0</v>
      </c>
      <c r="O166" s="76"/>
      <c r="P166" s="78"/>
      <c r="Q166" s="76"/>
      <c r="R166" s="78"/>
      <c r="S166" s="76"/>
      <c r="T166" s="78"/>
      <c r="U166" s="76"/>
      <c r="V166" s="78"/>
      <c r="W166" s="76"/>
      <c r="X166" s="78"/>
      <c r="Y166" s="76"/>
      <c r="Z166" s="78"/>
      <c r="AA166" s="76"/>
      <c r="AB166" s="78"/>
      <c r="AC166" s="76"/>
      <c r="AD166" s="78"/>
      <c r="AE166" s="76"/>
      <c r="AF166" s="78"/>
      <c r="AG166" s="76"/>
      <c r="AH166" s="78"/>
      <c r="AI166" s="76"/>
      <c r="AJ166" s="78"/>
      <c r="AK166" s="76"/>
      <c r="AL166" s="78"/>
      <c r="AM166" s="76"/>
      <c r="AN166" s="78"/>
      <c r="AO166" s="76"/>
      <c r="AP166" s="78">
        <f t="shared" si="33"/>
        <v>0</v>
      </c>
      <c r="AQ166" s="76"/>
      <c r="AR166" s="78"/>
      <c r="AS166" s="76"/>
      <c r="AT166" s="78"/>
      <c r="AU166" s="76"/>
      <c r="AV166" s="78"/>
      <c r="AW166" s="76"/>
      <c r="AX166" s="78"/>
      <c r="AY166" s="76"/>
      <c r="AZ166" s="78"/>
      <c r="BA166" s="76"/>
      <c r="BB166" s="78"/>
      <c r="BC166" s="76"/>
      <c r="BD166" s="78"/>
      <c r="BE166" s="76"/>
      <c r="BF166" s="78"/>
      <c r="BG166" s="76"/>
      <c r="BH166" s="78"/>
      <c r="BI166" s="76"/>
      <c r="BJ166" s="78"/>
    </row>
    <row r="167" spans="1:62"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30"/>
        <v>0</v>
      </c>
      <c r="H167" s="69">
        <f>+VLOOKUP(C167,'PRECIOS IDU 2025'!$A$1:$E$3189,4,FALSE)</f>
        <v>151470</v>
      </c>
      <c r="I167" s="69">
        <f t="shared" si="31"/>
        <v>196911</v>
      </c>
      <c r="J167" s="69">
        <f t="shared" si="32"/>
        <v>0</v>
      </c>
      <c r="K167" s="9"/>
      <c r="L167" s="3"/>
      <c r="M167" s="76"/>
      <c r="N167" s="78">
        <f t="shared" si="26"/>
        <v>0</v>
      </c>
      <c r="O167" s="76"/>
      <c r="P167" s="78"/>
      <c r="Q167" s="76"/>
      <c r="R167" s="78"/>
      <c r="S167" s="76"/>
      <c r="T167" s="78"/>
      <c r="U167" s="76"/>
      <c r="V167" s="78"/>
      <c r="W167" s="76"/>
      <c r="X167" s="78"/>
      <c r="Y167" s="76"/>
      <c r="Z167" s="78"/>
      <c r="AA167" s="76"/>
      <c r="AB167" s="78"/>
      <c r="AC167" s="76"/>
      <c r="AD167" s="78"/>
      <c r="AE167" s="76"/>
      <c r="AF167" s="78"/>
      <c r="AG167" s="76"/>
      <c r="AH167" s="78"/>
      <c r="AI167" s="76"/>
      <c r="AJ167" s="78"/>
      <c r="AK167" s="76"/>
      <c r="AL167" s="78"/>
      <c r="AM167" s="76"/>
      <c r="AN167" s="78"/>
      <c r="AO167" s="76"/>
      <c r="AP167" s="78">
        <f t="shared" si="33"/>
        <v>0</v>
      </c>
      <c r="AQ167" s="76"/>
      <c r="AR167" s="78"/>
      <c r="AS167" s="76"/>
      <c r="AT167" s="78"/>
      <c r="AU167" s="76"/>
      <c r="AV167" s="78"/>
      <c r="AW167" s="76"/>
      <c r="AX167" s="78"/>
      <c r="AY167" s="76"/>
      <c r="AZ167" s="78"/>
      <c r="BA167" s="76"/>
      <c r="BB167" s="78"/>
      <c r="BC167" s="76"/>
      <c r="BD167" s="78"/>
      <c r="BE167" s="76"/>
      <c r="BF167" s="78"/>
      <c r="BG167" s="76"/>
      <c r="BH167" s="78"/>
      <c r="BI167" s="76"/>
      <c r="BJ167" s="78"/>
    </row>
    <row r="168" spans="1:62"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30"/>
        <v>770</v>
      </c>
      <c r="H168" s="69">
        <f>+VLOOKUP(C168,'PRECIOS IDU 2025'!$A$1:$E$3189,4,FALSE)</f>
        <v>2505</v>
      </c>
      <c r="I168" s="69">
        <f t="shared" si="31"/>
        <v>3257</v>
      </c>
      <c r="J168" s="69">
        <f t="shared" si="32"/>
        <v>2507890</v>
      </c>
      <c r="K168" s="9"/>
      <c r="L168" s="3"/>
      <c r="M168" s="76">
        <f>+M11</f>
        <v>737</v>
      </c>
      <c r="N168" s="78">
        <f t="shared" si="26"/>
        <v>2400409</v>
      </c>
      <c r="O168" s="76"/>
      <c r="P168" s="78"/>
      <c r="Q168" s="76"/>
      <c r="R168" s="78"/>
      <c r="S168" s="76"/>
      <c r="T168" s="78"/>
      <c r="U168" s="76"/>
      <c r="V168" s="78"/>
      <c r="W168" s="76"/>
      <c r="X168" s="78"/>
      <c r="Y168" s="76"/>
      <c r="Z168" s="78"/>
      <c r="AA168" s="76"/>
      <c r="AB168" s="78"/>
      <c r="AC168" s="76"/>
      <c r="AD168" s="78"/>
      <c r="AE168" s="76"/>
      <c r="AF168" s="78"/>
      <c r="AG168" s="76"/>
      <c r="AH168" s="78"/>
      <c r="AI168" s="76"/>
      <c r="AJ168" s="78"/>
      <c r="AK168" s="76"/>
      <c r="AL168" s="78"/>
      <c r="AM168" s="76"/>
      <c r="AN168" s="78"/>
      <c r="AO168" s="76">
        <v>33</v>
      </c>
      <c r="AP168" s="78">
        <f t="shared" si="33"/>
        <v>107481</v>
      </c>
      <c r="AQ168" s="76"/>
      <c r="AR168" s="78"/>
      <c r="AS168" s="76"/>
      <c r="AT168" s="78"/>
      <c r="AU168" s="76"/>
      <c r="AV168" s="78"/>
      <c r="AW168" s="76"/>
      <c r="AX168" s="78"/>
      <c r="AY168" s="76"/>
      <c r="AZ168" s="78"/>
      <c r="BA168" s="76"/>
      <c r="BB168" s="78"/>
      <c r="BC168" s="76"/>
      <c r="BD168" s="78"/>
      <c r="BE168" s="76"/>
      <c r="BF168" s="78"/>
      <c r="BG168" s="76"/>
      <c r="BH168" s="78"/>
      <c r="BI168" s="76"/>
      <c r="BJ168" s="78"/>
    </row>
    <row r="169" spans="1:62"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30"/>
        <v>0</v>
      </c>
      <c r="H169" s="69">
        <f>+VLOOKUP(C169,'PRECIOS IDU 2025'!$A$1:$E$3189,4,FALSE)</f>
        <v>228720</v>
      </c>
      <c r="I169" s="69">
        <f t="shared" si="31"/>
        <v>297336</v>
      </c>
      <c r="J169" s="69">
        <f t="shared" si="32"/>
        <v>0</v>
      </c>
      <c r="K169" s="9"/>
      <c r="L169" s="3"/>
      <c r="M169" s="76"/>
      <c r="N169" s="78">
        <f t="shared" si="26"/>
        <v>0</v>
      </c>
      <c r="O169" s="76"/>
      <c r="P169" s="78"/>
      <c r="Q169" s="76"/>
      <c r="R169" s="78"/>
      <c r="S169" s="76"/>
      <c r="T169" s="78"/>
      <c r="U169" s="76"/>
      <c r="V169" s="78"/>
      <c r="W169" s="76"/>
      <c r="X169" s="78"/>
      <c r="Y169" s="76"/>
      <c r="Z169" s="78"/>
      <c r="AA169" s="76"/>
      <c r="AB169" s="78"/>
      <c r="AC169" s="76"/>
      <c r="AD169" s="78"/>
      <c r="AE169" s="76"/>
      <c r="AF169" s="78"/>
      <c r="AG169" s="76"/>
      <c r="AH169" s="78"/>
      <c r="AI169" s="76"/>
      <c r="AJ169" s="78"/>
      <c r="AK169" s="76"/>
      <c r="AL169" s="78"/>
      <c r="AM169" s="76"/>
      <c r="AN169" s="78"/>
      <c r="AO169" s="76"/>
      <c r="AP169" s="78">
        <f t="shared" si="33"/>
        <v>0</v>
      </c>
      <c r="AQ169" s="76"/>
      <c r="AR169" s="78"/>
      <c r="AS169" s="76"/>
      <c r="AT169" s="78"/>
      <c r="AU169" s="76"/>
      <c r="AV169" s="78"/>
      <c r="AW169" s="76"/>
      <c r="AX169" s="78"/>
      <c r="AY169" s="76"/>
      <c r="AZ169" s="78"/>
      <c r="BA169" s="76"/>
      <c r="BB169" s="78"/>
      <c r="BC169" s="76"/>
      <c r="BD169" s="78"/>
      <c r="BE169" s="76"/>
      <c r="BF169" s="78"/>
      <c r="BG169" s="76"/>
      <c r="BH169" s="78"/>
      <c r="BI169" s="76"/>
      <c r="BJ169" s="78"/>
    </row>
    <row r="170" spans="1:62"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30"/>
        <v>0</v>
      </c>
      <c r="H170" s="69">
        <f>+VLOOKUP(C170,'PRECIOS IDU 2025'!$A$1:$E$3189,4,FALSE)</f>
        <v>330205</v>
      </c>
      <c r="I170" s="69">
        <f t="shared" si="31"/>
        <v>429267</v>
      </c>
      <c r="J170" s="69">
        <f t="shared" si="32"/>
        <v>0</v>
      </c>
      <c r="K170" s="9"/>
      <c r="L170" s="3"/>
      <c r="M170" s="76"/>
      <c r="N170" s="78">
        <f t="shared" si="26"/>
        <v>0</v>
      </c>
      <c r="O170" s="76"/>
      <c r="P170" s="78"/>
      <c r="Q170" s="76"/>
      <c r="R170" s="78"/>
      <c r="S170" s="76"/>
      <c r="T170" s="78"/>
      <c r="U170" s="76"/>
      <c r="V170" s="78"/>
      <c r="W170" s="76"/>
      <c r="X170" s="78"/>
      <c r="Y170" s="76"/>
      <c r="Z170" s="78"/>
      <c r="AA170" s="76"/>
      <c r="AB170" s="78"/>
      <c r="AC170" s="76"/>
      <c r="AD170" s="78"/>
      <c r="AE170" s="76"/>
      <c r="AF170" s="78"/>
      <c r="AG170" s="76"/>
      <c r="AH170" s="78"/>
      <c r="AI170" s="76"/>
      <c r="AJ170" s="78"/>
      <c r="AK170" s="76"/>
      <c r="AL170" s="78"/>
      <c r="AM170" s="76"/>
      <c r="AN170" s="78"/>
      <c r="AO170" s="76"/>
      <c r="AP170" s="78">
        <f t="shared" si="33"/>
        <v>0</v>
      </c>
      <c r="AQ170" s="76"/>
      <c r="AR170" s="78"/>
      <c r="AS170" s="76"/>
      <c r="AT170" s="78"/>
      <c r="AU170" s="76"/>
      <c r="AV170" s="78"/>
      <c r="AW170" s="76"/>
      <c r="AX170" s="78"/>
      <c r="AY170" s="76"/>
      <c r="AZ170" s="78"/>
      <c r="BA170" s="76"/>
      <c r="BB170" s="78"/>
      <c r="BC170" s="76"/>
      <c r="BD170" s="78"/>
      <c r="BE170" s="76"/>
      <c r="BF170" s="78"/>
      <c r="BG170" s="76"/>
      <c r="BH170" s="78"/>
      <c r="BI170" s="76"/>
      <c r="BJ170" s="78"/>
    </row>
    <row r="171" spans="1:62"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30"/>
        <v>115.5</v>
      </c>
      <c r="H171" s="69">
        <f>+VLOOKUP(C171,'PRECIOS IDU 2025'!$A$1:$E$3189,4,FALSE)</f>
        <v>151470</v>
      </c>
      <c r="I171" s="69">
        <f t="shared" si="31"/>
        <v>196911</v>
      </c>
      <c r="J171" s="69">
        <f t="shared" si="32"/>
        <v>22743221</v>
      </c>
      <c r="K171" s="9"/>
      <c r="L171" s="3"/>
      <c r="M171" s="76">
        <f>0.15*M11</f>
        <v>110.55</v>
      </c>
      <c r="N171" s="78">
        <f t="shared" si="26"/>
        <v>21768511</v>
      </c>
      <c r="O171" s="76"/>
      <c r="P171" s="78"/>
      <c r="Q171" s="76"/>
      <c r="R171" s="78"/>
      <c r="S171" s="76"/>
      <c r="T171" s="78"/>
      <c r="U171" s="76"/>
      <c r="V171" s="78"/>
      <c r="W171" s="76"/>
      <c r="X171" s="78"/>
      <c r="Y171" s="76"/>
      <c r="Z171" s="78"/>
      <c r="AA171" s="76"/>
      <c r="AB171" s="78"/>
      <c r="AC171" s="76"/>
      <c r="AD171" s="78"/>
      <c r="AE171" s="76"/>
      <c r="AF171" s="78"/>
      <c r="AG171" s="76"/>
      <c r="AH171" s="78"/>
      <c r="AI171" s="76"/>
      <c r="AJ171" s="78"/>
      <c r="AK171" s="76"/>
      <c r="AL171" s="78"/>
      <c r="AM171" s="76"/>
      <c r="AN171" s="78"/>
      <c r="AO171" s="76">
        <v>4.95</v>
      </c>
      <c r="AP171" s="78">
        <f t="shared" si="33"/>
        <v>974709</v>
      </c>
      <c r="AQ171" s="76"/>
      <c r="AR171" s="78"/>
      <c r="AS171" s="76"/>
      <c r="AT171" s="78"/>
      <c r="AU171" s="76"/>
      <c r="AV171" s="78"/>
      <c r="AW171" s="76"/>
      <c r="AX171" s="78"/>
      <c r="AY171" s="76"/>
      <c r="AZ171" s="78"/>
      <c r="BA171" s="76"/>
      <c r="BB171" s="78"/>
      <c r="BC171" s="76"/>
      <c r="BD171" s="78"/>
      <c r="BE171" s="76"/>
      <c r="BF171" s="78"/>
      <c r="BG171" s="76"/>
      <c r="BH171" s="78"/>
      <c r="BI171" s="76"/>
      <c r="BJ171" s="78"/>
    </row>
    <row r="172" spans="1:62"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30"/>
        <v>0</v>
      </c>
      <c r="H172" s="69">
        <f>+VLOOKUP(C172,'PRECIOS IDU 2025'!$A$1:$E$3189,4,FALSE)</f>
        <v>10907</v>
      </c>
      <c r="I172" s="69">
        <f t="shared" si="31"/>
        <v>14179</v>
      </c>
      <c r="J172" s="69">
        <f t="shared" si="32"/>
        <v>0</v>
      </c>
      <c r="K172" s="9"/>
      <c r="L172" s="3"/>
      <c r="M172" s="76"/>
      <c r="N172" s="78">
        <f t="shared" si="26"/>
        <v>0</v>
      </c>
      <c r="O172" s="76"/>
      <c r="P172" s="78"/>
      <c r="Q172" s="76"/>
      <c r="R172" s="78"/>
      <c r="S172" s="76"/>
      <c r="T172" s="78"/>
      <c r="U172" s="76"/>
      <c r="V172" s="78"/>
      <c r="W172" s="76"/>
      <c r="X172" s="78"/>
      <c r="Y172" s="76"/>
      <c r="Z172" s="78"/>
      <c r="AA172" s="76"/>
      <c r="AB172" s="78"/>
      <c r="AC172" s="76"/>
      <c r="AD172" s="78"/>
      <c r="AE172" s="76"/>
      <c r="AF172" s="78"/>
      <c r="AG172" s="76"/>
      <c r="AH172" s="78"/>
      <c r="AI172" s="76"/>
      <c r="AJ172" s="78"/>
      <c r="AK172" s="76"/>
      <c r="AL172" s="78"/>
      <c r="AM172" s="76"/>
      <c r="AN172" s="78"/>
      <c r="AO172" s="76"/>
      <c r="AP172" s="78">
        <f t="shared" si="33"/>
        <v>0</v>
      </c>
      <c r="AQ172" s="76"/>
      <c r="AR172" s="78"/>
      <c r="AS172" s="76"/>
      <c r="AT172" s="78"/>
      <c r="AU172" s="76"/>
      <c r="AV172" s="78"/>
      <c r="AW172" s="76"/>
      <c r="AX172" s="78"/>
      <c r="AY172" s="76"/>
      <c r="AZ172" s="78"/>
      <c r="BA172" s="76"/>
      <c r="BB172" s="78"/>
      <c r="BC172" s="76"/>
      <c r="BD172" s="78"/>
      <c r="BE172" s="76"/>
      <c r="BF172" s="78"/>
      <c r="BG172" s="76"/>
      <c r="BH172" s="78"/>
      <c r="BI172" s="76"/>
      <c r="BJ172" s="78"/>
    </row>
    <row r="173" spans="1:62"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30"/>
        <v>0</v>
      </c>
      <c r="H173" s="69">
        <f>+VLOOKUP(C173,'PRECIOS IDU 2025'!$A$1:$E$3189,4,FALSE)</f>
        <v>18776</v>
      </c>
      <c r="I173" s="69">
        <f t="shared" si="31"/>
        <v>24409</v>
      </c>
      <c r="J173" s="69">
        <f t="shared" si="32"/>
        <v>0</v>
      </c>
      <c r="K173" s="9"/>
      <c r="L173" s="3"/>
      <c r="M173" s="76"/>
      <c r="N173" s="78">
        <f t="shared" si="26"/>
        <v>0</v>
      </c>
      <c r="O173" s="76"/>
      <c r="P173" s="78"/>
      <c r="Q173" s="76"/>
      <c r="R173" s="78"/>
      <c r="S173" s="76"/>
      <c r="T173" s="78"/>
      <c r="U173" s="76"/>
      <c r="V173" s="78"/>
      <c r="W173" s="76"/>
      <c r="X173" s="78"/>
      <c r="Y173" s="76"/>
      <c r="Z173" s="78"/>
      <c r="AA173" s="76"/>
      <c r="AB173" s="78"/>
      <c r="AC173" s="76"/>
      <c r="AD173" s="78"/>
      <c r="AE173" s="76"/>
      <c r="AF173" s="78"/>
      <c r="AG173" s="76"/>
      <c r="AH173" s="78"/>
      <c r="AI173" s="76"/>
      <c r="AJ173" s="78"/>
      <c r="AK173" s="76"/>
      <c r="AL173" s="78"/>
      <c r="AM173" s="76"/>
      <c r="AN173" s="78"/>
      <c r="AO173" s="76"/>
      <c r="AP173" s="78">
        <f t="shared" si="33"/>
        <v>0</v>
      </c>
      <c r="AQ173" s="76"/>
      <c r="AR173" s="78"/>
      <c r="AS173" s="76"/>
      <c r="AT173" s="78"/>
      <c r="AU173" s="76"/>
      <c r="AV173" s="78"/>
      <c r="AW173" s="76"/>
      <c r="AX173" s="78"/>
      <c r="AY173" s="76"/>
      <c r="AZ173" s="78"/>
      <c r="BA173" s="76"/>
      <c r="BB173" s="78"/>
      <c r="BC173" s="76"/>
      <c r="BD173" s="78"/>
      <c r="BE173" s="76"/>
      <c r="BF173" s="78"/>
      <c r="BG173" s="76"/>
      <c r="BH173" s="78"/>
      <c r="BI173" s="76"/>
      <c r="BJ173" s="78"/>
    </row>
    <row r="174" spans="1:62"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30"/>
        <v>770</v>
      </c>
      <c r="H174" s="69">
        <f>+VLOOKUP(C174,'PRECIOS IDU 2025'!$A$1:$E$3189,4,FALSE)</f>
        <v>4323</v>
      </c>
      <c r="I174" s="69">
        <f t="shared" si="31"/>
        <v>5620</v>
      </c>
      <c r="J174" s="69">
        <f t="shared" si="32"/>
        <v>4327400</v>
      </c>
      <c r="K174" s="9"/>
      <c r="L174" s="3"/>
      <c r="M174" s="76">
        <f>+M11</f>
        <v>737</v>
      </c>
      <c r="N174" s="78">
        <f t="shared" si="26"/>
        <v>4141940</v>
      </c>
      <c r="O174" s="76"/>
      <c r="P174" s="78"/>
      <c r="Q174" s="76"/>
      <c r="R174" s="78"/>
      <c r="S174" s="76"/>
      <c r="T174" s="78"/>
      <c r="U174" s="76"/>
      <c r="V174" s="78"/>
      <c r="W174" s="76"/>
      <c r="X174" s="78"/>
      <c r="Y174" s="76"/>
      <c r="Z174" s="78"/>
      <c r="AA174" s="76"/>
      <c r="AB174" s="78"/>
      <c r="AC174" s="76"/>
      <c r="AD174" s="78"/>
      <c r="AE174" s="76"/>
      <c r="AF174" s="78"/>
      <c r="AG174" s="76"/>
      <c r="AH174" s="78"/>
      <c r="AI174" s="76"/>
      <c r="AJ174" s="78"/>
      <c r="AK174" s="76"/>
      <c r="AL174" s="78"/>
      <c r="AM174" s="76"/>
      <c r="AN174" s="78"/>
      <c r="AO174" s="76">
        <v>33</v>
      </c>
      <c r="AP174" s="78">
        <f t="shared" si="33"/>
        <v>185460</v>
      </c>
      <c r="AQ174" s="76"/>
      <c r="AR174" s="78"/>
      <c r="AS174" s="76"/>
      <c r="AT174" s="78"/>
      <c r="AU174" s="76"/>
      <c r="AV174" s="78"/>
      <c r="AW174" s="76"/>
      <c r="AX174" s="78"/>
      <c r="AY174" s="76"/>
      <c r="AZ174" s="78"/>
      <c r="BA174" s="76"/>
      <c r="BB174" s="78"/>
      <c r="BC174" s="76"/>
      <c r="BD174" s="78"/>
      <c r="BE174" s="76"/>
      <c r="BF174" s="78"/>
      <c r="BG174" s="76"/>
      <c r="BH174" s="78"/>
      <c r="BI174" s="76"/>
      <c r="BJ174" s="78"/>
    </row>
    <row r="175" spans="1:62"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30"/>
        <v>770</v>
      </c>
      <c r="H175" s="69">
        <f>+VLOOKUP(C175,'PRECIOS IDU 2025'!$A$1:$E$3189,4,FALSE)</f>
        <v>5850</v>
      </c>
      <c r="I175" s="69">
        <f t="shared" si="31"/>
        <v>7605</v>
      </c>
      <c r="J175" s="69">
        <f t="shared" si="32"/>
        <v>5855850</v>
      </c>
      <c r="K175" s="9"/>
      <c r="L175" s="3"/>
      <c r="M175" s="76">
        <f>+M11</f>
        <v>737</v>
      </c>
      <c r="N175" s="78">
        <f t="shared" si="26"/>
        <v>5604885</v>
      </c>
      <c r="O175" s="76"/>
      <c r="P175" s="78"/>
      <c r="Q175" s="76"/>
      <c r="R175" s="78"/>
      <c r="S175" s="76"/>
      <c r="T175" s="78"/>
      <c r="U175" s="76"/>
      <c r="V175" s="78"/>
      <c r="W175" s="76"/>
      <c r="X175" s="78"/>
      <c r="Y175" s="76"/>
      <c r="Z175" s="78"/>
      <c r="AA175" s="76"/>
      <c r="AB175" s="78"/>
      <c r="AC175" s="76"/>
      <c r="AD175" s="78"/>
      <c r="AE175" s="76"/>
      <c r="AF175" s="78"/>
      <c r="AG175" s="76"/>
      <c r="AH175" s="78"/>
      <c r="AI175" s="76"/>
      <c r="AJ175" s="78"/>
      <c r="AK175" s="76"/>
      <c r="AL175" s="78"/>
      <c r="AM175" s="76"/>
      <c r="AN175" s="78"/>
      <c r="AO175" s="76">
        <v>33</v>
      </c>
      <c r="AP175" s="78">
        <f t="shared" si="33"/>
        <v>250965</v>
      </c>
      <c r="AQ175" s="76"/>
      <c r="AR175" s="78"/>
      <c r="AS175" s="76"/>
      <c r="AT175" s="78"/>
      <c r="AU175" s="76"/>
      <c r="AV175" s="78"/>
      <c r="AW175" s="76"/>
      <c r="AX175" s="78"/>
      <c r="AY175" s="76"/>
      <c r="AZ175" s="78"/>
      <c r="BA175" s="76"/>
      <c r="BB175" s="78"/>
      <c r="BC175" s="76"/>
      <c r="BD175" s="78"/>
      <c r="BE175" s="76"/>
      <c r="BF175" s="78"/>
      <c r="BG175" s="76"/>
      <c r="BH175" s="78"/>
      <c r="BI175" s="76"/>
      <c r="BJ175" s="78"/>
    </row>
    <row r="176" spans="1:62"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30"/>
        <v>0</v>
      </c>
      <c r="H176" s="69">
        <f>+VLOOKUP(C176,'PRECIOS IDU 2025'!$A$1:$E$3189,4,FALSE)</f>
        <v>26586</v>
      </c>
      <c r="I176" s="69">
        <f t="shared" si="31"/>
        <v>34562</v>
      </c>
      <c r="J176" s="69">
        <f t="shared" si="32"/>
        <v>0</v>
      </c>
      <c r="K176" s="9"/>
      <c r="L176" s="3"/>
      <c r="M176" s="76"/>
      <c r="N176" s="78">
        <f t="shared" si="26"/>
        <v>0</v>
      </c>
      <c r="O176" s="76"/>
      <c r="P176" s="78"/>
      <c r="Q176" s="76"/>
      <c r="R176" s="78"/>
      <c r="S176" s="76"/>
      <c r="T176" s="78"/>
      <c r="U176" s="76"/>
      <c r="V176" s="78"/>
      <c r="W176" s="76"/>
      <c r="X176" s="78"/>
      <c r="Y176" s="76"/>
      <c r="Z176" s="78"/>
      <c r="AA176" s="76"/>
      <c r="AB176" s="78"/>
      <c r="AC176" s="76"/>
      <c r="AD176" s="78"/>
      <c r="AE176" s="76"/>
      <c r="AF176" s="78"/>
      <c r="AG176" s="76"/>
      <c r="AH176" s="78"/>
      <c r="AI176" s="76"/>
      <c r="AJ176" s="78"/>
      <c r="AK176" s="76"/>
      <c r="AL176" s="78"/>
      <c r="AM176" s="76"/>
      <c r="AN176" s="78"/>
      <c r="AO176" s="76"/>
      <c r="AP176" s="78">
        <f t="shared" si="33"/>
        <v>0</v>
      </c>
      <c r="AQ176" s="76"/>
      <c r="AR176" s="78"/>
      <c r="AS176" s="76"/>
      <c r="AT176" s="78"/>
      <c r="AU176" s="76"/>
      <c r="AV176" s="78"/>
      <c r="AW176" s="76"/>
      <c r="AX176" s="78"/>
      <c r="AY176" s="76"/>
      <c r="AZ176" s="78"/>
      <c r="BA176" s="76"/>
      <c r="BB176" s="78"/>
      <c r="BC176" s="76"/>
      <c r="BD176" s="78"/>
      <c r="BE176" s="76"/>
      <c r="BF176" s="78"/>
      <c r="BG176" s="76"/>
      <c r="BH176" s="78"/>
      <c r="BI176" s="76"/>
      <c r="BJ176" s="78"/>
    </row>
    <row r="177" spans="1:62"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30"/>
        <v>0</v>
      </c>
      <c r="H177" s="69">
        <f>+VLOOKUP(C177,'PRECIOS IDU 2025'!$A$1:$E$3189,4,FALSE)</f>
        <v>18726</v>
      </c>
      <c r="I177" s="69">
        <f t="shared" si="31"/>
        <v>24344</v>
      </c>
      <c r="J177" s="69">
        <f t="shared" si="32"/>
        <v>0</v>
      </c>
      <c r="K177" s="9"/>
      <c r="L177" s="3"/>
      <c r="M177" s="76"/>
      <c r="N177" s="78">
        <f t="shared" si="26"/>
        <v>0</v>
      </c>
      <c r="O177" s="76"/>
      <c r="P177" s="78"/>
      <c r="Q177" s="76"/>
      <c r="R177" s="78"/>
      <c r="S177" s="76"/>
      <c r="T177" s="78"/>
      <c r="U177" s="76"/>
      <c r="V177" s="78"/>
      <c r="W177" s="76"/>
      <c r="X177" s="78"/>
      <c r="Y177" s="76"/>
      <c r="Z177" s="78"/>
      <c r="AA177" s="76"/>
      <c r="AB177" s="78"/>
      <c r="AC177" s="76"/>
      <c r="AD177" s="78"/>
      <c r="AE177" s="76"/>
      <c r="AF177" s="78"/>
      <c r="AG177" s="76"/>
      <c r="AH177" s="78"/>
      <c r="AI177" s="76"/>
      <c r="AJ177" s="78"/>
      <c r="AK177" s="76"/>
      <c r="AL177" s="78"/>
      <c r="AM177" s="76"/>
      <c r="AN177" s="78"/>
      <c r="AO177" s="76"/>
      <c r="AP177" s="78">
        <f t="shared" si="33"/>
        <v>0</v>
      </c>
      <c r="AQ177" s="76"/>
      <c r="AR177" s="78"/>
      <c r="AS177" s="76"/>
      <c r="AT177" s="78"/>
      <c r="AU177" s="76"/>
      <c r="AV177" s="78"/>
      <c r="AW177" s="76"/>
      <c r="AX177" s="78"/>
      <c r="AY177" s="76"/>
      <c r="AZ177" s="78"/>
      <c r="BA177" s="76"/>
      <c r="BB177" s="78"/>
      <c r="BC177" s="76"/>
      <c r="BD177" s="78"/>
      <c r="BE177" s="76"/>
      <c r="BF177" s="78"/>
      <c r="BG177" s="76"/>
      <c r="BH177" s="78"/>
      <c r="BI177" s="76"/>
      <c r="BJ177" s="78"/>
    </row>
    <row r="178" spans="1:62"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30"/>
        <v>13.5</v>
      </c>
      <c r="H178" s="69">
        <f>+VLOOKUP(C178,'PRECIOS IDU 2025'!$A$1:$E$3189,4,FALSE)</f>
        <v>144457</v>
      </c>
      <c r="I178" s="69">
        <f t="shared" si="31"/>
        <v>187794</v>
      </c>
      <c r="J178" s="69">
        <f t="shared" si="32"/>
        <v>2535219</v>
      </c>
      <c r="K178" s="9"/>
      <c r="L178" s="3"/>
      <c r="M178" s="76">
        <f>+M12*1.5</f>
        <v>6.75</v>
      </c>
      <c r="N178" s="78">
        <f t="shared" si="26"/>
        <v>1267610</v>
      </c>
      <c r="O178" s="76"/>
      <c r="P178" s="78"/>
      <c r="Q178" s="76"/>
      <c r="R178" s="78"/>
      <c r="S178" s="76"/>
      <c r="T178" s="78"/>
      <c r="U178" s="76"/>
      <c r="V178" s="78"/>
      <c r="W178" s="76"/>
      <c r="X178" s="78"/>
      <c r="Y178" s="76"/>
      <c r="Z178" s="78"/>
      <c r="AA178" s="76"/>
      <c r="AB178" s="78"/>
      <c r="AC178" s="76"/>
      <c r="AD178" s="78"/>
      <c r="AE178" s="76"/>
      <c r="AF178" s="78"/>
      <c r="AG178" s="76"/>
      <c r="AH178" s="78"/>
      <c r="AI178" s="76"/>
      <c r="AJ178" s="78"/>
      <c r="AK178" s="76"/>
      <c r="AL178" s="78"/>
      <c r="AM178" s="76"/>
      <c r="AN178" s="78"/>
      <c r="AO178" s="76">
        <v>6.75</v>
      </c>
      <c r="AP178" s="78">
        <f t="shared" si="33"/>
        <v>1267610</v>
      </c>
      <c r="AQ178" s="76"/>
      <c r="AR178" s="78"/>
      <c r="AS178" s="76"/>
      <c r="AT178" s="78"/>
      <c r="AU178" s="76"/>
      <c r="AV178" s="78"/>
      <c r="AW178" s="76"/>
      <c r="AX178" s="78"/>
      <c r="AY178" s="76"/>
      <c r="AZ178" s="78"/>
      <c r="BA178" s="76"/>
      <c r="BB178" s="78"/>
      <c r="BC178" s="76"/>
      <c r="BD178" s="78"/>
      <c r="BE178" s="76"/>
      <c r="BF178" s="78"/>
      <c r="BG178" s="76"/>
      <c r="BH178" s="78"/>
      <c r="BI178" s="76"/>
      <c r="BJ178" s="78"/>
    </row>
    <row r="179" spans="1:62"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30"/>
        <v>0</v>
      </c>
      <c r="H179" s="69">
        <f>+VLOOKUP(C179,'PRECIOS IDU 2025'!$A$1:$E$3189,4,FALSE)</f>
        <v>222740</v>
      </c>
      <c r="I179" s="69">
        <f t="shared" si="31"/>
        <v>289562</v>
      </c>
      <c r="J179" s="69">
        <f t="shared" si="32"/>
        <v>0</v>
      </c>
      <c r="K179" s="9"/>
      <c r="L179" s="3"/>
      <c r="M179" s="76"/>
      <c r="N179" s="78">
        <f t="shared" si="26"/>
        <v>0</v>
      </c>
      <c r="O179" s="76"/>
      <c r="P179" s="78"/>
      <c r="Q179" s="76"/>
      <c r="R179" s="78"/>
      <c r="S179" s="76"/>
      <c r="T179" s="78"/>
      <c r="U179" s="76"/>
      <c r="V179" s="78"/>
      <c r="W179" s="76"/>
      <c r="X179" s="78"/>
      <c r="Y179" s="76"/>
      <c r="Z179" s="78"/>
      <c r="AA179" s="76"/>
      <c r="AB179" s="78"/>
      <c r="AC179" s="76"/>
      <c r="AD179" s="78"/>
      <c r="AE179" s="76"/>
      <c r="AF179" s="78"/>
      <c r="AG179" s="76"/>
      <c r="AH179" s="78"/>
      <c r="AI179" s="76"/>
      <c r="AJ179" s="78"/>
      <c r="AK179" s="76"/>
      <c r="AL179" s="78"/>
      <c r="AM179" s="76"/>
      <c r="AN179" s="78"/>
      <c r="AO179" s="76"/>
      <c r="AP179" s="78">
        <f t="shared" si="33"/>
        <v>0</v>
      </c>
      <c r="AQ179" s="76"/>
      <c r="AR179" s="78"/>
      <c r="AS179" s="76"/>
      <c r="AT179" s="78"/>
      <c r="AU179" s="76"/>
      <c r="AV179" s="78"/>
      <c r="AW179" s="76"/>
      <c r="AX179" s="78"/>
      <c r="AY179" s="76"/>
      <c r="AZ179" s="78"/>
      <c r="BA179" s="76"/>
      <c r="BB179" s="78"/>
      <c r="BC179" s="76"/>
      <c r="BD179" s="78"/>
      <c r="BE179" s="76"/>
      <c r="BF179" s="78"/>
      <c r="BG179" s="76"/>
      <c r="BH179" s="78"/>
      <c r="BI179" s="76"/>
      <c r="BJ179" s="78"/>
    </row>
    <row r="180" spans="1:62"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c r="Y180" s="76"/>
      <c r="Z180" s="78"/>
      <c r="AA180" s="76"/>
      <c r="AB180" s="78"/>
      <c r="AC180" s="76"/>
      <c r="AD180" s="78"/>
      <c r="AE180" s="76"/>
      <c r="AF180" s="78"/>
      <c r="AG180" s="76"/>
      <c r="AH180" s="78"/>
      <c r="AI180" s="76"/>
      <c r="AJ180" s="78"/>
      <c r="AK180" s="76"/>
      <c r="AL180" s="78"/>
      <c r="AM180" s="76"/>
      <c r="AN180" s="78"/>
      <c r="AO180" s="76"/>
      <c r="AP180" s="78"/>
      <c r="AQ180" s="76"/>
      <c r="AR180" s="78"/>
      <c r="AS180" s="76"/>
      <c r="AT180" s="78"/>
      <c r="AU180" s="76"/>
      <c r="AV180" s="78"/>
      <c r="AW180" s="76"/>
      <c r="AX180" s="78"/>
      <c r="AY180" s="76"/>
      <c r="AZ180" s="78"/>
      <c r="BA180" s="76"/>
      <c r="BB180" s="78"/>
      <c r="BC180" s="76"/>
      <c r="BD180" s="78"/>
      <c r="BE180" s="76"/>
      <c r="BF180" s="78"/>
      <c r="BG180" s="76"/>
      <c r="BH180" s="78"/>
      <c r="BI180" s="76"/>
      <c r="BJ180" s="78"/>
    </row>
    <row r="181" spans="1:62" s="22" customFormat="1" ht="30" customHeight="1" thickBot="1" x14ac:dyDescent="0.35">
      <c r="A181" s="17"/>
      <c r="B181" s="18"/>
      <c r="C181" s="573" t="s">
        <v>6083</v>
      </c>
      <c r="D181" s="574"/>
      <c r="E181" s="574"/>
      <c r="F181" s="574"/>
      <c r="G181" s="574"/>
      <c r="H181" s="575"/>
      <c r="I181" s="19"/>
      <c r="J181" s="20" t="e">
        <f>+SUM(J17:J163)</f>
        <v>#N/A</v>
      </c>
      <c r="K181" s="21"/>
      <c r="L181" s="17"/>
      <c r="M181" s="77" t="s">
        <v>6084</v>
      </c>
      <c r="N181" s="79" t="e">
        <f>+SUM(N17:N179)</f>
        <v>#N/A</v>
      </c>
      <c r="O181" s="77"/>
      <c r="P181" s="79"/>
      <c r="Q181" s="77"/>
      <c r="R181" s="79"/>
      <c r="S181" s="77"/>
      <c r="T181" s="79"/>
      <c r="U181" s="77"/>
      <c r="V181" s="79"/>
      <c r="W181" s="77"/>
      <c r="X181" s="79"/>
      <c r="Y181" s="77"/>
      <c r="Z181" s="79"/>
      <c r="AA181" s="77"/>
      <c r="AB181" s="79"/>
      <c r="AC181" s="77"/>
      <c r="AD181" s="79"/>
      <c r="AE181" s="77"/>
      <c r="AF181" s="79"/>
      <c r="AG181" s="77"/>
      <c r="AH181" s="79"/>
      <c r="AI181" s="77"/>
      <c r="AJ181" s="79"/>
      <c r="AK181" s="77"/>
      <c r="AL181" s="79"/>
      <c r="AM181" s="77"/>
      <c r="AN181" s="79"/>
      <c r="AO181" s="77" t="s">
        <v>6084</v>
      </c>
      <c r="AP181" s="79" t="e">
        <f>+SUM(AP17:AP179)</f>
        <v>#N/A</v>
      </c>
      <c r="AQ181" s="77"/>
      <c r="AR181" s="79"/>
      <c r="AS181" s="77"/>
      <c r="AT181" s="79"/>
      <c r="AU181" s="77"/>
      <c r="AV181" s="79"/>
      <c r="AW181" s="77"/>
      <c r="AX181" s="79"/>
      <c r="AY181" s="77"/>
      <c r="AZ181" s="79"/>
      <c r="BA181" s="77"/>
      <c r="BB181" s="79"/>
      <c r="BC181" s="77"/>
      <c r="BD181" s="79"/>
      <c r="BE181" s="77"/>
      <c r="BF181" s="79"/>
      <c r="BG181" s="77"/>
      <c r="BH181" s="79"/>
      <c r="BI181" s="77"/>
      <c r="BJ181" s="79"/>
    </row>
    <row r="182" spans="1:62"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c r="BE182" s="17"/>
      <c r="BF182" s="17"/>
      <c r="BG182" s="17"/>
      <c r="BH182" s="17"/>
      <c r="BI182" s="17"/>
      <c r="BJ182" s="17"/>
    </row>
    <row r="183" spans="1:62"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c r="BE183" s="17"/>
      <c r="BF183" s="17"/>
      <c r="BG183" s="17"/>
      <c r="BH183" s="17"/>
      <c r="BI183" s="17"/>
      <c r="BJ183" s="17"/>
    </row>
    <row r="184" spans="1:62"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f>+M8</f>
        <v>3002488</v>
      </c>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f>+AO8</f>
        <v>3002758</v>
      </c>
      <c r="AP184" s="17"/>
      <c r="AQ184" s="17"/>
      <c r="AR184" s="17"/>
      <c r="AS184" s="17"/>
      <c r="AT184" s="17"/>
      <c r="AU184" s="17"/>
      <c r="AV184" s="17"/>
      <c r="AW184" s="17"/>
      <c r="AX184" s="17"/>
      <c r="AY184" s="17"/>
      <c r="AZ184" s="17"/>
      <c r="BA184" s="17"/>
      <c r="BB184" s="17"/>
      <c r="BC184" s="17"/>
      <c r="BD184" s="17"/>
      <c r="BE184" s="17"/>
      <c r="BF184" s="17"/>
      <c r="BG184" s="17"/>
      <c r="BH184" s="17"/>
      <c r="BI184" s="17"/>
      <c r="BJ184" s="17"/>
    </row>
    <row r="185" spans="1:62" s="22" customFormat="1" ht="30" customHeight="1" thickBot="1" x14ac:dyDescent="0.35">
      <c r="A185" s="17"/>
      <c r="B185" s="18"/>
      <c r="C185" s="25"/>
      <c r="D185" s="26"/>
      <c r="E185" s="29" t="s">
        <v>181</v>
      </c>
      <c r="F185" s="30"/>
      <c r="G185" s="31"/>
      <c r="H185" s="32"/>
      <c r="I185" s="57"/>
      <c r="J185" s="20" t="e">
        <f>+J181+J183+J184</f>
        <v>#N/A</v>
      </c>
      <c r="K185" s="21"/>
      <c r="L185" s="17"/>
      <c r="M185" s="97" t="e">
        <f>+SUM(N17:N110,N130:N179)</f>
        <v>#N/A</v>
      </c>
      <c r="N185" s="17"/>
      <c r="O185" s="97"/>
      <c r="P185" s="17"/>
      <c r="Q185" s="97"/>
      <c r="R185" s="17"/>
      <c r="S185" s="97"/>
      <c r="T185" s="17"/>
      <c r="U185" s="97"/>
      <c r="V185" s="17"/>
      <c r="W185" s="97"/>
      <c r="X185" s="17"/>
      <c r="Y185" s="97"/>
      <c r="Z185" s="17"/>
      <c r="AA185" s="97"/>
      <c r="AB185" s="17"/>
      <c r="AC185" s="97"/>
      <c r="AD185" s="17"/>
      <c r="AE185" s="97"/>
      <c r="AF185" s="17"/>
      <c r="AG185" s="97"/>
      <c r="AH185" s="17"/>
      <c r="AI185" s="97"/>
      <c r="AJ185" s="17"/>
      <c r="AK185" s="97"/>
      <c r="AL185" s="17"/>
      <c r="AM185" s="97"/>
      <c r="AN185" s="17"/>
      <c r="AO185" s="97" t="e">
        <f>+SUM(AP17:AP110,AP130:AP179)</f>
        <v>#N/A</v>
      </c>
      <c r="AP185" s="17"/>
      <c r="AQ185" s="97"/>
      <c r="AR185" s="17"/>
      <c r="AS185" s="97"/>
      <c r="AT185" s="17"/>
      <c r="AU185" s="97"/>
      <c r="AV185" s="17"/>
      <c r="AW185" s="97"/>
      <c r="AX185" s="17"/>
      <c r="AY185" s="97"/>
      <c r="AZ185" s="17"/>
      <c r="BA185" s="97"/>
      <c r="BB185" s="17"/>
      <c r="BC185" s="97"/>
      <c r="BD185" s="17"/>
      <c r="BE185" s="97"/>
      <c r="BF185" s="17"/>
      <c r="BG185" s="97"/>
      <c r="BH185" s="17"/>
      <c r="BI185" s="97"/>
      <c r="BJ185" s="17"/>
    </row>
    <row r="186" spans="1:62" s="22" customFormat="1" ht="16.2" thickBot="1" x14ac:dyDescent="0.35">
      <c r="A186" s="17"/>
      <c r="B186" s="18"/>
      <c r="C186" s="25"/>
      <c r="D186" s="26"/>
      <c r="E186" s="25"/>
      <c r="F186" s="25"/>
      <c r="G186" s="33"/>
      <c r="H186" s="34"/>
      <c r="I186" s="34"/>
      <c r="J186" s="35"/>
      <c r="K186" s="21"/>
      <c r="L186" s="17"/>
      <c r="M186" s="97">
        <f>+SUM(N111:N128)</f>
        <v>78578940</v>
      </c>
      <c r="N186" s="17"/>
      <c r="O186" s="97"/>
      <c r="P186" s="17"/>
      <c r="Q186" s="97"/>
      <c r="R186" s="17"/>
      <c r="S186" s="97"/>
      <c r="T186" s="17"/>
      <c r="U186" s="97"/>
      <c r="V186" s="17"/>
      <c r="W186" s="97"/>
      <c r="X186" s="17"/>
      <c r="Y186" s="97"/>
      <c r="Z186" s="17"/>
      <c r="AA186" s="97"/>
      <c r="AB186" s="17"/>
      <c r="AC186" s="97"/>
      <c r="AD186" s="17"/>
      <c r="AE186" s="97"/>
      <c r="AF186" s="17"/>
      <c r="AG186" s="97"/>
      <c r="AH186" s="17"/>
      <c r="AI186" s="97"/>
      <c r="AJ186" s="17"/>
      <c r="AK186" s="97"/>
      <c r="AL186" s="17"/>
      <c r="AM186" s="97"/>
      <c r="AN186" s="17"/>
      <c r="AO186" s="97">
        <f>+SUM(AP111:AP128)</f>
        <v>3518460</v>
      </c>
      <c r="AP186" s="17"/>
      <c r="AQ186" s="97"/>
      <c r="AR186" s="17"/>
      <c r="AS186" s="97"/>
      <c r="AT186" s="17"/>
      <c r="AU186" s="97"/>
      <c r="AV186" s="17"/>
      <c r="AW186" s="97"/>
      <c r="AX186" s="17"/>
      <c r="AY186" s="97"/>
      <c r="AZ186" s="17"/>
      <c r="BA186" s="97"/>
      <c r="BB186" s="17"/>
      <c r="BC186" s="97"/>
      <c r="BD186" s="17"/>
      <c r="BE186" s="97"/>
      <c r="BF186" s="17"/>
      <c r="BG186" s="97"/>
      <c r="BH186" s="17"/>
      <c r="BI186" s="97"/>
      <c r="BJ186" s="17"/>
    </row>
    <row r="187" spans="1:62"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row>
    <row r="188" spans="1:62" s="22" customFormat="1" ht="46.5" customHeight="1" x14ac:dyDescent="0.3">
      <c r="A188" s="17"/>
      <c r="B188" s="18"/>
      <c r="C188" s="562" t="s">
        <v>47</v>
      </c>
      <c r="D188" s="558"/>
      <c r="E188" s="558"/>
      <c r="F188" s="567" t="s">
        <v>48</v>
      </c>
      <c r="G188" s="567"/>
      <c r="H188" s="567"/>
      <c r="I188" s="58"/>
      <c r="J188" s="38" t="s">
        <v>49</v>
      </c>
      <c r="K188" s="39"/>
      <c r="L188" s="71" t="e">
        <f>+SUM(M185:BR186)</f>
        <v>#N/A</v>
      </c>
      <c r="M188" s="71"/>
      <c r="N188" s="71"/>
      <c r="O188" s="71"/>
      <c r="P188" s="71"/>
      <c r="Q188" s="71"/>
      <c r="R188" s="71"/>
      <c r="S188" s="71"/>
      <c r="T188" s="71"/>
      <c r="U188" s="71"/>
      <c r="V188" s="71"/>
      <c r="W188" s="71"/>
      <c r="X188" s="71"/>
    </row>
    <row r="189" spans="1:62" s="22" customFormat="1" ht="47.25" customHeight="1" x14ac:dyDescent="0.3">
      <c r="A189" s="17"/>
      <c r="B189" s="18"/>
      <c r="C189" s="562" t="s">
        <v>50</v>
      </c>
      <c r="D189" s="558"/>
      <c r="E189" s="558"/>
      <c r="F189" s="563" t="s">
        <v>51</v>
      </c>
      <c r="G189" s="563"/>
      <c r="H189" s="40" t="s">
        <v>52</v>
      </c>
      <c r="I189" s="59"/>
      <c r="J189" s="72">
        <v>0.25</v>
      </c>
      <c r="K189" s="39"/>
      <c r="L189" s="71"/>
      <c r="M189" s="71"/>
      <c r="N189" s="71">
        <v>1941407194</v>
      </c>
      <c r="O189" s="71"/>
      <c r="P189" s="71"/>
      <c r="Q189" s="71"/>
      <c r="R189" s="71"/>
      <c r="S189" s="71"/>
      <c r="T189" s="71"/>
      <c r="U189" s="71"/>
      <c r="V189" s="71"/>
      <c r="W189" s="71"/>
      <c r="X189" s="71"/>
    </row>
    <row r="190" spans="1:62"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row>
    <row r="191" spans="1:62"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row>
    <row r="192" spans="1:62"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row>
    <row r="193" spans="1:24"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row>
    <row r="194" spans="1:24"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row>
    <row r="195" spans="1:24"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row>
  </sheetData>
  <mergeCells count="81">
    <mergeCell ref="C3:D3"/>
    <mergeCell ref="C5:J5"/>
    <mergeCell ref="C6:J6"/>
    <mergeCell ref="C7:E7"/>
    <mergeCell ref="F7:J9"/>
    <mergeCell ref="C8:E8"/>
    <mergeCell ref="C9:E9"/>
    <mergeCell ref="C10:D12"/>
    <mergeCell ref="E10:J12"/>
    <mergeCell ref="C13:J13"/>
    <mergeCell ref="C14:C15"/>
    <mergeCell ref="D14:D15"/>
    <mergeCell ref="E14:E15"/>
    <mergeCell ref="F14:F15"/>
    <mergeCell ref="G14:G15"/>
    <mergeCell ref="H14:H15"/>
    <mergeCell ref="I14:I15"/>
    <mergeCell ref="AC14:AC15"/>
    <mergeCell ref="C189:E189"/>
    <mergeCell ref="F189:G189"/>
    <mergeCell ref="C190:E190"/>
    <mergeCell ref="F190:G190"/>
    <mergeCell ref="X14:X15"/>
    <mergeCell ref="C181:H181"/>
    <mergeCell ref="E183:G183"/>
    <mergeCell ref="E184:G184"/>
    <mergeCell ref="D187:J187"/>
    <mergeCell ref="C188:E188"/>
    <mergeCell ref="F188:H188"/>
    <mergeCell ref="R14:R15"/>
    <mergeCell ref="S14:S15"/>
    <mergeCell ref="T14:T15"/>
    <mergeCell ref="U14:U15"/>
    <mergeCell ref="F193:J193"/>
    <mergeCell ref="Y14:Y15"/>
    <mergeCell ref="Z14:Z15"/>
    <mergeCell ref="AA14:AA15"/>
    <mergeCell ref="AB14:AB15"/>
    <mergeCell ref="F191:G191"/>
    <mergeCell ref="F192:G192"/>
    <mergeCell ref="V14:V15"/>
    <mergeCell ref="W14:W15"/>
    <mergeCell ref="J14:J15"/>
    <mergeCell ref="M14:M15"/>
    <mergeCell ref="N14:N15"/>
    <mergeCell ref="O14:O15"/>
    <mergeCell ref="P14:P15"/>
    <mergeCell ref="Q14:Q15"/>
    <mergeCell ref="AO14:AO15"/>
    <mergeCell ref="AD14:AD15"/>
    <mergeCell ref="AE14:AE15"/>
    <mergeCell ref="AF14:AF15"/>
    <mergeCell ref="AG14:AG15"/>
    <mergeCell ref="AH14:AH15"/>
    <mergeCell ref="AI14:AI15"/>
    <mergeCell ref="AJ14:AJ15"/>
    <mergeCell ref="AK14:AK15"/>
    <mergeCell ref="AL14:AL15"/>
    <mergeCell ref="AM14:AM15"/>
    <mergeCell ref="AN14:AN15"/>
    <mergeCell ref="BA14:BA15"/>
    <mergeCell ref="AP14:AP15"/>
    <mergeCell ref="AQ14:AQ15"/>
    <mergeCell ref="AR14:AR15"/>
    <mergeCell ref="AS14:AS15"/>
    <mergeCell ref="AT14:AT15"/>
    <mergeCell ref="AU14:AU15"/>
    <mergeCell ref="AV14:AV15"/>
    <mergeCell ref="AW14:AW15"/>
    <mergeCell ref="AX14:AX15"/>
    <mergeCell ref="AY14:AY15"/>
    <mergeCell ref="AZ14:AZ15"/>
    <mergeCell ref="BH14:BH15"/>
    <mergeCell ref="BI14:BI15"/>
    <mergeCell ref="BJ14:BJ15"/>
    <mergeCell ref="BB14:BB15"/>
    <mergeCell ref="BC14:BC15"/>
    <mergeCell ref="BD14:BD15"/>
    <mergeCell ref="BE14:BE15"/>
    <mergeCell ref="BF14:BF15"/>
    <mergeCell ref="BG14:BG1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9C6C6-834A-44E3-B445-F2AAC0190325}">
  <sheetPr>
    <tabColor rgb="FFFFC000"/>
  </sheetPr>
  <dimension ref="A1:AL195"/>
  <sheetViews>
    <sheetView showGridLines="0" view="pageBreakPreview" topLeftCell="S163" zoomScale="55" zoomScaleNormal="100" zoomScaleSheetLayoutView="55" zoomScalePageLayoutView="55" workbookViewId="0">
      <selection activeCell="G40" sqref="G40"/>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2.33203125" style="4" bestFit="1" customWidth="1"/>
    <col min="13" max="13" width="31.6640625" style="4" customWidth="1"/>
    <col min="14" max="15" width="25.6640625" style="4" customWidth="1"/>
    <col min="16" max="16" width="26.88671875" style="4" bestFit="1" customWidth="1"/>
    <col min="17" max="32" width="25.6640625" style="4" customWidth="1"/>
    <col min="33" max="33" width="19.109375" style="4" bestFit="1" customWidth="1"/>
    <col min="34" max="34" width="25.109375" style="4" bestFit="1" customWidth="1"/>
    <col min="35" max="35" width="20.109375" style="4" bestFit="1" customWidth="1"/>
    <col min="36" max="36" width="25.109375" style="4" bestFit="1" customWidth="1"/>
    <col min="37" max="37" width="19.109375" style="4" bestFit="1" customWidth="1"/>
    <col min="38" max="38" width="25.109375" style="4" bestFit="1" customWidth="1"/>
    <col min="39" max="16384" width="11.44140625" style="4"/>
  </cols>
  <sheetData>
    <row r="1" spans="1:38" ht="16.2" thickBot="1" x14ac:dyDescent="0.35">
      <c r="A1" s="3"/>
      <c r="B1" s="3"/>
      <c r="C1" s="3"/>
      <c r="D1" s="3"/>
      <c r="E1" s="3"/>
      <c r="F1" s="3"/>
      <c r="G1" s="3"/>
      <c r="H1" s="3"/>
      <c r="I1" s="3"/>
      <c r="J1" s="3"/>
      <c r="K1" s="3"/>
      <c r="L1" s="3"/>
      <c r="M1" s="3" t="s">
        <v>6060</v>
      </c>
      <c r="N1" s="3"/>
      <c r="O1" s="3"/>
      <c r="P1" s="3"/>
      <c r="Q1" s="3"/>
      <c r="R1" s="3" t="s">
        <v>6061</v>
      </c>
      <c r="S1" s="3"/>
      <c r="T1" s="3"/>
      <c r="U1" s="3"/>
      <c r="V1" s="3"/>
      <c r="W1" s="3"/>
      <c r="X1" s="3"/>
      <c r="Y1" s="3"/>
      <c r="Z1" s="3"/>
      <c r="AA1" s="3"/>
      <c r="AB1" s="3"/>
      <c r="AC1" s="3"/>
      <c r="AD1" s="3"/>
      <c r="AE1" s="3"/>
      <c r="AF1" s="3"/>
    </row>
    <row r="2" spans="1:38"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c r="Y2" s="3"/>
      <c r="Z2" s="3"/>
      <c r="AA2" s="3"/>
      <c r="AB2" s="3"/>
      <c r="AC2" s="3"/>
      <c r="AD2" s="3"/>
      <c r="AE2" s="3"/>
      <c r="AF2" s="3"/>
    </row>
    <row r="3" spans="1:38"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c r="Y3" s="3"/>
      <c r="Z3" s="3"/>
      <c r="AA3" s="3"/>
      <c r="AB3" s="3"/>
      <c r="AC3" s="3"/>
      <c r="AD3" s="3"/>
      <c r="AE3" s="3"/>
      <c r="AF3" s="3"/>
    </row>
    <row r="4" spans="1:38" ht="15.6" x14ac:dyDescent="0.3">
      <c r="A4" s="3"/>
      <c r="B4" s="8"/>
      <c r="C4" s="10" t="s">
        <v>1</v>
      </c>
      <c r="D4" s="11" t="s">
        <v>2</v>
      </c>
      <c r="E4" s="3"/>
      <c r="F4" s="3"/>
      <c r="G4" s="3"/>
      <c r="H4" s="3"/>
      <c r="I4" s="3"/>
      <c r="J4" s="3"/>
      <c r="K4" s="9"/>
      <c r="L4" s="3"/>
      <c r="M4" s="3" t="s">
        <v>6067</v>
      </c>
      <c r="N4" s="3"/>
      <c r="O4" s="3"/>
      <c r="P4" s="3"/>
      <c r="Q4" s="3"/>
      <c r="R4" s="3"/>
      <c r="S4" s="3"/>
      <c r="T4" s="3"/>
      <c r="U4" s="3"/>
      <c r="V4" s="3"/>
      <c r="W4" s="3"/>
      <c r="X4" s="3"/>
      <c r="Y4" s="3"/>
      <c r="Z4" s="3"/>
      <c r="AA4" s="3"/>
      <c r="AB4" s="3"/>
      <c r="AC4" s="3"/>
      <c r="AD4" s="3"/>
      <c r="AE4" s="3"/>
      <c r="AF4" s="3"/>
    </row>
    <row r="5" spans="1:38"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c r="Y5" s="3"/>
      <c r="Z5" s="3"/>
      <c r="AA5" s="3"/>
      <c r="AB5" s="3"/>
      <c r="AC5" s="3"/>
      <c r="AD5" s="3"/>
      <c r="AE5" s="3"/>
      <c r="AF5" s="3"/>
    </row>
    <row r="6" spans="1:38"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c r="Y6" s="3"/>
      <c r="Z6" s="3"/>
      <c r="AA6" s="3"/>
      <c r="AB6" s="3"/>
      <c r="AC6" s="3"/>
      <c r="AD6" s="3"/>
      <c r="AE6" s="3"/>
      <c r="AF6" s="3"/>
    </row>
    <row r="7" spans="1:38" s="15" customFormat="1" ht="16.5" customHeight="1" x14ac:dyDescent="0.3">
      <c r="A7" s="12"/>
      <c r="B7" s="13"/>
      <c r="C7" s="588" t="s">
        <v>5</v>
      </c>
      <c r="D7" s="589"/>
      <c r="E7" s="589"/>
      <c r="F7" s="590"/>
      <c r="G7" s="590"/>
      <c r="H7" s="590"/>
      <c r="I7" s="591"/>
      <c r="J7" s="592"/>
      <c r="K7" s="14"/>
      <c r="L7" s="12"/>
      <c r="M7" s="92" t="e">
        <f>+N181</f>
        <v>#N/A</v>
      </c>
      <c r="O7" s="92"/>
      <c r="Q7" s="92"/>
      <c r="R7" s="12"/>
      <c r="S7" s="92"/>
      <c r="T7" s="12"/>
      <c r="U7" s="92" t="e">
        <f>+V181</f>
        <v>#N/A</v>
      </c>
      <c r="V7" s="12"/>
      <c r="W7" s="92" t="e">
        <f>+X181</f>
        <v>#N/A</v>
      </c>
      <c r="X7" s="12"/>
      <c r="Y7" s="92"/>
      <c r="Z7" s="12"/>
      <c r="AA7" s="92" t="e">
        <f>+AB181</f>
        <v>#N/A</v>
      </c>
      <c r="AB7" s="12"/>
      <c r="AC7" s="92" t="e">
        <f>+AD181</f>
        <v>#N/A</v>
      </c>
      <c r="AD7" s="12"/>
      <c r="AE7" s="92"/>
      <c r="AF7" s="12"/>
      <c r="AG7" s="92" t="e">
        <f>+AH181</f>
        <v>#N/A</v>
      </c>
      <c r="AI7" s="92"/>
      <c r="AK7" s="92"/>
    </row>
    <row r="8" spans="1:38" ht="15.6" x14ac:dyDescent="0.3">
      <c r="A8" s="3"/>
      <c r="B8" s="16"/>
      <c r="C8" s="596" t="s">
        <v>6</v>
      </c>
      <c r="D8" s="597"/>
      <c r="E8" s="597"/>
      <c r="F8" s="593"/>
      <c r="G8" s="593"/>
      <c r="H8" s="593"/>
      <c r="I8" s="594"/>
      <c r="J8" s="595"/>
      <c r="K8" s="9"/>
      <c r="L8" s="80" t="s">
        <v>5794</v>
      </c>
      <c r="M8" s="1">
        <v>3001317</v>
      </c>
      <c r="N8" s="3"/>
      <c r="O8" s="1"/>
      <c r="P8" s="3"/>
      <c r="Q8" s="74"/>
      <c r="R8" s="3"/>
      <c r="S8" s="74"/>
      <c r="T8" s="3"/>
      <c r="U8" s="1">
        <v>3001709</v>
      </c>
      <c r="V8" s="3"/>
      <c r="W8" s="1">
        <v>3001711</v>
      </c>
      <c r="X8" s="3"/>
      <c r="Y8" s="1"/>
      <c r="Z8" s="3"/>
      <c r="AA8" s="1">
        <v>3002256</v>
      </c>
      <c r="AB8" s="3"/>
      <c r="AC8" s="1">
        <v>3002546</v>
      </c>
      <c r="AD8" s="3"/>
      <c r="AE8" s="74"/>
      <c r="AF8" s="3"/>
      <c r="AG8" s="1">
        <v>3002833</v>
      </c>
      <c r="AH8" s="3"/>
      <c r="AI8" s="74"/>
      <c r="AJ8" s="3"/>
      <c r="AK8" s="74"/>
      <c r="AL8" s="3"/>
    </row>
    <row r="9" spans="1:38" ht="15.6" x14ac:dyDescent="0.3">
      <c r="A9" s="3"/>
      <c r="B9" s="16"/>
      <c r="C9" s="596" t="s">
        <v>6070</v>
      </c>
      <c r="D9" s="597"/>
      <c r="E9" s="597"/>
      <c r="F9" s="593"/>
      <c r="G9" s="593"/>
      <c r="H9" s="593"/>
      <c r="I9" s="594"/>
      <c r="J9" s="595"/>
      <c r="K9" s="9"/>
      <c r="L9" s="80" t="s">
        <v>6071</v>
      </c>
      <c r="M9" s="74" t="str">
        <f>++VLOOKUP(M8,'LISTADO CIV RIGIDOS'!$D$2:$K$59,7)</f>
        <v>RIGIDO</v>
      </c>
      <c r="O9" s="74"/>
      <c r="Q9" s="74"/>
      <c r="S9" s="74"/>
      <c r="U9" s="74" t="str">
        <f>++VLOOKUP(U8,'LISTADO CIV RIGIDOS'!$D$2:$K$59,7)</f>
        <v>RIGIDO</v>
      </c>
      <c r="W9" s="74" t="str">
        <f>++VLOOKUP(W8,'LISTADO CIV RIGIDOS'!$D$2:$K$59,7)</f>
        <v>RIGIDO</v>
      </c>
      <c r="Y9" s="74"/>
      <c r="AA9" s="74" t="str">
        <f>++VLOOKUP(AA8,'LISTADO CIV RIGIDOS'!$D$2:$K$59,7)</f>
        <v>RIGIDO</v>
      </c>
      <c r="AC9" s="74" t="str">
        <f>++VLOOKUP(AC8,'LISTADO CIV RIGIDOS'!$D$2:$K$59,7)</f>
        <v>RIGIDO</v>
      </c>
      <c r="AE9" s="74"/>
      <c r="AG9" s="74" t="str">
        <f>++VLOOKUP(AG8,'LISTADO CIV RIGIDOS'!$D$2:$K$59,7)</f>
        <v>RIGIDO</v>
      </c>
      <c r="AI9" s="74"/>
      <c r="AK9" s="74"/>
    </row>
    <row r="10" spans="1:38" ht="15.6" x14ac:dyDescent="0.3">
      <c r="A10" s="3"/>
      <c r="B10" s="16"/>
      <c r="C10" s="599" t="s">
        <v>8</v>
      </c>
      <c r="D10" s="593"/>
      <c r="E10" s="593"/>
      <c r="F10" s="593"/>
      <c r="G10" s="593"/>
      <c r="H10" s="593"/>
      <c r="I10" s="594"/>
      <c r="J10" s="595"/>
      <c r="K10" s="9"/>
      <c r="L10" s="80" t="s">
        <v>6072</v>
      </c>
      <c r="M10" s="74" t="str">
        <f>++VLOOKUP(M8,'LISTADO CIV RIGIDOS'!$D$2:$K$59,8)</f>
        <v>REHABILITACION</v>
      </c>
      <c r="O10" s="74"/>
      <c r="Q10" s="74"/>
      <c r="S10" s="74"/>
      <c r="U10" s="74" t="str">
        <f>++VLOOKUP(U8,'LISTADO CIV RIGIDOS'!$D$2:$K$59,8)</f>
        <v>REHABILITACION</v>
      </c>
      <c r="W10" s="74" t="str">
        <f>++VLOOKUP(W8,'LISTADO CIV RIGIDOS'!$D$2:$K$59,8)</f>
        <v>REHABILITACION</v>
      </c>
      <c r="Y10" s="74"/>
      <c r="AA10" s="74" t="str">
        <f>++VLOOKUP(AA8,'LISTADO CIV RIGIDOS'!$D$2:$K$59,8)</f>
        <v>REHABILITACION</v>
      </c>
      <c r="AC10" s="74" t="str">
        <f>++VLOOKUP(AC8,'LISTADO CIV RIGIDOS'!$D$2:$K$59,8)</f>
        <v>REHABILITACION</v>
      </c>
      <c r="AE10" s="74"/>
      <c r="AG10" s="74" t="str">
        <f>++VLOOKUP(AG8,'LISTADO CIV RIGIDOS'!$D$2:$K$59,8)</f>
        <v>REHABILITACION</v>
      </c>
      <c r="AI10" s="74"/>
      <c r="AK10" s="74"/>
    </row>
    <row r="11" spans="1:38" ht="15.6" x14ac:dyDescent="0.3">
      <c r="A11" s="3"/>
      <c r="B11" s="16"/>
      <c r="C11" s="599"/>
      <c r="D11" s="593"/>
      <c r="E11" s="593"/>
      <c r="F11" s="593"/>
      <c r="G11" s="593"/>
      <c r="H11" s="593"/>
      <c r="I11" s="594"/>
      <c r="J11" s="595"/>
      <c r="K11" s="9"/>
      <c r="L11" s="80" t="s">
        <v>6073</v>
      </c>
      <c r="M11" s="74">
        <f>++VLOOKUP(M8,'LISTADO CIV RIGIDOS'!$D$2:$K$59,5)</f>
        <v>23.04</v>
      </c>
      <c r="O11" s="74"/>
      <c r="Q11" s="74"/>
      <c r="S11" s="74"/>
      <c r="U11" s="74">
        <f>++VLOOKUP(U8,'LISTADO CIV RIGIDOS'!$D$2:$K$59,5)</f>
        <v>30.31</v>
      </c>
      <c r="W11" s="74">
        <f>++VLOOKUP(W8,'LISTADO CIV RIGIDOS'!$D$2:$K$59,5)</f>
        <v>50.12</v>
      </c>
      <c r="Y11" s="74"/>
      <c r="AA11" s="74">
        <f>++VLOOKUP(AA8,'LISTADO CIV RIGIDOS'!$D$2:$K$59,5)</f>
        <v>34.36</v>
      </c>
      <c r="AC11" s="74">
        <f>++VLOOKUP(AC8,'LISTADO CIV RIGIDOS'!$D$2:$K$59,5)</f>
        <v>54.48</v>
      </c>
      <c r="AE11" s="74"/>
      <c r="AG11" s="74">
        <f>++VLOOKUP(AG8,'LISTADO CIV RIGIDOS'!$D$2:$K$59,5)</f>
        <v>85.78</v>
      </c>
      <c r="AI11" s="74"/>
      <c r="AK11" s="74"/>
    </row>
    <row r="12" spans="1:38" ht="16.2" thickBot="1" x14ac:dyDescent="0.35">
      <c r="A12" s="3"/>
      <c r="B12" s="16"/>
      <c r="C12" s="600"/>
      <c r="D12" s="601"/>
      <c r="E12" s="601"/>
      <c r="F12" s="601"/>
      <c r="G12" s="601"/>
      <c r="H12" s="601"/>
      <c r="I12" s="602"/>
      <c r="J12" s="603"/>
      <c r="K12" s="9"/>
      <c r="L12" s="80" t="s">
        <v>6074</v>
      </c>
      <c r="M12" s="74">
        <f>++VLOOKUP(M8,'LISTADO CIV RIGIDOS'!$D$2:$K$59,6)</f>
        <v>6.99</v>
      </c>
      <c r="O12" s="74"/>
      <c r="Q12" s="74"/>
      <c r="S12" s="74"/>
      <c r="U12" s="74">
        <f>++VLOOKUP(U8,'LISTADO CIV RIGIDOS'!$D$2:$K$59,6)</f>
        <v>7.43</v>
      </c>
      <c r="W12" s="74">
        <f>++VLOOKUP(W8,'LISTADO CIV RIGIDOS'!$D$2:$K$59,6)</f>
        <v>6.91</v>
      </c>
      <c r="Y12" s="74"/>
      <c r="AA12" s="74">
        <f>++VLOOKUP(AA8,'LISTADO CIV RIGIDOS'!$D$2:$K$59,6)</f>
        <v>10.52</v>
      </c>
      <c r="AC12" s="74">
        <f>++VLOOKUP(AC8,'LISTADO CIV RIGIDOS'!$D$2:$K$59,6)</f>
        <v>5.97</v>
      </c>
      <c r="AE12" s="74"/>
      <c r="AG12" s="74">
        <f>++VLOOKUP(AG8,'LISTADO CIV RIGIDOS'!$D$2:$K$59,6)</f>
        <v>5.0599999999999996</v>
      </c>
      <c r="AI12" s="74"/>
      <c r="AK12" s="74"/>
    </row>
    <row r="13" spans="1:38" ht="30" customHeight="1" thickBot="1" x14ac:dyDescent="0.35">
      <c r="A13" s="3"/>
      <c r="B13" s="8"/>
      <c r="C13" s="604"/>
      <c r="D13" s="605"/>
      <c r="E13" s="605"/>
      <c r="F13" s="605"/>
      <c r="G13" s="605"/>
      <c r="H13" s="605"/>
      <c r="I13" s="605"/>
      <c r="J13" s="606"/>
      <c r="K13" s="9"/>
      <c r="L13" s="80" t="s">
        <v>6075</v>
      </c>
      <c r="M13" s="75">
        <f t="shared" ref="M13" si="0">+ROUND(M11*M12,2)</f>
        <v>161.05000000000001</v>
      </c>
      <c r="O13" s="75"/>
      <c r="Q13" s="75"/>
      <c r="S13" s="75"/>
      <c r="U13" s="75">
        <f t="shared" ref="U13" si="1">+ROUND(U11*U12,2)</f>
        <v>225.2</v>
      </c>
      <c r="W13" s="75">
        <f t="shared" ref="W13" si="2">+ROUND(W11*W12,2)</f>
        <v>346.33</v>
      </c>
      <c r="Y13" s="75"/>
      <c r="AA13" s="75">
        <f t="shared" ref="AA13" si="3">+ROUND(AA11*AA12,2)</f>
        <v>361.47</v>
      </c>
      <c r="AC13" s="75">
        <f t="shared" ref="AC13" si="4">+ROUND(AC11*AC12,2)</f>
        <v>325.25</v>
      </c>
      <c r="AE13" s="75"/>
      <c r="AG13" s="75">
        <f t="shared" ref="AG13" si="5">+ROUND(AG11*AG12,2)</f>
        <v>434.05</v>
      </c>
      <c r="AI13" s="75"/>
      <c r="AK13" s="75"/>
    </row>
    <row r="14" spans="1:38" ht="16.5" customHeight="1" x14ac:dyDescent="0.3">
      <c r="A14" s="3"/>
      <c r="B14" s="8"/>
      <c r="C14" s="607" t="s">
        <v>10</v>
      </c>
      <c r="D14" s="609" t="s">
        <v>11</v>
      </c>
      <c r="E14" s="607" t="s">
        <v>12</v>
      </c>
      <c r="F14" s="611" t="s">
        <v>13</v>
      </c>
      <c r="G14" s="611" t="s">
        <v>14</v>
      </c>
      <c r="H14" s="598" t="s">
        <v>15</v>
      </c>
      <c r="I14" s="598" t="s">
        <v>27</v>
      </c>
      <c r="J14" s="925" t="s">
        <v>16</v>
      </c>
      <c r="K14" s="9"/>
      <c r="L14" s="3"/>
      <c r="M14" s="547" t="s">
        <v>14</v>
      </c>
      <c r="N14" s="548" t="s">
        <v>16</v>
      </c>
      <c r="O14" s="547"/>
      <c r="P14" s="548"/>
      <c r="Q14" s="547"/>
      <c r="R14" s="548"/>
      <c r="S14" s="547"/>
      <c r="T14" s="548"/>
      <c r="U14" s="547" t="s">
        <v>14</v>
      </c>
      <c r="V14" s="548" t="s">
        <v>16</v>
      </c>
      <c r="W14" s="547" t="s">
        <v>14</v>
      </c>
      <c r="X14" s="548" t="s">
        <v>16</v>
      </c>
      <c r="Y14" s="547"/>
      <c r="Z14" s="548"/>
      <c r="AA14" s="547" t="s">
        <v>14</v>
      </c>
      <c r="AB14" s="548" t="s">
        <v>16</v>
      </c>
      <c r="AC14" s="547" t="s">
        <v>14</v>
      </c>
      <c r="AD14" s="548" t="s">
        <v>16</v>
      </c>
      <c r="AE14" s="547"/>
      <c r="AF14" s="548"/>
      <c r="AG14" s="547" t="s">
        <v>14</v>
      </c>
      <c r="AH14" s="548" t="s">
        <v>16</v>
      </c>
      <c r="AI14" s="547"/>
      <c r="AJ14" s="548"/>
      <c r="AK14" s="547"/>
      <c r="AL14" s="548"/>
    </row>
    <row r="15" spans="1:38"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c r="Y15" s="547"/>
      <c r="Z15" s="548"/>
      <c r="AA15" s="547"/>
      <c r="AB15" s="548"/>
      <c r="AC15" s="547"/>
      <c r="AD15" s="548"/>
      <c r="AE15" s="547"/>
      <c r="AF15" s="548"/>
      <c r="AG15" s="547"/>
      <c r="AH15" s="548"/>
      <c r="AI15" s="547"/>
      <c r="AJ15" s="548"/>
      <c r="AK15" s="547"/>
      <c r="AL15" s="548"/>
    </row>
    <row r="16" spans="1:38"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row>
    <row r="17" spans="1:38" ht="30" customHeight="1" x14ac:dyDescent="0.3">
      <c r="A17" s="3"/>
      <c r="B17" s="8"/>
      <c r="C17" s="60">
        <v>3007</v>
      </c>
      <c r="D17" s="60">
        <v>1001</v>
      </c>
      <c r="E17" s="60" t="str">
        <f>+VLOOKUP(C17,'PRECIOS IDU 2025'!$A$1:$E$3189,2,FALSE)</f>
        <v>REPLANTEO GENERAL</v>
      </c>
      <c r="F17" s="60" t="str">
        <f>+VLOOKUP(C17,'PRECIOS IDU 2025'!$A$1:$E$3189,3,FALSE)</f>
        <v>M2</v>
      </c>
      <c r="G17" s="108">
        <f>+ROUND(M17+O17+Q17+S17+U17+W17+Y17+AA17+AC17+AE17+AG17+AI17+AK17,2)</f>
        <v>0</v>
      </c>
      <c r="H17" s="69">
        <f>+VLOOKUP(C17,'PRECIOS IDU 2025'!$A$1:$E$3189,4,FALSE)</f>
        <v>909</v>
      </c>
      <c r="I17" s="69">
        <f t="shared" ref="I17:I38" si="6">+ROUND(H17*(1+$J$192),0)</f>
        <v>1182</v>
      </c>
      <c r="J17" s="69">
        <f>+ROUND(I17*G17,0)</f>
        <v>0</v>
      </c>
      <c r="K17" s="9"/>
      <c r="L17" s="3"/>
      <c r="M17" s="76"/>
      <c r="N17" s="78">
        <f>+ROUND(M17*$I17,0)</f>
        <v>0</v>
      </c>
      <c r="O17" s="76"/>
      <c r="P17" s="78"/>
      <c r="Q17" s="76"/>
      <c r="R17" s="78"/>
      <c r="S17" s="76"/>
      <c r="T17" s="78"/>
      <c r="U17" s="76"/>
      <c r="V17" s="78">
        <f>+ROUND(U17*$I17,0)</f>
        <v>0</v>
      </c>
      <c r="W17" s="76"/>
      <c r="X17" s="78">
        <f>+ROUND(W17*$I17,0)</f>
        <v>0</v>
      </c>
      <c r="Y17" s="76"/>
      <c r="Z17" s="78"/>
      <c r="AA17" s="76"/>
      <c r="AB17" s="78">
        <f>+ROUND(AA17*$I17,0)</f>
        <v>0</v>
      </c>
      <c r="AC17" s="76"/>
      <c r="AD17" s="78">
        <f>+ROUND(AC17*$I17,0)</f>
        <v>0</v>
      </c>
      <c r="AE17" s="76"/>
      <c r="AF17" s="78"/>
      <c r="AG17" s="76"/>
      <c r="AH17" s="78">
        <f>+ROUND(AG17*$I17,0)</f>
        <v>0</v>
      </c>
      <c r="AI17" s="76"/>
      <c r="AJ17" s="78"/>
      <c r="AK17" s="76"/>
      <c r="AL17" s="78"/>
    </row>
    <row r="18" spans="1:38"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ref="G18:G81" si="7">+ROUND(M18+O18+Q18+S18+U18+W18+Y18+AA18+AC18+AE18+AG18+AI18+AK18,2)</f>
        <v>0</v>
      </c>
      <c r="H18" s="69">
        <f>+VLOOKUP(C18,'PRECIOS IDU 2025'!$A$1:$E$3189,4,FALSE)</f>
        <v>2659</v>
      </c>
      <c r="I18" s="69">
        <f t="shared" si="6"/>
        <v>3457</v>
      </c>
      <c r="J18" s="69">
        <f>+ROUND(I18*G18,0)</f>
        <v>0</v>
      </c>
      <c r="K18" s="9"/>
      <c r="L18" s="3"/>
      <c r="M18" s="76"/>
      <c r="N18" s="78">
        <f t="shared" ref="N18:N33" si="8">+ROUND(M18*$I18,0)</f>
        <v>0</v>
      </c>
      <c r="O18" s="76"/>
      <c r="P18" s="78"/>
      <c r="Q18" s="76"/>
      <c r="R18" s="78"/>
      <c r="S18" s="76"/>
      <c r="T18" s="78"/>
      <c r="U18" s="76"/>
      <c r="V18" s="78">
        <f t="shared" ref="V18" si="9">+ROUND(U18*$I18,0)</f>
        <v>0</v>
      </c>
      <c r="W18" s="76"/>
      <c r="X18" s="78">
        <f t="shared" ref="X18" si="10">+ROUND(W18*$I18,0)</f>
        <v>0</v>
      </c>
      <c r="Y18" s="76"/>
      <c r="Z18" s="78"/>
      <c r="AA18" s="76"/>
      <c r="AB18" s="78">
        <f t="shared" ref="AB18" si="11">+ROUND(AA18*$I18,0)</f>
        <v>0</v>
      </c>
      <c r="AC18" s="76"/>
      <c r="AD18" s="78">
        <f t="shared" ref="AD18" si="12">+ROUND(AC18*$I18,0)</f>
        <v>0</v>
      </c>
      <c r="AE18" s="76"/>
      <c r="AF18" s="78"/>
      <c r="AG18" s="76"/>
      <c r="AH18" s="78">
        <f t="shared" ref="AH18" si="13">+ROUND(AG18*$I18,0)</f>
        <v>0</v>
      </c>
      <c r="AI18" s="76"/>
      <c r="AJ18" s="78"/>
      <c r="AK18" s="76"/>
      <c r="AL18" s="78"/>
    </row>
    <row r="19" spans="1:38"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7"/>
        <v>0</v>
      </c>
      <c r="H19" s="69">
        <f>+VLOOKUP(C19,'PRECIOS IDU 2025'!$A$1:$E$3189,4,FALSE)</f>
        <v>38781</v>
      </c>
      <c r="I19" s="69">
        <f t="shared" si="6"/>
        <v>50415</v>
      </c>
      <c r="J19" s="69">
        <f t="shared" ref="J19:J38" si="14">+ROUND(I19*G19,0)</f>
        <v>0</v>
      </c>
      <c r="K19" s="9"/>
      <c r="L19" s="3"/>
      <c r="M19" s="76"/>
      <c r="N19" s="78">
        <f t="shared" si="8"/>
        <v>0</v>
      </c>
      <c r="O19" s="76"/>
      <c r="P19" s="78"/>
      <c r="Q19" s="76"/>
      <c r="R19" s="78"/>
      <c r="S19" s="76"/>
      <c r="T19" s="78"/>
      <c r="U19" s="76"/>
      <c r="V19" s="78">
        <f t="shared" ref="V19" si="15">+ROUND(U19*$I19,0)</f>
        <v>0</v>
      </c>
      <c r="W19" s="76"/>
      <c r="X19" s="78">
        <f t="shared" ref="X19" si="16">+ROUND(W19*$I19,0)</f>
        <v>0</v>
      </c>
      <c r="Y19" s="76"/>
      <c r="Z19" s="78"/>
      <c r="AA19" s="76"/>
      <c r="AB19" s="78">
        <f t="shared" ref="AB19" si="17">+ROUND(AA19*$I19,0)</f>
        <v>0</v>
      </c>
      <c r="AC19" s="76"/>
      <c r="AD19" s="78">
        <f t="shared" ref="AD19" si="18">+ROUND(AC19*$I19,0)</f>
        <v>0</v>
      </c>
      <c r="AE19" s="76"/>
      <c r="AF19" s="78"/>
      <c r="AG19" s="76"/>
      <c r="AH19" s="78">
        <f t="shared" ref="AH19" si="19">+ROUND(AG19*$I19,0)</f>
        <v>0</v>
      </c>
      <c r="AI19" s="76"/>
      <c r="AJ19" s="78"/>
      <c r="AK19" s="76"/>
      <c r="AL19" s="78"/>
    </row>
    <row r="20" spans="1:38"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7"/>
        <v>0</v>
      </c>
      <c r="H20" s="69">
        <f>+VLOOKUP(C20,'PRECIOS IDU 2025'!$A$1:$E$3189,4,FALSE)</f>
        <v>5741</v>
      </c>
      <c r="I20" s="69">
        <f t="shared" si="6"/>
        <v>7463</v>
      </c>
      <c r="J20" s="69">
        <f t="shared" si="14"/>
        <v>0</v>
      </c>
      <c r="K20" s="9"/>
      <c r="L20" s="3"/>
      <c r="M20" s="76"/>
      <c r="N20" s="78">
        <f t="shared" si="8"/>
        <v>0</v>
      </c>
      <c r="O20" s="76"/>
      <c r="P20" s="78"/>
      <c r="Q20" s="76"/>
      <c r="R20" s="78"/>
      <c r="S20" s="76"/>
      <c r="T20" s="78"/>
      <c r="U20" s="76"/>
      <c r="V20" s="78">
        <f t="shared" ref="V20" si="20">+ROUND(U20*$I20,0)</f>
        <v>0</v>
      </c>
      <c r="W20" s="76"/>
      <c r="X20" s="78">
        <f t="shared" ref="X20" si="21">+ROUND(W20*$I20,0)</f>
        <v>0</v>
      </c>
      <c r="Y20" s="76"/>
      <c r="Z20" s="78"/>
      <c r="AA20" s="76"/>
      <c r="AB20" s="78">
        <f t="shared" ref="AB20" si="22">+ROUND(AA20*$I20,0)</f>
        <v>0</v>
      </c>
      <c r="AC20" s="76"/>
      <c r="AD20" s="78">
        <f t="shared" ref="AD20" si="23">+ROUND(AC20*$I20,0)</f>
        <v>0</v>
      </c>
      <c r="AE20" s="76"/>
      <c r="AF20" s="78"/>
      <c r="AG20" s="76"/>
      <c r="AH20" s="78">
        <f t="shared" ref="AH20" si="24">+ROUND(AG20*$I20,0)</f>
        <v>0</v>
      </c>
      <c r="AI20" s="76"/>
      <c r="AJ20" s="78"/>
      <c r="AK20" s="76"/>
      <c r="AL20" s="78"/>
    </row>
    <row r="21" spans="1:38"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7"/>
        <v>0</v>
      </c>
      <c r="H21" s="69">
        <f>+VLOOKUP(C21,'PRECIOS IDU 2025'!$A$1:$E$3189,4,FALSE)</f>
        <v>46379</v>
      </c>
      <c r="I21" s="69">
        <f t="shared" si="6"/>
        <v>60293</v>
      </c>
      <c r="J21" s="69">
        <f t="shared" si="14"/>
        <v>0</v>
      </c>
      <c r="K21" s="9"/>
      <c r="L21" s="3"/>
      <c r="M21" s="76"/>
      <c r="N21" s="78">
        <f t="shared" si="8"/>
        <v>0</v>
      </c>
      <c r="O21" s="76"/>
      <c r="P21" s="78"/>
      <c r="Q21" s="76"/>
      <c r="R21" s="78"/>
      <c r="S21" s="76"/>
      <c r="T21" s="78"/>
      <c r="U21" s="76"/>
      <c r="V21" s="78">
        <f t="shared" ref="V21" si="25">+ROUND(U21*$I21,0)</f>
        <v>0</v>
      </c>
      <c r="W21" s="76"/>
      <c r="X21" s="78">
        <f t="shared" ref="X21" si="26">+ROUND(W21*$I21,0)</f>
        <v>0</v>
      </c>
      <c r="Y21" s="76"/>
      <c r="Z21" s="78"/>
      <c r="AA21" s="76"/>
      <c r="AB21" s="78">
        <f t="shared" ref="AB21" si="27">+ROUND(AA21*$I21,0)</f>
        <v>0</v>
      </c>
      <c r="AC21" s="76"/>
      <c r="AD21" s="78">
        <f t="shared" ref="AD21" si="28">+ROUND(AC21*$I21,0)</f>
        <v>0</v>
      </c>
      <c r="AE21" s="76"/>
      <c r="AF21" s="78"/>
      <c r="AG21" s="76"/>
      <c r="AH21" s="78">
        <f t="shared" ref="AH21" si="29">+ROUND(AG21*$I21,0)</f>
        <v>0</v>
      </c>
      <c r="AI21" s="76"/>
      <c r="AJ21" s="78"/>
      <c r="AK21" s="76"/>
      <c r="AL21" s="78"/>
    </row>
    <row r="22" spans="1:38"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7"/>
        <v>0</v>
      </c>
      <c r="H22" s="69">
        <f>+VLOOKUP(C22,'PRECIOS IDU 2025'!$A$1:$E$3189,4,FALSE)</f>
        <v>45600</v>
      </c>
      <c r="I22" s="69">
        <f t="shared" si="6"/>
        <v>59280</v>
      </c>
      <c r="J22" s="69">
        <f t="shared" si="14"/>
        <v>0</v>
      </c>
      <c r="K22" s="9"/>
      <c r="L22" s="3"/>
      <c r="M22" s="76"/>
      <c r="N22" s="78">
        <f t="shared" si="8"/>
        <v>0</v>
      </c>
      <c r="O22" s="76"/>
      <c r="P22" s="78"/>
      <c r="Q22" s="76"/>
      <c r="R22" s="78"/>
      <c r="S22" s="76"/>
      <c r="T22" s="78"/>
      <c r="U22" s="76"/>
      <c r="V22" s="78">
        <f t="shared" ref="V22" si="30">+ROUND(U22*$I22,0)</f>
        <v>0</v>
      </c>
      <c r="W22" s="76"/>
      <c r="X22" s="78">
        <f t="shared" ref="X22" si="31">+ROUND(W22*$I22,0)</f>
        <v>0</v>
      </c>
      <c r="Y22" s="76"/>
      <c r="Z22" s="78"/>
      <c r="AA22" s="76"/>
      <c r="AB22" s="78">
        <f t="shared" ref="AB22" si="32">+ROUND(AA22*$I22,0)</f>
        <v>0</v>
      </c>
      <c r="AC22" s="76"/>
      <c r="AD22" s="78">
        <f t="shared" ref="AD22" si="33">+ROUND(AC22*$I22,0)</f>
        <v>0</v>
      </c>
      <c r="AE22" s="76"/>
      <c r="AF22" s="78"/>
      <c r="AG22" s="76"/>
      <c r="AH22" s="78">
        <f t="shared" ref="AH22" si="34">+ROUND(AG22*$I22,0)</f>
        <v>0</v>
      </c>
      <c r="AI22" s="76"/>
      <c r="AJ22" s="78"/>
      <c r="AK22" s="76"/>
      <c r="AL22" s="78"/>
    </row>
    <row r="23" spans="1:38" ht="15.6" x14ac:dyDescent="0.3">
      <c r="A23" s="3"/>
      <c r="B23" s="8"/>
      <c r="C23" s="60">
        <v>3800</v>
      </c>
      <c r="D23" s="60">
        <v>1007</v>
      </c>
      <c r="E23" s="60" t="str">
        <f>+VLOOKUP(C23,'PRECIOS IDU 2025'!$A$1:$E$3189,2,FALSE)</f>
        <v>NIVELACION Y COMPACTACIÓN DE SUBRASANTE</v>
      </c>
      <c r="F23" s="60" t="str">
        <f>+VLOOKUP(C23,'PRECIOS IDU 2025'!$A$1:$E$3189,3,FALSE)</f>
        <v>M2</v>
      </c>
      <c r="G23" s="108">
        <f t="shared" si="7"/>
        <v>0</v>
      </c>
      <c r="H23" s="69">
        <f>+VLOOKUP(C23,'PRECIOS IDU 2025'!$A$1:$E$3189,4,FALSE)</f>
        <v>1757</v>
      </c>
      <c r="I23" s="69">
        <f t="shared" si="6"/>
        <v>2284</v>
      </c>
      <c r="J23" s="69">
        <f t="shared" si="14"/>
        <v>0</v>
      </c>
      <c r="K23" s="9"/>
      <c r="L23" s="3"/>
      <c r="M23" s="76"/>
      <c r="N23" s="78">
        <f t="shared" si="8"/>
        <v>0</v>
      </c>
      <c r="O23" s="76"/>
      <c r="P23" s="78"/>
      <c r="Q23" s="76"/>
      <c r="R23" s="78"/>
      <c r="S23" s="76"/>
      <c r="T23" s="78"/>
      <c r="U23" s="76"/>
      <c r="V23" s="78">
        <f t="shared" ref="V23" si="35">+ROUND(U23*$I23,0)</f>
        <v>0</v>
      </c>
      <c r="W23" s="76"/>
      <c r="X23" s="78">
        <f t="shared" ref="X23" si="36">+ROUND(W23*$I23,0)</f>
        <v>0</v>
      </c>
      <c r="Y23" s="76"/>
      <c r="Z23" s="78"/>
      <c r="AA23" s="76"/>
      <c r="AB23" s="78">
        <f t="shared" ref="AB23" si="37">+ROUND(AA23*$I23,0)</f>
        <v>0</v>
      </c>
      <c r="AC23" s="76"/>
      <c r="AD23" s="78">
        <f t="shared" ref="AD23" si="38">+ROUND(AC23*$I23,0)</f>
        <v>0</v>
      </c>
      <c r="AE23" s="76"/>
      <c r="AF23" s="78"/>
      <c r="AG23" s="76"/>
      <c r="AH23" s="78">
        <f t="shared" ref="AH23" si="39">+ROUND(AG23*$I23,0)</f>
        <v>0</v>
      </c>
      <c r="AI23" s="76"/>
      <c r="AJ23" s="78"/>
      <c r="AK23" s="76"/>
      <c r="AL23" s="78"/>
    </row>
    <row r="24" spans="1:38"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7"/>
        <v>0</v>
      </c>
      <c r="H24" s="69">
        <f>+VLOOKUP(C24,'PRECIOS IDU 2025'!$A$1:$E$3189,4,FALSE)</f>
        <v>184030</v>
      </c>
      <c r="I24" s="69">
        <f t="shared" si="6"/>
        <v>239239</v>
      </c>
      <c r="J24" s="69">
        <f t="shared" si="14"/>
        <v>0</v>
      </c>
      <c r="K24" s="9"/>
      <c r="L24" s="3"/>
      <c r="M24" s="76"/>
      <c r="N24" s="78">
        <f t="shared" si="8"/>
        <v>0</v>
      </c>
      <c r="O24" s="76"/>
      <c r="P24" s="78"/>
      <c r="Q24" s="76"/>
      <c r="R24" s="78"/>
      <c r="S24" s="76"/>
      <c r="T24" s="78"/>
      <c r="U24" s="76"/>
      <c r="V24" s="78">
        <f t="shared" ref="V24" si="40">+ROUND(U24*$I24,0)</f>
        <v>0</v>
      </c>
      <c r="W24" s="76"/>
      <c r="X24" s="78">
        <f t="shared" ref="X24" si="41">+ROUND(W24*$I24,0)</f>
        <v>0</v>
      </c>
      <c r="Y24" s="76"/>
      <c r="Z24" s="78"/>
      <c r="AA24" s="76"/>
      <c r="AB24" s="78">
        <f t="shared" ref="AB24" si="42">+ROUND(AA24*$I24,0)</f>
        <v>0</v>
      </c>
      <c r="AC24" s="76"/>
      <c r="AD24" s="78">
        <f t="shared" ref="AD24" si="43">+ROUND(AC24*$I24,0)</f>
        <v>0</v>
      </c>
      <c r="AE24" s="76"/>
      <c r="AF24" s="78"/>
      <c r="AG24" s="76"/>
      <c r="AH24" s="78">
        <f t="shared" ref="AH24" si="44">+ROUND(AG24*$I24,0)</f>
        <v>0</v>
      </c>
      <c r="AI24" s="76"/>
      <c r="AJ24" s="78"/>
      <c r="AK24" s="76"/>
      <c r="AL24" s="78"/>
    </row>
    <row r="25" spans="1:38"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7"/>
        <v>0</v>
      </c>
      <c r="H25" s="69">
        <f>+VLOOKUP(C25,'PRECIOS IDU 2025'!$A$1:$E$3189,4,FALSE)</f>
        <v>73638</v>
      </c>
      <c r="I25" s="69">
        <f t="shared" si="6"/>
        <v>95729</v>
      </c>
      <c r="J25" s="69">
        <f t="shared" si="14"/>
        <v>0</v>
      </c>
      <c r="K25" s="9"/>
      <c r="L25" s="3"/>
      <c r="M25" s="76"/>
      <c r="N25" s="78">
        <f t="shared" si="8"/>
        <v>0</v>
      </c>
      <c r="O25" s="76"/>
      <c r="P25" s="78"/>
      <c r="Q25" s="76"/>
      <c r="R25" s="78"/>
      <c r="S25" s="76"/>
      <c r="T25" s="78"/>
      <c r="U25" s="76"/>
      <c r="V25" s="78">
        <f t="shared" ref="V25" si="45">+ROUND(U25*$I25,0)</f>
        <v>0</v>
      </c>
      <c r="W25" s="76"/>
      <c r="X25" s="78">
        <f t="shared" ref="X25" si="46">+ROUND(W25*$I25,0)</f>
        <v>0</v>
      </c>
      <c r="Y25" s="76"/>
      <c r="Z25" s="78"/>
      <c r="AA25" s="76"/>
      <c r="AB25" s="78">
        <f t="shared" ref="AB25" si="47">+ROUND(AA25*$I25,0)</f>
        <v>0</v>
      </c>
      <c r="AC25" s="76"/>
      <c r="AD25" s="78">
        <f t="shared" ref="AD25" si="48">+ROUND(AC25*$I25,0)</f>
        <v>0</v>
      </c>
      <c r="AE25" s="76"/>
      <c r="AF25" s="78"/>
      <c r="AG25" s="76"/>
      <c r="AH25" s="78">
        <f t="shared" ref="AH25" si="49">+ROUND(AG25*$I25,0)</f>
        <v>0</v>
      </c>
      <c r="AI25" s="76"/>
      <c r="AJ25" s="78"/>
      <c r="AK25" s="76"/>
      <c r="AL25" s="78"/>
    </row>
    <row r="26" spans="1:38"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7"/>
        <v>0</v>
      </c>
      <c r="H26" s="69">
        <f>+VLOOKUP(C26,'PRECIOS IDU 2025'!$A$1:$E$3189,4,FALSE)</f>
        <v>13158</v>
      </c>
      <c r="I26" s="69">
        <f t="shared" si="6"/>
        <v>17105</v>
      </c>
      <c r="J26" s="69">
        <f t="shared" si="14"/>
        <v>0</v>
      </c>
      <c r="K26" s="9"/>
      <c r="L26" s="3"/>
      <c r="M26" s="76"/>
      <c r="N26" s="78">
        <f t="shared" si="8"/>
        <v>0</v>
      </c>
      <c r="O26" s="76"/>
      <c r="P26" s="78"/>
      <c r="Q26" s="76"/>
      <c r="R26" s="78"/>
      <c r="S26" s="76"/>
      <c r="T26" s="78"/>
      <c r="U26" s="76"/>
      <c r="V26" s="78">
        <f t="shared" ref="V26" si="50">+ROUND(U26*$I26,0)</f>
        <v>0</v>
      </c>
      <c r="W26" s="76"/>
      <c r="X26" s="78">
        <f t="shared" ref="X26" si="51">+ROUND(W26*$I26,0)</f>
        <v>0</v>
      </c>
      <c r="Y26" s="76"/>
      <c r="Z26" s="78"/>
      <c r="AA26" s="76"/>
      <c r="AB26" s="78">
        <f t="shared" ref="AB26" si="52">+ROUND(AA26*$I26,0)</f>
        <v>0</v>
      </c>
      <c r="AC26" s="76"/>
      <c r="AD26" s="78">
        <f t="shared" ref="AD26" si="53">+ROUND(AC26*$I26,0)</f>
        <v>0</v>
      </c>
      <c r="AE26" s="76"/>
      <c r="AF26" s="78"/>
      <c r="AG26" s="76"/>
      <c r="AH26" s="78">
        <f t="shared" ref="AH26" si="54">+ROUND(AG26*$I26,0)</f>
        <v>0</v>
      </c>
      <c r="AI26" s="76"/>
      <c r="AJ26" s="78"/>
      <c r="AK26" s="76"/>
      <c r="AL26" s="78"/>
    </row>
    <row r="27" spans="1:38"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7"/>
        <v>0</v>
      </c>
      <c r="H27" s="69">
        <f>+VLOOKUP(C27,'PRECIOS IDU 2025'!$A$1:$E$3189,4,FALSE)</f>
        <v>30940</v>
      </c>
      <c r="I27" s="69">
        <f t="shared" si="6"/>
        <v>40222</v>
      </c>
      <c r="J27" s="69">
        <f t="shared" si="14"/>
        <v>0</v>
      </c>
      <c r="K27" s="9"/>
      <c r="L27" s="3"/>
      <c r="M27" s="76"/>
      <c r="N27" s="78">
        <f t="shared" si="8"/>
        <v>0</v>
      </c>
      <c r="O27" s="76"/>
      <c r="P27" s="78"/>
      <c r="Q27" s="76"/>
      <c r="R27" s="78"/>
      <c r="S27" s="76"/>
      <c r="T27" s="78"/>
      <c r="U27" s="76"/>
      <c r="V27" s="78">
        <f t="shared" ref="V27" si="55">+ROUND(U27*$I27,0)</f>
        <v>0</v>
      </c>
      <c r="W27" s="76"/>
      <c r="X27" s="78">
        <f t="shared" ref="X27" si="56">+ROUND(W27*$I27,0)</f>
        <v>0</v>
      </c>
      <c r="Y27" s="76"/>
      <c r="Z27" s="78"/>
      <c r="AA27" s="76"/>
      <c r="AB27" s="78">
        <f t="shared" ref="AB27" si="57">+ROUND(AA27*$I27,0)</f>
        <v>0</v>
      </c>
      <c r="AC27" s="76"/>
      <c r="AD27" s="78">
        <f t="shared" ref="AD27" si="58">+ROUND(AC27*$I27,0)</f>
        <v>0</v>
      </c>
      <c r="AE27" s="76"/>
      <c r="AF27" s="78"/>
      <c r="AG27" s="76"/>
      <c r="AH27" s="78">
        <f t="shared" ref="AH27" si="59">+ROUND(AG27*$I27,0)</f>
        <v>0</v>
      </c>
      <c r="AI27" s="76"/>
      <c r="AJ27" s="78"/>
      <c r="AK27" s="76"/>
      <c r="AL27" s="78"/>
    </row>
    <row r="28" spans="1:38"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7"/>
        <v>0</v>
      </c>
      <c r="H28" s="69">
        <f>+VLOOKUP(C28,'PRECIOS IDU 2025'!$A$1:$E$3189,4,FALSE)</f>
        <v>175866</v>
      </c>
      <c r="I28" s="69">
        <f t="shared" si="6"/>
        <v>228626</v>
      </c>
      <c r="J28" s="69">
        <f t="shared" si="14"/>
        <v>0</v>
      </c>
      <c r="K28" s="9"/>
      <c r="L28" s="3"/>
      <c r="M28" s="76"/>
      <c r="N28" s="78">
        <f t="shared" si="8"/>
        <v>0</v>
      </c>
      <c r="O28" s="76"/>
      <c r="P28" s="78"/>
      <c r="Q28" s="76"/>
      <c r="R28" s="78"/>
      <c r="S28" s="76"/>
      <c r="T28" s="78"/>
      <c r="U28" s="76"/>
      <c r="V28" s="78">
        <f t="shared" ref="V28" si="60">+ROUND(U28*$I28,0)</f>
        <v>0</v>
      </c>
      <c r="W28" s="76"/>
      <c r="X28" s="78">
        <f t="shared" ref="X28" si="61">+ROUND(W28*$I28,0)</f>
        <v>0</v>
      </c>
      <c r="Y28" s="76"/>
      <c r="Z28" s="78"/>
      <c r="AA28" s="76"/>
      <c r="AB28" s="78">
        <f t="shared" ref="AB28" si="62">+ROUND(AA28*$I28,0)</f>
        <v>0</v>
      </c>
      <c r="AC28" s="76"/>
      <c r="AD28" s="78">
        <f t="shared" ref="AD28" si="63">+ROUND(AC28*$I28,0)</f>
        <v>0</v>
      </c>
      <c r="AE28" s="76"/>
      <c r="AF28" s="78"/>
      <c r="AG28" s="76"/>
      <c r="AH28" s="78">
        <f t="shared" ref="AH28" si="64">+ROUND(AG28*$I28,0)</f>
        <v>0</v>
      </c>
      <c r="AI28" s="76"/>
      <c r="AJ28" s="78"/>
      <c r="AK28" s="76"/>
      <c r="AL28" s="78"/>
    </row>
    <row r="29" spans="1:38"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7"/>
        <v>0</v>
      </c>
      <c r="H29" s="69">
        <f>+VLOOKUP(C29,'PRECIOS IDU 2025'!$A$1:$E$3189,4,FALSE)</f>
        <v>166345</v>
      </c>
      <c r="I29" s="69">
        <f t="shared" si="6"/>
        <v>216249</v>
      </c>
      <c r="J29" s="69">
        <f t="shared" si="14"/>
        <v>0</v>
      </c>
      <c r="K29" s="9"/>
      <c r="L29" s="3"/>
      <c r="M29" s="76"/>
      <c r="N29" s="78">
        <f t="shared" si="8"/>
        <v>0</v>
      </c>
      <c r="O29" s="76"/>
      <c r="P29" s="78"/>
      <c r="Q29" s="76"/>
      <c r="R29" s="78"/>
      <c r="S29" s="76"/>
      <c r="T29" s="78"/>
      <c r="U29" s="76"/>
      <c r="V29" s="78">
        <f t="shared" ref="V29" si="65">+ROUND(U29*$I29,0)</f>
        <v>0</v>
      </c>
      <c r="W29" s="76"/>
      <c r="X29" s="78">
        <f t="shared" ref="X29" si="66">+ROUND(W29*$I29,0)</f>
        <v>0</v>
      </c>
      <c r="Y29" s="76"/>
      <c r="Z29" s="78"/>
      <c r="AA29" s="76"/>
      <c r="AB29" s="78">
        <f t="shared" ref="AB29" si="67">+ROUND(AA29*$I29,0)</f>
        <v>0</v>
      </c>
      <c r="AC29" s="76"/>
      <c r="AD29" s="78">
        <f t="shared" ref="AD29" si="68">+ROUND(AC29*$I29,0)</f>
        <v>0</v>
      </c>
      <c r="AE29" s="76"/>
      <c r="AF29" s="78"/>
      <c r="AG29" s="76"/>
      <c r="AH29" s="78">
        <f t="shared" ref="AH29" si="69">+ROUND(AG29*$I29,0)</f>
        <v>0</v>
      </c>
      <c r="AI29" s="76"/>
      <c r="AJ29" s="78"/>
      <c r="AK29" s="76"/>
      <c r="AL29" s="78"/>
    </row>
    <row r="30" spans="1:38"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7"/>
        <v>0</v>
      </c>
      <c r="H30" s="69">
        <f>+VLOOKUP(C30,'PRECIOS IDU 2025'!$A$1:$E$3189,4,FALSE)</f>
        <v>191915</v>
      </c>
      <c r="I30" s="69">
        <f t="shared" si="6"/>
        <v>249490</v>
      </c>
      <c r="J30" s="69">
        <f t="shared" si="14"/>
        <v>0</v>
      </c>
      <c r="K30" s="9"/>
      <c r="L30" s="3"/>
      <c r="M30" s="76"/>
      <c r="N30" s="78">
        <f t="shared" si="8"/>
        <v>0</v>
      </c>
      <c r="O30" s="76"/>
      <c r="P30" s="78"/>
      <c r="Q30" s="76"/>
      <c r="R30" s="78"/>
      <c r="S30" s="76"/>
      <c r="T30" s="78"/>
      <c r="U30" s="76"/>
      <c r="V30" s="78">
        <f t="shared" ref="V30" si="70">+ROUND(U30*$I30,0)</f>
        <v>0</v>
      </c>
      <c r="W30" s="76"/>
      <c r="X30" s="78">
        <f t="shared" ref="X30" si="71">+ROUND(W30*$I30,0)</f>
        <v>0</v>
      </c>
      <c r="Y30" s="76"/>
      <c r="Z30" s="78"/>
      <c r="AA30" s="76"/>
      <c r="AB30" s="78">
        <f t="shared" ref="AB30" si="72">+ROUND(AA30*$I30,0)</f>
        <v>0</v>
      </c>
      <c r="AC30" s="76"/>
      <c r="AD30" s="78">
        <f t="shared" ref="AD30" si="73">+ROUND(AC30*$I30,0)</f>
        <v>0</v>
      </c>
      <c r="AE30" s="76"/>
      <c r="AF30" s="78"/>
      <c r="AG30" s="76"/>
      <c r="AH30" s="78">
        <f t="shared" ref="AH30" si="74">+ROUND(AG30*$I30,0)</f>
        <v>0</v>
      </c>
      <c r="AI30" s="76"/>
      <c r="AJ30" s="78"/>
      <c r="AK30" s="76"/>
      <c r="AL30" s="78"/>
    </row>
    <row r="31" spans="1:38"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7"/>
        <v>0</v>
      </c>
      <c r="H31" s="69">
        <f>+VLOOKUP(C31,'PRECIOS IDU 2025'!$A$1:$E$3189,4,FALSE)</f>
        <v>192883</v>
      </c>
      <c r="I31" s="69">
        <f t="shared" si="6"/>
        <v>250748</v>
      </c>
      <c r="J31" s="69">
        <f t="shared" si="14"/>
        <v>0</v>
      </c>
      <c r="K31" s="9"/>
      <c r="L31" s="3"/>
      <c r="M31" s="76"/>
      <c r="N31" s="78">
        <f t="shared" si="8"/>
        <v>0</v>
      </c>
      <c r="O31" s="76"/>
      <c r="P31" s="78"/>
      <c r="Q31" s="76"/>
      <c r="R31" s="78"/>
      <c r="S31" s="76"/>
      <c r="T31" s="78"/>
      <c r="U31" s="76"/>
      <c r="V31" s="78">
        <f t="shared" ref="V31" si="75">+ROUND(U31*$I31,0)</f>
        <v>0</v>
      </c>
      <c r="W31" s="76"/>
      <c r="X31" s="78">
        <f t="shared" ref="X31" si="76">+ROUND(W31*$I31,0)</f>
        <v>0</v>
      </c>
      <c r="Y31" s="76"/>
      <c r="Z31" s="78"/>
      <c r="AA31" s="76"/>
      <c r="AB31" s="78">
        <f t="shared" ref="AB31" si="77">+ROUND(AA31*$I31,0)</f>
        <v>0</v>
      </c>
      <c r="AC31" s="76"/>
      <c r="AD31" s="78">
        <f t="shared" ref="AD31" si="78">+ROUND(AC31*$I31,0)</f>
        <v>0</v>
      </c>
      <c r="AE31" s="76"/>
      <c r="AF31" s="78"/>
      <c r="AG31" s="76"/>
      <c r="AH31" s="78">
        <f t="shared" ref="AH31" si="79">+ROUND(AG31*$I31,0)</f>
        <v>0</v>
      </c>
      <c r="AI31" s="76"/>
      <c r="AJ31" s="78"/>
      <c r="AK31" s="76"/>
      <c r="AL31" s="78"/>
    </row>
    <row r="32" spans="1:38"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7"/>
        <v>0</v>
      </c>
      <c r="H32" s="69">
        <f>+VLOOKUP(C32,'PRECIOS IDU 2025'!$A$1:$E$3189,4,FALSE)</f>
        <v>3189</v>
      </c>
      <c r="I32" s="69">
        <f t="shared" si="6"/>
        <v>4146</v>
      </c>
      <c r="J32" s="69">
        <f t="shared" si="14"/>
        <v>0</v>
      </c>
      <c r="K32" s="9"/>
      <c r="L32" s="3"/>
      <c r="M32" s="76"/>
      <c r="N32" s="78">
        <f t="shared" si="8"/>
        <v>0</v>
      </c>
      <c r="O32" s="76"/>
      <c r="P32" s="78"/>
      <c r="Q32" s="76"/>
      <c r="R32" s="78"/>
      <c r="S32" s="76"/>
      <c r="T32" s="78"/>
      <c r="U32" s="76"/>
      <c r="V32" s="78">
        <f t="shared" ref="V32" si="80">+ROUND(U32*$I32,0)</f>
        <v>0</v>
      </c>
      <c r="W32" s="76"/>
      <c r="X32" s="78">
        <f t="shared" ref="X32" si="81">+ROUND(W32*$I32,0)</f>
        <v>0</v>
      </c>
      <c r="Y32" s="76"/>
      <c r="Z32" s="78"/>
      <c r="AA32" s="76"/>
      <c r="AB32" s="78">
        <f t="shared" ref="AB32" si="82">+ROUND(AA32*$I32,0)</f>
        <v>0</v>
      </c>
      <c r="AC32" s="76"/>
      <c r="AD32" s="78">
        <f t="shared" ref="AD32" si="83">+ROUND(AC32*$I32,0)</f>
        <v>0</v>
      </c>
      <c r="AE32" s="76"/>
      <c r="AF32" s="78"/>
      <c r="AG32" s="76"/>
      <c r="AH32" s="78">
        <f t="shared" ref="AH32" si="84">+ROUND(AG32*$I32,0)</f>
        <v>0</v>
      </c>
      <c r="AI32" s="76"/>
      <c r="AJ32" s="78"/>
      <c r="AK32" s="76"/>
      <c r="AL32" s="78"/>
    </row>
    <row r="33" spans="1:38"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7"/>
        <v>0</v>
      </c>
      <c r="H33" s="69">
        <f>+VLOOKUP(C33,'PRECIOS IDU 2025'!$A$1:$E$3189,4,FALSE)</f>
        <v>3885</v>
      </c>
      <c r="I33" s="69">
        <f t="shared" si="6"/>
        <v>5051</v>
      </c>
      <c r="J33" s="69">
        <f t="shared" si="14"/>
        <v>0</v>
      </c>
      <c r="K33" s="9"/>
      <c r="L33" s="3"/>
      <c r="M33" s="76"/>
      <c r="N33" s="78">
        <f t="shared" si="8"/>
        <v>0</v>
      </c>
      <c r="O33" s="76"/>
      <c r="P33" s="78"/>
      <c r="Q33" s="76"/>
      <c r="R33" s="78"/>
      <c r="S33" s="76"/>
      <c r="T33" s="78"/>
      <c r="U33" s="76"/>
      <c r="V33" s="78">
        <f t="shared" ref="V33" si="85">+ROUND(U33*$I33,0)</f>
        <v>0</v>
      </c>
      <c r="W33" s="76"/>
      <c r="X33" s="78">
        <f t="shared" ref="X33" si="86">+ROUND(W33*$I33,0)</f>
        <v>0</v>
      </c>
      <c r="Y33" s="76"/>
      <c r="Z33" s="78"/>
      <c r="AA33" s="76"/>
      <c r="AB33" s="78">
        <f t="shared" ref="AB33" si="87">+ROUND(AA33*$I33,0)</f>
        <v>0</v>
      </c>
      <c r="AC33" s="76"/>
      <c r="AD33" s="78">
        <f t="shared" ref="AD33" si="88">+ROUND(AC33*$I33,0)</f>
        <v>0</v>
      </c>
      <c r="AE33" s="76"/>
      <c r="AF33" s="78"/>
      <c r="AG33" s="76"/>
      <c r="AH33" s="78">
        <f t="shared" ref="AH33" si="89">+ROUND(AG33*$I33,0)</f>
        <v>0</v>
      </c>
      <c r="AI33" s="76"/>
      <c r="AJ33" s="78"/>
      <c r="AK33" s="76"/>
      <c r="AL33" s="78"/>
    </row>
    <row r="34" spans="1:38"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7"/>
        <v>0</v>
      </c>
      <c r="H34" s="69">
        <f>+VLOOKUP(C34,'PRECIOS IDU 2025'!$A$1:$E$3189,4,FALSE)</f>
        <v>1341971</v>
      </c>
      <c r="I34" s="69">
        <f t="shared" si="6"/>
        <v>1744562</v>
      </c>
      <c r="J34" s="69">
        <f t="shared" si="14"/>
        <v>0</v>
      </c>
      <c r="K34" s="9"/>
      <c r="L34" s="3"/>
      <c r="M34" s="76"/>
      <c r="N34" s="78">
        <f t="shared" ref="N34:N51" si="90">+ROUND(M34*$I34,0)</f>
        <v>0</v>
      </c>
      <c r="O34" s="76"/>
      <c r="P34" s="78"/>
      <c r="Q34" s="76"/>
      <c r="R34" s="78"/>
      <c r="S34" s="76"/>
      <c r="T34" s="78"/>
      <c r="U34" s="76"/>
      <c r="V34" s="78">
        <f t="shared" ref="V34" si="91">+ROUND(U34*$I34,0)</f>
        <v>0</v>
      </c>
      <c r="W34" s="76"/>
      <c r="X34" s="78">
        <f t="shared" ref="X34" si="92">+ROUND(W34*$I34,0)</f>
        <v>0</v>
      </c>
      <c r="Y34" s="76"/>
      <c r="Z34" s="78"/>
      <c r="AA34" s="76"/>
      <c r="AB34" s="78">
        <f t="shared" ref="AB34" si="93">+ROUND(AA34*$I34,0)</f>
        <v>0</v>
      </c>
      <c r="AC34" s="76"/>
      <c r="AD34" s="78">
        <f t="shared" ref="AD34" si="94">+ROUND(AC34*$I34,0)</f>
        <v>0</v>
      </c>
      <c r="AE34" s="76"/>
      <c r="AF34" s="78"/>
      <c r="AG34" s="76"/>
      <c r="AH34" s="78">
        <f t="shared" ref="AH34" si="95">+ROUND(AG34*$I34,0)</f>
        <v>0</v>
      </c>
      <c r="AI34" s="76"/>
      <c r="AJ34" s="78"/>
      <c r="AK34" s="76"/>
      <c r="AL34" s="78"/>
    </row>
    <row r="35" spans="1:38"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7"/>
        <v>0</v>
      </c>
      <c r="H35" s="69">
        <f>+VLOOKUP(C35,'PRECIOS IDU 2025'!$A$1:$E$3189,4,FALSE)</f>
        <v>1241977</v>
      </c>
      <c r="I35" s="69">
        <f t="shared" si="6"/>
        <v>1614570</v>
      </c>
      <c r="J35" s="69">
        <f t="shared" si="14"/>
        <v>0</v>
      </c>
      <c r="K35" s="9"/>
      <c r="L35" s="3"/>
      <c r="M35" s="76"/>
      <c r="N35" s="78">
        <f t="shared" si="90"/>
        <v>0</v>
      </c>
      <c r="O35" s="76"/>
      <c r="P35" s="78"/>
      <c r="Q35" s="76"/>
      <c r="R35" s="78"/>
      <c r="S35" s="76"/>
      <c r="T35" s="78"/>
      <c r="U35" s="76"/>
      <c r="V35" s="78">
        <f t="shared" ref="V35" si="96">+ROUND(U35*$I35,0)</f>
        <v>0</v>
      </c>
      <c r="W35" s="76"/>
      <c r="X35" s="78">
        <f t="shared" ref="X35" si="97">+ROUND(W35*$I35,0)</f>
        <v>0</v>
      </c>
      <c r="Y35" s="76"/>
      <c r="Z35" s="78"/>
      <c r="AA35" s="76"/>
      <c r="AB35" s="78">
        <f t="shared" ref="AB35" si="98">+ROUND(AA35*$I35,0)</f>
        <v>0</v>
      </c>
      <c r="AC35" s="76"/>
      <c r="AD35" s="78">
        <f t="shared" ref="AD35" si="99">+ROUND(AC35*$I35,0)</f>
        <v>0</v>
      </c>
      <c r="AE35" s="76"/>
      <c r="AF35" s="78"/>
      <c r="AG35" s="76"/>
      <c r="AH35" s="78">
        <f t="shared" ref="AH35" si="100">+ROUND(AG35*$I35,0)</f>
        <v>0</v>
      </c>
      <c r="AI35" s="76"/>
      <c r="AJ35" s="78"/>
      <c r="AK35" s="76"/>
      <c r="AL35" s="78"/>
    </row>
    <row r="36" spans="1:38"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7"/>
        <v>0</v>
      </c>
      <c r="H36" s="69">
        <f>+VLOOKUP(C36,'PRECIOS IDU 2025'!$A$1:$E$3189,4,FALSE)</f>
        <v>1556215</v>
      </c>
      <c r="I36" s="69">
        <f t="shared" ref="I36:I37" si="101">+ROUND(H36*(1+$J$192),0)</f>
        <v>2023080</v>
      </c>
      <c r="J36" s="69">
        <f t="shared" ref="J36:J37" si="102">+ROUND(I36*G36,0)</f>
        <v>0</v>
      </c>
      <c r="K36" s="9"/>
      <c r="L36" s="3"/>
      <c r="M36" s="76"/>
      <c r="N36" s="78"/>
      <c r="O36" s="76"/>
      <c r="P36" s="78"/>
      <c r="Q36" s="76"/>
      <c r="R36" s="78"/>
      <c r="S36" s="76"/>
      <c r="T36" s="78"/>
      <c r="U36" s="76"/>
      <c r="V36" s="78"/>
      <c r="W36" s="76"/>
      <c r="X36" s="78"/>
      <c r="Y36" s="76"/>
      <c r="Z36" s="78"/>
      <c r="AA36" s="76"/>
      <c r="AB36" s="78"/>
      <c r="AC36" s="76"/>
      <c r="AD36" s="78"/>
      <c r="AE36" s="76"/>
      <c r="AF36" s="78"/>
      <c r="AG36" s="76"/>
      <c r="AH36" s="78"/>
      <c r="AI36" s="76"/>
      <c r="AJ36" s="78"/>
      <c r="AK36" s="76"/>
      <c r="AL36" s="78"/>
    </row>
    <row r="37" spans="1:38" ht="30"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7"/>
        <v>0</v>
      </c>
      <c r="H37" s="69">
        <f>+VLOOKUP(C37,'PRECIOS IDU 2025'!$A$1:$E$3189,4,FALSE)</f>
        <v>142844</v>
      </c>
      <c r="I37" s="69">
        <f t="shared" si="101"/>
        <v>185697</v>
      </c>
      <c r="J37" s="69">
        <f t="shared" si="102"/>
        <v>0</v>
      </c>
      <c r="K37" s="9"/>
      <c r="L37" s="3"/>
      <c r="M37" s="76"/>
      <c r="N37" s="78"/>
      <c r="O37" s="76"/>
      <c r="P37" s="78"/>
      <c r="Q37" s="76"/>
      <c r="R37" s="78"/>
      <c r="S37" s="76"/>
      <c r="T37" s="78"/>
      <c r="U37" s="76"/>
      <c r="V37" s="78"/>
      <c r="W37" s="76"/>
      <c r="X37" s="78"/>
      <c r="Y37" s="76"/>
      <c r="Z37" s="78"/>
      <c r="AA37" s="76"/>
      <c r="AB37" s="78"/>
      <c r="AC37" s="76"/>
      <c r="AD37" s="78"/>
      <c r="AE37" s="76"/>
      <c r="AF37" s="78"/>
      <c r="AG37" s="76"/>
      <c r="AH37" s="78"/>
      <c r="AI37" s="76"/>
      <c r="AJ37" s="78"/>
      <c r="AK37" s="76"/>
      <c r="AL37" s="78"/>
    </row>
    <row r="38" spans="1:38"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7"/>
        <v>0</v>
      </c>
      <c r="H38" s="69">
        <f>+VLOOKUP(C38,'PRECIOS IDU 2025'!$A$1:$E$3189,4,FALSE)</f>
        <v>749962</v>
      </c>
      <c r="I38" s="69">
        <f t="shared" si="6"/>
        <v>974951</v>
      </c>
      <c r="J38" s="69">
        <f t="shared" si="14"/>
        <v>0</v>
      </c>
      <c r="K38" s="9"/>
      <c r="L38" s="3"/>
      <c r="M38" s="76"/>
      <c r="N38" s="78">
        <f t="shared" si="90"/>
        <v>0</v>
      </c>
      <c r="O38" s="76"/>
      <c r="P38" s="78"/>
      <c r="Q38" s="76"/>
      <c r="R38" s="78"/>
      <c r="S38" s="76"/>
      <c r="T38" s="78"/>
      <c r="U38" s="76"/>
      <c r="V38" s="78">
        <f t="shared" ref="V38" si="103">+ROUND(U38*$I38,0)</f>
        <v>0</v>
      </c>
      <c r="W38" s="76"/>
      <c r="X38" s="78">
        <f t="shared" ref="X38" si="104">+ROUND(W38*$I38,0)</f>
        <v>0</v>
      </c>
      <c r="Y38" s="76"/>
      <c r="Z38" s="78"/>
      <c r="AA38" s="76"/>
      <c r="AB38" s="78">
        <f t="shared" ref="AB38" si="105">+ROUND(AA38*$I38,0)</f>
        <v>0</v>
      </c>
      <c r="AC38" s="76"/>
      <c r="AD38" s="78">
        <f t="shared" ref="AD38" si="106">+ROUND(AC38*$I38,0)</f>
        <v>0</v>
      </c>
      <c r="AE38" s="76"/>
      <c r="AF38" s="78"/>
      <c r="AG38" s="76"/>
      <c r="AH38" s="78">
        <f t="shared" ref="AH38" si="107">+ROUND(AG38*$I38,0)</f>
        <v>0</v>
      </c>
      <c r="AI38" s="76"/>
      <c r="AJ38" s="78"/>
      <c r="AK38" s="76"/>
      <c r="AL38" s="78"/>
    </row>
    <row r="39" spans="1:38" ht="30" customHeight="1" x14ac:dyDescent="0.3">
      <c r="A39" s="3"/>
      <c r="B39" s="8"/>
      <c r="C39" s="61" t="s">
        <v>6077</v>
      </c>
      <c r="D39" s="62"/>
      <c r="E39" s="62"/>
      <c r="F39" s="62"/>
      <c r="G39" s="62"/>
      <c r="H39" s="62"/>
      <c r="I39" s="62"/>
      <c r="J39" s="63"/>
      <c r="K39" s="9"/>
      <c r="L39" s="3"/>
      <c r="M39" s="76"/>
      <c r="N39" s="78">
        <f t="shared" si="90"/>
        <v>0</v>
      </c>
      <c r="O39" s="76"/>
      <c r="P39" s="78"/>
      <c r="Q39" s="76"/>
      <c r="R39" s="78"/>
      <c r="S39" s="76"/>
      <c r="T39" s="78"/>
      <c r="U39" s="76"/>
      <c r="V39" s="78">
        <f t="shared" ref="V39" si="108">+ROUND(U39*$I39,0)</f>
        <v>0</v>
      </c>
      <c r="W39" s="76"/>
      <c r="X39" s="78">
        <f t="shared" ref="X39" si="109">+ROUND(W39*$I39,0)</f>
        <v>0</v>
      </c>
      <c r="Y39" s="76"/>
      <c r="Z39" s="78"/>
      <c r="AA39" s="76"/>
      <c r="AB39" s="78">
        <f t="shared" ref="AB39" si="110">+ROUND(AA39*$I39,0)</f>
        <v>0</v>
      </c>
      <c r="AC39" s="76"/>
      <c r="AD39" s="78">
        <f t="shared" ref="AD39" si="111">+ROUND(AC39*$I39,0)</f>
        <v>0</v>
      </c>
      <c r="AE39" s="76"/>
      <c r="AF39" s="78"/>
      <c r="AG39" s="76"/>
      <c r="AH39" s="78">
        <f t="shared" ref="AH39" si="112">+ROUND(AG39*$I39,0)</f>
        <v>0</v>
      </c>
      <c r="AI39" s="76"/>
      <c r="AJ39" s="78"/>
      <c r="AK39" s="76"/>
      <c r="AL39" s="78"/>
    </row>
    <row r="40" spans="1:38" ht="30" customHeight="1" x14ac:dyDescent="0.3">
      <c r="A40" s="3"/>
      <c r="B40" s="8"/>
      <c r="C40" s="60">
        <v>3007</v>
      </c>
      <c r="D40" s="60">
        <v>2001</v>
      </c>
      <c r="E40" s="60" t="str">
        <f>+VLOOKUP(C40,'PRECIOS IDU 2025'!$A$1:$E$3189,2,FALSE)</f>
        <v>REPLANTEO GENERAL</v>
      </c>
      <c r="F40" s="60" t="str">
        <f>+VLOOKUP(C40,'PRECIOS IDU 2025'!$A$1:$E$3189,3,FALSE)</f>
        <v>M2</v>
      </c>
      <c r="G40" s="108">
        <f t="shared" si="7"/>
        <v>1853.35</v>
      </c>
      <c r="H40" s="69">
        <f>+VLOOKUP(C40,'PRECIOS IDU 2025'!$A$1:$E$3189,4,FALSE)</f>
        <v>909</v>
      </c>
      <c r="I40" s="69">
        <f t="shared" ref="I40:I67" si="113">+ROUND(H40*(1+$J$192),0)</f>
        <v>1182</v>
      </c>
      <c r="J40" s="69">
        <f t="shared" ref="J40:J67" si="114">+ROUND(I40*G40,0)</f>
        <v>2190660</v>
      </c>
      <c r="K40" s="9"/>
      <c r="L40" s="3"/>
      <c r="M40" s="76">
        <f>+M13</f>
        <v>161.05000000000001</v>
      </c>
      <c r="N40" s="78">
        <f t="shared" si="90"/>
        <v>190361</v>
      </c>
      <c r="O40" s="76"/>
      <c r="P40" s="78"/>
      <c r="Q40" s="76"/>
      <c r="R40" s="78"/>
      <c r="S40" s="76"/>
      <c r="T40" s="78"/>
      <c r="U40" s="76">
        <f>+U13</f>
        <v>225.2</v>
      </c>
      <c r="V40" s="78">
        <f t="shared" ref="V40" si="115">+ROUND(U40*$I40,0)</f>
        <v>266186</v>
      </c>
      <c r="W40" s="76">
        <f>+W13</f>
        <v>346.33</v>
      </c>
      <c r="X40" s="78">
        <f t="shared" ref="X40" si="116">+ROUND(W40*$I40,0)</f>
        <v>409362</v>
      </c>
      <c r="Y40" s="76"/>
      <c r="Z40" s="78"/>
      <c r="AA40" s="76">
        <f>+AA13</f>
        <v>361.47</v>
      </c>
      <c r="AB40" s="78">
        <f t="shared" ref="AB40" si="117">+ROUND(AA40*$I40,0)</f>
        <v>427258</v>
      </c>
      <c r="AC40" s="76">
        <f>+AC13</f>
        <v>325.25</v>
      </c>
      <c r="AD40" s="78">
        <f t="shared" ref="AD40" si="118">+ROUND(AC40*$I40,0)</f>
        <v>384446</v>
      </c>
      <c r="AE40" s="76"/>
      <c r="AF40" s="78"/>
      <c r="AG40" s="76">
        <f>+AG13</f>
        <v>434.05</v>
      </c>
      <c r="AH40" s="78">
        <f t="shared" ref="AH40" si="119">+ROUND(AG40*$I40,0)</f>
        <v>513047</v>
      </c>
      <c r="AI40" s="76"/>
      <c r="AJ40" s="78"/>
      <c r="AK40" s="76"/>
      <c r="AL40" s="78"/>
    </row>
    <row r="41" spans="1:38"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si="7"/>
        <v>32.21</v>
      </c>
      <c r="H41" s="69">
        <f>+VLOOKUP(C41,'PRECIOS IDU 2025'!$A$1:$E$3189,4,FALSE)</f>
        <v>2659</v>
      </c>
      <c r="I41" s="69">
        <f t="shared" si="113"/>
        <v>3457</v>
      </c>
      <c r="J41" s="69">
        <f t="shared" si="114"/>
        <v>111350</v>
      </c>
      <c r="K41" s="9"/>
      <c r="L41" s="3"/>
      <c r="M41" s="76">
        <f>+M13*M3</f>
        <v>32.21</v>
      </c>
      <c r="N41" s="78">
        <f t="shared" si="90"/>
        <v>111350</v>
      </c>
      <c r="O41" s="76"/>
      <c r="P41" s="78"/>
      <c r="Q41" s="76"/>
      <c r="R41" s="78"/>
      <c r="S41" s="76"/>
      <c r="T41" s="78"/>
      <c r="U41" s="76">
        <f>+U13*U3</f>
        <v>0</v>
      </c>
      <c r="V41" s="78">
        <f t="shared" ref="V41" si="120">+ROUND(U41*$I41,0)</f>
        <v>0</v>
      </c>
      <c r="W41" s="76">
        <f>+W13*W3</f>
        <v>0</v>
      </c>
      <c r="X41" s="78">
        <f t="shared" ref="X41" si="121">+ROUND(W41*$I41,0)</f>
        <v>0</v>
      </c>
      <c r="Y41" s="76"/>
      <c r="Z41" s="78"/>
      <c r="AA41" s="76">
        <f>+AA13*AA3</f>
        <v>0</v>
      </c>
      <c r="AB41" s="78">
        <f t="shared" ref="AB41" si="122">+ROUND(AA41*$I41,0)</f>
        <v>0</v>
      </c>
      <c r="AC41" s="76">
        <f>+AC13*AC3</f>
        <v>0</v>
      </c>
      <c r="AD41" s="78">
        <f t="shared" ref="AD41" si="123">+ROUND(AC41*$I41,0)</f>
        <v>0</v>
      </c>
      <c r="AE41" s="76"/>
      <c r="AF41" s="78"/>
      <c r="AG41" s="76">
        <f>+AG13*AG3</f>
        <v>0</v>
      </c>
      <c r="AH41" s="78">
        <f t="shared" ref="AH41" si="124">+ROUND(AG41*$I41,0)</f>
        <v>0</v>
      </c>
      <c r="AI41" s="76"/>
      <c r="AJ41" s="78"/>
      <c r="AK41" s="76"/>
      <c r="AL41" s="78"/>
    </row>
    <row r="42" spans="1:38"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7"/>
        <v>27.81</v>
      </c>
      <c r="H42" s="69">
        <f>+VLOOKUP(C42,'PRECIOS IDU 2025'!$A$1:$E$3189,4,FALSE)</f>
        <v>38781</v>
      </c>
      <c r="I42" s="69">
        <f t="shared" si="113"/>
        <v>50415</v>
      </c>
      <c r="J42" s="69">
        <f t="shared" si="114"/>
        <v>1402041</v>
      </c>
      <c r="K42" s="9"/>
      <c r="L42" s="3"/>
      <c r="M42" s="76">
        <f>+M11*2*0.05</f>
        <v>2.3039999999999998</v>
      </c>
      <c r="N42" s="78">
        <f t="shared" si="90"/>
        <v>116156</v>
      </c>
      <c r="O42" s="76"/>
      <c r="P42" s="78"/>
      <c r="Q42" s="76"/>
      <c r="R42" s="78"/>
      <c r="S42" s="76"/>
      <c r="T42" s="78"/>
      <c r="U42" s="76">
        <f>+U11*2*0.05</f>
        <v>3.0310000000000001</v>
      </c>
      <c r="V42" s="78">
        <f t="shared" ref="V42" si="125">+ROUND(U42*$I42,0)</f>
        <v>152808</v>
      </c>
      <c r="W42" s="76">
        <f>+W11*2*0.05</f>
        <v>5.0120000000000005</v>
      </c>
      <c r="X42" s="78">
        <f t="shared" ref="X42" si="126">+ROUND(W42*$I42,0)</f>
        <v>252680</v>
      </c>
      <c r="Y42" s="76"/>
      <c r="Z42" s="78"/>
      <c r="AA42" s="76">
        <f>+AA11*2*0.05</f>
        <v>3.4359999999999999</v>
      </c>
      <c r="AB42" s="78">
        <f t="shared" ref="AB42" si="127">+ROUND(AA42*$I42,0)</f>
        <v>173226</v>
      </c>
      <c r="AC42" s="76">
        <f>+AC11*2*0.05</f>
        <v>5.4480000000000004</v>
      </c>
      <c r="AD42" s="78">
        <f t="shared" ref="AD42" si="128">+ROUND(AC42*$I42,0)</f>
        <v>274661</v>
      </c>
      <c r="AE42" s="76"/>
      <c r="AF42" s="78"/>
      <c r="AG42" s="76">
        <f>+AG11*2*0.05</f>
        <v>8.5780000000000012</v>
      </c>
      <c r="AH42" s="78">
        <f t="shared" ref="AH42" si="129">+ROUND(AG42*$I42,0)</f>
        <v>432460</v>
      </c>
      <c r="AI42" s="76"/>
      <c r="AJ42" s="78"/>
      <c r="AK42" s="76"/>
      <c r="AL42" s="78"/>
    </row>
    <row r="43" spans="1:38"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7"/>
        <v>556.17999999999995</v>
      </c>
      <c r="H43" s="69">
        <f>+VLOOKUP(C43,'PRECIOS IDU 2025'!$A$1:$E$3189,4,FALSE)</f>
        <v>187178</v>
      </c>
      <c r="I43" s="69">
        <f t="shared" si="113"/>
        <v>243331</v>
      </c>
      <c r="J43" s="69">
        <f t="shared" si="114"/>
        <v>135335836</v>
      </c>
      <c r="K43" s="9"/>
      <c r="L43" s="3"/>
      <c r="M43" s="76">
        <f>+M11*2</f>
        <v>46.08</v>
      </c>
      <c r="N43" s="78">
        <f t="shared" si="90"/>
        <v>11212692</v>
      </c>
      <c r="O43" s="76"/>
      <c r="P43" s="78"/>
      <c r="Q43" s="76"/>
      <c r="R43" s="78"/>
      <c r="S43" s="76"/>
      <c r="T43" s="78"/>
      <c r="U43" s="76">
        <f>+U11*2</f>
        <v>60.62</v>
      </c>
      <c r="V43" s="78">
        <f t="shared" ref="V43" si="130">+ROUND(U43*$I43,0)</f>
        <v>14750725</v>
      </c>
      <c r="W43" s="76">
        <f>+W11*2</f>
        <v>100.24</v>
      </c>
      <c r="X43" s="78">
        <f t="shared" ref="X43" si="131">+ROUND(W43*$I43,0)</f>
        <v>24391499</v>
      </c>
      <c r="Y43" s="76"/>
      <c r="Z43" s="78"/>
      <c r="AA43" s="76">
        <f>+AA11*2</f>
        <v>68.72</v>
      </c>
      <c r="AB43" s="78">
        <f t="shared" ref="AB43" si="132">+ROUND(AA43*$I43,0)</f>
        <v>16721706</v>
      </c>
      <c r="AC43" s="76">
        <f>+AC11*2</f>
        <v>108.96</v>
      </c>
      <c r="AD43" s="78">
        <f t="shared" ref="AD43" si="133">+ROUND(AC43*$I43,0)</f>
        <v>26513346</v>
      </c>
      <c r="AE43" s="76"/>
      <c r="AF43" s="78"/>
      <c r="AG43" s="76">
        <f>+AG11*2</f>
        <v>171.56</v>
      </c>
      <c r="AH43" s="78">
        <f t="shared" ref="AH43" si="134">+ROUND(AG43*$I43,0)</f>
        <v>41745866</v>
      </c>
      <c r="AI43" s="76"/>
      <c r="AJ43" s="78"/>
      <c r="AK43" s="76"/>
      <c r="AL43" s="78"/>
    </row>
    <row r="44" spans="1:38"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7"/>
        <v>112.74</v>
      </c>
      <c r="H44" s="69">
        <f>+VLOOKUP(C44,'PRECIOS IDU 2025'!$A$1:$E$3189,4,FALSE)</f>
        <v>5741</v>
      </c>
      <c r="I44" s="69">
        <f t="shared" si="113"/>
        <v>7463</v>
      </c>
      <c r="J44" s="69">
        <f t="shared" si="114"/>
        <v>841379</v>
      </c>
      <c r="K44" s="9"/>
      <c r="L44" s="3"/>
      <c r="M44" s="76">
        <f>+M13*SUM(M3:P3)</f>
        <v>112.735</v>
      </c>
      <c r="N44" s="78">
        <f t="shared" si="90"/>
        <v>841341</v>
      </c>
      <c r="O44" s="76"/>
      <c r="P44" s="78"/>
      <c r="Q44" s="76"/>
      <c r="R44" s="78"/>
      <c r="S44" s="76"/>
      <c r="T44" s="78"/>
      <c r="U44" s="76">
        <f>+U13*SUM(U3:X3)</f>
        <v>0</v>
      </c>
      <c r="V44" s="78">
        <f t="shared" ref="V44" si="135">+ROUND(U44*$I44,0)</f>
        <v>0</v>
      </c>
      <c r="W44" s="76">
        <f>+W13*SUM(W3:Z3)</f>
        <v>0</v>
      </c>
      <c r="X44" s="78">
        <f t="shared" ref="X44" si="136">+ROUND(W44*$I44,0)</f>
        <v>0</v>
      </c>
      <c r="Y44" s="76"/>
      <c r="Z44" s="78"/>
      <c r="AA44" s="76">
        <f>+AA13*SUM(AA3:AD3)</f>
        <v>0</v>
      </c>
      <c r="AB44" s="78">
        <f t="shared" ref="AB44" si="137">+ROUND(AA44*$I44,0)</f>
        <v>0</v>
      </c>
      <c r="AC44" s="76">
        <f>+AC13*SUM(AC3:AF3)</f>
        <v>0</v>
      </c>
      <c r="AD44" s="78">
        <f t="shared" ref="AD44" si="138">+ROUND(AC44*$I44,0)</f>
        <v>0</v>
      </c>
      <c r="AE44" s="76"/>
      <c r="AF44" s="78"/>
      <c r="AG44" s="76">
        <f>+AG13*SUM(AG3:AJ3)</f>
        <v>0</v>
      </c>
      <c r="AH44" s="78">
        <f t="shared" ref="AH44" si="139">+ROUND(AG44*$I44,0)</f>
        <v>0</v>
      </c>
      <c r="AI44" s="76"/>
      <c r="AJ44" s="78"/>
      <c r="AK44" s="76"/>
      <c r="AL44" s="78"/>
    </row>
    <row r="45" spans="1:38"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7"/>
        <v>5.64</v>
      </c>
      <c r="H45" s="69">
        <f>+VLOOKUP(C45,'PRECIOS IDU 2025'!$A$1:$E$3189,4,FALSE)</f>
        <v>46379</v>
      </c>
      <c r="I45" s="69">
        <f t="shared" si="113"/>
        <v>60293</v>
      </c>
      <c r="J45" s="69">
        <f t="shared" si="114"/>
        <v>340053</v>
      </c>
      <c r="K45" s="9"/>
      <c r="L45" s="3"/>
      <c r="M45" s="76">
        <f>+M44*0.05</f>
        <v>5.6367500000000001</v>
      </c>
      <c r="N45" s="78">
        <f t="shared" si="90"/>
        <v>339857</v>
      </c>
      <c r="O45" s="76"/>
      <c r="P45" s="78"/>
      <c r="Q45" s="76"/>
      <c r="R45" s="78"/>
      <c r="S45" s="76"/>
      <c r="T45" s="78"/>
      <c r="U45" s="76">
        <f>+U44*0.05</f>
        <v>0</v>
      </c>
      <c r="V45" s="78">
        <f t="shared" ref="V45" si="140">+ROUND(U45*$I45,0)</f>
        <v>0</v>
      </c>
      <c r="W45" s="76">
        <f>+W44*0.05</f>
        <v>0</v>
      </c>
      <c r="X45" s="78">
        <f t="shared" ref="X45" si="141">+ROUND(W45*$I45,0)</f>
        <v>0</v>
      </c>
      <c r="Y45" s="76"/>
      <c r="Z45" s="78"/>
      <c r="AA45" s="76">
        <f>+AA44*0.05</f>
        <v>0</v>
      </c>
      <c r="AB45" s="78">
        <f t="shared" ref="AB45" si="142">+ROUND(AA45*$I45,0)</f>
        <v>0</v>
      </c>
      <c r="AC45" s="76">
        <f>+AC44*0.05</f>
        <v>0</v>
      </c>
      <c r="AD45" s="78">
        <f t="shared" ref="AD45" si="143">+ROUND(AC45*$I45,0)</f>
        <v>0</v>
      </c>
      <c r="AE45" s="76"/>
      <c r="AF45" s="78"/>
      <c r="AG45" s="76">
        <f>+AG44*0.05</f>
        <v>0</v>
      </c>
      <c r="AH45" s="78">
        <f t="shared" ref="AH45" si="144">+ROUND(AG45*$I45,0)</f>
        <v>0</v>
      </c>
      <c r="AI45" s="76"/>
      <c r="AJ45" s="78"/>
      <c r="AK45" s="76"/>
      <c r="AL45" s="78"/>
    </row>
    <row r="46" spans="1:38"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7"/>
        <v>913.07</v>
      </c>
      <c r="H46" s="69">
        <f>+VLOOKUP(C46,'PRECIOS IDU 2025'!$A$1:$E$3189,4,FALSE)</f>
        <v>45600</v>
      </c>
      <c r="I46" s="69">
        <f t="shared" si="113"/>
        <v>59280</v>
      </c>
      <c r="J46" s="69">
        <f t="shared" si="114"/>
        <v>54126790</v>
      </c>
      <c r="K46" s="9"/>
      <c r="L46" s="3"/>
      <c r="M46" s="76">
        <f>++SUM(M42:M45)*1.3</f>
        <v>216.78247500000001</v>
      </c>
      <c r="N46" s="78">
        <f t="shared" si="90"/>
        <v>12850865</v>
      </c>
      <c r="O46" s="76"/>
      <c r="P46" s="78"/>
      <c r="Q46" s="76"/>
      <c r="R46" s="78"/>
      <c r="S46" s="76"/>
      <c r="T46" s="78"/>
      <c r="U46" s="76">
        <f>++SUM(U42:U45)*1.3</f>
        <v>82.746299999999991</v>
      </c>
      <c r="V46" s="78">
        <f t="shared" ref="V46" si="145">+ROUND(U46*$I46,0)</f>
        <v>4905201</v>
      </c>
      <c r="W46" s="76">
        <f>++SUM(W42:W45)*1.3</f>
        <v>136.82759999999999</v>
      </c>
      <c r="X46" s="78">
        <f t="shared" ref="X46" si="146">+ROUND(W46*$I46,0)</f>
        <v>8111140</v>
      </c>
      <c r="Y46" s="76"/>
      <c r="Z46" s="78"/>
      <c r="AA46" s="76">
        <f>++SUM(AA42:AA45)*1.3</f>
        <v>93.802800000000005</v>
      </c>
      <c r="AB46" s="78">
        <f t="shared" ref="AB46" si="147">+ROUND(AA46*$I46,0)</f>
        <v>5560630</v>
      </c>
      <c r="AC46" s="76">
        <f>++SUM(AC42:AC45)*1.3</f>
        <v>148.73039999999997</v>
      </c>
      <c r="AD46" s="78">
        <f t="shared" ref="AD46" si="148">+ROUND(AC46*$I46,0)</f>
        <v>8816738</v>
      </c>
      <c r="AE46" s="76"/>
      <c r="AF46" s="78"/>
      <c r="AG46" s="76">
        <f>++SUM(AG42:AG45)*1.3</f>
        <v>234.17940000000002</v>
      </c>
      <c r="AH46" s="78">
        <f t="shared" ref="AH46" si="149">+ROUND(AG46*$I46,0)</f>
        <v>13882155</v>
      </c>
      <c r="AI46" s="76"/>
      <c r="AJ46" s="78"/>
      <c r="AK46" s="76"/>
      <c r="AL46" s="78"/>
    </row>
    <row r="47" spans="1:38"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7"/>
        <v>1853.35</v>
      </c>
      <c r="H47" s="69">
        <f>+VLOOKUP(C47,'PRECIOS IDU 2025'!$A$1:$E$3189,4,FALSE)</f>
        <v>1757</v>
      </c>
      <c r="I47" s="69">
        <f t="shared" si="113"/>
        <v>2284</v>
      </c>
      <c r="J47" s="69">
        <f t="shared" si="114"/>
        <v>4233051</v>
      </c>
      <c r="K47" s="9"/>
      <c r="L47" s="3"/>
      <c r="M47" s="76">
        <f>+M13</f>
        <v>161.05000000000001</v>
      </c>
      <c r="N47" s="78">
        <f t="shared" si="90"/>
        <v>367838</v>
      </c>
      <c r="O47" s="76"/>
      <c r="P47" s="78"/>
      <c r="Q47" s="76"/>
      <c r="R47" s="78"/>
      <c r="S47" s="76"/>
      <c r="T47" s="78"/>
      <c r="U47" s="76">
        <f>+U13</f>
        <v>225.2</v>
      </c>
      <c r="V47" s="78">
        <f t="shared" ref="V47" si="150">+ROUND(U47*$I47,0)</f>
        <v>514357</v>
      </c>
      <c r="W47" s="76">
        <f>+W13</f>
        <v>346.33</v>
      </c>
      <c r="X47" s="78">
        <f t="shared" ref="X47" si="151">+ROUND(W47*$I47,0)</f>
        <v>791018</v>
      </c>
      <c r="Y47" s="76"/>
      <c r="Z47" s="78"/>
      <c r="AA47" s="76">
        <f>+AA13</f>
        <v>361.47</v>
      </c>
      <c r="AB47" s="78">
        <f t="shared" ref="AB47" si="152">+ROUND(AA47*$I47,0)</f>
        <v>825597</v>
      </c>
      <c r="AC47" s="76">
        <f>+AC13</f>
        <v>325.25</v>
      </c>
      <c r="AD47" s="78">
        <f t="shared" ref="AD47" si="153">+ROUND(AC47*$I47,0)</f>
        <v>742871</v>
      </c>
      <c r="AE47" s="76"/>
      <c r="AF47" s="78"/>
      <c r="AG47" s="76">
        <f>+AG13</f>
        <v>434.05</v>
      </c>
      <c r="AH47" s="78">
        <f t="shared" ref="AH47" si="154">+ROUND(AG47*$I47,0)</f>
        <v>991370</v>
      </c>
      <c r="AI47" s="76"/>
      <c r="AJ47" s="78"/>
      <c r="AK47" s="76"/>
      <c r="AL47" s="78"/>
    </row>
    <row r="48" spans="1:38"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7"/>
        <v>0</v>
      </c>
      <c r="H48" s="69">
        <f>+VLOOKUP(C48,'PRECIOS IDU 2025'!$A$1:$E$3189,4,FALSE)</f>
        <v>184030</v>
      </c>
      <c r="I48" s="69">
        <f t="shared" si="113"/>
        <v>239239</v>
      </c>
      <c r="J48" s="69">
        <f t="shared" si="114"/>
        <v>0</v>
      </c>
      <c r="K48" s="9"/>
      <c r="L48" s="3"/>
      <c r="M48" s="76"/>
      <c r="N48" s="78">
        <f t="shared" si="90"/>
        <v>0</v>
      </c>
      <c r="O48" s="76"/>
      <c r="P48" s="78"/>
      <c r="Q48" s="76"/>
      <c r="R48" s="78"/>
      <c r="S48" s="76"/>
      <c r="T48" s="78"/>
      <c r="U48" s="76"/>
      <c r="V48" s="78">
        <f t="shared" ref="V48" si="155">+ROUND(U48*$I48,0)</f>
        <v>0</v>
      </c>
      <c r="W48" s="76"/>
      <c r="X48" s="78">
        <f t="shared" ref="X48" si="156">+ROUND(W48*$I48,0)</f>
        <v>0</v>
      </c>
      <c r="Y48" s="76"/>
      <c r="Z48" s="78"/>
      <c r="AA48" s="76"/>
      <c r="AB48" s="78">
        <f t="shared" ref="AB48" si="157">+ROUND(AA48*$I48,0)</f>
        <v>0</v>
      </c>
      <c r="AC48" s="76"/>
      <c r="AD48" s="78">
        <f t="shared" ref="AD48" si="158">+ROUND(AC48*$I48,0)</f>
        <v>0</v>
      </c>
      <c r="AE48" s="76"/>
      <c r="AF48" s="78"/>
      <c r="AG48" s="76"/>
      <c r="AH48" s="78">
        <f t="shared" ref="AH48" si="159">+ROUND(AG48*$I48,0)</f>
        <v>0</v>
      </c>
      <c r="AI48" s="76"/>
      <c r="AJ48" s="78"/>
      <c r="AK48" s="76"/>
      <c r="AL48" s="78"/>
    </row>
    <row r="49" spans="1:38"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7"/>
        <v>0</v>
      </c>
      <c r="H49" s="69">
        <f>+VLOOKUP(C49,'PRECIOS IDU 2025'!$A$1:$E$3189,4,FALSE)</f>
        <v>73638</v>
      </c>
      <c r="I49" s="69">
        <f t="shared" si="113"/>
        <v>95729</v>
      </c>
      <c r="J49" s="69">
        <f t="shared" si="114"/>
        <v>0</v>
      </c>
      <c r="K49" s="9"/>
      <c r="L49" s="3"/>
      <c r="M49" s="76"/>
      <c r="N49" s="78">
        <f t="shared" si="90"/>
        <v>0</v>
      </c>
      <c r="O49" s="76"/>
      <c r="P49" s="78"/>
      <c r="Q49" s="76"/>
      <c r="R49" s="78"/>
      <c r="S49" s="76"/>
      <c r="T49" s="78"/>
      <c r="U49" s="76"/>
      <c r="V49" s="78">
        <f t="shared" ref="V49" si="160">+ROUND(U49*$I49,0)</f>
        <v>0</v>
      </c>
      <c r="W49" s="76"/>
      <c r="X49" s="78">
        <f t="shared" ref="X49" si="161">+ROUND(W49*$I49,0)</f>
        <v>0</v>
      </c>
      <c r="Y49" s="76"/>
      <c r="Z49" s="78"/>
      <c r="AA49" s="76"/>
      <c r="AB49" s="78">
        <f t="shared" ref="AB49" si="162">+ROUND(AA49*$I49,0)</f>
        <v>0</v>
      </c>
      <c r="AC49" s="76"/>
      <c r="AD49" s="78">
        <f t="shared" ref="AD49" si="163">+ROUND(AC49*$I49,0)</f>
        <v>0</v>
      </c>
      <c r="AE49" s="76"/>
      <c r="AF49" s="78"/>
      <c r="AG49" s="76"/>
      <c r="AH49" s="78">
        <f t="shared" ref="AH49" si="164">+ROUND(AG49*$I49,0)</f>
        <v>0</v>
      </c>
      <c r="AI49" s="76"/>
      <c r="AJ49" s="78"/>
      <c r="AK49" s="76"/>
      <c r="AL49" s="78"/>
    </row>
    <row r="50" spans="1:38"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7"/>
        <v>1853.35</v>
      </c>
      <c r="H50" s="69">
        <f>+VLOOKUP(C50,'PRECIOS IDU 2025'!$A$1:$E$3189,4,FALSE)</f>
        <v>13158</v>
      </c>
      <c r="I50" s="69">
        <f t="shared" si="113"/>
        <v>17105</v>
      </c>
      <c r="J50" s="69">
        <f t="shared" si="114"/>
        <v>31701552</v>
      </c>
      <c r="K50" s="9"/>
      <c r="L50" s="3"/>
      <c r="M50" s="76">
        <f>+M13</f>
        <v>161.05000000000001</v>
      </c>
      <c r="N50" s="78">
        <f t="shared" si="90"/>
        <v>2754760</v>
      </c>
      <c r="O50" s="76"/>
      <c r="P50" s="78"/>
      <c r="Q50" s="76"/>
      <c r="R50" s="78"/>
      <c r="S50" s="76"/>
      <c r="T50" s="78"/>
      <c r="U50" s="76">
        <f>+U13</f>
        <v>225.2</v>
      </c>
      <c r="V50" s="78">
        <f t="shared" ref="V50" si="165">+ROUND(U50*$I50,0)</f>
        <v>3852046</v>
      </c>
      <c r="W50" s="76">
        <f>+W13</f>
        <v>346.33</v>
      </c>
      <c r="X50" s="78">
        <f t="shared" ref="X50" si="166">+ROUND(W50*$I50,0)</f>
        <v>5923975</v>
      </c>
      <c r="Y50" s="76"/>
      <c r="Z50" s="78"/>
      <c r="AA50" s="76">
        <f>+AA13</f>
        <v>361.47</v>
      </c>
      <c r="AB50" s="78">
        <f t="shared" ref="AB50" si="167">+ROUND(AA50*$I50,0)</f>
        <v>6182944</v>
      </c>
      <c r="AC50" s="76">
        <f>+AC13</f>
        <v>325.25</v>
      </c>
      <c r="AD50" s="78">
        <f t="shared" ref="AD50" si="168">+ROUND(AC50*$I50,0)</f>
        <v>5563401</v>
      </c>
      <c r="AE50" s="76"/>
      <c r="AF50" s="78"/>
      <c r="AG50" s="76">
        <f>+AG13</f>
        <v>434.05</v>
      </c>
      <c r="AH50" s="78">
        <f t="shared" ref="AH50" si="169">+ROUND(AG50*$I50,0)</f>
        <v>7424425</v>
      </c>
      <c r="AI50" s="76"/>
      <c r="AJ50" s="78"/>
      <c r="AK50" s="76"/>
      <c r="AL50" s="78"/>
    </row>
    <row r="51" spans="1:38"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7"/>
        <v>1853.35</v>
      </c>
      <c r="H51" s="69">
        <f>+VLOOKUP(C51,'PRECIOS IDU 2025'!$A$1:$E$3189,4,FALSE)</f>
        <v>30940</v>
      </c>
      <c r="I51" s="69">
        <f t="shared" si="113"/>
        <v>40222</v>
      </c>
      <c r="J51" s="69">
        <f t="shared" si="114"/>
        <v>74545444</v>
      </c>
      <c r="K51" s="9"/>
      <c r="L51" s="3"/>
      <c r="M51" s="76">
        <f>+M13</f>
        <v>161.05000000000001</v>
      </c>
      <c r="N51" s="78">
        <f t="shared" si="90"/>
        <v>6477753</v>
      </c>
      <c r="O51" s="76"/>
      <c r="P51" s="78"/>
      <c r="Q51" s="76"/>
      <c r="R51" s="78"/>
      <c r="S51" s="76"/>
      <c r="T51" s="78"/>
      <c r="U51" s="76">
        <f>+U13</f>
        <v>225.2</v>
      </c>
      <c r="V51" s="78">
        <f t="shared" ref="V51" si="170">+ROUND(U51*$I51,0)</f>
        <v>9057994</v>
      </c>
      <c r="W51" s="76">
        <f>+W13</f>
        <v>346.33</v>
      </c>
      <c r="X51" s="78">
        <f t="shared" ref="X51" si="171">+ROUND(W51*$I51,0)</f>
        <v>13930085</v>
      </c>
      <c r="Y51" s="76"/>
      <c r="Z51" s="78"/>
      <c r="AA51" s="76">
        <f>+AA13</f>
        <v>361.47</v>
      </c>
      <c r="AB51" s="78">
        <f t="shared" ref="AB51" si="172">+ROUND(AA51*$I51,0)</f>
        <v>14539046</v>
      </c>
      <c r="AC51" s="76">
        <f>+AC13</f>
        <v>325.25</v>
      </c>
      <c r="AD51" s="78">
        <f t="shared" ref="AD51" si="173">+ROUND(AC51*$I51,0)</f>
        <v>13082206</v>
      </c>
      <c r="AE51" s="76"/>
      <c r="AF51" s="78"/>
      <c r="AG51" s="76">
        <f>+AG13</f>
        <v>434.05</v>
      </c>
      <c r="AH51" s="78">
        <f t="shared" ref="AH51" si="174">+ROUND(AG51*$I51,0)</f>
        <v>17458359</v>
      </c>
      <c r="AI51" s="76"/>
      <c r="AJ51" s="78"/>
      <c r="AK51" s="76"/>
      <c r="AL51" s="78"/>
    </row>
    <row r="52" spans="1:38"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7"/>
        <v>194.6</v>
      </c>
      <c r="H52" s="69">
        <f>+VLOOKUP(C52,'PRECIOS IDU 2025'!$A$1:$E$3189,4,FALSE)</f>
        <v>170143</v>
      </c>
      <c r="I52" s="69">
        <f t="shared" si="113"/>
        <v>221186</v>
      </c>
      <c r="J52" s="69">
        <f t="shared" si="114"/>
        <v>43042796</v>
      </c>
      <c r="K52" s="9"/>
      <c r="L52" s="3"/>
      <c r="M52" s="76">
        <f>+M13*$O$3*0.7</f>
        <v>16.910250000000001</v>
      </c>
      <c r="N52" s="78">
        <f t="shared" ref="N52:N67" si="175">+ROUND(M52*$I52,0)</f>
        <v>3740311</v>
      </c>
      <c r="O52" s="76"/>
      <c r="P52" s="78"/>
      <c r="Q52" s="76"/>
      <c r="R52" s="78"/>
      <c r="S52" s="76"/>
      <c r="T52" s="78"/>
      <c r="U52" s="76">
        <f>+U13*$O$3*0.7</f>
        <v>23.645999999999994</v>
      </c>
      <c r="V52" s="78">
        <f t="shared" ref="V52" si="176">+ROUND(U52*$I52,0)</f>
        <v>5230164</v>
      </c>
      <c r="W52" s="76">
        <f>+W13*$O$3*0.7</f>
        <v>36.36464999999999</v>
      </c>
      <c r="X52" s="78">
        <f t="shared" ref="X52" si="177">+ROUND(W52*$I52,0)</f>
        <v>8043351</v>
      </c>
      <c r="Y52" s="76"/>
      <c r="Z52" s="78"/>
      <c r="AA52" s="76">
        <f>+AA13*$O$3*0.7</f>
        <v>37.954349999999998</v>
      </c>
      <c r="AB52" s="78">
        <f t="shared" ref="AB52" si="178">+ROUND(AA52*$I52,0)</f>
        <v>8394971</v>
      </c>
      <c r="AC52" s="76">
        <f>+AC13*$O$3*0.7</f>
        <v>34.151249999999997</v>
      </c>
      <c r="AD52" s="78">
        <f t="shared" ref="AD52" si="179">+ROUND(AC52*$I52,0)</f>
        <v>7553778</v>
      </c>
      <c r="AE52" s="76"/>
      <c r="AF52" s="78"/>
      <c r="AG52" s="76">
        <f>+AG13*$O$3*0.7</f>
        <v>45.575249999999997</v>
      </c>
      <c r="AH52" s="78">
        <f t="shared" ref="AH52" si="180">+ROUND(AG52*$I52,0)</f>
        <v>10080607</v>
      </c>
      <c r="AI52" s="76"/>
      <c r="AJ52" s="78"/>
      <c r="AK52" s="76"/>
      <c r="AL52" s="78"/>
    </row>
    <row r="53" spans="1:38"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7"/>
        <v>83.4</v>
      </c>
      <c r="H53" s="69">
        <f>+VLOOKUP(C53,'PRECIOS IDU 2025'!$A$1:$E$3189,4,FALSE)</f>
        <v>163490</v>
      </c>
      <c r="I53" s="69">
        <f t="shared" si="113"/>
        <v>212537</v>
      </c>
      <c r="J53" s="69">
        <f t="shared" si="114"/>
        <v>17725586</v>
      </c>
      <c r="K53" s="9"/>
      <c r="L53" s="3"/>
      <c r="M53" s="76">
        <f>+M13*$O$3*0.3</f>
        <v>7.2472500000000002</v>
      </c>
      <c r="N53" s="78">
        <f t="shared" si="175"/>
        <v>1540309</v>
      </c>
      <c r="O53" s="76"/>
      <c r="P53" s="78"/>
      <c r="Q53" s="76"/>
      <c r="R53" s="78"/>
      <c r="S53" s="76"/>
      <c r="T53" s="78"/>
      <c r="U53" s="76">
        <f>+U13*$O$3*0.3</f>
        <v>10.133999999999999</v>
      </c>
      <c r="V53" s="78">
        <f t="shared" ref="V53" si="181">+ROUND(U53*$I53,0)</f>
        <v>2153850</v>
      </c>
      <c r="W53" s="76">
        <f>+W13*$O$3*0.3</f>
        <v>15.584849999999998</v>
      </c>
      <c r="X53" s="78">
        <f t="shared" ref="X53" si="182">+ROUND(W53*$I53,0)</f>
        <v>3312357</v>
      </c>
      <c r="Y53" s="76"/>
      <c r="Z53" s="78"/>
      <c r="AA53" s="76">
        <f>+AA13*$O$3*0.3</f>
        <v>16.26615</v>
      </c>
      <c r="AB53" s="78">
        <f t="shared" ref="AB53" si="183">+ROUND(AA53*$I53,0)</f>
        <v>3457159</v>
      </c>
      <c r="AC53" s="76">
        <f>+AC13*$O$3*0.3</f>
        <v>14.63625</v>
      </c>
      <c r="AD53" s="78">
        <f t="shared" ref="AD53" si="184">+ROUND(AC53*$I53,0)</f>
        <v>3110745</v>
      </c>
      <c r="AE53" s="76"/>
      <c r="AF53" s="78"/>
      <c r="AG53" s="76">
        <f>+AG13*$O$3*0.3</f>
        <v>19.532250000000001</v>
      </c>
      <c r="AH53" s="78">
        <f t="shared" ref="AH53" si="185">+ROUND(AG53*$I53,0)</f>
        <v>4151326</v>
      </c>
      <c r="AI53" s="76"/>
      <c r="AJ53" s="78"/>
      <c r="AK53" s="76"/>
      <c r="AL53" s="78"/>
    </row>
    <row r="54" spans="1:38"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7"/>
        <v>1853.35</v>
      </c>
      <c r="H54" s="69">
        <f>+VLOOKUP(C54,'PRECIOS IDU 2025'!$A$1:$E$3189,4,FALSE)</f>
        <v>3189</v>
      </c>
      <c r="I54" s="69">
        <f t="shared" si="113"/>
        <v>4146</v>
      </c>
      <c r="J54" s="69">
        <f t="shared" si="114"/>
        <v>7683989</v>
      </c>
      <c r="K54" s="9"/>
      <c r="L54" s="3"/>
      <c r="M54" s="76">
        <f>+M13</f>
        <v>161.05000000000001</v>
      </c>
      <c r="N54" s="78">
        <f t="shared" si="175"/>
        <v>667713</v>
      </c>
      <c r="O54" s="76"/>
      <c r="P54" s="78"/>
      <c r="Q54" s="76"/>
      <c r="R54" s="78"/>
      <c r="S54" s="76"/>
      <c r="T54" s="78"/>
      <c r="U54" s="76">
        <f>+U13</f>
        <v>225.2</v>
      </c>
      <c r="V54" s="78">
        <f t="shared" ref="V54" si="186">+ROUND(U54*$I54,0)</f>
        <v>933679</v>
      </c>
      <c r="W54" s="76">
        <f>+W13</f>
        <v>346.33</v>
      </c>
      <c r="X54" s="78">
        <f t="shared" ref="X54" si="187">+ROUND(W54*$I54,0)</f>
        <v>1435884</v>
      </c>
      <c r="Y54" s="76"/>
      <c r="Z54" s="78"/>
      <c r="AA54" s="76">
        <f>+AA13</f>
        <v>361.47</v>
      </c>
      <c r="AB54" s="78">
        <f t="shared" ref="AB54" si="188">+ROUND(AA54*$I54,0)</f>
        <v>1498655</v>
      </c>
      <c r="AC54" s="76">
        <f>+AC13</f>
        <v>325.25</v>
      </c>
      <c r="AD54" s="78">
        <f t="shared" ref="AD54" si="189">+ROUND(AC54*$I54,0)</f>
        <v>1348487</v>
      </c>
      <c r="AE54" s="76"/>
      <c r="AF54" s="78"/>
      <c r="AG54" s="76">
        <f>+AG13</f>
        <v>434.05</v>
      </c>
      <c r="AH54" s="78">
        <f t="shared" ref="AH54" si="190">+ROUND(AG54*$I54,0)</f>
        <v>1799571</v>
      </c>
      <c r="AI54" s="76"/>
      <c r="AJ54" s="78"/>
      <c r="AK54" s="76"/>
      <c r="AL54" s="78"/>
    </row>
    <row r="55" spans="1:38"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7"/>
        <v>92.67</v>
      </c>
      <c r="H55" s="69">
        <f>+VLOOKUP(C55,'PRECIOS IDU 2025'!$A$1:$E$3189,4,FALSE)</f>
        <v>3885</v>
      </c>
      <c r="I55" s="69">
        <f t="shared" si="113"/>
        <v>5051</v>
      </c>
      <c r="J55" s="69">
        <f t="shared" si="114"/>
        <v>468076</v>
      </c>
      <c r="K55" s="9"/>
      <c r="L55" s="3"/>
      <c r="M55" s="76">
        <f>+M54*0.05</f>
        <v>8.0525000000000002</v>
      </c>
      <c r="N55" s="78">
        <f t="shared" si="175"/>
        <v>40673</v>
      </c>
      <c r="O55" s="76"/>
      <c r="P55" s="78"/>
      <c r="Q55" s="76"/>
      <c r="R55" s="78"/>
      <c r="S55" s="76"/>
      <c r="T55" s="78"/>
      <c r="U55" s="76">
        <f>+U54*0.05</f>
        <v>11.26</v>
      </c>
      <c r="V55" s="78">
        <f t="shared" ref="V55" si="191">+ROUND(U55*$I55,0)</f>
        <v>56874</v>
      </c>
      <c r="W55" s="76">
        <f>+W54*0.05</f>
        <v>17.316500000000001</v>
      </c>
      <c r="X55" s="78">
        <f t="shared" ref="X55" si="192">+ROUND(W55*$I55,0)</f>
        <v>87466</v>
      </c>
      <c r="Y55" s="76"/>
      <c r="Z55" s="78"/>
      <c r="AA55" s="76">
        <f>+AA54*0.05</f>
        <v>18.073500000000003</v>
      </c>
      <c r="AB55" s="78">
        <f t="shared" ref="AB55" si="193">+ROUND(AA55*$I55,0)</f>
        <v>91289</v>
      </c>
      <c r="AC55" s="76">
        <f>+AC54*0.05</f>
        <v>16.262499999999999</v>
      </c>
      <c r="AD55" s="78">
        <f t="shared" ref="AD55" si="194">+ROUND(AC55*$I55,0)</f>
        <v>82142</v>
      </c>
      <c r="AE55" s="76"/>
      <c r="AF55" s="78"/>
      <c r="AG55" s="76">
        <f>+AG54*0.05</f>
        <v>21.702500000000001</v>
      </c>
      <c r="AH55" s="78">
        <f t="shared" ref="AH55" si="195">+ROUND(AG55*$I55,0)</f>
        <v>109619</v>
      </c>
      <c r="AI55" s="76"/>
      <c r="AJ55" s="78"/>
      <c r="AK55" s="76"/>
      <c r="AL55" s="78"/>
    </row>
    <row r="56" spans="1:38"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7"/>
        <v>64.87</v>
      </c>
      <c r="H56" s="69">
        <f>+VLOOKUP(C56,'PRECIOS IDU 2025'!$A$1:$E$3189,4,FALSE)</f>
        <v>1341971</v>
      </c>
      <c r="I56" s="69">
        <f t="shared" si="113"/>
        <v>1744562</v>
      </c>
      <c r="J56" s="69">
        <f t="shared" si="114"/>
        <v>113169737</v>
      </c>
      <c r="K56" s="9"/>
      <c r="L56" s="3"/>
      <c r="M56" s="76">
        <f>+M13*$N$3*0.7</f>
        <v>5.6367500000000001</v>
      </c>
      <c r="N56" s="78">
        <f t="shared" si="175"/>
        <v>9833660</v>
      </c>
      <c r="O56" s="76"/>
      <c r="P56" s="78"/>
      <c r="Q56" s="76"/>
      <c r="R56" s="78"/>
      <c r="S56" s="76"/>
      <c r="T56" s="78"/>
      <c r="U56" s="76">
        <f>+U13*$N$3*0.7</f>
        <v>7.8819999999999997</v>
      </c>
      <c r="V56" s="78">
        <f t="shared" ref="V56" si="196">+ROUND(U56*$I56,0)</f>
        <v>13750638</v>
      </c>
      <c r="W56" s="76">
        <f>+W13*$N$3*0.7</f>
        <v>12.121550000000001</v>
      </c>
      <c r="X56" s="78">
        <f t="shared" ref="X56" si="197">+ROUND(W56*$I56,0)</f>
        <v>21146796</v>
      </c>
      <c r="Y56" s="76"/>
      <c r="Z56" s="78"/>
      <c r="AA56" s="76">
        <f>+AA13*$N$3*0.7</f>
        <v>12.651450000000001</v>
      </c>
      <c r="AB56" s="78">
        <f t="shared" ref="AB56" si="198">+ROUND(AA56*$I56,0)</f>
        <v>22071239</v>
      </c>
      <c r="AC56" s="76">
        <f>+AC13*$N$3*0.7</f>
        <v>11.383749999999999</v>
      </c>
      <c r="AD56" s="78">
        <f t="shared" ref="AD56" si="199">+ROUND(AC56*$I56,0)</f>
        <v>19859658</v>
      </c>
      <c r="AE56" s="76"/>
      <c r="AF56" s="78"/>
      <c r="AG56" s="76">
        <f>+AG13*$N$3*0.7</f>
        <v>15.191749999999999</v>
      </c>
      <c r="AH56" s="78">
        <f t="shared" ref="AH56" si="200">+ROUND(AG56*$I56,0)</f>
        <v>26502950</v>
      </c>
      <c r="AI56" s="76"/>
      <c r="AJ56" s="78"/>
      <c r="AK56" s="76"/>
      <c r="AL56" s="78"/>
    </row>
    <row r="57" spans="1:38"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7"/>
        <v>0</v>
      </c>
      <c r="H57" s="69">
        <f>+VLOOKUP(C57,'PRECIOS IDU 2025'!$A$1:$E$3189,4,FALSE)</f>
        <v>1241977</v>
      </c>
      <c r="I57" s="69">
        <f t="shared" si="113"/>
        <v>1614570</v>
      </c>
      <c r="J57" s="69">
        <f t="shared" si="114"/>
        <v>0</v>
      </c>
      <c r="K57" s="9"/>
      <c r="L57" s="3"/>
      <c r="M57" s="76"/>
      <c r="N57" s="78">
        <f t="shared" si="175"/>
        <v>0</v>
      </c>
      <c r="O57" s="76"/>
      <c r="P57" s="78"/>
      <c r="Q57" s="76"/>
      <c r="R57" s="78"/>
      <c r="S57" s="76"/>
      <c r="T57" s="78"/>
      <c r="U57" s="76"/>
      <c r="V57" s="78">
        <f t="shared" ref="V57" si="201">+ROUND(U57*$I57,0)</f>
        <v>0</v>
      </c>
      <c r="W57" s="76"/>
      <c r="X57" s="78">
        <f t="shared" ref="X57" si="202">+ROUND(W57*$I57,0)</f>
        <v>0</v>
      </c>
      <c r="Y57" s="76"/>
      <c r="Z57" s="78"/>
      <c r="AA57" s="76"/>
      <c r="AB57" s="78">
        <f t="shared" ref="AB57" si="203">+ROUND(AA57*$I57,0)</f>
        <v>0</v>
      </c>
      <c r="AC57" s="76"/>
      <c r="AD57" s="78">
        <f t="shared" ref="AD57" si="204">+ROUND(AC57*$I57,0)</f>
        <v>0</v>
      </c>
      <c r="AE57" s="76"/>
      <c r="AF57" s="78"/>
      <c r="AG57" s="76"/>
      <c r="AH57" s="78">
        <f t="shared" ref="AH57" si="205">+ROUND(AG57*$I57,0)</f>
        <v>0</v>
      </c>
      <c r="AI57" s="76"/>
      <c r="AJ57" s="78"/>
      <c r="AK57" s="76"/>
      <c r="AL57" s="78"/>
    </row>
    <row r="58" spans="1:38"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7"/>
        <v>27.8</v>
      </c>
      <c r="H58" s="69">
        <f>+VLOOKUP(C58,'PRECIOS IDU 2025'!$A$1:$E$3189,4,FALSE)</f>
        <v>1556215</v>
      </c>
      <c r="I58" s="69">
        <f t="shared" si="113"/>
        <v>2023080</v>
      </c>
      <c r="J58" s="69">
        <f t="shared" si="114"/>
        <v>56241624</v>
      </c>
      <c r="K58" s="9"/>
      <c r="L58" s="3"/>
      <c r="M58" s="76">
        <f>+M13*$N$3*0.3</f>
        <v>2.4157500000000001</v>
      </c>
      <c r="N58" s="78">
        <f t="shared" si="175"/>
        <v>4887256</v>
      </c>
      <c r="O58" s="76"/>
      <c r="P58" s="78"/>
      <c r="Q58" s="76"/>
      <c r="R58" s="78"/>
      <c r="S58" s="76"/>
      <c r="T58" s="78"/>
      <c r="U58" s="76">
        <f>+U13*$N$3*0.3</f>
        <v>3.3779999999999997</v>
      </c>
      <c r="V58" s="78">
        <f t="shared" ref="V58" si="206">+ROUND(U58*$I58,0)</f>
        <v>6833964</v>
      </c>
      <c r="W58" s="76">
        <f>+W13*$N$3*0.3</f>
        <v>5.1949500000000004</v>
      </c>
      <c r="X58" s="78">
        <f t="shared" ref="X58" si="207">+ROUND(W58*$I58,0)</f>
        <v>10509799</v>
      </c>
      <c r="Y58" s="76"/>
      <c r="Z58" s="78"/>
      <c r="AA58" s="76">
        <f>+AA13*$N$3*0.3</f>
        <v>5.4220500000000005</v>
      </c>
      <c r="AB58" s="78">
        <f t="shared" ref="AB58" si="208">+ROUND(AA58*$I58,0)</f>
        <v>10969241</v>
      </c>
      <c r="AC58" s="76">
        <f>+AC13*$N$3*0.3</f>
        <v>4.8787499999999993</v>
      </c>
      <c r="AD58" s="78">
        <f t="shared" ref="AD58" si="209">+ROUND(AC58*$I58,0)</f>
        <v>9870102</v>
      </c>
      <c r="AE58" s="76"/>
      <c r="AF58" s="78"/>
      <c r="AG58" s="76">
        <f>+AG13*$N$3*0.3</f>
        <v>6.5107499999999998</v>
      </c>
      <c r="AH58" s="78">
        <f t="shared" ref="AH58" si="210">+ROUND(AG58*$I58,0)</f>
        <v>13171768</v>
      </c>
      <c r="AI58" s="76"/>
      <c r="AJ58" s="78"/>
      <c r="AK58" s="76"/>
      <c r="AL58" s="78"/>
    </row>
    <row r="59" spans="1:38"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7"/>
        <v>18533.5</v>
      </c>
      <c r="H59" s="69">
        <f>+VLOOKUP(C59,'PRECIOS IDU 2025'!$A$1:$E$3189,4,FALSE)</f>
        <v>5591</v>
      </c>
      <c r="I59" s="69">
        <f t="shared" si="113"/>
        <v>7268</v>
      </c>
      <c r="J59" s="69">
        <f t="shared" si="114"/>
        <v>134701478</v>
      </c>
      <c r="K59" s="9"/>
      <c r="L59" s="3"/>
      <c r="M59" s="76">
        <f>10*M13</f>
        <v>1610.5</v>
      </c>
      <c r="N59" s="78">
        <f t="shared" si="175"/>
        <v>11705114</v>
      </c>
      <c r="O59" s="76"/>
      <c r="P59" s="78"/>
      <c r="Q59" s="76"/>
      <c r="R59" s="78"/>
      <c r="S59" s="76"/>
      <c r="T59" s="78"/>
      <c r="U59" s="76">
        <f>10*U13</f>
        <v>2252</v>
      </c>
      <c r="V59" s="78">
        <f t="shared" ref="V59" si="211">+ROUND(U59*$I59,0)</f>
        <v>16367536</v>
      </c>
      <c r="W59" s="76">
        <f>10*W13</f>
        <v>3463.2999999999997</v>
      </c>
      <c r="X59" s="78">
        <f t="shared" ref="X59" si="212">+ROUND(W59*$I59,0)</f>
        <v>25171264</v>
      </c>
      <c r="Y59" s="76"/>
      <c r="Z59" s="78"/>
      <c r="AA59" s="76">
        <f>10*AA13</f>
        <v>3614.7000000000003</v>
      </c>
      <c r="AB59" s="78">
        <f t="shared" ref="AB59" si="213">+ROUND(AA59*$I59,0)</f>
        <v>26271640</v>
      </c>
      <c r="AC59" s="76">
        <f>10*AC13</f>
        <v>3252.5</v>
      </c>
      <c r="AD59" s="78">
        <f t="shared" ref="AD59" si="214">+ROUND(AC59*$I59,0)</f>
        <v>23639170</v>
      </c>
      <c r="AE59" s="76"/>
      <c r="AF59" s="78"/>
      <c r="AG59" s="76">
        <f>10*AG13</f>
        <v>4340.5</v>
      </c>
      <c r="AH59" s="78">
        <f t="shared" ref="AH59" si="215">+ROUND(AG59*$I59,0)</f>
        <v>31546754</v>
      </c>
      <c r="AI59" s="76"/>
      <c r="AJ59" s="78"/>
      <c r="AK59" s="76"/>
      <c r="AL59" s="78"/>
    </row>
    <row r="60" spans="1:38"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7"/>
        <v>2681.8</v>
      </c>
      <c r="H60" s="69">
        <f>+VLOOKUP(C60,'PRECIOS IDU 2025'!$A$1:$E$3189,4,FALSE)</f>
        <v>8404</v>
      </c>
      <c r="I60" s="69">
        <f t="shared" si="113"/>
        <v>10925</v>
      </c>
      <c r="J60" s="69">
        <f t="shared" si="114"/>
        <v>29298665</v>
      </c>
      <c r="K60" s="9"/>
      <c r="L60" s="3"/>
      <c r="M60" s="76">
        <f>14.47*M13*0.1</f>
        <v>233.03935000000001</v>
      </c>
      <c r="N60" s="78">
        <f t="shared" si="175"/>
        <v>2545955</v>
      </c>
      <c r="O60" s="76"/>
      <c r="P60" s="78"/>
      <c r="Q60" s="76"/>
      <c r="R60" s="78"/>
      <c r="S60" s="76"/>
      <c r="T60" s="78"/>
      <c r="U60" s="76">
        <f>14.47*U13*0.1</f>
        <v>325.86439999999999</v>
      </c>
      <c r="V60" s="78">
        <f t="shared" ref="V60" si="216">+ROUND(U60*$I60,0)</f>
        <v>3560069</v>
      </c>
      <c r="W60" s="76">
        <f>14.47*W13*0.1</f>
        <v>501.13950999999997</v>
      </c>
      <c r="X60" s="78">
        <f t="shared" ref="X60" si="217">+ROUND(W60*$I60,0)</f>
        <v>5474949</v>
      </c>
      <c r="Y60" s="76"/>
      <c r="Z60" s="78"/>
      <c r="AA60" s="76">
        <f>14.47*AA13*0.1</f>
        <v>523.04709000000003</v>
      </c>
      <c r="AB60" s="78">
        <f t="shared" ref="AB60" si="218">+ROUND(AA60*$I60,0)</f>
        <v>5714289</v>
      </c>
      <c r="AC60" s="76">
        <f>14.47*AC13*0.1</f>
        <v>470.63675000000006</v>
      </c>
      <c r="AD60" s="78">
        <f t="shared" ref="AD60" si="219">+ROUND(AC60*$I60,0)</f>
        <v>5141706</v>
      </c>
      <c r="AE60" s="76"/>
      <c r="AF60" s="78"/>
      <c r="AG60" s="76">
        <f>14.47*AG13*0.1</f>
        <v>628.07035000000008</v>
      </c>
      <c r="AH60" s="78">
        <f t="shared" ref="AH60" si="220">+ROUND(AG60*$I60,0)</f>
        <v>6861669</v>
      </c>
      <c r="AI60" s="76"/>
      <c r="AJ60" s="78"/>
      <c r="AK60" s="76"/>
      <c r="AL60" s="78"/>
    </row>
    <row r="61" spans="1:38"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7"/>
        <v>2681.8</v>
      </c>
      <c r="H61" s="69">
        <f>+VLOOKUP(C61,'PRECIOS IDU 2025'!$A$1:$E$3189,4,FALSE)</f>
        <v>7882</v>
      </c>
      <c r="I61" s="69">
        <f t="shared" si="113"/>
        <v>10247</v>
      </c>
      <c r="J61" s="69">
        <f t="shared" si="114"/>
        <v>27480405</v>
      </c>
      <c r="K61" s="9"/>
      <c r="L61" s="3"/>
      <c r="M61" s="76">
        <f>14.47*M13*0.1</f>
        <v>233.03935000000001</v>
      </c>
      <c r="N61" s="78">
        <f t="shared" si="175"/>
        <v>2387954</v>
      </c>
      <c r="O61" s="76"/>
      <c r="P61" s="78"/>
      <c r="Q61" s="76"/>
      <c r="R61" s="78"/>
      <c r="S61" s="76"/>
      <c r="T61" s="78"/>
      <c r="U61" s="76">
        <f>14.47*U13*0.1</f>
        <v>325.86439999999999</v>
      </c>
      <c r="V61" s="78">
        <f t="shared" ref="V61" si="221">+ROUND(U61*$I61,0)</f>
        <v>3339133</v>
      </c>
      <c r="W61" s="76">
        <f>14.47*W13*0.1</f>
        <v>501.13950999999997</v>
      </c>
      <c r="X61" s="78">
        <f t="shared" ref="X61" si="222">+ROUND(W61*$I61,0)</f>
        <v>5135177</v>
      </c>
      <c r="Y61" s="76"/>
      <c r="Z61" s="78"/>
      <c r="AA61" s="76">
        <f>14.47*AA13*0.1</f>
        <v>523.04709000000003</v>
      </c>
      <c r="AB61" s="78">
        <f t="shared" ref="AB61" si="223">+ROUND(AA61*$I61,0)</f>
        <v>5359664</v>
      </c>
      <c r="AC61" s="76">
        <f>14.47*AC13*0.1</f>
        <v>470.63675000000006</v>
      </c>
      <c r="AD61" s="78">
        <f t="shared" ref="AD61" si="224">+ROUND(AC61*$I61,0)</f>
        <v>4822615</v>
      </c>
      <c r="AE61" s="76"/>
      <c r="AF61" s="78"/>
      <c r="AG61" s="76">
        <f>14.47*AG13*0.1</f>
        <v>628.07035000000008</v>
      </c>
      <c r="AH61" s="78">
        <f t="shared" ref="AH61" si="225">+ROUND(AG61*$I61,0)</f>
        <v>6435837</v>
      </c>
      <c r="AI61" s="76"/>
      <c r="AJ61" s="78"/>
      <c r="AK61" s="76"/>
      <c r="AL61" s="78"/>
    </row>
    <row r="62" spans="1:38"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7"/>
        <v>21454.38</v>
      </c>
      <c r="H62" s="69">
        <f>+VLOOKUP(C62,'PRECIOS IDU 2025'!$A$1:$E$3189,4,FALSE)</f>
        <v>7882</v>
      </c>
      <c r="I62" s="69">
        <f t="shared" si="113"/>
        <v>10247</v>
      </c>
      <c r="J62" s="69">
        <f t="shared" si="114"/>
        <v>219843032</v>
      </c>
      <c r="K62" s="9"/>
      <c r="L62" s="3"/>
      <c r="M62" s="76">
        <f>14.47*M13*0.8</f>
        <v>1864.3148000000001</v>
      </c>
      <c r="N62" s="78">
        <f t="shared" si="175"/>
        <v>19103634</v>
      </c>
      <c r="O62" s="76"/>
      <c r="P62" s="78"/>
      <c r="Q62" s="76"/>
      <c r="R62" s="78"/>
      <c r="S62" s="76"/>
      <c r="T62" s="78"/>
      <c r="U62" s="76">
        <f>14.47*U13*0.8</f>
        <v>2606.9151999999999</v>
      </c>
      <c r="V62" s="78">
        <f t="shared" ref="V62" si="226">+ROUND(U62*$I62,0)</f>
        <v>26713060</v>
      </c>
      <c r="W62" s="76">
        <f>14.47*W13*0.8</f>
        <v>4009.1160799999998</v>
      </c>
      <c r="X62" s="78">
        <f t="shared" ref="X62" si="227">+ROUND(W62*$I62,0)</f>
        <v>41081412</v>
      </c>
      <c r="Y62" s="76"/>
      <c r="Z62" s="78"/>
      <c r="AA62" s="76">
        <f>14.47*AA13*0.8</f>
        <v>4184.3767200000002</v>
      </c>
      <c r="AB62" s="78">
        <f t="shared" ref="AB62" si="228">+ROUND(AA62*$I62,0)</f>
        <v>42877308</v>
      </c>
      <c r="AC62" s="76">
        <f>14.47*AC13*0.8</f>
        <v>3765.0940000000005</v>
      </c>
      <c r="AD62" s="78">
        <f t="shared" ref="AD62" si="229">+ROUND(AC62*$I62,0)</f>
        <v>38580918</v>
      </c>
      <c r="AE62" s="76"/>
      <c r="AF62" s="78"/>
      <c r="AG62" s="76">
        <f>14.47*AG13*0.8</f>
        <v>5024.5628000000006</v>
      </c>
      <c r="AH62" s="78">
        <f t="shared" ref="AH62" si="230">+ROUND(AG62*$I62,0)</f>
        <v>51486695</v>
      </c>
      <c r="AI62" s="76"/>
      <c r="AJ62" s="78"/>
      <c r="AK62" s="76"/>
      <c r="AL62" s="78"/>
    </row>
    <row r="63" spans="1:38"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7"/>
        <v>370.67</v>
      </c>
      <c r="H63" s="69">
        <f>+VLOOKUP(C63,'PRECIOS IDU 2025'!$A$1:$E$3189,4,FALSE)</f>
        <v>875661</v>
      </c>
      <c r="I63" s="69">
        <f t="shared" si="113"/>
        <v>1138359</v>
      </c>
      <c r="J63" s="69">
        <f t="shared" si="114"/>
        <v>421955531</v>
      </c>
      <c r="K63" s="9"/>
      <c r="L63" s="3"/>
      <c r="M63" s="76">
        <f>+M13*$M$3</f>
        <v>32.21</v>
      </c>
      <c r="N63" s="78">
        <f t="shared" si="175"/>
        <v>36666543</v>
      </c>
      <c r="O63" s="76"/>
      <c r="P63" s="78"/>
      <c r="Q63" s="76"/>
      <c r="R63" s="78"/>
      <c r="S63" s="76"/>
      <c r="T63" s="78"/>
      <c r="U63" s="76">
        <f>+U13*$M$3</f>
        <v>45.04</v>
      </c>
      <c r="V63" s="78">
        <f t="shared" ref="V63" si="231">+ROUND(U63*$I63,0)</f>
        <v>51271689</v>
      </c>
      <c r="W63" s="76">
        <f>+W13*$M$3</f>
        <v>69.266000000000005</v>
      </c>
      <c r="X63" s="78">
        <f t="shared" ref="X63" si="232">+ROUND(W63*$I63,0)</f>
        <v>78849574</v>
      </c>
      <c r="Y63" s="76"/>
      <c r="Z63" s="78"/>
      <c r="AA63" s="76">
        <f>+AA13*$M$3</f>
        <v>72.294000000000011</v>
      </c>
      <c r="AB63" s="78">
        <f t="shared" ref="AB63" si="233">+ROUND(AA63*$I63,0)</f>
        <v>82296526</v>
      </c>
      <c r="AC63" s="76">
        <f>+AC13*$M$3</f>
        <v>65.05</v>
      </c>
      <c r="AD63" s="78">
        <f t="shared" ref="AD63" si="234">+ROUND(AC63*$I63,0)</f>
        <v>74050253</v>
      </c>
      <c r="AE63" s="76"/>
      <c r="AF63" s="78"/>
      <c r="AG63" s="76">
        <f>+AG13*$M$3</f>
        <v>86.81</v>
      </c>
      <c r="AH63" s="78">
        <f t="shared" ref="AH63" si="235">+ROUND(AG63*$I63,0)</f>
        <v>98820945</v>
      </c>
      <c r="AI63" s="76"/>
      <c r="AJ63" s="78"/>
      <c r="AK63" s="76"/>
      <c r="AL63" s="78"/>
    </row>
    <row r="64" spans="1:38"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7"/>
        <v>0</v>
      </c>
      <c r="H64" s="69">
        <f>+VLOOKUP(C64,'PRECIOS IDU 2025'!$A$1:$E$3189,4,FALSE)</f>
        <v>890453</v>
      </c>
      <c r="I64" s="69">
        <f t="shared" si="113"/>
        <v>1157589</v>
      </c>
      <c r="J64" s="69">
        <f t="shared" si="114"/>
        <v>0</v>
      </c>
      <c r="K64" s="9"/>
      <c r="L64" s="3"/>
      <c r="M64" s="76"/>
      <c r="N64" s="78">
        <f t="shared" si="175"/>
        <v>0</v>
      </c>
      <c r="O64" s="76"/>
      <c r="P64" s="78"/>
      <c r="Q64" s="76"/>
      <c r="R64" s="78"/>
      <c r="S64" s="76"/>
      <c r="T64" s="78"/>
      <c r="U64" s="76"/>
      <c r="V64" s="78">
        <f t="shared" ref="V64" si="236">+ROUND(U64*$I64,0)</f>
        <v>0</v>
      </c>
      <c r="W64" s="76"/>
      <c r="X64" s="78">
        <f t="shared" ref="X64" si="237">+ROUND(W64*$I64,0)</f>
        <v>0</v>
      </c>
      <c r="Y64" s="76"/>
      <c r="Z64" s="78"/>
      <c r="AA64" s="76"/>
      <c r="AB64" s="78">
        <f t="shared" ref="AB64" si="238">+ROUND(AA64*$I64,0)</f>
        <v>0</v>
      </c>
      <c r="AC64" s="76"/>
      <c r="AD64" s="78">
        <f t="shared" ref="AD64" si="239">+ROUND(AC64*$I64,0)</f>
        <v>0</v>
      </c>
      <c r="AE64" s="76"/>
      <c r="AF64" s="78"/>
      <c r="AG64" s="76"/>
      <c r="AH64" s="78">
        <f t="shared" ref="AH64" si="240">+ROUND(AG64*$I64,0)</f>
        <v>0</v>
      </c>
      <c r="AI64" s="76"/>
      <c r="AJ64" s="78"/>
      <c r="AK64" s="76"/>
      <c r="AL64" s="78"/>
    </row>
    <row r="65" spans="1:38"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7"/>
        <v>1853.35</v>
      </c>
      <c r="H65" s="69">
        <f>+VLOOKUP(C65,'PRECIOS IDU 2025'!$A$1:$E$3189,4,FALSE)</f>
        <v>2554</v>
      </c>
      <c r="I65" s="69">
        <f t="shared" si="113"/>
        <v>3320</v>
      </c>
      <c r="J65" s="69">
        <f t="shared" si="114"/>
        <v>6153122</v>
      </c>
      <c r="K65" s="9"/>
      <c r="L65" s="3"/>
      <c r="M65" s="76">
        <f>+M13</f>
        <v>161.05000000000001</v>
      </c>
      <c r="N65" s="78">
        <f t="shared" si="175"/>
        <v>534686</v>
      </c>
      <c r="O65" s="76"/>
      <c r="P65" s="78"/>
      <c r="Q65" s="76"/>
      <c r="R65" s="78"/>
      <c r="S65" s="76"/>
      <c r="T65" s="78"/>
      <c r="U65" s="76">
        <f>+U13</f>
        <v>225.2</v>
      </c>
      <c r="V65" s="78">
        <f t="shared" ref="V65" si="241">+ROUND(U65*$I65,0)</f>
        <v>747664</v>
      </c>
      <c r="W65" s="76">
        <f>+W13</f>
        <v>346.33</v>
      </c>
      <c r="X65" s="78">
        <f t="shared" ref="X65" si="242">+ROUND(W65*$I65,0)</f>
        <v>1149816</v>
      </c>
      <c r="Y65" s="76"/>
      <c r="Z65" s="78"/>
      <c r="AA65" s="76">
        <f>+AA13</f>
        <v>361.47</v>
      </c>
      <c r="AB65" s="78">
        <f t="shared" ref="AB65" si="243">+ROUND(AA65*$I65,0)</f>
        <v>1200080</v>
      </c>
      <c r="AC65" s="76">
        <f>+AC13</f>
        <v>325.25</v>
      </c>
      <c r="AD65" s="78">
        <f t="shared" ref="AD65" si="244">+ROUND(AC65*$I65,0)</f>
        <v>1079830</v>
      </c>
      <c r="AE65" s="76"/>
      <c r="AF65" s="78"/>
      <c r="AG65" s="76">
        <f>+AG13</f>
        <v>434.05</v>
      </c>
      <c r="AH65" s="78">
        <f t="shared" ref="AH65" si="245">+ROUND(AG65*$I65,0)</f>
        <v>1441046</v>
      </c>
      <c r="AI65" s="76"/>
      <c r="AJ65" s="78"/>
      <c r="AK65" s="76"/>
      <c r="AL65" s="78"/>
    </row>
    <row r="66" spans="1:38"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7"/>
        <v>689.94</v>
      </c>
      <c r="H66" s="69">
        <f>+VLOOKUP(C66,'PRECIOS IDU 2025'!$A$1:$E$3189,4,FALSE)</f>
        <v>13778</v>
      </c>
      <c r="I66" s="69">
        <f t="shared" si="113"/>
        <v>17911</v>
      </c>
      <c r="J66" s="69">
        <f t="shared" si="114"/>
        <v>12357515</v>
      </c>
      <c r="K66" s="9"/>
      <c r="L66" s="3"/>
      <c r="M66" s="76">
        <f>+M11+M12*M11/4.5</f>
        <v>58.828800000000001</v>
      </c>
      <c r="N66" s="78">
        <f t="shared" si="175"/>
        <v>1053683</v>
      </c>
      <c r="O66" s="76"/>
      <c r="P66" s="78"/>
      <c r="Q66" s="76"/>
      <c r="R66" s="78"/>
      <c r="S66" s="76"/>
      <c r="T66" s="78"/>
      <c r="U66" s="76">
        <f>+U11+U12*U11/4.5</f>
        <v>80.355177777777769</v>
      </c>
      <c r="V66" s="78">
        <f t="shared" ref="V66" si="246">+ROUND(U66*$I66,0)</f>
        <v>1439242</v>
      </c>
      <c r="W66" s="76">
        <f>+W11+W12*W11/4.5</f>
        <v>127.08204444444445</v>
      </c>
      <c r="X66" s="78">
        <f t="shared" ref="X66" si="247">+ROUND(W66*$I66,0)</f>
        <v>2276166</v>
      </c>
      <c r="Y66" s="76"/>
      <c r="Z66" s="78"/>
      <c r="AA66" s="76">
        <f>+AA11+AA12*AA11/4.5</f>
        <v>114.68604444444445</v>
      </c>
      <c r="AB66" s="78">
        <f t="shared" ref="AB66" si="248">+ROUND(AA66*$I66,0)</f>
        <v>2054142</v>
      </c>
      <c r="AC66" s="76">
        <f>+AC11+AC12*AC11/4.5</f>
        <v>126.7568</v>
      </c>
      <c r="AD66" s="78">
        <f t="shared" ref="AD66" si="249">+ROUND(AC66*$I66,0)</f>
        <v>2270341</v>
      </c>
      <c r="AE66" s="76"/>
      <c r="AF66" s="78"/>
      <c r="AG66" s="76">
        <f>+AG11+AG12*AG11/4.5</f>
        <v>182.23484444444443</v>
      </c>
      <c r="AH66" s="78">
        <f t="shared" ref="AH66" si="250">+ROUND(AG66*$I66,0)</f>
        <v>3264008</v>
      </c>
      <c r="AI66" s="76"/>
      <c r="AJ66" s="78"/>
      <c r="AK66" s="76"/>
      <c r="AL66" s="78"/>
    </row>
    <row r="67" spans="1:38"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7"/>
        <v>556.01</v>
      </c>
      <c r="H67" s="69">
        <f>+VLOOKUP(C67,'PRECIOS IDU 2025'!$A$1:$E$3189,4,FALSE)</f>
        <v>10578</v>
      </c>
      <c r="I67" s="69">
        <f t="shared" si="113"/>
        <v>13751</v>
      </c>
      <c r="J67" s="69">
        <f t="shared" si="114"/>
        <v>7645694</v>
      </c>
      <c r="K67" s="9"/>
      <c r="L67" s="3"/>
      <c r="M67" s="76">
        <f>0.3*M13</f>
        <v>48.315000000000005</v>
      </c>
      <c r="N67" s="78">
        <f t="shared" si="175"/>
        <v>664380</v>
      </c>
      <c r="O67" s="76"/>
      <c r="P67" s="78"/>
      <c r="Q67" s="76"/>
      <c r="R67" s="78"/>
      <c r="S67" s="76"/>
      <c r="T67" s="78"/>
      <c r="U67" s="76">
        <f>0.3*U13</f>
        <v>67.559999999999988</v>
      </c>
      <c r="V67" s="78">
        <f t="shared" ref="V67" si="251">+ROUND(U67*$I67,0)</f>
        <v>929018</v>
      </c>
      <c r="W67" s="76">
        <f>0.3*W13</f>
        <v>103.89899999999999</v>
      </c>
      <c r="X67" s="78">
        <f t="shared" ref="X67" si="252">+ROUND(W67*$I67,0)</f>
        <v>1428715</v>
      </c>
      <c r="Y67" s="76"/>
      <c r="Z67" s="78"/>
      <c r="AA67" s="76">
        <f>0.3*AA13</f>
        <v>108.441</v>
      </c>
      <c r="AB67" s="78">
        <f t="shared" ref="AB67" si="253">+ROUND(AA67*$I67,0)</f>
        <v>1491172</v>
      </c>
      <c r="AC67" s="76">
        <f>0.3*AC13</f>
        <v>97.575000000000003</v>
      </c>
      <c r="AD67" s="78">
        <f t="shared" ref="AD67" si="254">+ROUND(AC67*$I67,0)</f>
        <v>1341754</v>
      </c>
      <c r="AE67" s="76"/>
      <c r="AF67" s="78"/>
      <c r="AG67" s="76">
        <f>0.3*AG13</f>
        <v>130.215</v>
      </c>
      <c r="AH67" s="78">
        <f t="shared" ref="AH67" si="255">+ROUND(AG67*$I67,0)</f>
        <v>1790586</v>
      </c>
      <c r="AI67" s="76"/>
      <c r="AJ67" s="78"/>
      <c r="AK67" s="76"/>
      <c r="AL67" s="78"/>
    </row>
    <row r="68" spans="1:38" ht="30" customHeight="1" x14ac:dyDescent="0.3">
      <c r="A68" s="3"/>
      <c r="B68" s="8"/>
      <c r="C68" s="61" t="s">
        <v>6078</v>
      </c>
      <c r="D68" s="62"/>
      <c r="E68" s="62"/>
      <c r="F68" s="62"/>
      <c r="G68" s="62"/>
      <c r="H68" s="62"/>
      <c r="I68" s="62"/>
      <c r="J68" s="63"/>
      <c r="K68" s="9"/>
      <c r="L68" s="3"/>
      <c r="M68" s="76"/>
      <c r="N68" s="78">
        <f t="shared" ref="N68:N83" si="256">+ROUND(M68*$I68,0)</f>
        <v>0</v>
      </c>
      <c r="O68" s="76"/>
      <c r="P68" s="78"/>
      <c r="Q68" s="76"/>
      <c r="R68" s="78"/>
      <c r="S68" s="76"/>
      <c r="T68" s="78"/>
      <c r="U68" s="76"/>
      <c r="V68" s="78">
        <f t="shared" ref="V68" si="257">+ROUND(U68*$I68,0)</f>
        <v>0</v>
      </c>
      <c r="W68" s="76"/>
      <c r="X68" s="78">
        <f t="shared" ref="X68" si="258">+ROUND(W68*$I68,0)</f>
        <v>0</v>
      </c>
      <c r="Y68" s="76"/>
      <c r="Z68" s="78"/>
      <c r="AA68" s="76"/>
      <c r="AB68" s="78">
        <f t="shared" ref="AB68" si="259">+ROUND(AA68*$I68,0)</f>
        <v>0</v>
      </c>
      <c r="AC68" s="76"/>
      <c r="AD68" s="78">
        <f t="shared" ref="AD68" si="260">+ROUND(AC68*$I68,0)</f>
        <v>0</v>
      </c>
      <c r="AE68" s="76"/>
      <c r="AF68" s="78"/>
      <c r="AG68" s="76"/>
      <c r="AH68" s="78">
        <f t="shared" ref="AH68" si="261">+ROUND(AG68*$I68,0)</f>
        <v>0</v>
      </c>
      <c r="AI68" s="76"/>
      <c r="AJ68" s="78"/>
      <c r="AK68" s="76"/>
      <c r="AL68" s="78"/>
    </row>
    <row r="69" spans="1:38" ht="30" customHeight="1" x14ac:dyDescent="0.3">
      <c r="A69" s="3"/>
      <c r="B69" s="8"/>
      <c r="C69" s="60">
        <v>3007</v>
      </c>
      <c r="D69" s="60">
        <v>3001</v>
      </c>
      <c r="E69" s="60" t="str">
        <f>+VLOOKUP(C69,'PRECIOS IDU 2025'!$A$1:$E$3189,2,FALSE)</f>
        <v>REPLANTEO GENERAL</v>
      </c>
      <c r="F69" s="60" t="str">
        <f>+VLOOKUP(C69,'PRECIOS IDU 2025'!$A$1:$E$3189,3,FALSE)</f>
        <v>M2</v>
      </c>
      <c r="G69" s="108">
        <f t="shared" si="7"/>
        <v>0</v>
      </c>
      <c r="H69" s="69">
        <f>+VLOOKUP(C69,'PRECIOS IDU 2025'!$A$1:$E$3189,4,FALSE)</f>
        <v>909</v>
      </c>
      <c r="I69" s="69">
        <f t="shared" ref="I69:I85" si="262">+ROUND(H69*(1+$J$192),0)</f>
        <v>1182</v>
      </c>
      <c r="J69" s="69">
        <f t="shared" ref="J69:J85" si="263">+ROUND(I69*G69,0)</f>
        <v>0</v>
      </c>
      <c r="K69" s="9"/>
      <c r="L69" s="3"/>
      <c r="M69" s="76"/>
      <c r="N69" s="78">
        <f t="shared" si="256"/>
        <v>0</v>
      </c>
      <c r="O69" s="76"/>
      <c r="P69" s="78"/>
      <c r="Q69" s="76"/>
      <c r="R69" s="78"/>
      <c r="S69" s="76"/>
      <c r="T69" s="78"/>
      <c r="U69" s="76"/>
      <c r="V69" s="78">
        <f t="shared" ref="V69" si="264">+ROUND(U69*$I69,0)</f>
        <v>0</v>
      </c>
      <c r="W69" s="76"/>
      <c r="X69" s="78">
        <f t="shared" ref="X69" si="265">+ROUND(W69*$I69,0)</f>
        <v>0</v>
      </c>
      <c r="Y69" s="76"/>
      <c r="Z69" s="78"/>
      <c r="AA69" s="76"/>
      <c r="AB69" s="78">
        <f t="shared" ref="AB69" si="266">+ROUND(AA69*$I69,0)</f>
        <v>0</v>
      </c>
      <c r="AC69" s="76"/>
      <c r="AD69" s="78">
        <f t="shared" ref="AD69" si="267">+ROUND(AC69*$I69,0)</f>
        <v>0</v>
      </c>
      <c r="AE69" s="76"/>
      <c r="AF69" s="78"/>
      <c r="AG69" s="76"/>
      <c r="AH69" s="78">
        <f t="shared" ref="AH69" si="268">+ROUND(AG69*$I69,0)</f>
        <v>0</v>
      </c>
      <c r="AI69" s="76"/>
      <c r="AJ69" s="78"/>
      <c r="AK69" s="76"/>
      <c r="AL69" s="78"/>
    </row>
    <row r="70" spans="1:38"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7"/>
        <v>0</v>
      </c>
      <c r="H70" s="69">
        <f>+VLOOKUP(C70,'PRECIOS IDU 2025'!$A$1:$E$3189,4,FALSE)</f>
        <v>2659</v>
      </c>
      <c r="I70" s="69">
        <f t="shared" si="262"/>
        <v>3457</v>
      </c>
      <c r="J70" s="69">
        <f t="shared" si="263"/>
        <v>0</v>
      </c>
      <c r="K70" s="9"/>
      <c r="L70" s="3"/>
      <c r="M70" s="76"/>
      <c r="N70" s="78">
        <f t="shared" si="256"/>
        <v>0</v>
      </c>
      <c r="O70" s="76"/>
      <c r="P70" s="78"/>
      <c r="Q70" s="76"/>
      <c r="R70" s="78"/>
      <c r="S70" s="76"/>
      <c r="T70" s="78"/>
      <c r="U70" s="76"/>
      <c r="V70" s="78">
        <f t="shared" ref="V70" si="269">+ROUND(U70*$I70,0)</f>
        <v>0</v>
      </c>
      <c r="W70" s="76"/>
      <c r="X70" s="78">
        <f t="shared" ref="X70" si="270">+ROUND(W70*$I70,0)</f>
        <v>0</v>
      </c>
      <c r="Y70" s="76"/>
      <c r="Z70" s="78"/>
      <c r="AA70" s="76"/>
      <c r="AB70" s="78">
        <f t="shared" ref="AB70" si="271">+ROUND(AA70*$I70,0)</f>
        <v>0</v>
      </c>
      <c r="AC70" s="76"/>
      <c r="AD70" s="78">
        <f t="shared" ref="AD70" si="272">+ROUND(AC70*$I70,0)</f>
        <v>0</v>
      </c>
      <c r="AE70" s="76"/>
      <c r="AF70" s="78"/>
      <c r="AG70" s="76"/>
      <c r="AH70" s="78">
        <f t="shared" ref="AH70" si="273">+ROUND(AG70*$I70,0)</f>
        <v>0</v>
      </c>
      <c r="AI70" s="76"/>
      <c r="AJ70" s="78"/>
      <c r="AK70" s="76"/>
      <c r="AL70" s="78"/>
    </row>
    <row r="71" spans="1:38"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7"/>
        <v>0</v>
      </c>
      <c r="H71" s="69">
        <f>+VLOOKUP(C71,'PRECIOS IDU 2025'!$A$1:$E$3189,4,FALSE)</f>
        <v>38781</v>
      </c>
      <c r="I71" s="69">
        <f t="shared" si="262"/>
        <v>50415</v>
      </c>
      <c r="J71" s="69">
        <f t="shared" si="263"/>
        <v>0</v>
      </c>
      <c r="K71" s="9"/>
      <c r="L71" s="3"/>
      <c r="M71" s="76"/>
      <c r="N71" s="78">
        <f t="shared" si="256"/>
        <v>0</v>
      </c>
      <c r="O71" s="76"/>
      <c r="P71" s="78"/>
      <c r="Q71" s="76"/>
      <c r="R71" s="78"/>
      <c r="S71" s="76"/>
      <c r="T71" s="78"/>
      <c r="U71" s="76"/>
      <c r="V71" s="78">
        <f t="shared" ref="V71" si="274">+ROUND(U71*$I71,0)</f>
        <v>0</v>
      </c>
      <c r="W71" s="76"/>
      <c r="X71" s="78">
        <f t="shared" ref="X71" si="275">+ROUND(W71*$I71,0)</f>
        <v>0</v>
      </c>
      <c r="Y71" s="76"/>
      <c r="Z71" s="78"/>
      <c r="AA71" s="76"/>
      <c r="AB71" s="78">
        <f t="shared" ref="AB71" si="276">+ROUND(AA71*$I71,0)</f>
        <v>0</v>
      </c>
      <c r="AC71" s="76"/>
      <c r="AD71" s="78">
        <f t="shared" ref="AD71" si="277">+ROUND(AC71*$I71,0)</f>
        <v>0</v>
      </c>
      <c r="AE71" s="76"/>
      <c r="AF71" s="78"/>
      <c r="AG71" s="76"/>
      <c r="AH71" s="78">
        <f t="shared" ref="AH71" si="278">+ROUND(AG71*$I71,0)</f>
        <v>0</v>
      </c>
      <c r="AI71" s="76"/>
      <c r="AJ71" s="78"/>
      <c r="AK71" s="76"/>
      <c r="AL71" s="78"/>
    </row>
    <row r="72" spans="1:38"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7"/>
        <v>0</v>
      </c>
      <c r="H72" s="69">
        <f>+VLOOKUP(C72,'PRECIOS IDU 2025'!$A$1:$E$3189,4,FALSE)</f>
        <v>5741</v>
      </c>
      <c r="I72" s="69">
        <f t="shared" si="262"/>
        <v>7463</v>
      </c>
      <c r="J72" s="69">
        <f t="shared" si="263"/>
        <v>0</v>
      </c>
      <c r="K72" s="9"/>
      <c r="L72" s="3"/>
      <c r="M72" s="76"/>
      <c r="N72" s="78">
        <f t="shared" si="256"/>
        <v>0</v>
      </c>
      <c r="O72" s="76"/>
      <c r="P72" s="78"/>
      <c r="Q72" s="76"/>
      <c r="R72" s="78"/>
      <c r="S72" s="76"/>
      <c r="T72" s="78"/>
      <c r="U72" s="76"/>
      <c r="V72" s="78">
        <f t="shared" ref="V72" si="279">+ROUND(U72*$I72,0)</f>
        <v>0</v>
      </c>
      <c r="W72" s="76"/>
      <c r="X72" s="78">
        <f t="shared" ref="X72" si="280">+ROUND(W72*$I72,0)</f>
        <v>0</v>
      </c>
      <c r="Y72" s="76"/>
      <c r="Z72" s="78"/>
      <c r="AA72" s="76"/>
      <c r="AB72" s="78">
        <f t="shared" ref="AB72" si="281">+ROUND(AA72*$I72,0)</f>
        <v>0</v>
      </c>
      <c r="AC72" s="76"/>
      <c r="AD72" s="78">
        <f t="shared" ref="AD72" si="282">+ROUND(AC72*$I72,0)</f>
        <v>0</v>
      </c>
      <c r="AE72" s="76"/>
      <c r="AF72" s="78"/>
      <c r="AG72" s="76"/>
      <c r="AH72" s="78">
        <f t="shared" ref="AH72" si="283">+ROUND(AG72*$I72,0)</f>
        <v>0</v>
      </c>
      <c r="AI72" s="76"/>
      <c r="AJ72" s="78"/>
      <c r="AK72" s="76"/>
      <c r="AL72" s="78"/>
    </row>
    <row r="73" spans="1:38"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7"/>
        <v>0</v>
      </c>
      <c r="H73" s="69">
        <f>+VLOOKUP(C73,'PRECIOS IDU 2025'!$A$1:$E$3189,4,FALSE)</f>
        <v>46379</v>
      </c>
      <c r="I73" s="69">
        <f t="shared" si="262"/>
        <v>60293</v>
      </c>
      <c r="J73" s="69">
        <f t="shared" si="263"/>
        <v>0</v>
      </c>
      <c r="K73" s="9"/>
      <c r="L73" s="3"/>
      <c r="M73" s="76"/>
      <c r="N73" s="78">
        <f t="shared" si="256"/>
        <v>0</v>
      </c>
      <c r="O73" s="76"/>
      <c r="P73" s="78"/>
      <c r="Q73" s="76"/>
      <c r="R73" s="78"/>
      <c r="S73" s="76"/>
      <c r="T73" s="78"/>
      <c r="U73" s="76"/>
      <c r="V73" s="78">
        <f t="shared" ref="V73" si="284">+ROUND(U73*$I73,0)</f>
        <v>0</v>
      </c>
      <c r="W73" s="76"/>
      <c r="X73" s="78">
        <f t="shared" ref="X73" si="285">+ROUND(W73*$I73,0)</f>
        <v>0</v>
      </c>
      <c r="Y73" s="76"/>
      <c r="Z73" s="78"/>
      <c r="AA73" s="76"/>
      <c r="AB73" s="78">
        <f t="shared" ref="AB73" si="286">+ROUND(AA73*$I73,0)</f>
        <v>0</v>
      </c>
      <c r="AC73" s="76"/>
      <c r="AD73" s="78">
        <f t="shared" ref="AD73" si="287">+ROUND(AC73*$I73,0)</f>
        <v>0</v>
      </c>
      <c r="AE73" s="76"/>
      <c r="AF73" s="78"/>
      <c r="AG73" s="76"/>
      <c r="AH73" s="78">
        <f t="shared" ref="AH73" si="288">+ROUND(AG73*$I73,0)</f>
        <v>0</v>
      </c>
      <c r="AI73" s="76"/>
      <c r="AJ73" s="78"/>
      <c r="AK73" s="76"/>
      <c r="AL73" s="78"/>
    </row>
    <row r="74" spans="1:38"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7"/>
        <v>0</v>
      </c>
      <c r="H74" s="69">
        <f>+VLOOKUP(C74,'PRECIOS IDU 2025'!$A$1:$E$3189,4,FALSE)</f>
        <v>45600</v>
      </c>
      <c r="I74" s="69">
        <f t="shared" si="262"/>
        <v>59280</v>
      </c>
      <c r="J74" s="69">
        <f t="shared" si="263"/>
        <v>0</v>
      </c>
      <c r="K74" s="9"/>
      <c r="L74" s="3"/>
      <c r="M74" s="76"/>
      <c r="N74" s="78">
        <f t="shared" si="256"/>
        <v>0</v>
      </c>
      <c r="O74" s="76"/>
      <c r="P74" s="78"/>
      <c r="Q74" s="76"/>
      <c r="R74" s="78"/>
      <c r="S74" s="76"/>
      <c r="T74" s="78"/>
      <c r="U74" s="76"/>
      <c r="V74" s="78">
        <f t="shared" ref="V74" si="289">+ROUND(U74*$I74,0)</f>
        <v>0</v>
      </c>
      <c r="W74" s="76"/>
      <c r="X74" s="78">
        <f t="shared" ref="X74" si="290">+ROUND(W74*$I74,0)</f>
        <v>0</v>
      </c>
      <c r="Y74" s="76"/>
      <c r="Z74" s="78"/>
      <c r="AA74" s="76"/>
      <c r="AB74" s="78">
        <f t="shared" ref="AB74" si="291">+ROUND(AA74*$I74,0)</f>
        <v>0</v>
      </c>
      <c r="AC74" s="76"/>
      <c r="AD74" s="78">
        <f t="shared" ref="AD74" si="292">+ROUND(AC74*$I74,0)</f>
        <v>0</v>
      </c>
      <c r="AE74" s="76"/>
      <c r="AF74" s="78"/>
      <c r="AG74" s="76"/>
      <c r="AH74" s="78">
        <f t="shared" ref="AH74" si="293">+ROUND(AG74*$I74,0)</f>
        <v>0</v>
      </c>
      <c r="AI74" s="76"/>
      <c r="AJ74" s="78"/>
      <c r="AK74" s="76"/>
      <c r="AL74" s="78"/>
    </row>
    <row r="75" spans="1:38" ht="15.6" x14ac:dyDescent="0.3">
      <c r="A75" s="3"/>
      <c r="B75" s="8"/>
      <c r="C75" s="60">
        <v>3800</v>
      </c>
      <c r="D75" s="60">
        <v>3007</v>
      </c>
      <c r="E75" s="60" t="str">
        <f>+VLOOKUP(C75,'PRECIOS IDU 2025'!$A$1:$E$3189,2,FALSE)</f>
        <v>NIVELACION Y COMPACTACIÓN DE SUBRASANTE</v>
      </c>
      <c r="F75" s="60" t="str">
        <f>+VLOOKUP(C75,'PRECIOS IDU 2025'!$A$1:$E$3189,3,FALSE)</f>
        <v>M2</v>
      </c>
      <c r="G75" s="108">
        <f t="shared" si="7"/>
        <v>0</v>
      </c>
      <c r="H75" s="69">
        <f>+VLOOKUP(C75,'PRECIOS IDU 2025'!$A$1:$E$3189,4,FALSE)</f>
        <v>1757</v>
      </c>
      <c r="I75" s="69">
        <f t="shared" si="262"/>
        <v>2284</v>
      </c>
      <c r="J75" s="69">
        <f t="shared" si="263"/>
        <v>0</v>
      </c>
      <c r="K75" s="9"/>
      <c r="L75" s="3"/>
      <c r="M75" s="76"/>
      <c r="N75" s="78">
        <f t="shared" si="256"/>
        <v>0</v>
      </c>
      <c r="O75" s="76"/>
      <c r="P75" s="78"/>
      <c r="Q75" s="76"/>
      <c r="R75" s="78"/>
      <c r="S75" s="76"/>
      <c r="T75" s="78"/>
      <c r="U75" s="76"/>
      <c r="V75" s="78">
        <f t="shared" ref="V75" si="294">+ROUND(U75*$I75,0)</f>
        <v>0</v>
      </c>
      <c r="W75" s="76"/>
      <c r="X75" s="78">
        <f t="shared" ref="X75" si="295">+ROUND(W75*$I75,0)</f>
        <v>0</v>
      </c>
      <c r="Y75" s="76"/>
      <c r="Z75" s="78"/>
      <c r="AA75" s="76"/>
      <c r="AB75" s="78">
        <f t="shared" ref="AB75" si="296">+ROUND(AA75*$I75,0)</f>
        <v>0</v>
      </c>
      <c r="AC75" s="76"/>
      <c r="AD75" s="78">
        <f t="shared" ref="AD75" si="297">+ROUND(AC75*$I75,0)</f>
        <v>0</v>
      </c>
      <c r="AE75" s="76"/>
      <c r="AF75" s="78"/>
      <c r="AG75" s="76"/>
      <c r="AH75" s="78">
        <f t="shared" ref="AH75" si="298">+ROUND(AG75*$I75,0)</f>
        <v>0</v>
      </c>
      <c r="AI75" s="76"/>
      <c r="AJ75" s="78"/>
      <c r="AK75" s="76"/>
      <c r="AL75" s="78"/>
    </row>
    <row r="76" spans="1:38"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7"/>
        <v>0</v>
      </c>
      <c r="H76" s="69">
        <f>+VLOOKUP(C76,'PRECIOS IDU 2025'!$A$1:$E$3189,4,FALSE)</f>
        <v>32622</v>
      </c>
      <c r="I76" s="69">
        <f t="shared" si="262"/>
        <v>42409</v>
      </c>
      <c r="J76" s="69">
        <f t="shared" si="263"/>
        <v>0</v>
      </c>
      <c r="K76" s="9"/>
      <c r="L76" s="3"/>
      <c r="M76" s="76"/>
      <c r="N76" s="78">
        <f t="shared" si="256"/>
        <v>0</v>
      </c>
      <c r="O76" s="76"/>
      <c r="P76" s="78"/>
      <c r="Q76" s="76"/>
      <c r="R76" s="78"/>
      <c r="S76" s="76"/>
      <c r="T76" s="78"/>
      <c r="U76" s="76"/>
      <c r="V76" s="78">
        <f t="shared" ref="V76" si="299">+ROUND(U76*$I76,0)</f>
        <v>0</v>
      </c>
      <c r="W76" s="76"/>
      <c r="X76" s="78">
        <f t="shared" ref="X76" si="300">+ROUND(W76*$I76,0)</f>
        <v>0</v>
      </c>
      <c r="Y76" s="76"/>
      <c r="Z76" s="78"/>
      <c r="AA76" s="76"/>
      <c r="AB76" s="78">
        <f t="shared" ref="AB76" si="301">+ROUND(AA76*$I76,0)</f>
        <v>0</v>
      </c>
      <c r="AC76" s="76"/>
      <c r="AD76" s="78">
        <f t="shared" ref="AD76" si="302">+ROUND(AC76*$I76,0)</f>
        <v>0</v>
      </c>
      <c r="AE76" s="76"/>
      <c r="AF76" s="78"/>
      <c r="AG76" s="76"/>
      <c r="AH76" s="78">
        <f t="shared" ref="AH76" si="303">+ROUND(AG76*$I76,0)</f>
        <v>0</v>
      </c>
      <c r="AI76" s="76"/>
      <c r="AJ76" s="78"/>
      <c r="AK76" s="76"/>
      <c r="AL76" s="78"/>
    </row>
    <row r="77" spans="1:38"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7"/>
        <v>0</v>
      </c>
      <c r="H77" s="69">
        <f>+VLOOKUP(C77,'PRECIOS IDU 2025'!$A$1:$E$3189,4,FALSE)</f>
        <v>3189</v>
      </c>
      <c r="I77" s="69">
        <f t="shared" si="262"/>
        <v>4146</v>
      </c>
      <c r="J77" s="69">
        <f t="shared" si="263"/>
        <v>0</v>
      </c>
      <c r="K77" s="9"/>
      <c r="L77" s="3"/>
      <c r="M77" s="76"/>
      <c r="N77" s="78">
        <f t="shared" si="256"/>
        <v>0</v>
      </c>
      <c r="O77" s="76"/>
      <c r="P77" s="78"/>
      <c r="Q77" s="76"/>
      <c r="R77" s="78"/>
      <c r="S77" s="76"/>
      <c r="T77" s="78"/>
      <c r="U77" s="76"/>
      <c r="V77" s="78">
        <f t="shared" ref="V77" si="304">+ROUND(U77*$I77,0)</f>
        <v>0</v>
      </c>
      <c r="W77" s="76"/>
      <c r="X77" s="78">
        <f t="shared" ref="X77" si="305">+ROUND(W77*$I77,0)</f>
        <v>0</v>
      </c>
      <c r="Y77" s="76"/>
      <c r="Z77" s="78"/>
      <c r="AA77" s="76"/>
      <c r="AB77" s="78">
        <f t="shared" ref="AB77" si="306">+ROUND(AA77*$I77,0)</f>
        <v>0</v>
      </c>
      <c r="AC77" s="76"/>
      <c r="AD77" s="78">
        <f t="shared" ref="AD77" si="307">+ROUND(AC77*$I77,0)</f>
        <v>0</v>
      </c>
      <c r="AE77" s="76"/>
      <c r="AF77" s="78"/>
      <c r="AG77" s="76"/>
      <c r="AH77" s="78">
        <f t="shared" ref="AH77" si="308">+ROUND(AG77*$I77,0)</f>
        <v>0</v>
      </c>
      <c r="AI77" s="76"/>
      <c r="AJ77" s="78"/>
      <c r="AK77" s="76"/>
      <c r="AL77" s="78"/>
    </row>
    <row r="78" spans="1:38"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7"/>
        <v>0</v>
      </c>
      <c r="H78" s="69">
        <f>+VLOOKUP(C78,'PRECIOS IDU 2025'!$A$1:$E$3189,4,FALSE)</f>
        <v>3885</v>
      </c>
      <c r="I78" s="69">
        <f t="shared" si="262"/>
        <v>5051</v>
      </c>
      <c r="J78" s="69">
        <f t="shared" si="263"/>
        <v>0</v>
      </c>
      <c r="K78" s="9"/>
      <c r="L78" s="3"/>
      <c r="M78" s="76"/>
      <c r="N78" s="78">
        <f t="shared" si="256"/>
        <v>0</v>
      </c>
      <c r="O78" s="76"/>
      <c r="P78" s="78"/>
      <c r="Q78" s="76"/>
      <c r="R78" s="78"/>
      <c r="S78" s="76"/>
      <c r="T78" s="78"/>
      <c r="U78" s="76"/>
      <c r="V78" s="78">
        <f t="shared" ref="V78" si="309">+ROUND(U78*$I78,0)</f>
        <v>0</v>
      </c>
      <c r="W78" s="76"/>
      <c r="X78" s="78">
        <f t="shared" ref="X78" si="310">+ROUND(W78*$I78,0)</f>
        <v>0</v>
      </c>
      <c r="Y78" s="76"/>
      <c r="Z78" s="78"/>
      <c r="AA78" s="76"/>
      <c r="AB78" s="78">
        <f t="shared" ref="AB78" si="311">+ROUND(AA78*$I78,0)</f>
        <v>0</v>
      </c>
      <c r="AC78" s="76"/>
      <c r="AD78" s="78">
        <f t="shared" ref="AD78" si="312">+ROUND(AC78*$I78,0)</f>
        <v>0</v>
      </c>
      <c r="AE78" s="76"/>
      <c r="AF78" s="78"/>
      <c r="AG78" s="76"/>
      <c r="AH78" s="78">
        <f t="shared" ref="AH78" si="313">+ROUND(AG78*$I78,0)</f>
        <v>0</v>
      </c>
      <c r="AI78" s="76"/>
      <c r="AJ78" s="78"/>
      <c r="AK78" s="76"/>
      <c r="AL78" s="78"/>
    </row>
    <row r="79" spans="1:38"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7"/>
        <v>0</v>
      </c>
      <c r="H79" s="69">
        <f>+VLOOKUP(C79,'PRECIOS IDU 2025'!$A$1:$E$3189,4,FALSE)</f>
        <v>1341971</v>
      </c>
      <c r="I79" s="69">
        <f t="shared" si="262"/>
        <v>1744562</v>
      </c>
      <c r="J79" s="69">
        <f t="shared" si="263"/>
        <v>0</v>
      </c>
      <c r="K79" s="9"/>
      <c r="L79" s="3"/>
      <c r="M79" s="76"/>
      <c r="N79" s="78">
        <f t="shared" si="256"/>
        <v>0</v>
      </c>
      <c r="O79" s="76"/>
      <c r="P79" s="78"/>
      <c r="Q79" s="76"/>
      <c r="R79" s="78"/>
      <c r="S79" s="76"/>
      <c r="T79" s="78"/>
      <c r="U79" s="76"/>
      <c r="V79" s="78">
        <f t="shared" ref="V79" si="314">+ROUND(U79*$I79,0)</f>
        <v>0</v>
      </c>
      <c r="W79" s="76"/>
      <c r="X79" s="78">
        <f t="shared" ref="X79" si="315">+ROUND(W79*$I79,0)</f>
        <v>0</v>
      </c>
      <c r="Y79" s="76"/>
      <c r="Z79" s="78"/>
      <c r="AA79" s="76"/>
      <c r="AB79" s="78">
        <f t="shared" ref="AB79" si="316">+ROUND(AA79*$I79,0)</f>
        <v>0</v>
      </c>
      <c r="AC79" s="76"/>
      <c r="AD79" s="78">
        <f t="shared" ref="AD79" si="317">+ROUND(AC79*$I79,0)</f>
        <v>0</v>
      </c>
      <c r="AE79" s="76"/>
      <c r="AF79" s="78"/>
      <c r="AG79" s="76"/>
      <c r="AH79" s="78">
        <f t="shared" ref="AH79" si="318">+ROUND(AG79*$I79,0)</f>
        <v>0</v>
      </c>
      <c r="AI79" s="76"/>
      <c r="AJ79" s="78"/>
      <c r="AK79" s="76"/>
      <c r="AL79" s="78"/>
    </row>
    <row r="80" spans="1:38"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7"/>
        <v>0</v>
      </c>
      <c r="H80" s="69">
        <f>+VLOOKUP(C80,'PRECIOS IDU 2025'!$A$1:$E$3189,4,FALSE)</f>
        <v>1241977</v>
      </c>
      <c r="I80" s="69">
        <f t="shared" si="262"/>
        <v>1614570</v>
      </c>
      <c r="J80" s="69">
        <f t="shared" si="263"/>
        <v>0</v>
      </c>
      <c r="K80" s="9"/>
      <c r="L80" s="3"/>
      <c r="M80" s="76"/>
      <c r="N80" s="78">
        <f t="shared" si="256"/>
        <v>0</v>
      </c>
      <c r="O80" s="76"/>
      <c r="P80" s="78"/>
      <c r="Q80" s="76"/>
      <c r="R80" s="78"/>
      <c r="S80" s="76"/>
      <c r="T80" s="78"/>
      <c r="U80" s="76"/>
      <c r="V80" s="78">
        <f t="shared" ref="V80" si="319">+ROUND(U80*$I80,0)</f>
        <v>0</v>
      </c>
      <c r="W80" s="76"/>
      <c r="X80" s="78">
        <f t="shared" ref="X80" si="320">+ROUND(W80*$I80,0)</f>
        <v>0</v>
      </c>
      <c r="Y80" s="76"/>
      <c r="Z80" s="78"/>
      <c r="AA80" s="76"/>
      <c r="AB80" s="78">
        <f t="shared" ref="AB80" si="321">+ROUND(AA80*$I80,0)</f>
        <v>0</v>
      </c>
      <c r="AC80" s="76"/>
      <c r="AD80" s="78">
        <f t="shared" ref="AD80" si="322">+ROUND(AC80*$I80,0)</f>
        <v>0</v>
      </c>
      <c r="AE80" s="76"/>
      <c r="AF80" s="78"/>
      <c r="AG80" s="76"/>
      <c r="AH80" s="78">
        <f t="shared" ref="AH80" si="323">+ROUND(AG80*$I80,0)</f>
        <v>0</v>
      </c>
      <c r="AI80" s="76"/>
      <c r="AJ80" s="78"/>
      <c r="AK80" s="76"/>
      <c r="AL80" s="78"/>
    </row>
    <row r="81" spans="1:38"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7"/>
        <v>0</v>
      </c>
      <c r="H81" s="69">
        <f>+VLOOKUP(C81,'PRECIOS IDU 2025'!$A$1:$E$3189,4,FALSE)</f>
        <v>1556215</v>
      </c>
      <c r="I81" s="69">
        <f t="shared" si="262"/>
        <v>2023080</v>
      </c>
      <c r="J81" s="69">
        <f t="shared" si="263"/>
        <v>0</v>
      </c>
      <c r="K81" s="9"/>
      <c r="L81" s="3"/>
      <c r="M81" s="76"/>
      <c r="N81" s="78">
        <f t="shared" si="256"/>
        <v>0</v>
      </c>
      <c r="O81" s="76"/>
      <c r="P81" s="78"/>
      <c r="Q81" s="76"/>
      <c r="R81" s="78"/>
      <c r="S81" s="76"/>
      <c r="T81" s="78"/>
      <c r="U81" s="76"/>
      <c r="V81" s="78">
        <f t="shared" ref="V81" si="324">+ROUND(U81*$I81,0)</f>
        <v>0</v>
      </c>
      <c r="W81" s="76"/>
      <c r="X81" s="78">
        <f t="shared" ref="X81" si="325">+ROUND(W81*$I81,0)</f>
        <v>0</v>
      </c>
      <c r="Y81" s="76"/>
      <c r="Z81" s="78"/>
      <c r="AA81" s="76"/>
      <c r="AB81" s="78">
        <f t="shared" ref="AB81" si="326">+ROUND(AA81*$I81,0)</f>
        <v>0</v>
      </c>
      <c r="AC81" s="76"/>
      <c r="AD81" s="78">
        <f t="shared" ref="AD81" si="327">+ROUND(AC81*$I81,0)</f>
        <v>0</v>
      </c>
      <c r="AE81" s="76"/>
      <c r="AF81" s="78"/>
      <c r="AG81" s="76"/>
      <c r="AH81" s="78">
        <f t="shared" ref="AH81" si="328">+ROUND(AG81*$I81,0)</f>
        <v>0</v>
      </c>
      <c r="AI81" s="76"/>
      <c r="AJ81" s="78"/>
      <c r="AK81" s="76"/>
      <c r="AL81" s="78"/>
    </row>
    <row r="82" spans="1:38" ht="30" customHeight="1" x14ac:dyDescent="0.3">
      <c r="A82" s="3"/>
      <c r="B82" s="8"/>
      <c r="C82" s="60">
        <v>4598</v>
      </c>
      <c r="D82" s="60">
        <v>3014</v>
      </c>
      <c r="E82" s="60" t="str">
        <f>+VLOOKUP(C82,'PRECIOS IDU 2025'!$A$1:$E$3189,2,FALSE)</f>
        <v>SELLO DE GRIETAS</v>
      </c>
      <c r="F82" s="60" t="str">
        <f>+VLOOKUP(C82,'PRECIOS IDU 2025'!$A$1:$E$3189,3,FALSE)</f>
        <v>ML</v>
      </c>
      <c r="G82" s="108">
        <f t="shared" ref="G82:G85" si="329">+ROUND(M82+O82+Q82+S82+U82+W82+Y82+AA82+AC82+AE82+AG82+AI82+AK82,2)</f>
        <v>0</v>
      </c>
      <c r="H82" s="69">
        <f>+VLOOKUP(C82,'PRECIOS IDU 2025'!$A$1:$E$3189,4,FALSE)</f>
        <v>10386</v>
      </c>
      <c r="I82" s="69">
        <f t="shared" si="262"/>
        <v>13502</v>
      </c>
      <c r="J82" s="69">
        <f t="shared" si="263"/>
        <v>0</v>
      </c>
      <c r="K82" s="9"/>
      <c r="L82" s="3"/>
      <c r="M82" s="76"/>
      <c r="N82" s="78">
        <f t="shared" si="256"/>
        <v>0</v>
      </c>
      <c r="O82" s="76"/>
      <c r="P82" s="78"/>
      <c r="Q82" s="76"/>
      <c r="R82" s="78"/>
      <c r="S82" s="76"/>
      <c r="T82" s="78"/>
      <c r="U82" s="76"/>
      <c r="V82" s="78">
        <f t="shared" ref="V82" si="330">+ROUND(U82*$I82,0)</f>
        <v>0</v>
      </c>
      <c r="W82" s="76"/>
      <c r="X82" s="78">
        <f t="shared" ref="X82" si="331">+ROUND(W82*$I82,0)</f>
        <v>0</v>
      </c>
      <c r="Y82" s="76"/>
      <c r="Z82" s="78"/>
      <c r="AA82" s="76"/>
      <c r="AB82" s="78">
        <f t="shared" ref="AB82" si="332">+ROUND(AA82*$I82,0)</f>
        <v>0</v>
      </c>
      <c r="AC82" s="76"/>
      <c r="AD82" s="78">
        <f t="shared" ref="AD82" si="333">+ROUND(AC82*$I82,0)</f>
        <v>0</v>
      </c>
      <c r="AE82" s="76"/>
      <c r="AF82" s="78"/>
      <c r="AG82" s="76"/>
      <c r="AH82" s="78">
        <f t="shared" ref="AH82" si="334">+ROUND(AG82*$I82,0)</f>
        <v>0</v>
      </c>
      <c r="AI82" s="76"/>
      <c r="AJ82" s="78"/>
      <c r="AK82" s="76"/>
      <c r="AL82" s="78"/>
    </row>
    <row r="83" spans="1:38" ht="30" customHeight="1" x14ac:dyDescent="0.3">
      <c r="A83" s="3"/>
      <c r="B83" s="8"/>
      <c r="C83" s="60">
        <v>4758</v>
      </c>
      <c r="D83" s="60">
        <v>3015</v>
      </c>
      <c r="E83" s="60" t="str">
        <f>+VLOOKUP(C83,'PRECIOS IDU 2025'!$A$1:$E$3189,2,FALSE)</f>
        <v>SELLO DE FISURAS</v>
      </c>
      <c r="F83" s="60" t="str">
        <f>+VLOOKUP(C83,'PRECIOS IDU 2025'!$A$1:$E$3189,3,FALSE)</f>
        <v>ML</v>
      </c>
      <c r="G83" s="108">
        <f t="shared" si="329"/>
        <v>0</v>
      </c>
      <c r="H83" s="69">
        <f>+VLOOKUP(C83,'PRECIOS IDU 2025'!$A$1:$E$3189,4,FALSE)</f>
        <v>8877</v>
      </c>
      <c r="I83" s="69">
        <f t="shared" si="262"/>
        <v>11540</v>
      </c>
      <c r="J83" s="69">
        <f t="shared" si="263"/>
        <v>0</v>
      </c>
      <c r="K83" s="9"/>
      <c r="L83" s="3"/>
      <c r="M83" s="76"/>
      <c r="N83" s="78">
        <f t="shared" si="256"/>
        <v>0</v>
      </c>
      <c r="O83" s="76"/>
      <c r="P83" s="78"/>
      <c r="Q83" s="76"/>
      <c r="R83" s="78"/>
      <c r="S83" s="76"/>
      <c r="T83" s="78"/>
      <c r="U83" s="76"/>
      <c r="V83" s="78">
        <f t="shared" ref="V83" si="335">+ROUND(U83*$I83,0)</f>
        <v>0</v>
      </c>
      <c r="W83" s="76"/>
      <c r="X83" s="78">
        <f t="shared" ref="X83" si="336">+ROUND(W83*$I83,0)</f>
        <v>0</v>
      </c>
      <c r="Y83" s="76"/>
      <c r="Z83" s="78"/>
      <c r="AA83" s="76"/>
      <c r="AB83" s="78">
        <f t="shared" ref="AB83" si="337">+ROUND(AA83*$I83,0)</f>
        <v>0</v>
      </c>
      <c r="AC83" s="76"/>
      <c r="AD83" s="78">
        <f t="shared" ref="AD83" si="338">+ROUND(AC83*$I83,0)</f>
        <v>0</v>
      </c>
      <c r="AE83" s="76"/>
      <c r="AF83" s="78"/>
      <c r="AG83" s="76"/>
      <c r="AH83" s="78">
        <f t="shared" ref="AH83" si="339">+ROUND(AG83*$I83,0)</f>
        <v>0</v>
      </c>
      <c r="AI83" s="76"/>
      <c r="AJ83" s="78"/>
      <c r="AK83" s="76"/>
      <c r="AL83" s="78"/>
    </row>
    <row r="84" spans="1:38"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329"/>
        <v>0</v>
      </c>
      <c r="H84" s="69">
        <f>+VLOOKUP(C84,'PRECIOS IDU 2025'!$A$1:$E$3189,4,FALSE)</f>
        <v>104695</v>
      </c>
      <c r="I84" s="69">
        <f t="shared" si="262"/>
        <v>136104</v>
      </c>
      <c r="J84" s="69">
        <f t="shared" si="263"/>
        <v>0</v>
      </c>
      <c r="K84" s="9"/>
      <c r="L84" s="3"/>
      <c r="M84" s="76"/>
      <c r="N84" s="78">
        <f t="shared" ref="N84:N99" si="340">+ROUND(M84*$I84,0)</f>
        <v>0</v>
      </c>
      <c r="O84" s="76"/>
      <c r="P84" s="78"/>
      <c r="Q84" s="76"/>
      <c r="R84" s="78"/>
      <c r="S84" s="76"/>
      <c r="T84" s="78"/>
      <c r="U84" s="76"/>
      <c r="V84" s="78">
        <f t="shared" ref="V84" si="341">+ROUND(U84*$I84,0)</f>
        <v>0</v>
      </c>
      <c r="W84" s="76"/>
      <c r="X84" s="78">
        <f t="shared" ref="X84" si="342">+ROUND(W84*$I84,0)</f>
        <v>0</v>
      </c>
      <c r="Y84" s="76"/>
      <c r="Z84" s="78"/>
      <c r="AA84" s="76"/>
      <c r="AB84" s="78">
        <f t="shared" ref="AB84" si="343">+ROUND(AA84*$I84,0)</f>
        <v>0</v>
      </c>
      <c r="AC84" s="76"/>
      <c r="AD84" s="78">
        <f t="shared" ref="AD84" si="344">+ROUND(AC84*$I84,0)</f>
        <v>0</v>
      </c>
      <c r="AE84" s="76"/>
      <c r="AF84" s="78"/>
      <c r="AG84" s="76"/>
      <c r="AH84" s="78">
        <f t="shared" ref="AH84" si="345">+ROUND(AG84*$I84,0)</f>
        <v>0</v>
      </c>
      <c r="AI84" s="76"/>
      <c r="AJ84" s="78"/>
      <c r="AK84" s="76"/>
      <c r="AL84" s="78"/>
    </row>
    <row r="85" spans="1:38"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329"/>
        <v>0</v>
      </c>
      <c r="H85" s="69">
        <f>+VLOOKUP(C85,'PRECIOS IDU 2025'!$A$1:$E$3189,4,FALSE)</f>
        <v>104695</v>
      </c>
      <c r="I85" s="69">
        <f t="shared" si="262"/>
        <v>136104</v>
      </c>
      <c r="J85" s="69">
        <f t="shared" si="263"/>
        <v>0</v>
      </c>
      <c r="K85" s="9"/>
      <c r="L85" s="3"/>
      <c r="M85" s="76"/>
      <c r="N85" s="78">
        <f t="shared" si="340"/>
        <v>0</v>
      </c>
      <c r="O85" s="76"/>
      <c r="P85" s="78"/>
      <c r="Q85" s="76"/>
      <c r="R85" s="78"/>
      <c r="S85" s="76"/>
      <c r="T85" s="78"/>
      <c r="U85" s="76"/>
      <c r="V85" s="78">
        <f t="shared" ref="V85" si="346">+ROUND(U85*$I85,0)</f>
        <v>0</v>
      </c>
      <c r="W85" s="76"/>
      <c r="X85" s="78">
        <f t="shared" ref="X85" si="347">+ROUND(W85*$I85,0)</f>
        <v>0</v>
      </c>
      <c r="Y85" s="76"/>
      <c r="Z85" s="78"/>
      <c r="AA85" s="76"/>
      <c r="AB85" s="78">
        <f t="shared" ref="AB85" si="348">+ROUND(AA85*$I85,0)</f>
        <v>0</v>
      </c>
      <c r="AC85" s="76"/>
      <c r="AD85" s="78">
        <f t="shared" ref="AD85" si="349">+ROUND(AC85*$I85,0)</f>
        <v>0</v>
      </c>
      <c r="AE85" s="76"/>
      <c r="AF85" s="78"/>
      <c r="AG85" s="76"/>
      <c r="AH85" s="78">
        <f t="shared" ref="AH85" si="350">+ROUND(AG85*$I85,0)</f>
        <v>0</v>
      </c>
      <c r="AI85" s="76"/>
      <c r="AJ85" s="78"/>
      <c r="AK85" s="76"/>
      <c r="AL85" s="78"/>
    </row>
    <row r="86" spans="1:38" ht="30" customHeight="1" x14ac:dyDescent="0.3">
      <c r="A86" s="3"/>
      <c r="B86" s="8"/>
      <c r="C86" s="66" t="s">
        <v>6079</v>
      </c>
      <c r="D86" s="62"/>
      <c r="E86" s="62"/>
      <c r="F86" s="62"/>
      <c r="G86" s="62"/>
      <c r="H86" s="62"/>
      <c r="I86" s="62"/>
      <c r="J86" s="63"/>
      <c r="K86" s="9"/>
      <c r="L86" s="3"/>
      <c r="M86" s="76"/>
      <c r="N86" s="78">
        <f t="shared" si="340"/>
        <v>0</v>
      </c>
      <c r="O86" s="76"/>
      <c r="P86" s="78"/>
      <c r="Q86" s="76"/>
      <c r="R86" s="78"/>
      <c r="S86" s="76"/>
      <c r="T86" s="78"/>
      <c r="U86" s="76"/>
      <c r="V86" s="78">
        <f t="shared" ref="V86" si="351">+ROUND(U86*$I86,0)</f>
        <v>0</v>
      </c>
      <c r="W86" s="76"/>
      <c r="X86" s="78">
        <f t="shared" ref="X86" si="352">+ROUND(W86*$I86,0)</f>
        <v>0</v>
      </c>
      <c r="Y86" s="76"/>
      <c r="Z86" s="78"/>
      <c r="AA86" s="76"/>
      <c r="AB86" s="78">
        <f t="shared" ref="AB86" si="353">+ROUND(AA86*$I86,0)</f>
        <v>0</v>
      </c>
      <c r="AC86" s="76"/>
      <c r="AD86" s="78">
        <f t="shared" ref="AD86" si="354">+ROUND(AC86*$I86,0)</f>
        <v>0</v>
      </c>
      <c r="AE86" s="76"/>
      <c r="AF86" s="78"/>
      <c r="AG86" s="76"/>
      <c r="AH86" s="78">
        <f t="shared" ref="AH86" si="355">+ROUND(AG86*$I86,0)</f>
        <v>0</v>
      </c>
      <c r="AI86" s="76"/>
      <c r="AJ86" s="78"/>
      <c r="AK86" s="76"/>
      <c r="AL86" s="78"/>
    </row>
    <row r="87" spans="1:38" ht="30" customHeight="1" x14ac:dyDescent="0.3">
      <c r="A87" s="3"/>
      <c r="B87" s="8"/>
      <c r="C87" s="60">
        <v>3007</v>
      </c>
      <c r="D87" s="60">
        <v>4001</v>
      </c>
      <c r="E87" s="60" t="str">
        <f>+VLOOKUP(C87,'PRECIOS IDU 2025'!$A$1:$E$3189,2,FALSE)</f>
        <v>REPLANTEO GENERAL</v>
      </c>
      <c r="F87" s="60" t="str">
        <f>+VLOOKUP(C87,'PRECIOS IDU 2025'!$A$1:$E$3189,3,FALSE)</f>
        <v>M2</v>
      </c>
      <c r="G87" s="108">
        <f t="shared" ref="G87:G110" si="356">+ROUND(M87+O87+Q87+S87+U87+W87+Y87+AA87+AC87+AE87+AG87+AI87+AK87,2)</f>
        <v>0</v>
      </c>
      <c r="H87" s="69">
        <f>+VLOOKUP(C87,'PRECIOS IDU 2025'!$A$1:$E$3189,4,FALSE)</f>
        <v>909</v>
      </c>
      <c r="I87" s="69">
        <f t="shared" ref="I87:I110" si="357">+ROUND(H87*(1+$J$192),0)</f>
        <v>1182</v>
      </c>
      <c r="J87" s="69">
        <f t="shared" ref="J87:J110" si="358">+ROUND(I87*G87,0)</f>
        <v>0</v>
      </c>
      <c r="K87" s="9"/>
      <c r="L87" s="3"/>
      <c r="M87" s="76"/>
      <c r="N87" s="78">
        <f t="shared" si="340"/>
        <v>0</v>
      </c>
      <c r="O87" s="76"/>
      <c r="P87" s="78"/>
      <c r="Q87" s="76"/>
      <c r="R87" s="78"/>
      <c r="S87" s="76"/>
      <c r="T87" s="78"/>
      <c r="U87" s="76"/>
      <c r="V87" s="78">
        <f t="shared" ref="V87" si="359">+ROUND(U87*$I87,0)</f>
        <v>0</v>
      </c>
      <c r="W87" s="76"/>
      <c r="X87" s="78">
        <f t="shared" ref="X87" si="360">+ROUND(W87*$I87,0)</f>
        <v>0</v>
      </c>
      <c r="Y87" s="76"/>
      <c r="Z87" s="78"/>
      <c r="AA87" s="76"/>
      <c r="AB87" s="78">
        <f t="shared" ref="AB87" si="361">+ROUND(AA87*$I87,0)</f>
        <v>0</v>
      </c>
      <c r="AC87" s="76"/>
      <c r="AD87" s="78">
        <f t="shared" ref="AD87" si="362">+ROUND(AC87*$I87,0)</f>
        <v>0</v>
      </c>
      <c r="AE87" s="76"/>
      <c r="AF87" s="78"/>
      <c r="AG87" s="76"/>
      <c r="AH87" s="78">
        <f t="shared" ref="AH87" si="363">+ROUND(AG87*$I87,0)</f>
        <v>0</v>
      </c>
      <c r="AI87" s="76"/>
      <c r="AJ87" s="78"/>
      <c r="AK87" s="76"/>
      <c r="AL87" s="78"/>
    </row>
    <row r="88" spans="1:38"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356"/>
        <v>0</v>
      </c>
      <c r="H88" s="69">
        <f>+VLOOKUP(C88,'PRECIOS IDU 2025'!$A$1:$E$3189,4,FALSE)</f>
        <v>2659</v>
      </c>
      <c r="I88" s="69">
        <f t="shared" si="357"/>
        <v>3457</v>
      </c>
      <c r="J88" s="69">
        <f t="shared" si="358"/>
        <v>0</v>
      </c>
      <c r="K88" s="9"/>
      <c r="L88" s="3"/>
      <c r="M88" s="76"/>
      <c r="N88" s="78">
        <f t="shared" si="340"/>
        <v>0</v>
      </c>
      <c r="O88" s="76"/>
      <c r="P88" s="78"/>
      <c r="Q88" s="76"/>
      <c r="R88" s="78"/>
      <c r="S88" s="76"/>
      <c r="T88" s="78"/>
      <c r="U88" s="76"/>
      <c r="V88" s="78">
        <f t="shared" ref="V88" si="364">+ROUND(U88*$I88,0)</f>
        <v>0</v>
      </c>
      <c r="W88" s="76"/>
      <c r="X88" s="78">
        <f t="shared" ref="X88" si="365">+ROUND(W88*$I88,0)</f>
        <v>0</v>
      </c>
      <c r="Y88" s="76"/>
      <c r="Z88" s="78"/>
      <c r="AA88" s="76"/>
      <c r="AB88" s="78">
        <f t="shared" ref="AB88" si="366">+ROUND(AA88*$I88,0)</f>
        <v>0</v>
      </c>
      <c r="AC88" s="76"/>
      <c r="AD88" s="78">
        <f t="shared" ref="AD88" si="367">+ROUND(AC88*$I88,0)</f>
        <v>0</v>
      </c>
      <c r="AE88" s="76"/>
      <c r="AF88" s="78"/>
      <c r="AG88" s="76"/>
      <c r="AH88" s="78">
        <f t="shared" ref="AH88" si="368">+ROUND(AG88*$I88,0)</f>
        <v>0</v>
      </c>
      <c r="AI88" s="76"/>
      <c r="AJ88" s="78"/>
      <c r="AK88" s="76"/>
      <c r="AL88" s="78"/>
    </row>
    <row r="89" spans="1:38"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356"/>
        <v>0</v>
      </c>
      <c r="H89" s="69">
        <f>+VLOOKUP(C89,'PRECIOS IDU 2025'!$A$1:$E$3189,4,FALSE)</f>
        <v>38781</v>
      </c>
      <c r="I89" s="69">
        <f t="shared" si="357"/>
        <v>50415</v>
      </c>
      <c r="J89" s="69">
        <f t="shared" si="358"/>
        <v>0</v>
      </c>
      <c r="K89" s="9"/>
      <c r="L89" s="3"/>
      <c r="M89" s="76"/>
      <c r="N89" s="78">
        <f t="shared" si="340"/>
        <v>0</v>
      </c>
      <c r="O89" s="76"/>
      <c r="P89" s="78"/>
      <c r="Q89" s="76"/>
      <c r="R89" s="78"/>
      <c r="S89" s="76"/>
      <c r="T89" s="78"/>
      <c r="U89" s="76"/>
      <c r="V89" s="78">
        <f t="shared" ref="V89" si="369">+ROUND(U89*$I89,0)</f>
        <v>0</v>
      </c>
      <c r="W89" s="76"/>
      <c r="X89" s="78">
        <f t="shared" ref="X89" si="370">+ROUND(W89*$I89,0)</f>
        <v>0</v>
      </c>
      <c r="Y89" s="76"/>
      <c r="Z89" s="78"/>
      <c r="AA89" s="76"/>
      <c r="AB89" s="78">
        <f t="shared" ref="AB89" si="371">+ROUND(AA89*$I89,0)</f>
        <v>0</v>
      </c>
      <c r="AC89" s="76"/>
      <c r="AD89" s="78">
        <f t="shared" ref="AD89" si="372">+ROUND(AC89*$I89,0)</f>
        <v>0</v>
      </c>
      <c r="AE89" s="76"/>
      <c r="AF89" s="78"/>
      <c r="AG89" s="76"/>
      <c r="AH89" s="78">
        <f t="shared" ref="AH89" si="373">+ROUND(AG89*$I89,0)</f>
        <v>0</v>
      </c>
      <c r="AI89" s="76"/>
      <c r="AJ89" s="78"/>
      <c r="AK89" s="76"/>
      <c r="AL89" s="78"/>
    </row>
    <row r="90" spans="1:38"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356"/>
        <v>0</v>
      </c>
      <c r="H90" s="69">
        <f>+VLOOKUP(C90,'PRECIOS IDU 2025'!$A$1:$E$3189,4,FALSE)</f>
        <v>187178</v>
      </c>
      <c r="I90" s="69">
        <f t="shared" si="357"/>
        <v>243331</v>
      </c>
      <c r="J90" s="69">
        <f t="shared" si="358"/>
        <v>0</v>
      </c>
      <c r="K90" s="9"/>
      <c r="L90" s="3"/>
      <c r="M90" s="76"/>
      <c r="N90" s="78">
        <f t="shared" si="340"/>
        <v>0</v>
      </c>
      <c r="O90" s="76"/>
      <c r="P90" s="78"/>
      <c r="Q90" s="76"/>
      <c r="R90" s="78"/>
      <c r="S90" s="76"/>
      <c r="T90" s="78"/>
      <c r="U90" s="76"/>
      <c r="V90" s="78">
        <f t="shared" ref="V90" si="374">+ROUND(U90*$I90,0)</f>
        <v>0</v>
      </c>
      <c r="W90" s="76"/>
      <c r="X90" s="78">
        <f t="shared" ref="X90" si="375">+ROUND(W90*$I90,0)</f>
        <v>0</v>
      </c>
      <c r="Y90" s="76"/>
      <c r="Z90" s="78"/>
      <c r="AA90" s="76"/>
      <c r="AB90" s="78">
        <f t="shared" ref="AB90" si="376">+ROUND(AA90*$I90,0)</f>
        <v>0</v>
      </c>
      <c r="AC90" s="76"/>
      <c r="AD90" s="78">
        <f t="shared" ref="AD90" si="377">+ROUND(AC90*$I90,0)</f>
        <v>0</v>
      </c>
      <c r="AE90" s="76"/>
      <c r="AF90" s="78"/>
      <c r="AG90" s="76"/>
      <c r="AH90" s="78">
        <f t="shared" ref="AH90" si="378">+ROUND(AG90*$I90,0)</f>
        <v>0</v>
      </c>
      <c r="AI90" s="76"/>
      <c r="AJ90" s="78"/>
      <c r="AK90" s="76"/>
      <c r="AL90" s="78"/>
    </row>
    <row r="91" spans="1:38"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356"/>
        <v>0</v>
      </c>
      <c r="H91" s="69">
        <f>+VLOOKUP(C91,'PRECIOS IDU 2025'!$A$1:$E$3189,4,FALSE)</f>
        <v>5741</v>
      </c>
      <c r="I91" s="69">
        <f t="shared" si="357"/>
        <v>7463</v>
      </c>
      <c r="J91" s="69">
        <f t="shared" si="358"/>
        <v>0</v>
      </c>
      <c r="K91" s="9"/>
      <c r="L91" s="3"/>
      <c r="M91" s="76"/>
      <c r="N91" s="78">
        <f t="shared" si="340"/>
        <v>0</v>
      </c>
      <c r="O91" s="76"/>
      <c r="P91" s="78"/>
      <c r="Q91" s="76"/>
      <c r="R91" s="78"/>
      <c r="S91" s="76"/>
      <c r="T91" s="78"/>
      <c r="U91" s="76"/>
      <c r="V91" s="78">
        <f t="shared" ref="V91" si="379">+ROUND(U91*$I91,0)</f>
        <v>0</v>
      </c>
      <c r="W91" s="76"/>
      <c r="X91" s="78">
        <f t="shared" ref="X91" si="380">+ROUND(W91*$I91,0)</f>
        <v>0</v>
      </c>
      <c r="Y91" s="76"/>
      <c r="Z91" s="78"/>
      <c r="AA91" s="76"/>
      <c r="AB91" s="78">
        <f t="shared" ref="AB91" si="381">+ROUND(AA91*$I91,0)</f>
        <v>0</v>
      </c>
      <c r="AC91" s="76"/>
      <c r="AD91" s="78">
        <f t="shared" ref="AD91" si="382">+ROUND(AC91*$I91,0)</f>
        <v>0</v>
      </c>
      <c r="AE91" s="76"/>
      <c r="AF91" s="78"/>
      <c r="AG91" s="76"/>
      <c r="AH91" s="78">
        <f t="shared" ref="AH91" si="383">+ROUND(AG91*$I91,0)</f>
        <v>0</v>
      </c>
      <c r="AI91" s="76"/>
      <c r="AJ91" s="78"/>
      <c r="AK91" s="76"/>
      <c r="AL91" s="78"/>
    </row>
    <row r="92" spans="1:38"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356"/>
        <v>0</v>
      </c>
      <c r="H92" s="69">
        <f>+VLOOKUP(C92,'PRECIOS IDU 2025'!$A$1:$E$3189,4,FALSE)</f>
        <v>46379</v>
      </c>
      <c r="I92" s="69">
        <f t="shared" si="357"/>
        <v>60293</v>
      </c>
      <c r="J92" s="69">
        <f t="shared" si="358"/>
        <v>0</v>
      </c>
      <c r="K92" s="9"/>
      <c r="L92" s="3"/>
      <c r="M92" s="76"/>
      <c r="N92" s="78">
        <f t="shared" si="340"/>
        <v>0</v>
      </c>
      <c r="O92" s="76"/>
      <c r="P92" s="78"/>
      <c r="Q92" s="76"/>
      <c r="R92" s="78"/>
      <c r="S92" s="76"/>
      <c r="T92" s="78"/>
      <c r="U92" s="76"/>
      <c r="V92" s="78">
        <f t="shared" ref="V92" si="384">+ROUND(U92*$I92,0)</f>
        <v>0</v>
      </c>
      <c r="W92" s="76"/>
      <c r="X92" s="78">
        <f t="shared" ref="X92" si="385">+ROUND(W92*$I92,0)</f>
        <v>0</v>
      </c>
      <c r="Y92" s="76"/>
      <c r="Z92" s="78"/>
      <c r="AA92" s="76"/>
      <c r="AB92" s="78">
        <f t="shared" ref="AB92" si="386">+ROUND(AA92*$I92,0)</f>
        <v>0</v>
      </c>
      <c r="AC92" s="76"/>
      <c r="AD92" s="78">
        <f t="shared" ref="AD92" si="387">+ROUND(AC92*$I92,0)</f>
        <v>0</v>
      </c>
      <c r="AE92" s="76"/>
      <c r="AF92" s="78"/>
      <c r="AG92" s="76"/>
      <c r="AH92" s="78">
        <f t="shared" ref="AH92" si="388">+ROUND(AG92*$I92,0)</f>
        <v>0</v>
      </c>
      <c r="AI92" s="76"/>
      <c r="AJ92" s="78"/>
      <c r="AK92" s="76"/>
      <c r="AL92" s="78"/>
    </row>
    <row r="93" spans="1:38"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356"/>
        <v>0</v>
      </c>
      <c r="H93" s="69">
        <f>+VLOOKUP(C93,'PRECIOS IDU 2025'!$A$1:$E$3189,4,FALSE)</f>
        <v>45600</v>
      </c>
      <c r="I93" s="69">
        <f t="shared" si="357"/>
        <v>59280</v>
      </c>
      <c r="J93" s="69">
        <f t="shared" si="358"/>
        <v>0</v>
      </c>
      <c r="K93" s="9"/>
      <c r="L93" s="3"/>
      <c r="M93" s="76"/>
      <c r="N93" s="78">
        <f t="shared" si="340"/>
        <v>0</v>
      </c>
      <c r="O93" s="76"/>
      <c r="P93" s="78"/>
      <c r="Q93" s="76"/>
      <c r="R93" s="78"/>
      <c r="S93" s="76"/>
      <c r="T93" s="78"/>
      <c r="U93" s="76"/>
      <c r="V93" s="78">
        <f t="shared" ref="V93" si="389">+ROUND(U93*$I93,0)</f>
        <v>0</v>
      </c>
      <c r="W93" s="76"/>
      <c r="X93" s="78">
        <f t="shared" ref="X93" si="390">+ROUND(W93*$I93,0)</f>
        <v>0</v>
      </c>
      <c r="Y93" s="76"/>
      <c r="Z93" s="78"/>
      <c r="AA93" s="76"/>
      <c r="AB93" s="78">
        <f t="shared" ref="AB93" si="391">+ROUND(AA93*$I93,0)</f>
        <v>0</v>
      </c>
      <c r="AC93" s="76"/>
      <c r="AD93" s="78">
        <f t="shared" ref="AD93" si="392">+ROUND(AC93*$I93,0)</f>
        <v>0</v>
      </c>
      <c r="AE93" s="76"/>
      <c r="AF93" s="78"/>
      <c r="AG93" s="76"/>
      <c r="AH93" s="78">
        <f t="shared" ref="AH93" si="393">+ROUND(AG93*$I93,0)</f>
        <v>0</v>
      </c>
      <c r="AI93" s="76"/>
      <c r="AJ93" s="78"/>
      <c r="AK93" s="76"/>
      <c r="AL93" s="78"/>
    </row>
    <row r="94" spans="1:38"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356"/>
        <v>0</v>
      </c>
      <c r="H94" s="69">
        <f>+VLOOKUP(C94,'PRECIOS IDU 2025'!$A$1:$E$3189,4,FALSE)</f>
        <v>1757</v>
      </c>
      <c r="I94" s="69">
        <f t="shared" si="357"/>
        <v>2284</v>
      </c>
      <c r="J94" s="69">
        <f t="shared" si="358"/>
        <v>0</v>
      </c>
      <c r="K94" s="9"/>
      <c r="L94" s="3"/>
      <c r="M94" s="76"/>
      <c r="N94" s="78">
        <f t="shared" si="340"/>
        <v>0</v>
      </c>
      <c r="O94" s="76"/>
      <c r="P94" s="78"/>
      <c r="Q94" s="76"/>
      <c r="R94" s="78"/>
      <c r="S94" s="76"/>
      <c r="T94" s="78"/>
      <c r="U94" s="76"/>
      <c r="V94" s="78">
        <f t="shared" ref="V94" si="394">+ROUND(U94*$I94,0)</f>
        <v>0</v>
      </c>
      <c r="W94" s="76"/>
      <c r="X94" s="78">
        <f t="shared" ref="X94" si="395">+ROUND(W94*$I94,0)</f>
        <v>0</v>
      </c>
      <c r="Y94" s="76"/>
      <c r="Z94" s="78"/>
      <c r="AA94" s="76"/>
      <c r="AB94" s="78">
        <f t="shared" ref="AB94" si="396">+ROUND(AA94*$I94,0)</f>
        <v>0</v>
      </c>
      <c r="AC94" s="76"/>
      <c r="AD94" s="78">
        <f t="shared" ref="AD94" si="397">+ROUND(AC94*$I94,0)</f>
        <v>0</v>
      </c>
      <c r="AE94" s="76"/>
      <c r="AF94" s="78"/>
      <c r="AG94" s="76"/>
      <c r="AH94" s="78">
        <f t="shared" ref="AH94" si="398">+ROUND(AG94*$I94,0)</f>
        <v>0</v>
      </c>
      <c r="AI94" s="76"/>
      <c r="AJ94" s="78"/>
      <c r="AK94" s="76"/>
      <c r="AL94" s="78"/>
    </row>
    <row r="95" spans="1:38"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356"/>
        <v>0</v>
      </c>
      <c r="H95" s="69">
        <f>+VLOOKUP(C95,'PRECIOS IDU 2025'!$A$1:$E$3189,4,FALSE)</f>
        <v>3189</v>
      </c>
      <c r="I95" s="69">
        <f t="shared" si="357"/>
        <v>4146</v>
      </c>
      <c r="J95" s="69">
        <f t="shared" si="358"/>
        <v>0</v>
      </c>
      <c r="K95" s="9"/>
      <c r="L95" s="3"/>
      <c r="M95" s="76"/>
      <c r="N95" s="78">
        <f t="shared" si="340"/>
        <v>0</v>
      </c>
      <c r="O95" s="76"/>
      <c r="P95" s="78"/>
      <c r="Q95" s="76"/>
      <c r="R95" s="78"/>
      <c r="S95" s="76"/>
      <c r="T95" s="78"/>
      <c r="U95" s="76"/>
      <c r="V95" s="78">
        <f t="shared" ref="V95" si="399">+ROUND(U95*$I95,0)</f>
        <v>0</v>
      </c>
      <c r="W95" s="76"/>
      <c r="X95" s="78">
        <f t="shared" ref="X95" si="400">+ROUND(W95*$I95,0)</f>
        <v>0</v>
      </c>
      <c r="Y95" s="76"/>
      <c r="Z95" s="78"/>
      <c r="AA95" s="76"/>
      <c r="AB95" s="78">
        <f t="shared" ref="AB95" si="401">+ROUND(AA95*$I95,0)</f>
        <v>0</v>
      </c>
      <c r="AC95" s="76"/>
      <c r="AD95" s="78">
        <f t="shared" ref="AD95" si="402">+ROUND(AC95*$I95,0)</f>
        <v>0</v>
      </c>
      <c r="AE95" s="76"/>
      <c r="AF95" s="78"/>
      <c r="AG95" s="76"/>
      <c r="AH95" s="78">
        <f t="shared" ref="AH95" si="403">+ROUND(AG95*$I95,0)</f>
        <v>0</v>
      </c>
      <c r="AI95" s="76"/>
      <c r="AJ95" s="78"/>
      <c r="AK95" s="76"/>
      <c r="AL95" s="78"/>
    </row>
    <row r="96" spans="1:38"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356"/>
        <v>0</v>
      </c>
      <c r="H96" s="69">
        <f>+VLOOKUP(C96,'PRECIOS IDU 2025'!$A$1:$E$3189,4,FALSE)</f>
        <v>3885</v>
      </c>
      <c r="I96" s="69">
        <f t="shared" si="357"/>
        <v>5051</v>
      </c>
      <c r="J96" s="69">
        <f t="shared" si="358"/>
        <v>0</v>
      </c>
      <c r="K96" s="9"/>
      <c r="L96" s="3"/>
      <c r="M96" s="76"/>
      <c r="N96" s="78">
        <f t="shared" si="340"/>
        <v>0</v>
      </c>
      <c r="O96" s="76"/>
      <c r="P96" s="78"/>
      <c r="Q96" s="76"/>
      <c r="R96" s="78"/>
      <c r="S96" s="76"/>
      <c r="T96" s="78"/>
      <c r="U96" s="76"/>
      <c r="V96" s="78">
        <f t="shared" ref="V96" si="404">+ROUND(U96*$I96,0)</f>
        <v>0</v>
      </c>
      <c r="W96" s="76"/>
      <c r="X96" s="78">
        <f t="shared" ref="X96" si="405">+ROUND(W96*$I96,0)</f>
        <v>0</v>
      </c>
      <c r="Y96" s="76"/>
      <c r="Z96" s="78"/>
      <c r="AA96" s="76"/>
      <c r="AB96" s="78">
        <f t="shared" ref="AB96" si="406">+ROUND(AA96*$I96,0)</f>
        <v>0</v>
      </c>
      <c r="AC96" s="76"/>
      <c r="AD96" s="78">
        <f t="shared" ref="AD96" si="407">+ROUND(AC96*$I96,0)</f>
        <v>0</v>
      </c>
      <c r="AE96" s="76"/>
      <c r="AF96" s="78"/>
      <c r="AG96" s="76"/>
      <c r="AH96" s="78">
        <f t="shared" ref="AH96" si="408">+ROUND(AG96*$I96,0)</f>
        <v>0</v>
      </c>
      <c r="AI96" s="76"/>
      <c r="AJ96" s="78"/>
      <c r="AK96" s="76"/>
      <c r="AL96" s="78"/>
    </row>
    <row r="97" spans="1:38"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356"/>
        <v>0</v>
      </c>
      <c r="H97" s="69">
        <f>+VLOOKUP(C97,'PRECIOS IDU 2025'!$A$1:$E$3189,4,FALSE)</f>
        <v>1341971</v>
      </c>
      <c r="I97" s="69">
        <f t="shared" si="357"/>
        <v>1744562</v>
      </c>
      <c r="J97" s="69">
        <f t="shared" si="358"/>
        <v>0</v>
      </c>
      <c r="K97" s="9"/>
      <c r="L97" s="3"/>
      <c r="M97" s="76"/>
      <c r="N97" s="78">
        <f t="shared" si="340"/>
        <v>0</v>
      </c>
      <c r="O97" s="76"/>
      <c r="P97" s="78"/>
      <c r="Q97" s="76"/>
      <c r="R97" s="78"/>
      <c r="S97" s="76"/>
      <c r="T97" s="78"/>
      <c r="U97" s="76"/>
      <c r="V97" s="78">
        <f t="shared" ref="V97" si="409">+ROUND(U97*$I97,0)</f>
        <v>0</v>
      </c>
      <c r="W97" s="76"/>
      <c r="X97" s="78">
        <f t="shared" ref="X97" si="410">+ROUND(W97*$I97,0)</f>
        <v>0</v>
      </c>
      <c r="Y97" s="76"/>
      <c r="Z97" s="78"/>
      <c r="AA97" s="76"/>
      <c r="AB97" s="78">
        <f t="shared" ref="AB97" si="411">+ROUND(AA97*$I97,0)</f>
        <v>0</v>
      </c>
      <c r="AC97" s="76"/>
      <c r="AD97" s="78">
        <f t="shared" ref="AD97" si="412">+ROUND(AC97*$I97,0)</f>
        <v>0</v>
      </c>
      <c r="AE97" s="76"/>
      <c r="AF97" s="78"/>
      <c r="AG97" s="76"/>
      <c r="AH97" s="78">
        <f t="shared" ref="AH97" si="413">+ROUND(AG97*$I97,0)</f>
        <v>0</v>
      </c>
      <c r="AI97" s="76"/>
      <c r="AJ97" s="78"/>
      <c r="AK97" s="76"/>
      <c r="AL97" s="78"/>
    </row>
    <row r="98" spans="1:38"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356"/>
        <v>0</v>
      </c>
      <c r="H98" s="69">
        <f>+VLOOKUP(C98,'PRECIOS IDU 2025'!$A$1:$E$3189,4,FALSE)</f>
        <v>1241977</v>
      </c>
      <c r="I98" s="69">
        <f t="shared" si="357"/>
        <v>1614570</v>
      </c>
      <c r="J98" s="69">
        <f t="shared" si="358"/>
        <v>0</v>
      </c>
      <c r="K98" s="9"/>
      <c r="L98" s="3"/>
      <c r="M98" s="76"/>
      <c r="N98" s="78">
        <f t="shared" si="340"/>
        <v>0</v>
      </c>
      <c r="O98" s="76"/>
      <c r="P98" s="78"/>
      <c r="Q98" s="76"/>
      <c r="R98" s="78"/>
      <c r="S98" s="76"/>
      <c r="T98" s="78"/>
      <c r="U98" s="76"/>
      <c r="V98" s="78">
        <f t="shared" ref="V98" si="414">+ROUND(U98*$I98,0)</f>
        <v>0</v>
      </c>
      <c r="W98" s="76"/>
      <c r="X98" s="78">
        <f t="shared" ref="X98" si="415">+ROUND(W98*$I98,0)</f>
        <v>0</v>
      </c>
      <c r="Y98" s="76"/>
      <c r="Z98" s="78"/>
      <c r="AA98" s="76"/>
      <c r="AB98" s="78">
        <f t="shared" ref="AB98" si="416">+ROUND(AA98*$I98,0)</f>
        <v>0</v>
      </c>
      <c r="AC98" s="76"/>
      <c r="AD98" s="78">
        <f t="shared" ref="AD98" si="417">+ROUND(AC98*$I98,0)</f>
        <v>0</v>
      </c>
      <c r="AE98" s="76"/>
      <c r="AF98" s="78"/>
      <c r="AG98" s="76"/>
      <c r="AH98" s="78">
        <f t="shared" ref="AH98" si="418">+ROUND(AG98*$I98,0)</f>
        <v>0</v>
      </c>
      <c r="AI98" s="76"/>
      <c r="AJ98" s="78"/>
      <c r="AK98" s="76"/>
      <c r="AL98" s="78"/>
    </row>
    <row r="99" spans="1:38"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356"/>
        <v>0</v>
      </c>
      <c r="H99" s="69">
        <f>+VLOOKUP(C99,'PRECIOS IDU 2025'!$A$1:$E$3189,4,FALSE)</f>
        <v>1556215</v>
      </c>
      <c r="I99" s="69">
        <f t="shared" si="357"/>
        <v>2023080</v>
      </c>
      <c r="J99" s="69">
        <f t="shared" si="358"/>
        <v>0</v>
      </c>
      <c r="K99" s="9"/>
      <c r="L99" s="3"/>
      <c r="M99" s="76"/>
      <c r="N99" s="78">
        <f t="shared" si="340"/>
        <v>0</v>
      </c>
      <c r="O99" s="76"/>
      <c r="P99" s="78"/>
      <c r="Q99" s="76"/>
      <c r="R99" s="78"/>
      <c r="S99" s="76"/>
      <c r="T99" s="78"/>
      <c r="U99" s="76"/>
      <c r="V99" s="78">
        <f t="shared" ref="V99" si="419">+ROUND(U99*$I99,0)</f>
        <v>0</v>
      </c>
      <c r="W99" s="76"/>
      <c r="X99" s="78">
        <f t="shared" ref="X99" si="420">+ROUND(W99*$I99,0)</f>
        <v>0</v>
      </c>
      <c r="Y99" s="76"/>
      <c r="Z99" s="78"/>
      <c r="AA99" s="76"/>
      <c r="AB99" s="78">
        <f t="shared" ref="AB99" si="421">+ROUND(AA99*$I99,0)</f>
        <v>0</v>
      </c>
      <c r="AC99" s="76"/>
      <c r="AD99" s="78">
        <f t="shared" ref="AD99" si="422">+ROUND(AC99*$I99,0)</f>
        <v>0</v>
      </c>
      <c r="AE99" s="76"/>
      <c r="AF99" s="78"/>
      <c r="AG99" s="76"/>
      <c r="AH99" s="78">
        <f t="shared" ref="AH99" si="423">+ROUND(AG99*$I99,0)</f>
        <v>0</v>
      </c>
      <c r="AI99" s="76"/>
      <c r="AJ99" s="78"/>
      <c r="AK99" s="76"/>
      <c r="AL99" s="78"/>
    </row>
    <row r="100" spans="1:38"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356"/>
        <v>0</v>
      </c>
      <c r="H100" s="69">
        <f>+VLOOKUP(C100,'PRECIOS IDU 2025'!$A$1:$E$3189,4,FALSE)</f>
        <v>5591</v>
      </c>
      <c r="I100" s="69">
        <f t="shared" si="357"/>
        <v>7268</v>
      </c>
      <c r="J100" s="69">
        <f t="shared" ref="J100" si="424">+ROUND(I100*G100,0)</f>
        <v>0</v>
      </c>
      <c r="K100" s="9"/>
      <c r="L100" s="3"/>
      <c r="M100" s="76"/>
      <c r="N100" s="78"/>
      <c r="O100" s="76"/>
      <c r="P100" s="78"/>
      <c r="Q100" s="76"/>
      <c r="R100" s="78"/>
      <c r="S100" s="76"/>
      <c r="T100" s="78"/>
      <c r="U100" s="76"/>
      <c r="V100" s="78"/>
      <c r="W100" s="76"/>
      <c r="X100" s="78"/>
      <c r="Y100" s="76"/>
      <c r="Z100" s="78"/>
      <c r="AA100" s="76"/>
      <c r="AB100" s="78"/>
      <c r="AC100" s="76"/>
      <c r="AD100" s="78"/>
      <c r="AE100" s="76"/>
      <c r="AF100" s="78"/>
      <c r="AG100" s="76"/>
      <c r="AH100" s="78"/>
      <c r="AI100" s="76"/>
      <c r="AJ100" s="78"/>
      <c r="AK100" s="76"/>
      <c r="AL100" s="78"/>
    </row>
    <row r="101" spans="1:38"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356"/>
        <v>0</v>
      </c>
      <c r="H101" s="69">
        <f>+VLOOKUP(C101,'PRECIOS IDU 2025'!$A$1:$E$3189,4,FALSE)</f>
        <v>8404</v>
      </c>
      <c r="I101" s="69">
        <f t="shared" si="357"/>
        <v>10925</v>
      </c>
      <c r="J101" s="69">
        <f t="shared" si="358"/>
        <v>0</v>
      </c>
      <c r="K101" s="9"/>
      <c r="L101" s="3"/>
      <c r="M101" s="76"/>
      <c r="N101" s="78">
        <f t="shared" ref="N101:N116" si="425">+ROUND(M101*$I101,0)</f>
        <v>0</v>
      </c>
      <c r="O101" s="76"/>
      <c r="P101" s="78"/>
      <c r="Q101" s="76"/>
      <c r="R101" s="78"/>
      <c r="S101" s="76"/>
      <c r="T101" s="78"/>
      <c r="U101" s="76"/>
      <c r="V101" s="78">
        <f t="shared" ref="V101" si="426">+ROUND(U101*$I101,0)</f>
        <v>0</v>
      </c>
      <c r="W101" s="76"/>
      <c r="X101" s="78">
        <f t="shared" ref="X101" si="427">+ROUND(W101*$I101,0)</f>
        <v>0</v>
      </c>
      <c r="Y101" s="76"/>
      <c r="Z101" s="78"/>
      <c r="AA101" s="76"/>
      <c r="AB101" s="78">
        <f t="shared" ref="AB101" si="428">+ROUND(AA101*$I101,0)</f>
        <v>0</v>
      </c>
      <c r="AC101" s="76"/>
      <c r="AD101" s="78">
        <f t="shared" ref="AD101" si="429">+ROUND(AC101*$I101,0)</f>
        <v>0</v>
      </c>
      <c r="AE101" s="76"/>
      <c r="AF101" s="78"/>
      <c r="AG101" s="76"/>
      <c r="AH101" s="78">
        <f t="shared" ref="AH101" si="430">+ROUND(AG101*$I101,0)</f>
        <v>0</v>
      </c>
      <c r="AI101" s="76"/>
      <c r="AJ101" s="78"/>
      <c r="AK101" s="76"/>
      <c r="AL101" s="78"/>
    </row>
    <row r="102" spans="1:38"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356"/>
        <v>0</v>
      </c>
      <c r="H102" s="69">
        <f>+VLOOKUP(C102,'PRECIOS IDU 2025'!$A$1:$E$3189,4,FALSE)</f>
        <v>7882</v>
      </c>
      <c r="I102" s="69">
        <f t="shared" si="357"/>
        <v>10247</v>
      </c>
      <c r="J102" s="69">
        <f t="shared" si="358"/>
        <v>0</v>
      </c>
      <c r="K102" s="9"/>
      <c r="L102" s="3"/>
      <c r="M102" s="76"/>
      <c r="N102" s="78">
        <f t="shared" si="425"/>
        <v>0</v>
      </c>
      <c r="O102" s="76"/>
      <c r="P102" s="78"/>
      <c r="Q102" s="76"/>
      <c r="R102" s="78"/>
      <c r="S102" s="76"/>
      <c r="T102" s="78"/>
      <c r="U102" s="76"/>
      <c r="V102" s="78">
        <f t="shared" ref="V102" si="431">+ROUND(U102*$I102,0)</f>
        <v>0</v>
      </c>
      <c r="W102" s="76"/>
      <c r="X102" s="78">
        <f t="shared" ref="X102" si="432">+ROUND(W102*$I102,0)</f>
        <v>0</v>
      </c>
      <c r="Y102" s="76"/>
      <c r="Z102" s="78"/>
      <c r="AA102" s="76"/>
      <c r="AB102" s="78">
        <f t="shared" ref="AB102" si="433">+ROUND(AA102*$I102,0)</f>
        <v>0</v>
      </c>
      <c r="AC102" s="76"/>
      <c r="AD102" s="78">
        <f t="shared" ref="AD102" si="434">+ROUND(AC102*$I102,0)</f>
        <v>0</v>
      </c>
      <c r="AE102" s="76"/>
      <c r="AF102" s="78"/>
      <c r="AG102" s="76"/>
      <c r="AH102" s="78">
        <f t="shared" ref="AH102" si="435">+ROUND(AG102*$I102,0)</f>
        <v>0</v>
      </c>
      <c r="AI102" s="76"/>
      <c r="AJ102" s="78"/>
      <c r="AK102" s="76"/>
      <c r="AL102" s="78"/>
    </row>
    <row r="103" spans="1:38"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356"/>
        <v>0</v>
      </c>
      <c r="H103" s="69">
        <f>+VLOOKUP(C103,'PRECIOS IDU 2025'!$A$1:$E$3189,4,FALSE)</f>
        <v>7882</v>
      </c>
      <c r="I103" s="69">
        <f t="shared" si="357"/>
        <v>10247</v>
      </c>
      <c r="J103" s="69">
        <f t="shared" si="358"/>
        <v>0</v>
      </c>
      <c r="K103" s="9"/>
      <c r="L103" s="3"/>
      <c r="M103" s="76"/>
      <c r="N103" s="78">
        <f t="shared" si="425"/>
        <v>0</v>
      </c>
      <c r="O103" s="76"/>
      <c r="P103" s="78"/>
      <c r="Q103" s="76"/>
      <c r="R103" s="78"/>
      <c r="S103" s="76"/>
      <c r="T103" s="78"/>
      <c r="U103" s="76"/>
      <c r="V103" s="78">
        <f t="shared" ref="V103" si="436">+ROUND(U103*$I103,0)</f>
        <v>0</v>
      </c>
      <c r="W103" s="76"/>
      <c r="X103" s="78">
        <f t="shared" ref="X103" si="437">+ROUND(W103*$I103,0)</f>
        <v>0</v>
      </c>
      <c r="Y103" s="76"/>
      <c r="Z103" s="78"/>
      <c r="AA103" s="76"/>
      <c r="AB103" s="78">
        <f t="shared" ref="AB103" si="438">+ROUND(AA103*$I103,0)</f>
        <v>0</v>
      </c>
      <c r="AC103" s="76"/>
      <c r="AD103" s="78">
        <f t="shared" ref="AD103" si="439">+ROUND(AC103*$I103,0)</f>
        <v>0</v>
      </c>
      <c r="AE103" s="76"/>
      <c r="AF103" s="78"/>
      <c r="AG103" s="76"/>
      <c r="AH103" s="78">
        <f t="shared" ref="AH103" si="440">+ROUND(AG103*$I103,0)</f>
        <v>0</v>
      </c>
      <c r="AI103" s="76"/>
      <c r="AJ103" s="78"/>
      <c r="AK103" s="76"/>
      <c r="AL103" s="78"/>
    </row>
    <row r="104" spans="1:38"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356"/>
        <v>0</v>
      </c>
      <c r="H104" s="69">
        <f>+VLOOKUP(C104,'PRECIOS IDU 2025'!$A$1:$E$3189,4,FALSE)</f>
        <v>875661</v>
      </c>
      <c r="I104" s="69">
        <f t="shared" si="357"/>
        <v>1138359</v>
      </c>
      <c r="J104" s="69">
        <f t="shared" si="358"/>
        <v>0</v>
      </c>
      <c r="K104" s="9"/>
      <c r="L104" s="3"/>
      <c r="M104" s="76"/>
      <c r="N104" s="78">
        <f t="shared" si="425"/>
        <v>0</v>
      </c>
      <c r="O104" s="76"/>
      <c r="P104" s="78"/>
      <c r="Q104" s="76"/>
      <c r="R104" s="78"/>
      <c r="S104" s="76"/>
      <c r="T104" s="78"/>
      <c r="U104" s="76"/>
      <c r="V104" s="78">
        <f t="shared" ref="V104" si="441">+ROUND(U104*$I104,0)</f>
        <v>0</v>
      </c>
      <c r="W104" s="76"/>
      <c r="X104" s="78">
        <f t="shared" ref="X104" si="442">+ROUND(W104*$I104,0)</f>
        <v>0</v>
      </c>
      <c r="Y104" s="76"/>
      <c r="Z104" s="78"/>
      <c r="AA104" s="76"/>
      <c r="AB104" s="78">
        <f t="shared" ref="AB104" si="443">+ROUND(AA104*$I104,0)</f>
        <v>0</v>
      </c>
      <c r="AC104" s="76"/>
      <c r="AD104" s="78">
        <f t="shared" ref="AD104" si="444">+ROUND(AC104*$I104,0)</f>
        <v>0</v>
      </c>
      <c r="AE104" s="76"/>
      <c r="AF104" s="78"/>
      <c r="AG104" s="76"/>
      <c r="AH104" s="78">
        <f t="shared" ref="AH104" si="445">+ROUND(AG104*$I104,0)</f>
        <v>0</v>
      </c>
      <c r="AI104" s="76"/>
      <c r="AJ104" s="78"/>
      <c r="AK104" s="76"/>
      <c r="AL104" s="78"/>
    </row>
    <row r="105" spans="1:38"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356"/>
        <v>0</v>
      </c>
      <c r="H105" s="69">
        <f>+VLOOKUP(C105,'PRECIOS IDU 2025'!$A$1:$E$3189,4,FALSE)</f>
        <v>890453</v>
      </c>
      <c r="I105" s="69">
        <f t="shared" si="357"/>
        <v>1157589</v>
      </c>
      <c r="J105" s="69">
        <f t="shared" si="358"/>
        <v>0</v>
      </c>
      <c r="K105" s="9"/>
      <c r="L105" s="3"/>
      <c r="M105" s="76"/>
      <c r="N105" s="78">
        <f t="shared" si="425"/>
        <v>0</v>
      </c>
      <c r="O105" s="76"/>
      <c r="P105" s="78"/>
      <c r="Q105" s="76"/>
      <c r="R105" s="78"/>
      <c r="S105" s="76"/>
      <c r="T105" s="78"/>
      <c r="U105" s="76"/>
      <c r="V105" s="78">
        <f t="shared" ref="V105" si="446">+ROUND(U105*$I105,0)</f>
        <v>0</v>
      </c>
      <c r="W105" s="76"/>
      <c r="X105" s="78">
        <f t="shared" ref="X105" si="447">+ROUND(W105*$I105,0)</f>
        <v>0</v>
      </c>
      <c r="Y105" s="76"/>
      <c r="Z105" s="78"/>
      <c r="AA105" s="76"/>
      <c r="AB105" s="78">
        <f t="shared" ref="AB105" si="448">+ROUND(AA105*$I105,0)</f>
        <v>0</v>
      </c>
      <c r="AC105" s="76"/>
      <c r="AD105" s="78">
        <f t="shared" ref="AD105" si="449">+ROUND(AC105*$I105,0)</f>
        <v>0</v>
      </c>
      <c r="AE105" s="76"/>
      <c r="AF105" s="78"/>
      <c r="AG105" s="76"/>
      <c r="AH105" s="78">
        <f t="shared" ref="AH105" si="450">+ROUND(AG105*$I105,0)</f>
        <v>0</v>
      </c>
      <c r="AI105" s="76"/>
      <c r="AJ105" s="78"/>
      <c r="AK105" s="76"/>
      <c r="AL105" s="78"/>
    </row>
    <row r="106" spans="1:38"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356"/>
        <v>0</v>
      </c>
      <c r="H106" s="69">
        <f>+VLOOKUP(C106,'PRECIOS IDU 2025'!$A$1:$E$3189,4,FALSE)</f>
        <v>2554</v>
      </c>
      <c r="I106" s="69">
        <f t="shared" si="357"/>
        <v>3320</v>
      </c>
      <c r="J106" s="69">
        <f t="shared" si="358"/>
        <v>0</v>
      </c>
      <c r="K106" s="9"/>
      <c r="L106" s="3"/>
      <c r="M106" s="76"/>
      <c r="N106" s="78">
        <f t="shared" si="425"/>
        <v>0</v>
      </c>
      <c r="O106" s="76"/>
      <c r="P106" s="78"/>
      <c r="Q106" s="76"/>
      <c r="R106" s="78"/>
      <c r="S106" s="76"/>
      <c r="T106" s="78"/>
      <c r="U106" s="76"/>
      <c r="V106" s="78">
        <f t="shared" ref="V106" si="451">+ROUND(U106*$I106,0)</f>
        <v>0</v>
      </c>
      <c r="W106" s="76"/>
      <c r="X106" s="78">
        <f t="shared" ref="X106" si="452">+ROUND(W106*$I106,0)</f>
        <v>0</v>
      </c>
      <c r="Y106" s="76"/>
      <c r="Z106" s="78"/>
      <c r="AA106" s="76"/>
      <c r="AB106" s="78">
        <f t="shared" ref="AB106" si="453">+ROUND(AA106*$I106,0)</f>
        <v>0</v>
      </c>
      <c r="AC106" s="76"/>
      <c r="AD106" s="78">
        <f t="shared" ref="AD106" si="454">+ROUND(AC106*$I106,0)</f>
        <v>0</v>
      </c>
      <c r="AE106" s="76"/>
      <c r="AF106" s="78"/>
      <c r="AG106" s="76"/>
      <c r="AH106" s="78">
        <f t="shared" ref="AH106" si="455">+ROUND(AG106*$I106,0)</f>
        <v>0</v>
      </c>
      <c r="AI106" s="76"/>
      <c r="AJ106" s="78"/>
      <c r="AK106" s="76"/>
      <c r="AL106" s="78"/>
    </row>
    <row r="107" spans="1:38"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356"/>
        <v>0</v>
      </c>
      <c r="H107" s="69">
        <f>+VLOOKUP(C107,'PRECIOS IDU 2025'!$A$1:$E$3189,4,FALSE)</f>
        <v>13778</v>
      </c>
      <c r="I107" s="69">
        <f t="shared" si="357"/>
        <v>17911</v>
      </c>
      <c r="J107" s="69">
        <f t="shared" si="358"/>
        <v>0</v>
      </c>
      <c r="K107" s="9"/>
      <c r="L107" s="3"/>
      <c r="M107" s="76"/>
      <c r="N107" s="78">
        <f t="shared" si="425"/>
        <v>0</v>
      </c>
      <c r="O107" s="76"/>
      <c r="P107" s="78"/>
      <c r="Q107" s="76"/>
      <c r="R107" s="78"/>
      <c r="S107" s="76"/>
      <c r="T107" s="78"/>
      <c r="U107" s="76"/>
      <c r="V107" s="78">
        <f t="shared" ref="V107" si="456">+ROUND(U107*$I107,0)</f>
        <v>0</v>
      </c>
      <c r="W107" s="76"/>
      <c r="X107" s="78">
        <f t="shared" ref="X107" si="457">+ROUND(W107*$I107,0)</f>
        <v>0</v>
      </c>
      <c r="Y107" s="76"/>
      <c r="Z107" s="78"/>
      <c r="AA107" s="76"/>
      <c r="AB107" s="78">
        <f t="shared" ref="AB107" si="458">+ROUND(AA107*$I107,0)</f>
        <v>0</v>
      </c>
      <c r="AC107" s="76"/>
      <c r="AD107" s="78">
        <f t="shared" ref="AD107" si="459">+ROUND(AC107*$I107,0)</f>
        <v>0</v>
      </c>
      <c r="AE107" s="76"/>
      <c r="AF107" s="78"/>
      <c r="AG107" s="76"/>
      <c r="AH107" s="78">
        <f t="shared" ref="AH107" si="460">+ROUND(AG107*$I107,0)</f>
        <v>0</v>
      </c>
      <c r="AI107" s="76"/>
      <c r="AJ107" s="78"/>
      <c r="AK107" s="76"/>
      <c r="AL107" s="78"/>
    </row>
    <row r="108" spans="1:38"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356"/>
        <v>0</v>
      </c>
      <c r="H108" s="69">
        <f>+VLOOKUP(C108,'PRECIOS IDU 2025'!$A$1:$E$3189,4,FALSE)</f>
        <v>10578</v>
      </c>
      <c r="I108" s="69">
        <f t="shared" si="357"/>
        <v>13751</v>
      </c>
      <c r="J108" s="69">
        <f t="shared" si="358"/>
        <v>0</v>
      </c>
      <c r="K108" s="9"/>
      <c r="L108" s="3"/>
      <c r="M108" s="76"/>
      <c r="N108" s="78">
        <f t="shared" si="425"/>
        <v>0</v>
      </c>
      <c r="O108" s="76"/>
      <c r="P108" s="78"/>
      <c r="Q108" s="76"/>
      <c r="R108" s="78"/>
      <c r="S108" s="76"/>
      <c r="T108" s="78"/>
      <c r="U108" s="76"/>
      <c r="V108" s="78">
        <f t="shared" ref="V108" si="461">+ROUND(U108*$I108,0)</f>
        <v>0</v>
      </c>
      <c r="W108" s="76"/>
      <c r="X108" s="78">
        <f t="shared" ref="X108" si="462">+ROUND(W108*$I108,0)</f>
        <v>0</v>
      </c>
      <c r="Y108" s="76"/>
      <c r="Z108" s="78"/>
      <c r="AA108" s="76"/>
      <c r="AB108" s="78">
        <f t="shared" ref="AB108" si="463">+ROUND(AA108*$I108,0)</f>
        <v>0</v>
      </c>
      <c r="AC108" s="76"/>
      <c r="AD108" s="78">
        <f t="shared" ref="AD108" si="464">+ROUND(AC108*$I108,0)</f>
        <v>0</v>
      </c>
      <c r="AE108" s="76"/>
      <c r="AF108" s="78"/>
      <c r="AG108" s="76"/>
      <c r="AH108" s="78">
        <f t="shared" ref="AH108" si="465">+ROUND(AG108*$I108,0)</f>
        <v>0</v>
      </c>
      <c r="AI108" s="76"/>
      <c r="AJ108" s="78"/>
      <c r="AK108" s="76"/>
      <c r="AL108" s="78"/>
    </row>
    <row r="109" spans="1:38"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356"/>
        <v>0</v>
      </c>
      <c r="H109" s="69">
        <f>+VLOOKUP(C109,'PRECIOS IDU 2025'!$A$1:$E$3189,4,FALSE)</f>
        <v>104695</v>
      </c>
      <c r="I109" s="69">
        <f t="shared" si="357"/>
        <v>136104</v>
      </c>
      <c r="J109" s="69">
        <f t="shared" si="358"/>
        <v>0</v>
      </c>
      <c r="K109" s="9"/>
      <c r="L109" s="3"/>
      <c r="M109" s="76"/>
      <c r="N109" s="78">
        <f t="shared" si="425"/>
        <v>0</v>
      </c>
      <c r="O109" s="76"/>
      <c r="P109" s="78"/>
      <c r="Q109" s="76"/>
      <c r="R109" s="78"/>
      <c r="S109" s="76"/>
      <c r="T109" s="78"/>
      <c r="U109" s="76"/>
      <c r="V109" s="78">
        <f t="shared" ref="V109" si="466">+ROUND(U109*$I109,0)</f>
        <v>0</v>
      </c>
      <c r="W109" s="76"/>
      <c r="X109" s="78">
        <f t="shared" ref="X109" si="467">+ROUND(W109*$I109,0)</f>
        <v>0</v>
      </c>
      <c r="Y109" s="76"/>
      <c r="Z109" s="78"/>
      <c r="AA109" s="76"/>
      <c r="AB109" s="78">
        <f t="shared" ref="AB109" si="468">+ROUND(AA109*$I109,0)</f>
        <v>0</v>
      </c>
      <c r="AC109" s="76"/>
      <c r="AD109" s="78">
        <f t="shared" ref="AD109" si="469">+ROUND(AC109*$I109,0)</f>
        <v>0</v>
      </c>
      <c r="AE109" s="76"/>
      <c r="AF109" s="78"/>
      <c r="AG109" s="76"/>
      <c r="AH109" s="78">
        <f t="shared" ref="AH109" si="470">+ROUND(AG109*$I109,0)</f>
        <v>0</v>
      </c>
      <c r="AI109" s="76"/>
      <c r="AJ109" s="78"/>
      <c r="AK109" s="76"/>
      <c r="AL109" s="78"/>
    </row>
    <row r="110" spans="1:38"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356"/>
        <v>0</v>
      </c>
      <c r="H110" s="69">
        <f>+VLOOKUP(C110,'PRECIOS IDU 2025'!$A$1:$E$3189,4,FALSE)</f>
        <v>104695</v>
      </c>
      <c r="I110" s="69">
        <f t="shared" si="357"/>
        <v>136104</v>
      </c>
      <c r="J110" s="69">
        <f t="shared" si="358"/>
        <v>0</v>
      </c>
      <c r="K110" s="9"/>
      <c r="L110" s="3"/>
      <c r="M110" s="76"/>
      <c r="N110" s="78">
        <f t="shared" si="425"/>
        <v>0</v>
      </c>
      <c r="O110" s="76"/>
      <c r="P110" s="78"/>
      <c r="Q110" s="76"/>
      <c r="R110" s="78"/>
      <c r="S110" s="76"/>
      <c r="T110" s="78"/>
      <c r="U110" s="76"/>
      <c r="V110" s="78">
        <f t="shared" ref="V110" si="471">+ROUND(U110*$I110,0)</f>
        <v>0</v>
      </c>
      <c r="W110" s="76"/>
      <c r="X110" s="78">
        <f t="shared" ref="X110" si="472">+ROUND(W110*$I110,0)</f>
        <v>0</v>
      </c>
      <c r="Y110" s="76"/>
      <c r="Z110" s="78"/>
      <c r="AA110" s="76"/>
      <c r="AB110" s="78">
        <f t="shared" ref="AB110" si="473">+ROUND(AA110*$I110,0)</f>
        <v>0</v>
      </c>
      <c r="AC110" s="76"/>
      <c r="AD110" s="78">
        <f t="shared" ref="AD110" si="474">+ROUND(AC110*$I110,0)</f>
        <v>0</v>
      </c>
      <c r="AE110" s="76"/>
      <c r="AF110" s="78"/>
      <c r="AG110" s="76"/>
      <c r="AH110" s="78">
        <f t="shared" ref="AH110" si="475">+ROUND(AG110*$I110,0)</f>
        <v>0</v>
      </c>
      <c r="AI110" s="76"/>
      <c r="AJ110" s="78"/>
      <c r="AK110" s="76"/>
      <c r="AL110" s="78"/>
    </row>
    <row r="111" spans="1:38" ht="30" customHeight="1" x14ac:dyDescent="0.3">
      <c r="A111" s="3"/>
      <c r="B111" s="8"/>
      <c r="C111" s="66" t="s">
        <v>6080</v>
      </c>
      <c r="D111" s="67"/>
      <c r="E111" s="67"/>
      <c r="F111" s="67"/>
      <c r="G111" s="67"/>
      <c r="H111" s="67"/>
      <c r="I111" s="67"/>
      <c r="J111" s="68"/>
      <c r="K111" s="9"/>
      <c r="L111" s="3"/>
      <c r="M111" s="76"/>
      <c r="N111" s="78">
        <f t="shared" si="425"/>
        <v>0</v>
      </c>
      <c r="O111" s="76"/>
      <c r="P111" s="78"/>
      <c r="Q111" s="76"/>
      <c r="R111" s="78"/>
      <c r="S111" s="76"/>
      <c r="T111" s="78"/>
      <c r="U111" s="76"/>
      <c r="V111" s="78">
        <f t="shared" ref="V111" si="476">+ROUND(U111*$I111,0)</f>
        <v>0</v>
      </c>
      <c r="W111" s="76"/>
      <c r="X111" s="78">
        <f t="shared" ref="X111" si="477">+ROUND(W111*$I111,0)</f>
        <v>0</v>
      </c>
      <c r="Y111" s="76"/>
      <c r="Z111" s="78"/>
      <c r="AA111" s="76"/>
      <c r="AB111" s="78">
        <f t="shared" ref="AB111" si="478">+ROUND(AA111*$I111,0)</f>
        <v>0</v>
      </c>
      <c r="AC111" s="76"/>
      <c r="AD111" s="78">
        <f t="shared" ref="AD111" si="479">+ROUND(AC111*$I111,0)</f>
        <v>0</v>
      </c>
      <c r="AE111" s="76"/>
      <c r="AF111" s="78"/>
      <c r="AG111" s="76"/>
      <c r="AH111" s="78">
        <f t="shared" ref="AH111" si="480">+ROUND(AG111*$I111,0)</f>
        <v>0</v>
      </c>
      <c r="AI111" s="76"/>
      <c r="AJ111" s="78"/>
      <c r="AK111" s="76"/>
      <c r="AL111" s="78"/>
    </row>
    <row r="112" spans="1:38"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481">+ROUND(M112+O112+Q112+S112+U112+W112+Y112+AA112+AC112+AE112+AG112+AI112+AK112,2)</f>
        <v>395.32</v>
      </c>
      <c r="H112" s="69">
        <f>+VLOOKUP(C112,'PRECIOS IDU 2025'!$A$1:$E$3189,4,FALSE)</f>
        <v>8262</v>
      </c>
      <c r="I112" s="69">
        <f t="shared" ref="I112:I128" si="482">+ROUND(H112*(1+$J$192),0)</f>
        <v>10741</v>
      </c>
      <c r="J112" s="69">
        <f t="shared" ref="J112:J128" si="483">+ROUND(I112*G112,0)</f>
        <v>4246132</v>
      </c>
      <c r="K112" s="9"/>
      <c r="L112" s="3"/>
      <c r="M112" s="76">
        <f>+M11*1*2</f>
        <v>46.08</v>
      </c>
      <c r="N112" s="78">
        <f t="shared" si="425"/>
        <v>494945</v>
      </c>
      <c r="O112" s="76"/>
      <c r="P112" s="78"/>
      <c r="Q112" s="76"/>
      <c r="R112" s="78"/>
      <c r="S112" s="76"/>
      <c r="T112" s="78"/>
      <c r="U112" s="76"/>
      <c r="V112" s="78">
        <f t="shared" ref="V112" si="484">+ROUND(U112*$I112,0)</f>
        <v>0</v>
      </c>
      <c r="W112" s="76"/>
      <c r="X112" s="78">
        <f t="shared" ref="X112" si="485">+ROUND(W112*$I112,0)</f>
        <v>0</v>
      </c>
      <c r="Y112" s="76"/>
      <c r="Z112" s="78"/>
      <c r="AA112" s="76">
        <f>+AA11*1*2</f>
        <v>68.72</v>
      </c>
      <c r="AB112" s="78">
        <f t="shared" ref="AB112" si="486">+ROUND(AA112*$I112,0)</f>
        <v>738122</v>
      </c>
      <c r="AC112" s="76">
        <f>+AC11*1*2</f>
        <v>108.96</v>
      </c>
      <c r="AD112" s="78">
        <f t="shared" ref="AD112" si="487">+ROUND(AC112*$I112,0)</f>
        <v>1170339</v>
      </c>
      <c r="AE112" s="76"/>
      <c r="AF112" s="78"/>
      <c r="AG112" s="76">
        <f>+AG11*1*2</f>
        <v>171.56</v>
      </c>
      <c r="AH112" s="78">
        <f t="shared" ref="AH112" si="488">+ROUND(AG112*$I112,0)</f>
        <v>1842726</v>
      </c>
      <c r="AI112" s="76"/>
      <c r="AJ112" s="78"/>
      <c r="AK112" s="76"/>
      <c r="AL112" s="78"/>
    </row>
    <row r="113" spans="1:38"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481"/>
        <v>395.32</v>
      </c>
      <c r="H113" s="69">
        <f>+VLOOKUP(C113,'PRECIOS IDU 2025'!$A$1:$E$3189,4,FALSE)</f>
        <v>6417</v>
      </c>
      <c r="I113" s="69">
        <f t="shared" si="482"/>
        <v>8342</v>
      </c>
      <c r="J113" s="69">
        <f t="shared" si="483"/>
        <v>3297759</v>
      </c>
      <c r="K113" s="9"/>
      <c r="L113" s="3"/>
      <c r="M113" s="76">
        <f>+M11*2</f>
        <v>46.08</v>
      </c>
      <c r="N113" s="78">
        <f t="shared" si="425"/>
        <v>384399</v>
      </c>
      <c r="O113" s="76"/>
      <c r="P113" s="78"/>
      <c r="Q113" s="76"/>
      <c r="R113" s="78"/>
      <c r="S113" s="76"/>
      <c r="T113" s="78"/>
      <c r="U113" s="76"/>
      <c r="V113" s="78">
        <f t="shared" ref="V113" si="489">+ROUND(U113*$I113,0)</f>
        <v>0</v>
      </c>
      <c r="W113" s="76"/>
      <c r="X113" s="78">
        <f t="shared" ref="X113" si="490">+ROUND(W113*$I113,0)</f>
        <v>0</v>
      </c>
      <c r="Y113" s="76"/>
      <c r="Z113" s="78"/>
      <c r="AA113" s="76">
        <f>+AA11*2</f>
        <v>68.72</v>
      </c>
      <c r="AB113" s="78">
        <f t="shared" ref="AB113" si="491">+ROUND(AA113*$I113,0)</f>
        <v>573262</v>
      </c>
      <c r="AC113" s="76">
        <f>+AC11*2</f>
        <v>108.96</v>
      </c>
      <c r="AD113" s="78">
        <f t="shared" ref="AD113" si="492">+ROUND(AC113*$I113,0)</f>
        <v>908944</v>
      </c>
      <c r="AE113" s="76"/>
      <c r="AF113" s="78"/>
      <c r="AG113" s="76">
        <f>+AG11*2</f>
        <v>171.56</v>
      </c>
      <c r="AH113" s="78">
        <f t="shared" ref="AH113" si="493">+ROUND(AG113*$I113,0)</f>
        <v>1431154</v>
      </c>
      <c r="AI113" s="76"/>
      <c r="AJ113" s="78"/>
      <c r="AK113" s="76"/>
      <c r="AL113" s="78"/>
    </row>
    <row r="114" spans="1:38"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481"/>
        <v>108.71</v>
      </c>
      <c r="H114" s="69">
        <f>+VLOOKUP(C114,'PRECIOS IDU 2025'!$A$1:$E$3189,4,FALSE)</f>
        <v>46379</v>
      </c>
      <c r="I114" s="69">
        <f t="shared" si="482"/>
        <v>60293</v>
      </c>
      <c r="J114" s="69">
        <f t="shared" si="483"/>
        <v>6554452</v>
      </c>
      <c r="K114" s="9"/>
      <c r="L114" s="3"/>
      <c r="M114" s="76">
        <f>+M11*1*SUM($R$3:$T$3)</f>
        <v>12.672000000000001</v>
      </c>
      <c r="N114" s="78">
        <f t="shared" si="425"/>
        <v>764033</v>
      </c>
      <c r="O114" s="76"/>
      <c r="P114" s="78"/>
      <c r="Q114" s="76"/>
      <c r="R114" s="78"/>
      <c r="S114" s="76"/>
      <c r="T114" s="78"/>
      <c r="U114" s="76"/>
      <c r="V114" s="78">
        <f t="shared" ref="V114" si="494">+ROUND(U114*$I114,0)</f>
        <v>0</v>
      </c>
      <c r="W114" s="76"/>
      <c r="X114" s="78">
        <f t="shared" ref="X114" si="495">+ROUND(W114*$I114,0)</f>
        <v>0</v>
      </c>
      <c r="Y114" s="76"/>
      <c r="Z114" s="78"/>
      <c r="AA114" s="76">
        <f>+AA11*1*SUM($R$3:$T$3)</f>
        <v>18.898</v>
      </c>
      <c r="AB114" s="78">
        <f t="shared" ref="AB114" si="496">+ROUND(AA114*$I114,0)</f>
        <v>1139417</v>
      </c>
      <c r="AC114" s="76">
        <f>+AC11*1*SUM($R$3:$T$3)</f>
        <v>29.964000000000002</v>
      </c>
      <c r="AD114" s="78">
        <f t="shared" ref="AD114" si="497">+ROUND(AC114*$I114,0)</f>
        <v>1806619</v>
      </c>
      <c r="AE114" s="76"/>
      <c r="AF114" s="78"/>
      <c r="AG114" s="76">
        <f>+AG11*1*SUM($R$3:$T$3)</f>
        <v>47.179000000000002</v>
      </c>
      <c r="AH114" s="78">
        <f t="shared" ref="AH114" si="498">+ROUND(AG114*$I114,0)</f>
        <v>2844563</v>
      </c>
      <c r="AI114" s="76"/>
      <c r="AJ114" s="78"/>
      <c r="AK114" s="76"/>
      <c r="AL114" s="78"/>
    </row>
    <row r="115" spans="1:38"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481"/>
        <v>192.72</v>
      </c>
      <c r="H115" s="69">
        <f>+VLOOKUP(C115,'PRECIOS IDU 2025'!$A$1:$E$3189,4,FALSE)</f>
        <v>45600</v>
      </c>
      <c r="I115" s="69">
        <f t="shared" si="482"/>
        <v>59280</v>
      </c>
      <c r="J115" s="69">
        <f t="shared" si="483"/>
        <v>11424442</v>
      </c>
      <c r="K115" s="9"/>
      <c r="L115" s="3"/>
      <c r="M115" s="76">
        <f>+(M114+M112*0.1)*1.3</f>
        <v>22.464000000000002</v>
      </c>
      <c r="N115" s="78">
        <f t="shared" si="425"/>
        <v>1331666</v>
      </c>
      <c r="O115" s="76"/>
      <c r="P115" s="78"/>
      <c r="Q115" s="76"/>
      <c r="R115" s="78"/>
      <c r="S115" s="76"/>
      <c r="T115" s="78"/>
      <c r="U115" s="76"/>
      <c r="V115" s="78">
        <f t="shared" ref="V115" si="499">+ROUND(U115*$I115,0)</f>
        <v>0</v>
      </c>
      <c r="W115" s="76"/>
      <c r="X115" s="78">
        <f t="shared" ref="X115" si="500">+ROUND(W115*$I115,0)</f>
        <v>0</v>
      </c>
      <c r="Y115" s="76"/>
      <c r="Z115" s="78"/>
      <c r="AA115" s="76">
        <f>+(AA114+AA112*0.1)*1.3</f>
        <v>33.500999999999998</v>
      </c>
      <c r="AB115" s="78">
        <f t="shared" ref="AB115" si="501">+ROUND(AA115*$I115,0)</f>
        <v>1985939</v>
      </c>
      <c r="AC115" s="76">
        <f>+(AC114+AC112*0.1)*1.3</f>
        <v>53.118000000000002</v>
      </c>
      <c r="AD115" s="78">
        <f t="shared" ref="AD115" si="502">+ROUND(AC115*$I115,0)</f>
        <v>3148835</v>
      </c>
      <c r="AE115" s="76"/>
      <c r="AF115" s="78"/>
      <c r="AG115" s="76">
        <f>+(AG114+AG112*0.1)*1.3</f>
        <v>83.635500000000008</v>
      </c>
      <c r="AH115" s="78">
        <f t="shared" ref="AH115" si="503">+ROUND(AG115*$I115,0)</f>
        <v>4957912</v>
      </c>
      <c r="AI115" s="76"/>
      <c r="AJ115" s="78"/>
      <c r="AK115" s="76"/>
      <c r="AL115" s="78"/>
    </row>
    <row r="116" spans="1:38"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481"/>
        <v>41.51</v>
      </c>
      <c r="H116" s="69">
        <f>+VLOOKUP(C116,'PRECIOS IDU 2025'!$A$1:$E$3189,4,FALSE)</f>
        <v>167049</v>
      </c>
      <c r="I116" s="69">
        <f t="shared" si="482"/>
        <v>217164</v>
      </c>
      <c r="J116" s="69">
        <f t="shared" si="483"/>
        <v>9014478</v>
      </c>
      <c r="K116" s="9"/>
      <c r="L116" s="3"/>
      <c r="M116" s="76">
        <f>+M11*1*2*$S$3*0.7</f>
        <v>4.8384</v>
      </c>
      <c r="N116" s="78">
        <f t="shared" si="425"/>
        <v>1050726</v>
      </c>
      <c r="O116" s="76"/>
      <c r="P116" s="78"/>
      <c r="Q116" s="76"/>
      <c r="R116" s="78"/>
      <c r="S116" s="76"/>
      <c r="T116" s="78"/>
      <c r="U116" s="76"/>
      <c r="V116" s="78">
        <f t="shared" ref="V116" si="504">+ROUND(U116*$I116,0)</f>
        <v>0</v>
      </c>
      <c r="W116" s="76"/>
      <c r="X116" s="78">
        <f t="shared" ref="X116" si="505">+ROUND(W116*$I116,0)</f>
        <v>0</v>
      </c>
      <c r="Y116" s="76"/>
      <c r="Z116" s="78"/>
      <c r="AA116" s="76">
        <f>+AA11*1*2*$S$3*0.7</f>
        <v>7.2155999999999993</v>
      </c>
      <c r="AB116" s="78">
        <f t="shared" ref="AB116" si="506">+ROUND(AA116*$I116,0)</f>
        <v>1566969</v>
      </c>
      <c r="AC116" s="76">
        <f>+AC11*1*2*$S$3*0.7</f>
        <v>11.440799999999998</v>
      </c>
      <c r="AD116" s="78">
        <f t="shared" ref="AD116" si="507">+ROUND(AC116*$I116,0)</f>
        <v>2484530</v>
      </c>
      <c r="AE116" s="76"/>
      <c r="AF116" s="78"/>
      <c r="AG116" s="76">
        <f>+AG11*1*2*$S$3*0.7</f>
        <v>18.013799999999996</v>
      </c>
      <c r="AH116" s="78">
        <f t="shared" ref="AH116" si="508">+ROUND(AG116*$I116,0)</f>
        <v>3911949</v>
      </c>
      <c r="AI116" s="76"/>
      <c r="AJ116" s="78"/>
      <c r="AK116" s="76"/>
      <c r="AL116" s="78"/>
    </row>
    <row r="117" spans="1:38"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481"/>
        <v>17.79</v>
      </c>
      <c r="H117" s="69">
        <f>+VLOOKUP(C117,'PRECIOS IDU 2025'!$A$1:$E$3189,4,FALSE)</f>
        <v>162047</v>
      </c>
      <c r="I117" s="69">
        <f t="shared" si="482"/>
        <v>210661</v>
      </c>
      <c r="J117" s="69">
        <f t="shared" si="483"/>
        <v>3747659</v>
      </c>
      <c r="K117" s="9"/>
      <c r="L117" s="3"/>
      <c r="M117" s="76">
        <f>+M11*1*2*$S$3*0.3</f>
        <v>2.0735999999999999</v>
      </c>
      <c r="N117" s="78">
        <f t="shared" ref="N117:N132" si="509">+ROUND(M117*$I117,0)</f>
        <v>436827</v>
      </c>
      <c r="O117" s="76"/>
      <c r="P117" s="78"/>
      <c r="Q117" s="76"/>
      <c r="R117" s="78"/>
      <c r="S117" s="76"/>
      <c r="T117" s="78"/>
      <c r="U117" s="76"/>
      <c r="V117" s="78">
        <f t="shared" ref="V117" si="510">+ROUND(U117*$I117,0)</f>
        <v>0</v>
      </c>
      <c r="W117" s="76"/>
      <c r="X117" s="78">
        <f t="shared" ref="X117" si="511">+ROUND(W117*$I117,0)</f>
        <v>0</v>
      </c>
      <c r="Y117" s="76"/>
      <c r="Z117" s="78"/>
      <c r="AA117" s="76">
        <f>+AA11*1*2*$S$3*0.3</f>
        <v>3.0924</v>
      </c>
      <c r="AB117" s="78">
        <f t="shared" ref="AB117" si="512">+ROUND(AA117*$I117,0)</f>
        <v>651448</v>
      </c>
      <c r="AC117" s="76">
        <f>+AC11*1*2*$S$3*0.3</f>
        <v>4.9031999999999991</v>
      </c>
      <c r="AD117" s="78">
        <f t="shared" ref="AD117" si="513">+ROUND(AC117*$I117,0)</f>
        <v>1032913</v>
      </c>
      <c r="AE117" s="76"/>
      <c r="AF117" s="78"/>
      <c r="AG117" s="76">
        <f>+AG11*1*2*$S$3*0.3</f>
        <v>7.7201999999999993</v>
      </c>
      <c r="AH117" s="78">
        <f t="shared" ref="AH117" si="514">+ROUND(AG117*$I117,0)</f>
        <v>1626345</v>
      </c>
      <c r="AI117" s="76"/>
      <c r="AJ117" s="78"/>
      <c r="AK117" s="76"/>
      <c r="AL117" s="78"/>
    </row>
    <row r="118" spans="1:38"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481"/>
        <v>128.18</v>
      </c>
      <c r="H118" s="69">
        <f>+VLOOKUP(C118,'PRECIOS IDU 2025'!$A$1:$E$3189,4,FALSE)</f>
        <v>83828</v>
      </c>
      <c r="I118" s="69">
        <f t="shared" si="482"/>
        <v>108976</v>
      </c>
      <c r="J118" s="69">
        <f t="shared" si="483"/>
        <v>13968544</v>
      </c>
      <c r="K118" s="9"/>
      <c r="L118" s="3"/>
      <c r="M118" s="76">
        <f>+M13*$R$3</f>
        <v>16.105</v>
      </c>
      <c r="N118" s="78">
        <f t="shared" si="509"/>
        <v>1755058</v>
      </c>
      <c r="O118" s="76"/>
      <c r="P118" s="78"/>
      <c r="Q118" s="76"/>
      <c r="R118" s="78"/>
      <c r="S118" s="76"/>
      <c r="T118" s="78"/>
      <c r="U118" s="76"/>
      <c r="V118" s="78">
        <f t="shared" ref="V118" si="515">+ROUND(U118*$I118,0)</f>
        <v>0</v>
      </c>
      <c r="W118" s="76"/>
      <c r="X118" s="78">
        <f t="shared" ref="X118" si="516">+ROUND(W118*$I118,0)</f>
        <v>0</v>
      </c>
      <c r="Y118" s="76"/>
      <c r="Z118" s="78"/>
      <c r="AA118" s="76">
        <f>+AA13*$R$3</f>
        <v>36.147000000000006</v>
      </c>
      <c r="AB118" s="78">
        <f t="shared" ref="AB118" si="517">+ROUND(AA118*$I118,0)</f>
        <v>3939155</v>
      </c>
      <c r="AC118" s="76">
        <f>+AC13*$R$3</f>
        <v>32.524999999999999</v>
      </c>
      <c r="AD118" s="78">
        <f t="shared" ref="AD118" si="518">+ROUND(AC118*$I118,0)</f>
        <v>3544444</v>
      </c>
      <c r="AE118" s="76"/>
      <c r="AF118" s="78"/>
      <c r="AG118" s="76">
        <f>+AG13*$R$3</f>
        <v>43.405000000000001</v>
      </c>
      <c r="AH118" s="78">
        <f t="shared" ref="AH118" si="519">+ROUND(AG118*$I118,0)</f>
        <v>4730103</v>
      </c>
      <c r="AI118" s="76"/>
      <c r="AJ118" s="78"/>
      <c r="AK118" s="76"/>
      <c r="AL118" s="78"/>
    </row>
    <row r="119" spans="1:38"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481"/>
        <v>527.36</v>
      </c>
      <c r="H119" s="69">
        <f>+VLOOKUP(C119,'PRECIOS IDU 2025'!$A$1:$E$3189,4,FALSE)</f>
        <v>7346</v>
      </c>
      <c r="I119" s="69">
        <f t="shared" si="482"/>
        <v>9550</v>
      </c>
      <c r="J119" s="69">
        <f t="shared" si="483"/>
        <v>5036288</v>
      </c>
      <c r="K119" s="9"/>
      <c r="L119" s="3"/>
      <c r="M119" s="76">
        <f>1.334*M11*1*2</f>
        <v>61.47072</v>
      </c>
      <c r="N119" s="78">
        <f t="shared" si="509"/>
        <v>587045</v>
      </c>
      <c r="O119" s="76"/>
      <c r="P119" s="78"/>
      <c r="Q119" s="76"/>
      <c r="R119" s="78"/>
      <c r="S119" s="76"/>
      <c r="T119" s="78"/>
      <c r="U119" s="76"/>
      <c r="V119" s="78">
        <f t="shared" ref="V119" si="520">+ROUND(U119*$I119,0)</f>
        <v>0</v>
      </c>
      <c r="W119" s="76"/>
      <c r="X119" s="78">
        <f t="shared" ref="X119" si="521">+ROUND(W119*$I119,0)</f>
        <v>0</v>
      </c>
      <c r="Y119" s="76"/>
      <c r="Z119" s="78"/>
      <c r="AA119" s="76">
        <f>1.334*AA11*1*2</f>
        <v>91.672480000000007</v>
      </c>
      <c r="AB119" s="78">
        <f t="shared" ref="AB119" si="522">+ROUND(AA119*$I119,0)</f>
        <v>875472</v>
      </c>
      <c r="AC119" s="76">
        <f>1.334*AC11*1*2</f>
        <v>145.35264000000001</v>
      </c>
      <c r="AD119" s="78">
        <f t="shared" ref="AD119" si="523">+ROUND(AC119*$I119,0)</f>
        <v>1388118</v>
      </c>
      <c r="AE119" s="76"/>
      <c r="AF119" s="78"/>
      <c r="AG119" s="76">
        <f>1.334*AG11*1*2</f>
        <v>228.86104</v>
      </c>
      <c r="AH119" s="78">
        <f t="shared" ref="AH119" si="524">+ROUND(AG119*$I119,0)</f>
        <v>2185623</v>
      </c>
      <c r="AI119" s="76"/>
      <c r="AJ119" s="78"/>
      <c r="AK119" s="76"/>
      <c r="AL119" s="78"/>
    </row>
    <row r="120" spans="1:38"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481"/>
        <v>118.6</v>
      </c>
      <c r="H120" s="69">
        <f>+VLOOKUP(C120,'PRECIOS IDU 2025'!$A$1:$E$3189,4,FALSE)</f>
        <v>184030</v>
      </c>
      <c r="I120" s="69">
        <f t="shared" si="482"/>
        <v>239239</v>
      </c>
      <c r="J120" s="69">
        <f t="shared" si="483"/>
        <v>28373745</v>
      </c>
      <c r="K120" s="9"/>
      <c r="L120" s="3"/>
      <c r="M120" s="76">
        <f>+M11*1*2*$T$3</f>
        <v>13.824</v>
      </c>
      <c r="N120" s="78">
        <f t="shared" si="509"/>
        <v>3307240</v>
      </c>
      <c r="O120" s="76"/>
      <c r="P120" s="78"/>
      <c r="Q120" s="76"/>
      <c r="R120" s="78"/>
      <c r="S120" s="76"/>
      <c r="T120" s="78"/>
      <c r="U120" s="76"/>
      <c r="V120" s="78">
        <f t="shared" ref="V120" si="525">+ROUND(U120*$I120,0)</f>
        <v>0</v>
      </c>
      <c r="W120" s="76"/>
      <c r="X120" s="78">
        <f t="shared" ref="X120" si="526">+ROUND(W120*$I120,0)</f>
        <v>0</v>
      </c>
      <c r="Y120" s="76"/>
      <c r="Z120" s="78"/>
      <c r="AA120" s="76">
        <f>+AA11*1*2*$T$3</f>
        <v>20.616</v>
      </c>
      <c r="AB120" s="78">
        <f t="shared" ref="AB120" si="527">+ROUND(AA120*$I120,0)</f>
        <v>4932151</v>
      </c>
      <c r="AC120" s="76">
        <f>+AC11*1*2*$T$3</f>
        <v>32.687999999999995</v>
      </c>
      <c r="AD120" s="78">
        <f t="shared" ref="AD120" si="528">+ROUND(AC120*$I120,0)</f>
        <v>7820244</v>
      </c>
      <c r="AE120" s="76"/>
      <c r="AF120" s="78"/>
      <c r="AG120" s="76">
        <f>+AG11*1*2*$T$3</f>
        <v>51.467999999999996</v>
      </c>
      <c r="AH120" s="78">
        <f t="shared" ref="AH120" si="529">+ROUND(AG120*$I120,0)</f>
        <v>12313153</v>
      </c>
      <c r="AI120" s="76"/>
      <c r="AJ120" s="78"/>
      <c r="AK120" s="76"/>
      <c r="AL120" s="78"/>
    </row>
    <row r="121" spans="1:38"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481"/>
        <v>40</v>
      </c>
      <c r="H121" s="69">
        <f>+VLOOKUP(C121,'PRECIOS IDU 2025'!$A$1:$E$3189,4,FALSE)</f>
        <v>966133</v>
      </c>
      <c r="I121" s="69">
        <f t="shared" si="482"/>
        <v>1255973</v>
      </c>
      <c r="J121" s="69">
        <f t="shared" si="483"/>
        <v>50238920</v>
      </c>
      <c r="K121" s="9"/>
      <c r="L121" s="3"/>
      <c r="M121" s="76">
        <f>+ROUND(M11*2/5*0.5,0)</f>
        <v>5</v>
      </c>
      <c r="N121" s="78">
        <f t="shared" si="509"/>
        <v>6279865</v>
      </c>
      <c r="O121" s="76"/>
      <c r="P121" s="78"/>
      <c r="Q121" s="76"/>
      <c r="R121" s="78"/>
      <c r="S121" s="76"/>
      <c r="T121" s="78"/>
      <c r="U121" s="76"/>
      <c r="V121" s="78">
        <f t="shared" ref="V121" si="530">+ROUND(U121*$I121,0)</f>
        <v>0</v>
      </c>
      <c r="W121" s="76"/>
      <c r="X121" s="78">
        <f t="shared" ref="X121" si="531">+ROUND(W121*$I121,0)</f>
        <v>0</v>
      </c>
      <c r="Y121" s="76"/>
      <c r="Z121" s="78"/>
      <c r="AA121" s="76">
        <f>+ROUND(AA11*2/5*0.5,0)</f>
        <v>7</v>
      </c>
      <c r="AB121" s="78">
        <f t="shared" ref="AB121" si="532">+ROUND(AA121*$I121,0)</f>
        <v>8791811</v>
      </c>
      <c r="AC121" s="76">
        <f>+ROUND(AC11*2/5*0.5,0)</f>
        <v>11</v>
      </c>
      <c r="AD121" s="78">
        <f t="shared" ref="AD121" si="533">+ROUND(AC121*$I121,0)</f>
        <v>13815703</v>
      </c>
      <c r="AE121" s="76"/>
      <c r="AF121" s="78"/>
      <c r="AG121" s="76">
        <f>+ROUND(AG11*2/5*0.5,0)</f>
        <v>17</v>
      </c>
      <c r="AH121" s="78">
        <f t="shared" ref="AH121" si="534">+ROUND(AG121*$I121,0)</f>
        <v>21351541</v>
      </c>
      <c r="AI121" s="76"/>
      <c r="AJ121" s="78"/>
      <c r="AK121" s="76"/>
      <c r="AL121" s="78"/>
    </row>
    <row r="122" spans="1:38"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481"/>
        <v>276.72000000000003</v>
      </c>
      <c r="H122" s="69">
        <f>+VLOOKUP(C122,'PRECIOS IDU 2025'!$A$1:$E$3189,4,FALSE)</f>
        <v>62386</v>
      </c>
      <c r="I122" s="69">
        <f t="shared" si="482"/>
        <v>81102</v>
      </c>
      <c r="J122" s="69">
        <f t="shared" si="483"/>
        <v>22442545</v>
      </c>
      <c r="K122" s="9"/>
      <c r="L122" s="3"/>
      <c r="M122" s="76">
        <f>+(M11*2-M156)*0.7</f>
        <v>32.256</v>
      </c>
      <c r="N122" s="78">
        <f t="shared" si="509"/>
        <v>2616026</v>
      </c>
      <c r="O122" s="76"/>
      <c r="P122" s="78"/>
      <c r="Q122" s="76"/>
      <c r="R122" s="78"/>
      <c r="S122" s="76"/>
      <c r="T122" s="78"/>
      <c r="U122" s="76"/>
      <c r="V122" s="78">
        <f t="shared" ref="V122" si="535">+ROUND(U122*$I122,0)</f>
        <v>0</v>
      </c>
      <c r="W122" s="76"/>
      <c r="X122" s="78">
        <f t="shared" ref="X122" si="536">+ROUND(W122*$I122,0)</f>
        <v>0</v>
      </c>
      <c r="Y122" s="76"/>
      <c r="Z122" s="78"/>
      <c r="AA122" s="76">
        <f>+(AA11*2-AA156)*0.7</f>
        <v>48.103999999999999</v>
      </c>
      <c r="AB122" s="78">
        <f t="shared" ref="AB122" si="537">+ROUND(AA122*$I122,0)</f>
        <v>3901331</v>
      </c>
      <c r="AC122" s="76">
        <f>+(AC11*2-AC156)*0.7</f>
        <v>76.271999999999991</v>
      </c>
      <c r="AD122" s="78">
        <f t="shared" ref="AD122" si="538">+ROUND(AC122*$I122,0)</f>
        <v>6185812</v>
      </c>
      <c r="AE122" s="76"/>
      <c r="AF122" s="78"/>
      <c r="AG122" s="76">
        <f>+(AG11*2-AG156)*0.7</f>
        <v>120.092</v>
      </c>
      <c r="AH122" s="78">
        <f t="shared" ref="AH122" si="539">+ROUND(AG122*$I122,0)</f>
        <v>9739701</v>
      </c>
      <c r="AI122" s="76"/>
      <c r="AJ122" s="78"/>
      <c r="AK122" s="76"/>
      <c r="AL122" s="78"/>
    </row>
    <row r="123" spans="1:38"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481"/>
        <v>79.06</v>
      </c>
      <c r="H123" s="69">
        <f>+VLOOKUP(C123,'PRECIOS IDU 2025'!$A$1:$E$3189,4,FALSE)</f>
        <v>82015</v>
      </c>
      <c r="I123" s="69">
        <f t="shared" si="482"/>
        <v>106620</v>
      </c>
      <c r="J123" s="69">
        <f t="shared" si="483"/>
        <v>8429377</v>
      </c>
      <c r="K123" s="9"/>
      <c r="L123" s="3"/>
      <c r="M123" s="76">
        <f>+(M11*2-M156)*0.2</f>
        <v>9.2159999999999993</v>
      </c>
      <c r="N123" s="78">
        <f t="shared" si="509"/>
        <v>982610</v>
      </c>
      <c r="O123" s="76"/>
      <c r="P123" s="78"/>
      <c r="Q123" s="76"/>
      <c r="R123" s="78"/>
      <c r="S123" s="76"/>
      <c r="T123" s="78"/>
      <c r="U123" s="76"/>
      <c r="V123" s="78">
        <f t="shared" ref="V123" si="540">+ROUND(U123*$I123,0)</f>
        <v>0</v>
      </c>
      <c r="W123" s="76"/>
      <c r="X123" s="78">
        <f t="shared" ref="X123" si="541">+ROUND(W123*$I123,0)</f>
        <v>0</v>
      </c>
      <c r="Y123" s="76"/>
      <c r="Z123" s="78"/>
      <c r="AA123" s="76">
        <f>+(AA11*2-AA156)*0.2</f>
        <v>13.744</v>
      </c>
      <c r="AB123" s="78">
        <f t="shared" ref="AB123" si="542">+ROUND(AA123*$I123,0)</f>
        <v>1465385</v>
      </c>
      <c r="AC123" s="76">
        <f>+(AC11*2-AC156)*0.2</f>
        <v>21.792000000000002</v>
      </c>
      <c r="AD123" s="78">
        <f t="shared" ref="AD123" si="543">+ROUND(AC123*$I123,0)</f>
        <v>2323463</v>
      </c>
      <c r="AE123" s="76"/>
      <c r="AF123" s="78"/>
      <c r="AG123" s="76">
        <f>+(AG11*2-AG156)*0.2</f>
        <v>34.312000000000005</v>
      </c>
      <c r="AH123" s="78">
        <f t="shared" ref="AH123" si="544">+ROUND(AG123*$I123,0)</f>
        <v>3658345</v>
      </c>
      <c r="AI123" s="76"/>
      <c r="AJ123" s="78"/>
      <c r="AK123" s="76"/>
      <c r="AL123" s="78"/>
    </row>
    <row r="124" spans="1:38"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481"/>
        <v>39.53</v>
      </c>
      <c r="H124" s="69">
        <f>+VLOOKUP(C124,'PRECIOS IDU 2025'!$A$1:$E$3189,4,FALSE)</f>
        <v>69041</v>
      </c>
      <c r="I124" s="69">
        <f t="shared" si="482"/>
        <v>89753</v>
      </c>
      <c r="J124" s="69">
        <f t="shared" si="483"/>
        <v>3547936</v>
      </c>
      <c r="K124" s="9"/>
      <c r="L124" s="3"/>
      <c r="M124" s="76">
        <f>+(M11*2-M156)*0.1</f>
        <v>4.6079999999999997</v>
      </c>
      <c r="N124" s="78">
        <f t="shared" si="509"/>
        <v>413582</v>
      </c>
      <c r="O124" s="76"/>
      <c r="P124" s="78"/>
      <c r="Q124" s="76"/>
      <c r="R124" s="78"/>
      <c r="S124" s="76"/>
      <c r="T124" s="78"/>
      <c r="U124" s="76"/>
      <c r="V124" s="78">
        <f t="shared" ref="V124" si="545">+ROUND(U124*$I124,0)</f>
        <v>0</v>
      </c>
      <c r="W124" s="76"/>
      <c r="X124" s="78">
        <f t="shared" ref="X124" si="546">+ROUND(W124*$I124,0)</f>
        <v>0</v>
      </c>
      <c r="Y124" s="76"/>
      <c r="Z124" s="78"/>
      <c r="AA124" s="76">
        <f>+(AA11*2-AA156)*0.1</f>
        <v>6.8719999999999999</v>
      </c>
      <c r="AB124" s="78">
        <f t="shared" ref="AB124" si="547">+ROUND(AA124*$I124,0)</f>
        <v>616783</v>
      </c>
      <c r="AC124" s="76">
        <f>+(AC11*2-AC156)*0.1</f>
        <v>10.896000000000001</v>
      </c>
      <c r="AD124" s="78">
        <f t="shared" ref="AD124" si="548">+ROUND(AC124*$I124,0)</f>
        <v>977949</v>
      </c>
      <c r="AE124" s="76"/>
      <c r="AF124" s="78"/>
      <c r="AG124" s="76">
        <f>+(AG11*2-AG156)*0.1</f>
        <v>17.156000000000002</v>
      </c>
      <c r="AH124" s="78">
        <f t="shared" ref="AH124" si="549">+ROUND(AG124*$I124,0)</f>
        <v>1539802</v>
      </c>
      <c r="AI124" s="76"/>
      <c r="AJ124" s="78"/>
      <c r="AK124" s="76"/>
      <c r="AL124" s="78"/>
    </row>
    <row r="125" spans="1:38"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481"/>
        <v>395.32</v>
      </c>
      <c r="H125" s="69">
        <f>+VLOOKUP(C125,'PRECIOS IDU 2025'!$A$1:$E$3189,4,FALSE)</f>
        <v>2560</v>
      </c>
      <c r="I125" s="69">
        <f t="shared" si="482"/>
        <v>3328</v>
      </c>
      <c r="J125" s="69">
        <f t="shared" si="483"/>
        <v>1315625</v>
      </c>
      <c r="K125" s="9"/>
      <c r="L125" s="3"/>
      <c r="M125" s="76">
        <f>+M11*1*2</f>
        <v>46.08</v>
      </c>
      <c r="N125" s="78">
        <f t="shared" si="509"/>
        <v>153354</v>
      </c>
      <c r="O125" s="76"/>
      <c r="P125" s="78"/>
      <c r="Q125" s="76"/>
      <c r="R125" s="78"/>
      <c r="S125" s="76"/>
      <c r="T125" s="78"/>
      <c r="U125" s="76"/>
      <c r="V125" s="78">
        <f t="shared" ref="V125" si="550">+ROUND(U125*$I125,0)</f>
        <v>0</v>
      </c>
      <c r="W125" s="76"/>
      <c r="X125" s="78">
        <f t="shared" ref="X125" si="551">+ROUND(W125*$I125,0)</f>
        <v>0</v>
      </c>
      <c r="Y125" s="76"/>
      <c r="Z125" s="78"/>
      <c r="AA125" s="76">
        <f>+AA11*1*2</f>
        <v>68.72</v>
      </c>
      <c r="AB125" s="78">
        <f t="shared" ref="AB125" si="552">+ROUND(AA125*$I125,0)</f>
        <v>228700</v>
      </c>
      <c r="AC125" s="76">
        <f>+AC11*1*2</f>
        <v>108.96</v>
      </c>
      <c r="AD125" s="78">
        <f t="shared" ref="AD125" si="553">+ROUND(AC125*$I125,0)</f>
        <v>362619</v>
      </c>
      <c r="AE125" s="76"/>
      <c r="AF125" s="78"/>
      <c r="AG125" s="76">
        <f>+AG11*1*2</f>
        <v>171.56</v>
      </c>
      <c r="AH125" s="78">
        <f t="shared" ref="AH125" si="554">+ROUND(AG125*$I125,0)</f>
        <v>570952</v>
      </c>
      <c r="AI125" s="76"/>
      <c r="AJ125" s="78"/>
      <c r="AK125" s="76"/>
      <c r="AL125" s="78"/>
    </row>
    <row r="126" spans="1:38"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481"/>
        <v>80</v>
      </c>
      <c r="H126" s="69">
        <f>+VLOOKUP(C126,'PRECIOS IDU 2025'!$A$1:$E$3189,4,FALSE)</f>
        <v>738210</v>
      </c>
      <c r="I126" s="69">
        <f t="shared" si="482"/>
        <v>959673</v>
      </c>
      <c r="J126" s="69">
        <f t="shared" si="483"/>
        <v>76773840</v>
      </c>
      <c r="K126" s="9"/>
      <c r="L126" s="3"/>
      <c r="M126" s="76">
        <f>+M121*2</f>
        <v>10</v>
      </c>
      <c r="N126" s="78">
        <f t="shared" si="509"/>
        <v>9596730</v>
      </c>
      <c r="O126" s="76"/>
      <c r="P126" s="78"/>
      <c r="Q126" s="76"/>
      <c r="R126" s="78"/>
      <c r="S126" s="76"/>
      <c r="T126" s="78"/>
      <c r="U126" s="76"/>
      <c r="V126" s="78">
        <f t="shared" ref="V126" si="555">+ROUND(U126*$I126,0)</f>
        <v>0</v>
      </c>
      <c r="W126" s="76"/>
      <c r="X126" s="78">
        <f t="shared" ref="X126" si="556">+ROUND(W126*$I126,0)</f>
        <v>0</v>
      </c>
      <c r="Y126" s="76"/>
      <c r="Z126" s="78"/>
      <c r="AA126" s="76">
        <f>+AA121*2</f>
        <v>14</v>
      </c>
      <c r="AB126" s="78">
        <f t="shared" ref="AB126" si="557">+ROUND(AA126*$I126,0)</f>
        <v>13435422</v>
      </c>
      <c r="AC126" s="76">
        <f>+AC121*2</f>
        <v>22</v>
      </c>
      <c r="AD126" s="78">
        <f t="shared" ref="AD126" si="558">+ROUND(AC126*$I126,0)</f>
        <v>21112806</v>
      </c>
      <c r="AE126" s="76"/>
      <c r="AF126" s="78"/>
      <c r="AG126" s="76">
        <f>+AG121*2</f>
        <v>34</v>
      </c>
      <c r="AH126" s="78">
        <f t="shared" ref="AH126" si="559">+ROUND(AG126*$I126,0)</f>
        <v>32628882</v>
      </c>
      <c r="AI126" s="76"/>
      <c r="AJ126" s="78"/>
      <c r="AK126" s="76"/>
      <c r="AL126" s="78"/>
    </row>
    <row r="127" spans="1:38"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481"/>
        <v>200</v>
      </c>
      <c r="H127" s="69">
        <f>+VLOOKUP(C127,'PRECIOS IDU 2025'!$A$1:$E$3189,4,FALSE)</f>
        <v>63798</v>
      </c>
      <c r="I127" s="69">
        <f t="shared" si="482"/>
        <v>82937</v>
      </c>
      <c r="J127" s="69">
        <f t="shared" si="483"/>
        <v>16587400</v>
      </c>
      <c r="K127" s="9"/>
      <c r="L127" s="3"/>
      <c r="M127" s="76">
        <f>+M121*5</f>
        <v>25</v>
      </c>
      <c r="N127" s="78">
        <f t="shared" si="509"/>
        <v>2073425</v>
      </c>
      <c r="O127" s="76"/>
      <c r="P127" s="78"/>
      <c r="Q127" s="76"/>
      <c r="R127" s="78"/>
      <c r="S127" s="76"/>
      <c r="T127" s="78"/>
      <c r="U127" s="76"/>
      <c r="V127" s="78">
        <f t="shared" ref="V127" si="560">+ROUND(U127*$I127,0)</f>
        <v>0</v>
      </c>
      <c r="W127" s="76"/>
      <c r="X127" s="78">
        <f t="shared" ref="X127" si="561">+ROUND(W127*$I127,0)</f>
        <v>0</v>
      </c>
      <c r="Y127" s="76"/>
      <c r="Z127" s="78"/>
      <c r="AA127" s="76">
        <f>+AA121*5</f>
        <v>35</v>
      </c>
      <c r="AB127" s="78">
        <f t="shared" ref="AB127" si="562">+ROUND(AA127*$I127,0)</f>
        <v>2902795</v>
      </c>
      <c r="AC127" s="76">
        <f>+AC121*5</f>
        <v>55</v>
      </c>
      <c r="AD127" s="78">
        <f t="shared" ref="AD127" si="563">+ROUND(AC127*$I127,0)</f>
        <v>4561535</v>
      </c>
      <c r="AE127" s="76"/>
      <c r="AF127" s="78"/>
      <c r="AG127" s="76">
        <f>+AG121*5</f>
        <v>85</v>
      </c>
      <c r="AH127" s="78">
        <f t="shared" ref="AH127" si="564">+ROUND(AG127*$I127,0)</f>
        <v>7049645</v>
      </c>
      <c r="AI127" s="76"/>
      <c r="AJ127" s="78"/>
      <c r="AK127" s="76"/>
      <c r="AL127" s="78"/>
    </row>
    <row r="128" spans="1:38"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481"/>
        <v>79.06</v>
      </c>
      <c r="H128" s="69">
        <f>+VLOOKUP(C128,'PRECIOS IDU 2025'!$A$1:$E$3189,4,FALSE)</f>
        <v>112423</v>
      </c>
      <c r="I128" s="69">
        <f t="shared" si="482"/>
        <v>146150</v>
      </c>
      <c r="J128" s="69">
        <f t="shared" si="483"/>
        <v>11554619</v>
      </c>
      <c r="K128" s="9"/>
      <c r="L128" s="3"/>
      <c r="M128" s="76">
        <f>0.2*M11*2</f>
        <v>9.2159999999999993</v>
      </c>
      <c r="N128" s="78">
        <f t="shared" si="509"/>
        <v>1346918</v>
      </c>
      <c r="O128" s="76"/>
      <c r="P128" s="78"/>
      <c r="Q128" s="76"/>
      <c r="R128" s="78"/>
      <c r="S128" s="76"/>
      <c r="T128" s="78"/>
      <c r="U128" s="76"/>
      <c r="V128" s="78">
        <f t="shared" ref="V128" si="565">+ROUND(U128*$I128,0)</f>
        <v>0</v>
      </c>
      <c r="W128" s="76"/>
      <c r="X128" s="78">
        <f t="shared" ref="X128" si="566">+ROUND(W128*$I128,0)</f>
        <v>0</v>
      </c>
      <c r="Y128" s="76"/>
      <c r="Z128" s="78"/>
      <c r="AA128" s="76">
        <f>0.2*AA11*2</f>
        <v>13.744</v>
      </c>
      <c r="AB128" s="78">
        <f t="shared" ref="AB128" si="567">+ROUND(AA128*$I128,0)</f>
        <v>2008686</v>
      </c>
      <c r="AC128" s="76">
        <f>0.2*AC11*2</f>
        <v>21.792000000000002</v>
      </c>
      <c r="AD128" s="78">
        <f t="shared" ref="AD128" si="568">+ROUND(AC128*$I128,0)</f>
        <v>3184901</v>
      </c>
      <c r="AE128" s="76"/>
      <c r="AF128" s="78"/>
      <c r="AG128" s="76">
        <f>0.2*AG11*2</f>
        <v>34.312000000000005</v>
      </c>
      <c r="AH128" s="78">
        <f t="shared" ref="AH128" si="569">+ROUND(AG128*$I128,0)</f>
        <v>5014699</v>
      </c>
      <c r="AI128" s="76"/>
      <c r="AJ128" s="78"/>
      <c r="AK128" s="76"/>
      <c r="AL128" s="78"/>
    </row>
    <row r="129" spans="1:38" ht="30" customHeight="1" x14ac:dyDescent="0.3">
      <c r="A129" s="3"/>
      <c r="B129" s="8"/>
      <c r="C129" s="66" t="s">
        <v>6081</v>
      </c>
      <c r="D129" s="67"/>
      <c r="E129" s="67"/>
      <c r="F129" s="67"/>
      <c r="G129" s="67"/>
      <c r="H129" s="67"/>
      <c r="I129" s="67"/>
      <c r="J129" s="68"/>
      <c r="K129" s="9"/>
      <c r="L129" s="3"/>
      <c r="M129" s="76"/>
      <c r="N129" s="78">
        <f t="shared" si="509"/>
        <v>0</v>
      </c>
      <c r="O129" s="76"/>
      <c r="P129" s="78"/>
      <c r="Q129" s="76"/>
      <c r="R129" s="78"/>
      <c r="S129" s="76"/>
      <c r="T129" s="78"/>
      <c r="U129" s="76"/>
      <c r="V129" s="78">
        <f t="shared" ref="V129" si="570">+ROUND(U129*$I129,0)</f>
        <v>0</v>
      </c>
      <c r="W129" s="76"/>
      <c r="X129" s="78">
        <f t="shared" ref="X129" si="571">+ROUND(W129*$I129,0)</f>
        <v>0</v>
      </c>
      <c r="Y129" s="76"/>
      <c r="Z129" s="78"/>
      <c r="AA129" s="76"/>
      <c r="AB129" s="78">
        <f t="shared" ref="AB129" si="572">+ROUND(AA129*$I129,0)</f>
        <v>0</v>
      </c>
      <c r="AC129" s="76"/>
      <c r="AD129" s="78">
        <f t="shared" ref="AD129" si="573">+ROUND(AC129*$I129,0)</f>
        <v>0</v>
      </c>
      <c r="AE129" s="76"/>
      <c r="AF129" s="78"/>
      <c r="AG129" s="76"/>
      <c r="AH129" s="78">
        <f t="shared" ref="AH129" si="574">+ROUND(AG129*$I129,0)</f>
        <v>0</v>
      </c>
      <c r="AI129" s="76"/>
      <c r="AJ129" s="78"/>
      <c r="AK129" s="76"/>
      <c r="AL129" s="78"/>
    </row>
    <row r="130" spans="1:38"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575">+ROUND(M130+O130+Q130+S130+U130+W130+Y130+AA130+AC130+AE130+AG130+AI130+AK130,2)</f>
        <v>0</v>
      </c>
      <c r="H130" s="69">
        <f>+VLOOKUP(C130,'PRECIOS IDU 2025'!$A$1:$E$3189,4,FALSE)</f>
        <v>46379</v>
      </c>
      <c r="I130" s="69">
        <f t="shared" ref="I130:I163" si="576">+ROUND(H130*(1+$J$192),0)</f>
        <v>60293</v>
      </c>
      <c r="J130" s="69">
        <f t="shared" ref="J130:J163" si="577">+ROUND(I130*G130,0)</f>
        <v>0</v>
      </c>
      <c r="K130" s="9"/>
      <c r="L130" s="3"/>
      <c r="M130" s="76"/>
      <c r="N130" s="78">
        <f t="shared" si="509"/>
        <v>0</v>
      </c>
      <c r="O130" s="76"/>
      <c r="P130" s="78"/>
      <c r="Q130" s="76"/>
      <c r="R130" s="78"/>
      <c r="S130" s="76"/>
      <c r="T130" s="78"/>
      <c r="U130" s="76"/>
      <c r="V130" s="78">
        <f t="shared" ref="V130" si="578">+ROUND(U130*$I130,0)</f>
        <v>0</v>
      </c>
      <c r="W130" s="76"/>
      <c r="X130" s="78">
        <f t="shared" ref="X130" si="579">+ROUND(W130*$I130,0)</f>
        <v>0</v>
      </c>
      <c r="Y130" s="76"/>
      <c r="Z130" s="78"/>
      <c r="AA130" s="76"/>
      <c r="AB130" s="78">
        <f t="shared" ref="AB130" si="580">+ROUND(AA130*$I130,0)</f>
        <v>0</v>
      </c>
      <c r="AC130" s="76"/>
      <c r="AD130" s="78">
        <f t="shared" ref="AD130" si="581">+ROUND(AC130*$I130,0)</f>
        <v>0</v>
      </c>
      <c r="AE130" s="76"/>
      <c r="AF130" s="78"/>
      <c r="AG130" s="76"/>
      <c r="AH130" s="78">
        <f t="shared" ref="AH130" si="582">+ROUND(AG130*$I130,0)</f>
        <v>0</v>
      </c>
      <c r="AI130" s="76"/>
      <c r="AJ130" s="78"/>
      <c r="AK130" s="76"/>
      <c r="AL130" s="78"/>
    </row>
    <row r="131" spans="1:38"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575"/>
        <v>0</v>
      </c>
      <c r="H131" s="69">
        <f>+VLOOKUP(C131,'PRECIOS IDU 2025'!$A$1:$E$3189,4,FALSE)</f>
        <v>268852</v>
      </c>
      <c r="I131" s="69">
        <f t="shared" si="576"/>
        <v>349508</v>
      </c>
      <c r="J131" s="69">
        <f t="shared" si="577"/>
        <v>0</v>
      </c>
      <c r="K131" s="9"/>
      <c r="L131" s="3"/>
      <c r="M131" s="76"/>
      <c r="N131" s="78">
        <f t="shared" si="509"/>
        <v>0</v>
      </c>
      <c r="O131" s="76"/>
      <c r="P131" s="78"/>
      <c r="Q131" s="76"/>
      <c r="R131" s="78"/>
      <c r="S131" s="76"/>
      <c r="T131" s="78"/>
      <c r="U131" s="76"/>
      <c r="V131" s="78">
        <f t="shared" ref="V131" si="583">+ROUND(U131*$I131,0)</f>
        <v>0</v>
      </c>
      <c r="W131" s="76"/>
      <c r="X131" s="78">
        <f t="shared" ref="X131" si="584">+ROUND(W131*$I131,0)</f>
        <v>0</v>
      </c>
      <c r="Y131" s="76"/>
      <c r="Z131" s="78"/>
      <c r="AA131" s="76"/>
      <c r="AB131" s="78">
        <f t="shared" ref="AB131" si="585">+ROUND(AA131*$I131,0)</f>
        <v>0</v>
      </c>
      <c r="AC131" s="76"/>
      <c r="AD131" s="78">
        <f t="shared" ref="AD131" si="586">+ROUND(AC131*$I131,0)</f>
        <v>0</v>
      </c>
      <c r="AE131" s="76"/>
      <c r="AF131" s="78"/>
      <c r="AG131" s="76"/>
      <c r="AH131" s="78">
        <f t="shared" ref="AH131" si="587">+ROUND(AG131*$I131,0)</f>
        <v>0</v>
      </c>
      <c r="AI131" s="76"/>
      <c r="AJ131" s="78"/>
      <c r="AK131" s="76"/>
      <c r="AL131" s="78"/>
    </row>
    <row r="132" spans="1:38"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575"/>
        <v>0</v>
      </c>
      <c r="H132" s="69">
        <f>+VLOOKUP(C132,'PRECIOS IDU 2025'!$A$1:$E$3189,4,FALSE)</f>
        <v>10836</v>
      </c>
      <c r="I132" s="69">
        <f t="shared" si="576"/>
        <v>14087</v>
      </c>
      <c r="J132" s="69">
        <f t="shared" si="577"/>
        <v>0</v>
      </c>
      <c r="K132" s="9"/>
      <c r="L132" s="3"/>
      <c r="M132" s="76"/>
      <c r="N132" s="78">
        <f t="shared" si="509"/>
        <v>0</v>
      </c>
      <c r="O132" s="76"/>
      <c r="P132" s="78"/>
      <c r="Q132" s="76"/>
      <c r="R132" s="78"/>
      <c r="S132" s="76"/>
      <c r="T132" s="78"/>
      <c r="U132" s="76"/>
      <c r="V132" s="78">
        <f t="shared" ref="V132" si="588">+ROUND(U132*$I132,0)</f>
        <v>0</v>
      </c>
      <c r="W132" s="76"/>
      <c r="X132" s="78">
        <f t="shared" ref="X132" si="589">+ROUND(W132*$I132,0)</f>
        <v>0</v>
      </c>
      <c r="Y132" s="76"/>
      <c r="Z132" s="78"/>
      <c r="AA132" s="76"/>
      <c r="AB132" s="78">
        <f t="shared" ref="AB132" si="590">+ROUND(AA132*$I132,0)</f>
        <v>0</v>
      </c>
      <c r="AC132" s="76"/>
      <c r="AD132" s="78">
        <f t="shared" ref="AD132" si="591">+ROUND(AC132*$I132,0)</f>
        <v>0</v>
      </c>
      <c r="AE132" s="76"/>
      <c r="AF132" s="78"/>
      <c r="AG132" s="76"/>
      <c r="AH132" s="78">
        <f t="shared" ref="AH132" si="592">+ROUND(AG132*$I132,0)</f>
        <v>0</v>
      </c>
      <c r="AI132" s="76"/>
      <c r="AJ132" s="78"/>
      <c r="AK132" s="76"/>
      <c r="AL132" s="78"/>
    </row>
    <row r="133" spans="1:38"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575"/>
        <v>0</v>
      </c>
      <c r="H133" s="69">
        <f>+VLOOKUP(C133,'PRECIOS IDU 2025'!$A$1:$E$3189,4,FALSE)</f>
        <v>189054</v>
      </c>
      <c r="I133" s="69">
        <f t="shared" si="576"/>
        <v>245770</v>
      </c>
      <c r="J133" s="69">
        <f t="shared" si="577"/>
        <v>0</v>
      </c>
      <c r="K133" s="9"/>
      <c r="L133" s="3"/>
      <c r="M133" s="76"/>
      <c r="N133" s="78">
        <f t="shared" ref="N133:N148" si="593">+ROUND(M133*$I133,0)</f>
        <v>0</v>
      </c>
      <c r="O133" s="76"/>
      <c r="P133" s="78"/>
      <c r="Q133" s="76"/>
      <c r="R133" s="78"/>
      <c r="S133" s="76"/>
      <c r="T133" s="78"/>
      <c r="U133" s="76"/>
      <c r="V133" s="78">
        <f t="shared" ref="V133" si="594">+ROUND(U133*$I133,0)</f>
        <v>0</v>
      </c>
      <c r="W133" s="76"/>
      <c r="X133" s="78">
        <f t="shared" ref="X133" si="595">+ROUND(W133*$I133,0)</f>
        <v>0</v>
      </c>
      <c r="Y133" s="76"/>
      <c r="Z133" s="78"/>
      <c r="AA133" s="76"/>
      <c r="AB133" s="78">
        <f t="shared" ref="AB133" si="596">+ROUND(AA133*$I133,0)</f>
        <v>0</v>
      </c>
      <c r="AC133" s="76"/>
      <c r="AD133" s="78">
        <f t="shared" ref="AD133" si="597">+ROUND(AC133*$I133,0)</f>
        <v>0</v>
      </c>
      <c r="AE133" s="76"/>
      <c r="AF133" s="78"/>
      <c r="AG133" s="76"/>
      <c r="AH133" s="78">
        <f t="shared" ref="AH133" si="598">+ROUND(AG133*$I133,0)</f>
        <v>0</v>
      </c>
      <c r="AI133" s="76"/>
      <c r="AJ133" s="78"/>
      <c r="AK133" s="76"/>
      <c r="AL133" s="78"/>
    </row>
    <row r="134" spans="1:38"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575"/>
        <v>0</v>
      </c>
      <c r="H134" s="69">
        <f>+VLOOKUP(C134,'PRECIOS IDU 2025'!$A$1:$E$3189,4,FALSE)</f>
        <v>45600</v>
      </c>
      <c r="I134" s="69">
        <f t="shared" si="576"/>
        <v>59280</v>
      </c>
      <c r="J134" s="69">
        <f t="shared" si="577"/>
        <v>0</v>
      </c>
      <c r="K134" s="9"/>
      <c r="L134" s="3"/>
      <c r="M134" s="76"/>
      <c r="N134" s="78">
        <f t="shared" si="593"/>
        <v>0</v>
      </c>
      <c r="O134" s="76"/>
      <c r="P134" s="78"/>
      <c r="Q134" s="76"/>
      <c r="R134" s="78"/>
      <c r="S134" s="76"/>
      <c r="T134" s="78"/>
      <c r="U134" s="76"/>
      <c r="V134" s="78">
        <f t="shared" ref="V134" si="599">+ROUND(U134*$I134,0)</f>
        <v>0</v>
      </c>
      <c r="W134" s="76"/>
      <c r="X134" s="78">
        <f t="shared" ref="X134" si="600">+ROUND(W134*$I134,0)</f>
        <v>0</v>
      </c>
      <c r="Y134" s="76"/>
      <c r="Z134" s="78"/>
      <c r="AA134" s="76"/>
      <c r="AB134" s="78">
        <f t="shared" ref="AB134" si="601">+ROUND(AA134*$I134,0)</f>
        <v>0</v>
      </c>
      <c r="AC134" s="76"/>
      <c r="AD134" s="78">
        <f t="shared" ref="AD134" si="602">+ROUND(AC134*$I134,0)</f>
        <v>0</v>
      </c>
      <c r="AE134" s="76"/>
      <c r="AF134" s="78"/>
      <c r="AG134" s="76"/>
      <c r="AH134" s="78">
        <f t="shared" ref="AH134" si="603">+ROUND(AG134*$I134,0)</f>
        <v>0</v>
      </c>
      <c r="AI134" s="76"/>
      <c r="AJ134" s="78"/>
      <c r="AK134" s="76"/>
      <c r="AL134" s="78"/>
    </row>
    <row r="135" spans="1:38"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575"/>
        <v>0</v>
      </c>
      <c r="H135" s="69">
        <f>+VLOOKUP(C135,'PRECIOS IDU 2025'!$A$1:$E$3189,4,FALSE)</f>
        <v>58200</v>
      </c>
      <c r="I135" s="69">
        <f t="shared" si="576"/>
        <v>75660</v>
      </c>
      <c r="J135" s="69">
        <f t="shared" si="577"/>
        <v>0</v>
      </c>
      <c r="K135" s="9"/>
      <c r="L135" s="3"/>
      <c r="M135" s="76"/>
      <c r="N135" s="78">
        <f t="shared" si="593"/>
        <v>0</v>
      </c>
      <c r="O135" s="76"/>
      <c r="P135" s="78"/>
      <c r="Q135" s="76"/>
      <c r="R135" s="78"/>
      <c r="S135" s="76"/>
      <c r="T135" s="78"/>
      <c r="U135" s="76"/>
      <c r="V135" s="78">
        <f t="shared" ref="V135" si="604">+ROUND(U135*$I135,0)</f>
        <v>0</v>
      </c>
      <c r="W135" s="76"/>
      <c r="X135" s="78">
        <f t="shared" ref="X135" si="605">+ROUND(W135*$I135,0)</f>
        <v>0</v>
      </c>
      <c r="Y135" s="76"/>
      <c r="Z135" s="78"/>
      <c r="AA135" s="76"/>
      <c r="AB135" s="78">
        <f t="shared" ref="AB135" si="606">+ROUND(AA135*$I135,0)</f>
        <v>0</v>
      </c>
      <c r="AC135" s="76"/>
      <c r="AD135" s="78">
        <f t="shared" ref="AD135" si="607">+ROUND(AC135*$I135,0)</f>
        <v>0</v>
      </c>
      <c r="AE135" s="76"/>
      <c r="AF135" s="78"/>
      <c r="AG135" s="76"/>
      <c r="AH135" s="78">
        <f t="shared" ref="AH135" si="608">+ROUND(AG135*$I135,0)</f>
        <v>0</v>
      </c>
      <c r="AI135" s="76"/>
      <c r="AJ135" s="78"/>
      <c r="AK135" s="76"/>
      <c r="AL135" s="78"/>
    </row>
    <row r="136" spans="1:38"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575"/>
        <v>0</v>
      </c>
      <c r="H136" s="69">
        <f>+VLOOKUP(C136,'PRECIOS IDU 2025'!$A$1:$E$3189,4,FALSE)</f>
        <v>39211</v>
      </c>
      <c r="I136" s="69">
        <f t="shared" si="576"/>
        <v>50974</v>
      </c>
      <c r="J136" s="69">
        <f t="shared" si="577"/>
        <v>0</v>
      </c>
      <c r="K136" s="9"/>
      <c r="L136" s="3"/>
      <c r="M136" s="76"/>
      <c r="N136" s="78">
        <f t="shared" si="593"/>
        <v>0</v>
      </c>
      <c r="O136" s="76"/>
      <c r="P136" s="78"/>
      <c r="Q136" s="76"/>
      <c r="R136" s="78"/>
      <c r="S136" s="76"/>
      <c r="T136" s="78"/>
      <c r="U136" s="76"/>
      <c r="V136" s="78">
        <f t="shared" ref="V136" si="609">+ROUND(U136*$I136,0)</f>
        <v>0</v>
      </c>
      <c r="W136" s="76"/>
      <c r="X136" s="78">
        <f t="shared" ref="X136" si="610">+ROUND(W136*$I136,0)</f>
        <v>0</v>
      </c>
      <c r="Y136" s="76"/>
      <c r="Z136" s="78"/>
      <c r="AA136" s="76"/>
      <c r="AB136" s="78">
        <f t="shared" ref="AB136" si="611">+ROUND(AA136*$I136,0)</f>
        <v>0</v>
      </c>
      <c r="AC136" s="76"/>
      <c r="AD136" s="78">
        <f t="shared" ref="AD136" si="612">+ROUND(AC136*$I136,0)</f>
        <v>0</v>
      </c>
      <c r="AE136" s="76"/>
      <c r="AF136" s="78"/>
      <c r="AG136" s="76"/>
      <c r="AH136" s="78">
        <f t="shared" ref="AH136" si="613">+ROUND(AG136*$I136,0)</f>
        <v>0</v>
      </c>
      <c r="AI136" s="76"/>
      <c r="AJ136" s="78"/>
      <c r="AK136" s="76"/>
      <c r="AL136" s="78"/>
    </row>
    <row r="137" spans="1:38"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575"/>
        <v>0</v>
      </c>
      <c r="H137" s="69">
        <f>+VLOOKUP(C137,'PRECIOS IDU 2025'!$A$1:$E$3189,4,FALSE)</f>
        <v>167159</v>
      </c>
      <c r="I137" s="69">
        <f t="shared" si="576"/>
        <v>217307</v>
      </c>
      <c r="J137" s="69">
        <f t="shared" si="577"/>
        <v>0</v>
      </c>
      <c r="K137" s="9"/>
      <c r="L137" s="3"/>
      <c r="M137" s="76"/>
      <c r="N137" s="78">
        <f t="shared" si="593"/>
        <v>0</v>
      </c>
      <c r="O137" s="76"/>
      <c r="P137" s="78"/>
      <c r="Q137" s="76"/>
      <c r="R137" s="78"/>
      <c r="S137" s="76"/>
      <c r="T137" s="78"/>
      <c r="U137" s="76"/>
      <c r="V137" s="78">
        <f t="shared" ref="V137" si="614">+ROUND(U137*$I137,0)</f>
        <v>0</v>
      </c>
      <c r="W137" s="76"/>
      <c r="X137" s="78">
        <f t="shared" ref="X137" si="615">+ROUND(W137*$I137,0)</f>
        <v>0</v>
      </c>
      <c r="Y137" s="76"/>
      <c r="Z137" s="78"/>
      <c r="AA137" s="76"/>
      <c r="AB137" s="78">
        <f t="shared" ref="AB137" si="616">+ROUND(AA137*$I137,0)</f>
        <v>0</v>
      </c>
      <c r="AC137" s="76"/>
      <c r="AD137" s="78">
        <f t="shared" ref="AD137" si="617">+ROUND(AC137*$I137,0)</f>
        <v>0</v>
      </c>
      <c r="AE137" s="76"/>
      <c r="AF137" s="78"/>
      <c r="AG137" s="76"/>
      <c r="AH137" s="78">
        <f t="shared" ref="AH137" si="618">+ROUND(AG137*$I137,0)</f>
        <v>0</v>
      </c>
      <c r="AI137" s="76"/>
      <c r="AJ137" s="78"/>
      <c r="AK137" s="76"/>
      <c r="AL137" s="78"/>
    </row>
    <row r="138" spans="1:38"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575"/>
        <v>0</v>
      </c>
      <c r="H138" s="69">
        <f>+VLOOKUP(C138,'PRECIOS IDU 2025'!$A$1:$E$3189,4,FALSE)</f>
        <v>100367</v>
      </c>
      <c r="I138" s="69">
        <f t="shared" si="576"/>
        <v>130477</v>
      </c>
      <c r="J138" s="69">
        <f t="shared" si="577"/>
        <v>0</v>
      </c>
      <c r="K138" s="9"/>
      <c r="L138" s="3"/>
      <c r="M138" s="76"/>
      <c r="N138" s="78">
        <f t="shared" si="593"/>
        <v>0</v>
      </c>
      <c r="O138" s="76"/>
      <c r="P138" s="78"/>
      <c r="Q138" s="76"/>
      <c r="R138" s="78"/>
      <c r="S138" s="76"/>
      <c r="T138" s="78"/>
      <c r="U138" s="76"/>
      <c r="V138" s="78">
        <f t="shared" ref="V138" si="619">+ROUND(U138*$I138,0)</f>
        <v>0</v>
      </c>
      <c r="W138" s="76"/>
      <c r="X138" s="78">
        <f t="shared" ref="X138" si="620">+ROUND(W138*$I138,0)</f>
        <v>0</v>
      </c>
      <c r="Y138" s="76"/>
      <c r="Z138" s="78"/>
      <c r="AA138" s="76"/>
      <c r="AB138" s="78">
        <f t="shared" ref="AB138" si="621">+ROUND(AA138*$I138,0)</f>
        <v>0</v>
      </c>
      <c r="AC138" s="76"/>
      <c r="AD138" s="78">
        <f t="shared" ref="AD138" si="622">+ROUND(AC138*$I138,0)</f>
        <v>0</v>
      </c>
      <c r="AE138" s="76"/>
      <c r="AF138" s="78"/>
      <c r="AG138" s="76"/>
      <c r="AH138" s="78">
        <f t="shared" ref="AH138" si="623">+ROUND(AG138*$I138,0)</f>
        <v>0</v>
      </c>
      <c r="AI138" s="76"/>
      <c r="AJ138" s="78"/>
      <c r="AK138" s="76"/>
      <c r="AL138" s="78"/>
    </row>
    <row r="139" spans="1:38"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575"/>
        <v>0</v>
      </c>
      <c r="H139" s="69">
        <f>+VLOOKUP(C139,'PRECIOS IDU 2025'!$A$1:$E$3189,4,FALSE)</f>
        <v>214107</v>
      </c>
      <c r="I139" s="69">
        <f t="shared" si="576"/>
        <v>278339</v>
      </c>
      <c r="J139" s="69">
        <f t="shared" si="577"/>
        <v>0</v>
      </c>
      <c r="K139" s="9"/>
      <c r="L139" s="3"/>
      <c r="M139" s="76"/>
      <c r="N139" s="78">
        <f t="shared" si="593"/>
        <v>0</v>
      </c>
      <c r="O139" s="76"/>
      <c r="P139" s="78"/>
      <c r="Q139" s="76"/>
      <c r="R139" s="78"/>
      <c r="S139" s="76"/>
      <c r="T139" s="78"/>
      <c r="U139" s="76"/>
      <c r="V139" s="78">
        <f t="shared" ref="V139" si="624">+ROUND(U139*$I139,0)</f>
        <v>0</v>
      </c>
      <c r="W139" s="76"/>
      <c r="X139" s="78">
        <f t="shared" ref="X139" si="625">+ROUND(W139*$I139,0)</f>
        <v>0</v>
      </c>
      <c r="Y139" s="76"/>
      <c r="Z139" s="78"/>
      <c r="AA139" s="76"/>
      <c r="AB139" s="78">
        <f t="shared" ref="AB139" si="626">+ROUND(AA139*$I139,0)</f>
        <v>0</v>
      </c>
      <c r="AC139" s="76"/>
      <c r="AD139" s="78">
        <f t="shared" ref="AD139" si="627">+ROUND(AC139*$I139,0)</f>
        <v>0</v>
      </c>
      <c r="AE139" s="76"/>
      <c r="AF139" s="78"/>
      <c r="AG139" s="76"/>
      <c r="AH139" s="78">
        <f t="shared" ref="AH139" si="628">+ROUND(AG139*$I139,0)</f>
        <v>0</v>
      </c>
      <c r="AI139" s="76"/>
      <c r="AJ139" s="78"/>
      <c r="AK139" s="76"/>
      <c r="AL139" s="78"/>
    </row>
    <row r="140" spans="1:38"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575"/>
        <v>0</v>
      </c>
      <c r="H140" s="69">
        <f>+VLOOKUP(C140,'PRECIOS IDU 2025'!$A$1:$E$3189,4,FALSE)</f>
        <v>155503</v>
      </c>
      <c r="I140" s="69">
        <f t="shared" si="576"/>
        <v>202154</v>
      </c>
      <c r="J140" s="69">
        <f t="shared" si="577"/>
        <v>0</v>
      </c>
      <c r="K140" s="9"/>
      <c r="L140" s="3"/>
      <c r="M140" s="76"/>
      <c r="N140" s="78">
        <f t="shared" si="593"/>
        <v>0</v>
      </c>
      <c r="O140" s="76"/>
      <c r="P140" s="78"/>
      <c r="Q140" s="76"/>
      <c r="R140" s="78"/>
      <c r="S140" s="76"/>
      <c r="T140" s="78"/>
      <c r="U140" s="76"/>
      <c r="V140" s="78">
        <f t="shared" ref="V140" si="629">+ROUND(U140*$I140,0)</f>
        <v>0</v>
      </c>
      <c r="W140" s="76"/>
      <c r="X140" s="78">
        <f t="shared" ref="X140" si="630">+ROUND(W140*$I140,0)</f>
        <v>0</v>
      </c>
      <c r="Y140" s="76"/>
      <c r="Z140" s="78"/>
      <c r="AA140" s="76"/>
      <c r="AB140" s="78">
        <f t="shared" ref="AB140" si="631">+ROUND(AA140*$I140,0)</f>
        <v>0</v>
      </c>
      <c r="AC140" s="76"/>
      <c r="AD140" s="78">
        <f t="shared" ref="AD140" si="632">+ROUND(AC140*$I140,0)</f>
        <v>0</v>
      </c>
      <c r="AE140" s="76"/>
      <c r="AF140" s="78"/>
      <c r="AG140" s="76"/>
      <c r="AH140" s="78">
        <f t="shared" ref="AH140" si="633">+ROUND(AG140*$I140,0)</f>
        <v>0</v>
      </c>
      <c r="AI140" s="76"/>
      <c r="AJ140" s="78"/>
      <c r="AK140" s="76"/>
      <c r="AL140" s="78"/>
    </row>
    <row r="141" spans="1:38"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575"/>
        <v>0</v>
      </c>
      <c r="H141" s="69">
        <f>+VLOOKUP(C141,'PRECIOS IDU 2025'!$A$1:$E$3189,4,FALSE)</f>
        <v>1895915</v>
      </c>
      <c r="I141" s="69">
        <f t="shared" si="576"/>
        <v>2464690</v>
      </c>
      <c r="J141" s="69">
        <f t="shared" si="577"/>
        <v>0</v>
      </c>
      <c r="K141" s="9"/>
      <c r="L141" s="3"/>
      <c r="M141" s="76"/>
      <c r="N141" s="78">
        <f t="shared" si="593"/>
        <v>0</v>
      </c>
      <c r="O141" s="76"/>
      <c r="P141" s="78"/>
      <c r="Q141" s="76"/>
      <c r="R141" s="78"/>
      <c r="S141" s="76"/>
      <c r="T141" s="78"/>
      <c r="U141" s="76"/>
      <c r="V141" s="78">
        <f t="shared" ref="V141" si="634">+ROUND(U141*$I141,0)</f>
        <v>0</v>
      </c>
      <c r="W141" s="76"/>
      <c r="X141" s="78">
        <f t="shared" ref="X141" si="635">+ROUND(W141*$I141,0)</f>
        <v>0</v>
      </c>
      <c r="Y141" s="76"/>
      <c r="Z141" s="78"/>
      <c r="AA141" s="76"/>
      <c r="AB141" s="78">
        <f t="shared" ref="AB141" si="636">+ROUND(AA141*$I141,0)</f>
        <v>0</v>
      </c>
      <c r="AC141" s="76"/>
      <c r="AD141" s="78">
        <f t="shared" ref="AD141" si="637">+ROUND(AC141*$I141,0)</f>
        <v>0</v>
      </c>
      <c r="AE141" s="76"/>
      <c r="AF141" s="78"/>
      <c r="AG141" s="76"/>
      <c r="AH141" s="78">
        <f t="shared" ref="AH141" si="638">+ROUND(AG141*$I141,0)</f>
        <v>0</v>
      </c>
      <c r="AI141" s="76"/>
      <c r="AJ141" s="78"/>
      <c r="AK141" s="76"/>
      <c r="AL141" s="78"/>
    </row>
    <row r="142" spans="1:38"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575"/>
        <v>0</v>
      </c>
      <c r="H142" s="69">
        <f>+VLOOKUP(C142,'PRECIOS IDU 2025'!$A$1:$E$3189,4,FALSE)</f>
        <v>739808</v>
      </c>
      <c r="I142" s="69">
        <f t="shared" si="576"/>
        <v>961750</v>
      </c>
      <c r="J142" s="69">
        <f t="shared" si="577"/>
        <v>0</v>
      </c>
      <c r="K142" s="9"/>
      <c r="L142" s="3"/>
      <c r="M142" s="76"/>
      <c r="N142" s="78">
        <f t="shared" si="593"/>
        <v>0</v>
      </c>
      <c r="O142" s="76"/>
      <c r="P142" s="78"/>
      <c r="Q142" s="76"/>
      <c r="R142" s="78"/>
      <c r="S142" s="76"/>
      <c r="T142" s="78"/>
      <c r="U142" s="76"/>
      <c r="V142" s="78">
        <f t="shared" ref="V142" si="639">+ROUND(U142*$I142,0)</f>
        <v>0</v>
      </c>
      <c r="W142" s="76"/>
      <c r="X142" s="78">
        <f t="shared" ref="X142" si="640">+ROUND(W142*$I142,0)</f>
        <v>0</v>
      </c>
      <c r="Y142" s="76"/>
      <c r="Z142" s="78"/>
      <c r="AA142" s="76"/>
      <c r="AB142" s="78">
        <f t="shared" ref="AB142" si="641">+ROUND(AA142*$I142,0)</f>
        <v>0</v>
      </c>
      <c r="AC142" s="76"/>
      <c r="AD142" s="78">
        <f t="shared" ref="AD142" si="642">+ROUND(AC142*$I142,0)</f>
        <v>0</v>
      </c>
      <c r="AE142" s="76"/>
      <c r="AF142" s="78"/>
      <c r="AG142" s="76"/>
      <c r="AH142" s="78">
        <f t="shared" ref="AH142" si="643">+ROUND(AG142*$I142,0)</f>
        <v>0</v>
      </c>
      <c r="AI142" s="76"/>
      <c r="AJ142" s="78"/>
      <c r="AK142" s="76"/>
      <c r="AL142" s="78"/>
    </row>
    <row r="143" spans="1:38"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575"/>
        <v>0</v>
      </c>
      <c r="H143" s="69">
        <f>+VLOOKUP(C143,'PRECIOS IDU 2025'!$A$1:$E$3189,4,FALSE)</f>
        <v>135984</v>
      </c>
      <c r="I143" s="69">
        <f t="shared" si="576"/>
        <v>176779</v>
      </c>
      <c r="J143" s="69">
        <f t="shared" si="577"/>
        <v>0</v>
      </c>
      <c r="K143" s="9"/>
      <c r="L143" s="3"/>
      <c r="M143" s="76"/>
      <c r="N143" s="78">
        <f t="shared" si="593"/>
        <v>0</v>
      </c>
      <c r="O143" s="76"/>
      <c r="P143" s="78"/>
      <c r="Q143" s="76"/>
      <c r="R143" s="78"/>
      <c r="S143" s="76"/>
      <c r="T143" s="78"/>
      <c r="U143" s="76"/>
      <c r="V143" s="78">
        <f t="shared" ref="V143" si="644">+ROUND(U143*$I143,0)</f>
        <v>0</v>
      </c>
      <c r="W143" s="76"/>
      <c r="X143" s="78">
        <f t="shared" ref="X143" si="645">+ROUND(W143*$I143,0)</f>
        <v>0</v>
      </c>
      <c r="Y143" s="76"/>
      <c r="Z143" s="78"/>
      <c r="AA143" s="76"/>
      <c r="AB143" s="78">
        <f t="shared" ref="AB143" si="646">+ROUND(AA143*$I143,0)</f>
        <v>0</v>
      </c>
      <c r="AC143" s="76"/>
      <c r="AD143" s="78">
        <f t="shared" ref="AD143" si="647">+ROUND(AC143*$I143,0)</f>
        <v>0</v>
      </c>
      <c r="AE143" s="76"/>
      <c r="AF143" s="78"/>
      <c r="AG143" s="76"/>
      <c r="AH143" s="78">
        <f t="shared" ref="AH143" si="648">+ROUND(AG143*$I143,0)</f>
        <v>0</v>
      </c>
      <c r="AI143" s="76"/>
      <c r="AJ143" s="78"/>
      <c r="AK143" s="76"/>
      <c r="AL143" s="78"/>
    </row>
    <row r="144" spans="1:38"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575"/>
        <v>0</v>
      </c>
      <c r="H144" s="69">
        <f>+VLOOKUP(C144,'PRECIOS IDU 2025'!$A$1:$E$3189,4,FALSE)</f>
        <v>37349</v>
      </c>
      <c r="I144" s="69">
        <f t="shared" si="576"/>
        <v>48554</v>
      </c>
      <c r="J144" s="69">
        <f t="shared" si="577"/>
        <v>0</v>
      </c>
      <c r="K144" s="9"/>
      <c r="L144" s="3"/>
      <c r="M144" s="76"/>
      <c r="N144" s="78">
        <f t="shared" si="593"/>
        <v>0</v>
      </c>
      <c r="O144" s="76"/>
      <c r="P144" s="78"/>
      <c r="Q144" s="76"/>
      <c r="R144" s="78"/>
      <c r="S144" s="76"/>
      <c r="T144" s="78"/>
      <c r="U144" s="76"/>
      <c r="V144" s="78">
        <f t="shared" ref="V144" si="649">+ROUND(U144*$I144,0)</f>
        <v>0</v>
      </c>
      <c r="W144" s="76"/>
      <c r="X144" s="78">
        <f t="shared" ref="X144" si="650">+ROUND(W144*$I144,0)</f>
        <v>0</v>
      </c>
      <c r="Y144" s="76"/>
      <c r="Z144" s="78"/>
      <c r="AA144" s="76"/>
      <c r="AB144" s="78">
        <f t="shared" ref="AB144" si="651">+ROUND(AA144*$I144,0)</f>
        <v>0</v>
      </c>
      <c r="AC144" s="76"/>
      <c r="AD144" s="78">
        <f t="shared" ref="AD144" si="652">+ROUND(AC144*$I144,0)</f>
        <v>0</v>
      </c>
      <c r="AE144" s="76"/>
      <c r="AF144" s="78"/>
      <c r="AG144" s="76"/>
      <c r="AH144" s="78">
        <f t="shared" ref="AH144" si="653">+ROUND(AG144*$I144,0)</f>
        <v>0</v>
      </c>
      <c r="AI144" s="76"/>
      <c r="AJ144" s="78"/>
      <c r="AK144" s="76"/>
      <c r="AL144" s="78"/>
    </row>
    <row r="145" spans="1:38"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575"/>
        <v>0</v>
      </c>
      <c r="H145" s="69">
        <f>+VLOOKUP(C145,'PRECIOS IDU 2025'!$A$1:$E$3189,4,FALSE)</f>
        <v>63957</v>
      </c>
      <c r="I145" s="69">
        <f t="shared" si="576"/>
        <v>83144</v>
      </c>
      <c r="J145" s="69">
        <f t="shared" si="577"/>
        <v>0</v>
      </c>
      <c r="K145" s="9"/>
      <c r="L145" s="3"/>
      <c r="M145" s="76"/>
      <c r="N145" s="78">
        <f t="shared" si="593"/>
        <v>0</v>
      </c>
      <c r="O145" s="76"/>
      <c r="P145" s="78"/>
      <c r="Q145" s="76"/>
      <c r="R145" s="78"/>
      <c r="S145" s="76"/>
      <c r="T145" s="78"/>
      <c r="U145" s="76"/>
      <c r="V145" s="78">
        <f t="shared" ref="V145" si="654">+ROUND(U145*$I145,0)</f>
        <v>0</v>
      </c>
      <c r="W145" s="76"/>
      <c r="X145" s="78">
        <f t="shared" ref="X145" si="655">+ROUND(W145*$I145,0)</f>
        <v>0</v>
      </c>
      <c r="Y145" s="76"/>
      <c r="Z145" s="78"/>
      <c r="AA145" s="76"/>
      <c r="AB145" s="78">
        <f t="shared" ref="AB145" si="656">+ROUND(AA145*$I145,0)</f>
        <v>0</v>
      </c>
      <c r="AC145" s="76"/>
      <c r="AD145" s="78">
        <f t="shared" ref="AD145" si="657">+ROUND(AC145*$I145,0)</f>
        <v>0</v>
      </c>
      <c r="AE145" s="76"/>
      <c r="AF145" s="78"/>
      <c r="AG145" s="76"/>
      <c r="AH145" s="78">
        <f t="shared" ref="AH145" si="658">+ROUND(AG145*$I145,0)</f>
        <v>0</v>
      </c>
      <c r="AI145" s="76"/>
      <c r="AJ145" s="78"/>
      <c r="AK145" s="76"/>
      <c r="AL145" s="78"/>
    </row>
    <row r="146" spans="1:38"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575"/>
        <v>0</v>
      </c>
      <c r="H146" s="69">
        <f>+VLOOKUP(C146,'PRECIOS IDU 2025'!$A$1:$E$3189,4,FALSE)</f>
        <v>88930</v>
      </c>
      <c r="I146" s="69">
        <f t="shared" si="576"/>
        <v>115609</v>
      </c>
      <c r="J146" s="69">
        <f t="shared" si="577"/>
        <v>0</v>
      </c>
      <c r="K146" s="9"/>
      <c r="L146" s="3"/>
      <c r="M146" s="76"/>
      <c r="N146" s="78">
        <f t="shared" si="593"/>
        <v>0</v>
      </c>
      <c r="O146" s="76"/>
      <c r="P146" s="78"/>
      <c r="Q146" s="76"/>
      <c r="R146" s="78"/>
      <c r="S146" s="76"/>
      <c r="T146" s="78"/>
      <c r="U146" s="76"/>
      <c r="V146" s="78">
        <f t="shared" ref="V146" si="659">+ROUND(U146*$I146,0)</f>
        <v>0</v>
      </c>
      <c r="W146" s="76"/>
      <c r="X146" s="78">
        <f t="shared" ref="X146" si="660">+ROUND(W146*$I146,0)</f>
        <v>0</v>
      </c>
      <c r="Y146" s="76"/>
      <c r="Z146" s="78"/>
      <c r="AA146" s="76"/>
      <c r="AB146" s="78">
        <f t="shared" ref="AB146" si="661">+ROUND(AA146*$I146,0)</f>
        <v>0</v>
      </c>
      <c r="AC146" s="76"/>
      <c r="AD146" s="78">
        <f t="shared" ref="AD146" si="662">+ROUND(AC146*$I146,0)</f>
        <v>0</v>
      </c>
      <c r="AE146" s="76"/>
      <c r="AF146" s="78"/>
      <c r="AG146" s="76"/>
      <c r="AH146" s="78">
        <f t="shared" ref="AH146" si="663">+ROUND(AG146*$I146,0)</f>
        <v>0</v>
      </c>
      <c r="AI146" s="76"/>
      <c r="AJ146" s="78"/>
      <c r="AK146" s="76"/>
      <c r="AL146" s="78"/>
    </row>
    <row r="147" spans="1:38"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575"/>
        <v>0</v>
      </c>
      <c r="H147" s="69">
        <f>+VLOOKUP(C147,'PRECIOS IDU 2025'!$A$1:$E$3189,4,FALSE)</f>
        <v>125950</v>
      </c>
      <c r="I147" s="69">
        <f t="shared" si="576"/>
        <v>163735</v>
      </c>
      <c r="J147" s="69">
        <f t="shared" si="577"/>
        <v>0</v>
      </c>
      <c r="K147" s="9"/>
      <c r="L147" s="3"/>
      <c r="M147" s="76"/>
      <c r="N147" s="78">
        <f t="shared" si="593"/>
        <v>0</v>
      </c>
      <c r="O147" s="76"/>
      <c r="P147" s="78"/>
      <c r="Q147" s="76"/>
      <c r="R147" s="78"/>
      <c r="S147" s="76"/>
      <c r="T147" s="78"/>
      <c r="U147" s="76"/>
      <c r="V147" s="78">
        <f t="shared" ref="V147" si="664">+ROUND(U147*$I147,0)</f>
        <v>0</v>
      </c>
      <c r="W147" s="76"/>
      <c r="X147" s="78">
        <f t="shared" ref="X147" si="665">+ROUND(W147*$I147,0)</f>
        <v>0</v>
      </c>
      <c r="Y147" s="76"/>
      <c r="Z147" s="78"/>
      <c r="AA147" s="76"/>
      <c r="AB147" s="78">
        <f t="shared" ref="AB147" si="666">+ROUND(AA147*$I147,0)</f>
        <v>0</v>
      </c>
      <c r="AC147" s="76"/>
      <c r="AD147" s="78">
        <f t="shared" ref="AD147" si="667">+ROUND(AC147*$I147,0)</f>
        <v>0</v>
      </c>
      <c r="AE147" s="76"/>
      <c r="AF147" s="78"/>
      <c r="AG147" s="76"/>
      <c r="AH147" s="78">
        <f t="shared" ref="AH147" si="668">+ROUND(AG147*$I147,0)</f>
        <v>0</v>
      </c>
      <c r="AI147" s="76"/>
      <c r="AJ147" s="78"/>
      <c r="AK147" s="76"/>
      <c r="AL147" s="78"/>
    </row>
    <row r="148" spans="1:38"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575"/>
        <v>0</v>
      </c>
      <c r="H148" s="69">
        <f>+VLOOKUP(C148,'PRECIOS IDU 2025'!$A$1:$E$3189,4,FALSE)</f>
        <v>176674</v>
      </c>
      <c r="I148" s="69">
        <f t="shared" si="576"/>
        <v>229676</v>
      </c>
      <c r="J148" s="69">
        <f t="shared" si="577"/>
        <v>0</v>
      </c>
      <c r="K148" s="9"/>
      <c r="L148" s="3"/>
      <c r="M148" s="76"/>
      <c r="N148" s="78">
        <f t="shared" si="593"/>
        <v>0</v>
      </c>
      <c r="O148" s="76"/>
      <c r="P148" s="78"/>
      <c r="Q148" s="76"/>
      <c r="R148" s="78"/>
      <c r="S148" s="76"/>
      <c r="T148" s="78"/>
      <c r="U148" s="76"/>
      <c r="V148" s="78">
        <f t="shared" ref="V148" si="669">+ROUND(U148*$I148,0)</f>
        <v>0</v>
      </c>
      <c r="W148" s="76"/>
      <c r="X148" s="78">
        <f t="shared" ref="X148" si="670">+ROUND(W148*$I148,0)</f>
        <v>0</v>
      </c>
      <c r="Y148" s="76"/>
      <c r="Z148" s="78"/>
      <c r="AA148" s="76"/>
      <c r="AB148" s="78">
        <f t="shared" ref="AB148" si="671">+ROUND(AA148*$I148,0)</f>
        <v>0</v>
      </c>
      <c r="AC148" s="76"/>
      <c r="AD148" s="78">
        <f t="shared" ref="AD148" si="672">+ROUND(AC148*$I148,0)</f>
        <v>0</v>
      </c>
      <c r="AE148" s="76"/>
      <c r="AF148" s="78"/>
      <c r="AG148" s="76"/>
      <c r="AH148" s="78">
        <f t="shared" ref="AH148" si="673">+ROUND(AG148*$I148,0)</f>
        <v>0</v>
      </c>
      <c r="AI148" s="76"/>
      <c r="AJ148" s="78"/>
      <c r="AK148" s="76"/>
      <c r="AL148" s="78"/>
    </row>
    <row r="149" spans="1:38"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575"/>
        <v>0</v>
      </c>
      <c r="H149" s="69">
        <f>+VLOOKUP(C149,'PRECIOS IDU 2025'!$A$1:$E$3189,4,FALSE)</f>
        <v>314109</v>
      </c>
      <c r="I149" s="69">
        <f t="shared" si="576"/>
        <v>408342</v>
      </c>
      <c r="J149" s="69">
        <f t="shared" si="577"/>
        <v>0</v>
      </c>
      <c r="K149" s="9"/>
      <c r="L149" s="3"/>
      <c r="M149" s="76"/>
      <c r="N149" s="78">
        <f t="shared" ref="N149:N164" si="674">+ROUND(M149*$I149,0)</f>
        <v>0</v>
      </c>
      <c r="O149" s="76"/>
      <c r="P149" s="78"/>
      <c r="Q149" s="76"/>
      <c r="R149" s="78"/>
      <c r="S149" s="76"/>
      <c r="T149" s="78"/>
      <c r="U149" s="76"/>
      <c r="V149" s="78">
        <f t="shared" ref="V149" si="675">+ROUND(U149*$I149,0)</f>
        <v>0</v>
      </c>
      <c r="W149" s="76"/>
      <c r="X149" s="78">
        <f t="shared" ref="X149" si="676">+ROUND(W149*$I149,0)</f>
        <v>0</v>
      </c>
      <c r="Y149" s="76"/>
      <c r="Z149" s="78"/>
      <c r="AA149" s="76"/>
      <c r="AB149" s="78">
        <f t="shared" ref="AB149" si="677">+ROUND(AA149*$I149,0)</f>
        <v>0</v>
      </c>
      <c r="AC149" s="76"/>
      <c r="AD149" s="78">
        <f t="shared" ref="AD149" si="678">+ROUND(AC149*$I149,0)</f>
        <v>0</v>
      </c>
      <c r="AE149" s="76"/>
      <c r="AF149" s="78"/>
      <c r="AG149" s="76"/>
      <c r="AH149" s="78">
        <f t="shared" ref="AH149" si="679">+ROUND(AG149*$I149,0)</f>
        <v>0</v>
      </c>
      <c r="AI149" s="76"/>
      <c r="AJ149" s="78"/>
      <c r="AK149" s="76"/>
      <c r="AL149" s="78"/>
    </row>
    <row r="150" spans="1:38"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575"/>
        <v>0</v>
      </c>
      <c r="H150" s="69">
        <f>+VLOOKUP(C150,'PRECIOS IDU 2025'!$A$1:$E$3189,4,FALSE)</f>
        <v>426915</v>
      </c>
      <c r="I150" s="69">
        <f t="shared" si="576"/>
        <v>554990</v>
      </c>
      <c r="J150" s="69">
        <f t="shared" si="577"/>
        <v>0</v>
      </c>
      <c r="K150" s="9"/>
      <c r="L150" s="3"/>
      <c r="M150" s="76"/>
      <c r="N150" s="78">
        <f t="shared" si="674"/>
        <v>0</v>
      </c>
      <c r="O150" s="76"/>
      <c r="P150" s="78"/>
      <c r="Q150" s="76"/>
      <c r="R150" s="78"/>
      <c r="S150" s="76"/>
      <c r="T150" s="78"/>
      <c r="U150" s="76"/>
      <c r="V150" s="78">
        <f t="shared" ref="V150" si="680">+ROUND(U150*$I150,0)</f>
        <v>0</v>
      </c>
      <c r="W150" s="76"/>
      <c r="X150" s="78">
        <f t="shared" ref="X150" si="681">+ROUND(W150*$I150,0)</f>
        <v>0</v>
      </c>
      <c r="Y150" s="76"/>
      <c r="Z150" s="78"/>
      <c r="AA150" s="76"/>
      <c r="AB150" s="78">
        <f t="shared" ref="AB150" si="682">+ROUND(AA150*$I150,0)</f>
        <v>0</v>
      </c>
      <c r="AC150" s="76"/>
      <c r="AD150" s="78">
        <f t="shared" ref="AD150" si="683">+ROUND(AC150*$I150,0)</f>
        <v>0</v>
      </c>
      <c r="AE150" s="76"/>
      <c r="AF150" s="78"/>
      <c r="AG150" s="76"/>
      <c r="AH150" s="78">
        <f t="shared" ref="AH150" si="684">+ROUND(AG150*$I150,0)</f>
        <v>0</v>
      </c>
      <c r="AI150" s="76"/>
      <c r="AJ150" s="78"/>
      <c r="AK150" s="76"/>
      <c r="AL150" s="78"/>
    </row>
    <row r="151" spans="1:38"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575"/>
        <v>0</v>
      </c>
      <c r="H151" s="69">
        <f>+VLOOKUP(C151,'PRECIOS IDU 2025'!$A$1:$E$3189,4,FALSE)</f>
        <v>520777</v>
      </c>
      <c r="I151" s="69">
        <f t="shared" si="576"/>
        <v>677010</v>
      </c>
      <c r="J151" s="69">
        <f t="shared" si="577"/>
        <v>0</v>
      </c>
      <c r="K151" s="9"/>
      <c r="L151" s="3"/>
      <c r="M151" s="76"/>
      <c r="N151" s="78">
        <f t="shared" si="674"/>
        <v>0</v>
      </c>
      <c r="O151" s="76"/>
      <c r="P151" s="78"/>
      <c r="Q151" s="76"/>
      <c r="R151" s="78"/>
      <c r="S151" s="76"/>
      <c r="T151" s="78"/>
      <c r="U151" s="76"/>
      <c r="V151" s="78">
        <f t="shared" ref="V151" si="685">+ROUND(U151*$I151,0)</f>
        <v>0</v>
      </c>
      <c r="W151" s="76"/>
      <c r="X151" s="78">
        <f t="shared" ref="X151" si="686">+ROUND(W151*$I151,0)</f>
        <v>0</v>
      </c>
      <c r="Y151" s="76"/>
      <c r="Z151" s="78"/>
      <c r="AA151" s="76"/>
      <c r="AB151" s="78">
        <f t="shared" ref="AB151" si="687">+ROUND(AA151*$I151,0)</f>
        <v>0</v>
      </c>
      <c r="AC151" s="76"/>
      <c r="AD151" s="78">
        <f t="shared" ref="AD151" si="688">+ROUND(AC151*$I151,0)</f>
        <v>0</v>
      </c>
      <c r="AE151" s="76"/>
      <c r="AF151" s="78"/>
      <c r="AG151" s="76"/>
      <c r="AH151" s="78">
        <f t="shared" ref="AH151" si="689">+ROUND(AG151*$I151,0)</f>
        <v>0</v>
      </c>
      <c r="AI151" s="76"/>
      <c r="AJ151" s="78"/>
      <c r="AK151" s="76"/>
      <c r="AL151" s="78"/>
    </row>
    <row r="152" spans="1:38"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575"/>
        <v>0</v>
      </c>
      <c r="H152" s="69">
        <f>+VLOOKUP(C152,'PRECIOS IDU 2025'!$A$1:$E$3189,4,FALSE)</f>
        <v>235700</v>
      </c>
      <c r="I152" s="69">
        <f t="shared" si="576"/>
        <v>306410</v>
      </c>
      <c r="J152" s="69">
        <f t="shared" si="577"/>
        <v>0</v>
      </c>
      <c r="K152" s="9"/>
      <c r="L152" s="3"/>
      <c r="M152" s="76"/>
      <c r="N152" s="78">
        <f t="shared" si="674"/>
        <v>0</v>
      </c>
      <c r="O152" s="76"/>
      <c r="P152" s="78"/>
      <c r="Q152" s="76"/>
      <c r="R152" s="78"/>
      <c r="S152" s="76"/>
      <c r="T152" s="78"/>
      <c r="U152" s="76"/>
      <c r="V152" s="78">
        <f t="shared" ref="V152" si="690">+ROUND(U152*$I152,0)</f>
        <v>0</v>
      </c>
      <c r="W152" s="76"/>
      <c r="X152" s="78">
        <f t="shared" ref="X152" si="691">+ROUND(W152*$I152,0)</f>
        <v>0</v>
      </c>
      <c r="Y152" s="76"/>
      <c r="Z152" s="78"/>
      <c r="AA152" s="76"/>
      <c r="AB152" s="78">
        <f t="shared" ref="AB152" si="692">+ROUND(AA152*$I152,0)</f>
        <v>0</v>
      </c>
      <c r="AC152" s="76"/>
      <c r="AD152" s="78">
        <f t="shared" ref="AD152" si="693">+ROUND(AC152*$I152,0)</f>
        <v>0</v>
      </c>
      <c r="AE152" s="76"/>
      <c r="AF152" s="78"/>
      <c r="AG152" s="76"/>
      <c r="AH152" s="78">
        <f t="shared" ref="AH152" si="694">+ROUND(AG152*$I152,0)</f>
        <v>0</v>
      </c>
      <c r="AI152" s="76"/>
      <c r="AJ152" s="78"/>
      <c r="AK152" s="76"/>
      <c r="AL152" s="78"/>
    </row>
    <row r="153" spans="1:38"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575"/>
        <v>0</v>
      </c>
      <c r="H153" s="69">
        <f>+VLOOKUP(C153,'PRECIOS IDU 2025'!$A$1:$E$3189,4,FALSE)</f>
        <v>235700</v>
      </c>
      <c r="I153" s="69">
        <f t="shared" si="576"/>
        <v>306410</v>
      </c>
      <c r="J153" s="69">
        <f t="shared" si="577"/>
        <v>0</v>
      </c>
      <c r="K153" s="9"/>
      <c r="L153" s="3"/>
      <c r="M153" s="76"/>
      <c r="N153" s="78">
        <f t="shared" si="674"/>
        <v>0</v>
      </c>
      <c r="O153" s="76"/>
      <c r="P153" s="78"/>
      <c r="Q153" s="76"/>
      <c r="R153" s="78"/>
      <c r="S153" s="76"/>
      <c r="T153" s="78"/>
      <c r="U153" s="76"/>
      <c r="V153" s="78">
        <f t="shared" ref="V153" si="695">+ROUND(U153*$I153,0)</f>
        <v>0</v>
      </c>
      <c r="W153" s="76"/>
      <c r="X153" s="78">
        <f t="shared" ref="X153" si="696">+ROUND(W153*$I153,0)</f>
        <v>0</v>
      </c>
      <c r="Y153" s="76"/>
      <c r="Z153" s="78"/>
      <c r="AA153" s="76"/>
      <c r="AB153" s="78">
        <f t="shared" ref="AB153" si="697">+ROUND(AA153*$I153,0)</f>
        <v>0</v>
      </c>
      <c r="AC153" s="76"/>
      <c r="AD153" s="78">
        <f t="shared" ref="AD153" si="698">+ROUND(AC153*$I153,0)</f>
        <v>0</v>
      </c>
      <c r="AE153" s="76"/>
      <c r="AF153" s="78"/>
      <c r="AG153" s="76"/>
      <c r="AH153" s="78">
        <f t="shared" ref="AH153" si="699">+ROUND(AG153*$I153,0)</f>
        <v>0</v>
      </c>
      <c r="AI153" s="76"/>
      <c r="AJ153" s="78"/>
      <c r="AK153" s="76"/>
      <c r="AL153" s="78"/>
    </row>
    <row r="154" spans="1:38"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575"/>
        <v>0</v>
      </c>
      <c r="H154" s="69">
        <f>+VLOOKUP(C154,'PRECIOS IDU 2025'!$A$1:$E$3189,4,FALSE)</f>
        <v>238084</v>
      </c>
      <c r="I154" s="69">
        <f t="shared" si="576"/>
        <v>309509</v>
      </c>
      <c r="J154" s="69">
        <f t="shared" si="577"/>
        <v>0</v>
      </c>
      <c r="K154" s="9"/>
      <c r="L154" s="3"/>
      <c r="M154" s="76"/>
      <c r="N154" s="78">
        <f t="shared" si="674"/>
        <v>0</v>
      </c>
      <c r="O154" s="76"/>
      <c r="P154" s="78"/>
      <c r="Q154" s="76"/>
      <c r="R154" s="78"/>
      <c r="S154" s="76"/>
      <c r="T154" s="78"/>
      <c r="U154" s="76"/>
      <c r="V154" s="78">
        <f t="shared" ref="V154" si="700">+ROUND(U154*$I154,0)</f>
        <v>0</v>
      </c>
      <c r="W154" s="76"/>
      <c r="X154" s="78">
        <f t="shared" ref="X154" si="701">+ROUND(W154*$I154,0)</f>
        <v>0</v>
      </c>
      <c r="Y154" s="76"/>
      <c r="Z154" s="78"/>
      <c r="AA154" s="76"/>
      <c r="AB154" s="78">
        <f t="shared" ref="AB154" si="702">+ROUND(AA154*$I154,0)</f>
        <v>0</v>
      </c>
      <c r="AC154" s="76"/>
      <c r="AD154" s="78">
        <f t="shared" ref="AD154" si="703">+ROUND(AC154*$I154,0)</f>
        <v>0</v>
      </c>
      <c r="AE154" s="76"/>
      <c r="AF154" s="78"/>
      <c r="AG154" s="76"/>
      <c r="AH154" s="78">
        <f t="shared" ref="AH154" si="704">+ROUND(AG154*$I154,0)</f>
        <v>0</v>
      </c>
      <c r="AI154" s="76"/>
      <c r="AJ154" s="78"/>
      <c r="AK154" s="76"/>
      <c r="AL154" s="78"/>
    </row>
    <row r="155" spans="1:38"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575"/>
        <v>0</v>
      </c>
      <c r="H155" s="69">
        <f>+VLOOKUP(C155,'PRECIOS IDU 2025'!$A$1:$E$3189,4,FALSE)</f>
        <v>298533</v>
      </c>
      <c r="I155" s="69">
        <f t="shared" si="576"/>
        <v>388093</v>
      </c>
      <c r="J155" s="69">
        <f t="shared" si="577"/>
        <v>0</v>
      </c>
      <c r="K155" s="9"/>
      <c r="L155" s="3"/>
      <c r="M155" s="76"/>
      <c r="N155" s="78">
        <f t="shared" si="674"/>
        <v>0</v>
      </c>
      <c r="O155" s="76"/>
      <c r="P155" s="78"/>
      <c r="Q155" s="76"/>
      <c r="R155" s="78"/>
      <c r="S155" s="76"/>
      <c r="T155" s="78"/>
      <c r="U155" s="76"/>
      <c r="V155" s="78">
        <f t="shared" ref="V155" si="705">+ROUND(U155*$I155,0)</f>
        <v>0</v>
      </c>
      <c r="W155" s="76"/>
      <c r="X155" s="78">
        <f t="shared" ref="X155" si="706">+ROUND(W155*$I155,0)</f>
        <v>0</v>
      </c>
      <c r="Y155" s="76"/>
      <c r="Z155" s="78"/>
      <c r="AA155" s="76"/>
      <c r="AB155" s="78">
        <f t="shared" ref="AB155" si="707">+ROUND(AA155*$I155,0)</f>
        <v>0</v>
      </c>
      <c r="AC155" s="76"/>
      <c r="AD155" s="78">
        <f t="shared" ref="AD155" si="708">+ROUND(AC155*$I155,0)</f>
        <v>0</v>
      </c>
      <c r="AE155" s="76"/>
      <c r="AF155" s="78"/>
      <c r="AG155" s="76"/>
      <c r="AH155" s="78">
        <f t="shared" ref="AH155" si="709">+ROUND(AG155*$I155,0)</f>
        <v>0</v>
      </c>
      <c r="AI155" s="76"/>
      <c r="AJ155" s="78"/>
      <c r="AK155" s="76"/>
      <c r="AL155" s="78"/>
    </row>
    <row r="156" spans="1:38"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575"/>
        <v>0</v>
      </c>
      <c r="H156" s="69">
        <f>+VLOOKUP(C156,'PRECIOS IDU 2025'!$A$1:$E$3189,4,FALSE)</f>
        <v>298533</v>
      </c>
      <c r="I156" s="69">
        <f t="shared" si="576"/>
        <v>388093</v>
      </c>
      <c r="J156" s="69">
        <f t="shared" si="577"/>
        <v>0</v>
      </c>
      <c r="K156" s="9"/>
      <c r="L156" s="3"/>
      <c r="M156" s="76"/>
      <c r="N156" s="78">
        <f t="shared" si="674"/>
        <v>0</v>
      </c>
      <c r="O156" s="76"/>
      <c r="P156" s="78"/>
      <c r="Q156" s="76"/>
      <c r="R156" s="78"/>
      <c r="S156" s="76"/>
      <c r="T156" s="78"/>
      <c r="U156" s="76"/>
      <c r="V156" s="78">
        <f t="shared" ref="V156" si="710">+ROUND(U156*$I156,0)</f>
        <v>0</v>
      </c>
      <c r="W156" s="76"/>
      <c r="X156" s="78">
        <f t="shared" ref="X156" si="711">+ROUND(W156*$I156,0)</f>
        <v>0</v>
      </c>
      <c r="Y156" s="76"/>
      <c r="Z156" s="78"/>
      <c r="AA156" s="76"/>
      <c r="AB156" s="78">
        <f t="shared" ref="AB156" si="712">+ROUND(AA156*$I156,0)</f>
        <v>0</v>
      </c>
      <c r="AC156" s="76"/>
      <c r="AD156" s="78">
        <f t="shared" ref="AD156" si="713">+ROUND(AC156*$I156,0)</f>
        <v>0</v>
      </c>
      <c r="AE156" s="76"/>
      <c r="AF156" s="78"/>
      <c r="AG156" s="76"/>
      <c r="AH156" s="78">
        <f t="shared" ref="AH156" si="714">+ROUND(AG156*$I156,0)</f>
        <v>0</v>
      </c>
      <c r="AI156" s="76"/>
      <c r="AJ156" s="78"/>
      <c r="AK156" s="76"/>
      <c r="AL156" s="78"/>
    </row>
    <row r="157" spans="1:38"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575"/>
        <v>0</v>
      </c>
      <c r="H157" s="69">
        <f>+VLOOKUP(C157,'PRECIOS IDU 2025'!$A$1:$E$3189,4,FALSE)</f>
        <v>309435</v>
      </c>
      <c r="I157" s="69">
        <f t="shared" si="576"/>
        <v>402266</v>
      </c>
      <c r="J157" s="69">
        <f t="shared" si="577"/>
        <v>0</v>
      </c>
      <c r="K157" s="9"/>
      <c r="L157" s="3"/>
      <c r="M157" s="76"/>
      <c r="N157" s="78">
        <f t="shared" si="674"/>
        <v>0</v>
      </c>
      <c r="O157" s="76"/>
      <c r="P157" s="78"/>
      <c r="Q157" s="76"/>
      <c r="R157" s="78"/>
      <c r="S157" s="76"/>
      <c r="T157" s="78"/>
      <c r="U157" s="76"/>
      <c r="V157" s="78">
        <f t="shared" ref="V157" si="715">+ROUND(U157*$I157,0)</f>
        <v>0</v>
      </c>
      <c r="W157" s="76"/>
      <c r="X157" s="78">
        <f t="shared" ref="X157" si="716">+ROUND(W157*$I157,0)</f>
        <v>0</v>
      </c>
      <c r="Y157" s="76"/>
      <c r="Z157" s="78"/>
      <c r="AA157" s="76"/>
      <c r="AB157" s="78">
        <f t="shared" ref="AB157" si="717">+ROUND(AA157*$I157,0)</f>
        <v>0</v>
      </c>
      <c r="AC157" s="76"/>
      <c r="AD157" s="78">
        <f t="shared" ref="AD157" si="718">+ROUND(AC157*$I157,0)</f>
        <v>0</v>
      </c>
      <c r="AE157" s="76"/>
      <c r="AF157" s="78"/>
      <c r="AG157" s="76"/>
      <c r="AH157" s="78">
        <f t="shared" ref="AH157" si="719">+ROUND(AG157*$I157,0)</f>
        <v>0</v>
      </c>
      <c r="AI157" s="76"/>
      <c r="AJ157" s="78"/>
      <c r="AK157" s="76"/>
      <c r="AL157" s="78"/>
    </row>
    <row r="158" spans="1:38"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575"/>
        <v>0</v>
      </c>
      <c r="H158" s="69">
        <f>+VLOOKUP(C158,'PRECIOS IDU 2025'!$A$1:$E$3189,4,FALSE)</f>
        <v>191968</v>
      </c>
      <c r="I158" s="69">
        <f t="shared" si="576"/>
        <v>249558</v>
      </c>
      <c r="J158" s="69">
        <f t="shared" si="577"/>
        <v>0</v>
      </c>
      <c r="K158" s="9"/>
      <c r="L158" s="3"/>
      <c r="M158" s="76"/>
      <c r="N158" s="78">
        <f t="shared" si="674"/>
        <v>0</v>
      </c>
      <c r="O158" s="76"/>
      <c r="P158" s="78"/>
      <c r="Q158" s="76"/>
      <c r="R158" s="78"/>
      <c r="S158" s="76"/>
      <c r="T158" s="78"/>
      <c r="U158" s="76"/>
      <c r="V158" s="78">
        <f t="shared" ref="V158" si="720">+ROUND(U158*$I158,0)</f>
        <v>0</v>
      </c>
      <c r="W158" s="76"/>
      <c r="X158" s="78">
        <f t="shared" ref="X158" si="721">+ROUND(W158*$I158,0)</f>
        <v>0</v>
      </c>
      <c r="Y158" s="76"/>
      <c r="Z158" s="78"/>
      <c r="AA158" s="76"/>
      <c r="AB158" s="78">
        <f t="shared" ref="AB158" si="722">+ROUND(AA158*$I158,0)</f>
        <v>0</v>
      </c>
      <c r="AC158" s="76"/>
      <c r="AD158" s="78">
        <f t="shared" ref="AD158" si="723">+ROUND(AC158*$I158,0)</f>
        <v>0</v>
      </c>
      <c r="AE158" s="76"/>
      <c r="AF158" s="78"/>
      <c r="AG158" s="76"/>
      <c r="AH158" s="78">
        <f t="shared" ref="AH158" si="724">+ROUND(AG158*$I158,0)</f>
        <v>0</v>
      </c>
      <c r="AI158" s="76"/>
      <c r="AJ158" s="78"/>
      <c r="AK158" s="76"/>
      <c r="AL158" s="78"/>
    </row>
    <row r="159" spans="1:38"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575"/>
        <v>0</v>
      </c>
      <c r="H159" s="69">
        <f>+VLOOKUP(C159,'PRECIOS IDU 2025'!$A$1:$E$3189,4,FALSE)</f>
        <v>622071</v>
      </c>
      <c r="I159" s="69">
        <f t="shared" si="576"/>
        <v>808692</v>
      </c>
      <c r="J159" s="69">
        <f t="shared" si="577"/>
        <v>0</v>
      </c>
      <c r="K159" s="9"/>
      <c r="L159" s="3"/>
      <c r="M159" s="76"/>
      <c r="N159" s="78">
        <f t="shared" si="674"/>
        <v>0</v>
      </c>
      <c r="O159" s="76"/>
      <c r="P159" s="78"/>
      <c r="Q159" s="76"/>
      <c r="R159" s="78"/>
      <c r="S159" s="76"/>
      <c r="T159" s="78"/>
      <c r="U159" s="76"/>
      <c r="V159" s="78">
        <f t="shared" ref="V159" si="725">+ROUND(U159*$I159,0)</f>
        <v>0</v>
      </c>
      <c r="W159" s="76"/>
      <c r="X159" s="78">
        <f t="shared" ref="X159" si="726">+ROUND(W159*$I159,0)</f>
        <v>0</v>
      </c>
      <c r="Y159" s="76"/>
      <c r="Z159" s="78"/>
      <c r="AA159" s="76"/>
      <c r="AB159" s="78">
        <f t="shared" ref="AB159" si="727">+ROUND(AA159*$I159,0)</f>
        <v>0</v>
      </c>
      <c r="AC159" s="76"/>
      <c r="AD159" s="78">
        <f t="shared" ref="AD159" si="728">+ROUND(AC159*$I159,0)</f>
        <v>0</v>
      </c>
      <c r="AE159" s="76"/>
      <c r="AF159" s="78"/>
      <c r="AG159" s="76"/>
      <c r="AH159" s="78">
        <f t="shared" ref="AH159" si="729">+ROUND(AG159*$I159,0)</f>
        <v>0</v>
      </c>
      <c r="AI159" s="76"/>
      <c r="AJ159" s="78"/>
      <c r="AK159" s="76"/>
      <c r="AL159" s="78"/>
    </row>
    <row r="160" spans="1:38" ht="30" customHeight="1" x14ac:dyDescent="0.3">
      <c r="A160" s="3"/>
      <c r="B160" s="8"/>
      <c r="C160" s="60">
        <v>7830</v>
      </c>
      <c r="D160" s="60">
        <v>6031</v>
      </c>
      <c r="E160" s="60" t="e">
        <f>+VLOOKUP(C160,'PRECIOS IDU 2025'!$A$1:$E$3189,2,FALSE)</f>
        <v>#N/A</v>
      </c>
      <c r="F160" s="60" t="e">
        <f>+VLOOKUP(C160,'PRECIOS IDU 2025'!$A$1:$E$3189,3,FALSE)</f>
        <v>#N/A</v>
      </c>
      <c r="G160" s="108">
        <f t="shared" si="575"/>
        <v>0</v>
      </c>
      <c r="H160" s="69" t="e">
        <f>+VLOOKUP(C160,'PRECIOS IDU 2025'!$A$1:$E$3189,4,FALSE)</f>
        <v>#N/A</v>
      </c>
      <c r="I160" s="69" t="e">
        <f t="shared" si="576"/>
        <v>#N/A</v>
      </c>
      <c r="J160" s="69" t="e">
        <f t="shared" si="577"/>
        <v>#N/A</v>
      </c>
      <c r="K160" s="9"/>
      <c r="L160" s="3"/>
      <c r="M160" s="76"/>
      <c r="N160" s="78" t="e">
        <f t="shared" si="674"/>
        <v>#N/A</v>
      </c>
      <c r="O160" s="76"/>
      <c r="P160" s="78"/>
      <c r="Q160" s="76"/>
      <c r="R160" s="78"/>
      <c r="S160" s="76"/>
      <c r="T160" s="78"/>
      <c r="U160" s="76"/>
      <c r="V160" s="78" t="e">
        <f t="shared" ref="V160" si="730">+ROUND(U160*$I160,0)</f>
        <v>#N/A</v>
      </c>
      <c r="W160" s="76"/>
      <c r="X160" s="78" t="e">
        <f t="shared" ref="X160" si="731">+ROUND(W160*$I160,0)</f>
        <v>#N/A</v>
      </c>
      <c r="Y160" s="76"/>
      <c r="Z160" s="78"/>
      <c r="AA160" s="76"/>
      <c r="AB160" s="78" t="e">
        <f t="shared" ref="AB160" si="732">+ROUND(AA160*$I160,0)</f>
        <v>#N/A</v>
      </c>
      <c r="AC160" s="76"/>
      <c r="AD160" s="78" t="e">
        <f t="shared" ref="AD160" si="733">+ROUND(AC160*$I160,0)</f>
        <v>#N/A</v>
      </c>
      <c r="AE160" s="76"/>
      <c r="AF160" s="78"/>
      <c r="AG160" s="76"/>
      <c r="AH160" s="78" t="e">
        <f t="shared" ref="AH160" si="734">+ROUND(AG160*$I160,0)</f>
        <v>#N/A</v>
      </c>
      <c r="AI160" s="76"/>
      <c r="AJ160" s="78"/>
      <c r="AK160" s="76"/>
      <c r="AL160" s="78"/>
    </row>
    <row r="161" spans="1:38" ht="30" customHeight="1" x14ac:dyDescent="0.3">
      <c r="A161" s="3"/>
      <c r="B161" s="8"/>
      <c r="C161" s="60">
        <v>7831</v>
      </c>
      <c r="D161" s="60">
        <v>6032</v>
      </c>
      <c r="E161" s="60" t="e">
        <f>+VLOOKUP(C161,'PRECIOS IDU 2025'!$A$1:$E$3189,2,FALSE)</f>
        <v>#N/A</v>
      </c>
      <c r="F161" s="60" t="e">
        <f>+VLOOKUP(C161,'PRECIOS IDU 2025'!$A$1:$E$3189,3,FALSE)</f>
        <v>#N/A</v>
      </c>
      <c r="G161" s="108">
        <f t="shared" si="575"/>
        <v>0</v>
      </c>
      <c r="H161" s="69" t="e">
        <f>+VLOOKUP(C161,'PRECIOS IDU 2025'!$A$1:$E$3189,4,FALSE)</f>
        <v>#N/A</v>
      </c>
      <c r="I161" s="69" t="e">
        <f t="shared" si="576"/>
        <v>#N/A</v>
      </c>
      <c r="J161" s="69" t="e">
        <f t="shared" si="577"/>
        <v>#N/A</v>
      </c>
      <c r="K161" s="9"/>
      <c r="L161" s="3"/>
      <c r="M161" s="76"/>
      <c r="N161" s="78" t="e">
        <f t="shared" si="674"/>
        <v>#N/A</v>
      </c>
      <c r="O161" s="76"/>
      <c r="P161" s="78"/>
      <c r="Q161" s="76"/>
      <c r="R161" s="78"/>
      <c r="S161" s="76"/>
      <c r="T161" s="78"/>
      <c r="U161" s="76"/>
      <c r="V161" s="78" t="e">
        <f t="shared" ref="V161" si="735">+ROUND(U161*$I161,0)</f>
        <v>#N/A</v>
      </c>
      <c r="W161" s="76"/>
      <c r="X161" s="78" t="e">
        <f t="shared" ref="X161" si="736">+ROUND(W161*$I161,0)</f>
        <v>#N/A</v>
      </c>
      <c r="Y161" s="76"/>
      <c r="Z161" s="78"/>
      <c r="AA161" s="76"/>
      <c r="AB161" s="78" t="e">
        <f t="shared" ref="AB161" si="737">+ROUND(AA161*$I161,0)</f>
        <v>#N/A</v>
      </c>
      <c r="AC161" s="76"/>
      <c r="AD161" s="78" t="e">
        <f t="shared" ref="AD161" si="738">+ROUND(AC161*$I161,0)</f>
        <v>#N/A</v>
      </c>
      <c r="AE161" s="76"/>
      <c r="AF161" s="78"/>
      <c r="AG161" s="76"/>
      <c r="AH161" s="78" t="e">
        <f t="shared" ref="AH161" si="739">+ROUND(AG161*$I161,0)</f>
        <v>#N/A</v>
      </c>
      <c r="AI161" s="76"/>
      <c r="AJ161" s="78"/>
      <c r="AK161" s="76"/>
      <c r="AL161" s="78"/>
    </row>
    <row r="162" spans="1:38"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575"/>
        <v>0</v>
      </c>
      <c r="H162" s="69">
        <f>+VLOOKUP(C162,'PRECIOS IDU 2025'!$A$1:$E$3189,4,FALSE)</f>
        <v>407062</v>
      </c>
      <c r="I162" s="69">
        <f t="shared" si="576"/>
        <v>529181</v>
      </c>
      <c r="J162" s="69">
        <f t="shared" si="577"/>
        <v>0</v>
      </c>
      <c r="K162" s="9"/>
      <c r="L162" s="3"/>
      <c r="M162" s="76"/>
      <c r="N162" s="78">
        <f t="shared" si="674"/>
        <v>0</v>
      </c>
      <c r="O162" s="76"/>
      <c r="P162" s="78"/>
      <c r="Q162" s="76"/>
      <c r="R162" s="78"/>
      <c r="S162" s="76"/>
      <c r="T162" s="78"/>
      <c r="U162" s="76"/>
      <c r="V162" s="78">
        <f t="shared" ref="V162" si="740">+ROUND(U162*$I162,0)</f>
        <v>0</v>
      </c>
      <c r="W162" s="76"/>
      <c r="X162" s="78">
        <f t="shared" ref="X162" si="741">+ROUND(W162*$I162,0)</f>
        <v>0</v>
      </c>
      <c r="Y162" s="76"/>
      <c r="Z162" s="78"/>
      <c r="AA162" s="76"/>
      <c r="AB162" s="78">
        <f t="shared" ref="AB162" si="742">+ROUND(AA162*$I162,0)</f>
        <v>0</v>
      </c>
      <c r="AC162" s="76"/>
      <c r="AD162" s="78">
        <f t="shared" ref="AD162" si="743">+ROUND(AC162*$I162,0)</f>
        <v>0</v>
      </c>
      <c r="AE162" s="76"/>
      <c r="AF162" s="78"/>
      <c r="AG162" s="76"/>
      <c r="AH162" s="78">
        <f t="shared" ref="AH162" si="744">+ROUND(AG162*$I162,0)</f>
        <v>0</v>
      </c>
      <c r="AI162" s="76"/>
      <c r="AJ162" s="78"/>
      <c r="AK162" s="76"/>
      <c r="AL162" s="78"/>
    </row>
    <row r="163" spans="1:38"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575"/>
        <v>0</v>
      </c>
      <c r="H163" s="69">
        <f>+VLOOKUP(C163,'PRECIOS IDU 2025'!$A$1:$E$3189,4,FALSE)</f>
        <v>7624362</v>
      </c>
      <c r="I163" s="69">
        <f t="shared" si="576"/>
        <v>9911671</v>
      </c>
      <c r="J163" s="69">
        <f t="shared" si="577"/>
        <v>0</v>
      </c>
      <c r="K163" s="9"/>
      <c r="L163" s="3"/>
      <c r="M163" s="76"/>
      <c r="N163" s="78">
        <f t="shared" si="674"/>
        <v>0</v>
      </c>
      <c r="O163" s="76"/>
      <c r="P163" s="78"/>
      <c r="Q163" s="76"/>
      <c r="R163" s="78"/>
      <c r="S163" s="76"/>
      <c r="T163" s="78"/>
      <c r="U163" s="76"/>
      <c r="V163" s="78">
        <f t="shared" ref="V163" si="745">+ROUND(U163*$I163,0)</f>
        <v>0</v>
      </c>
      <c r="W163" s="76"/>
      <c r="X163" s="78">
        <f t="shared" ref="X163" si="746">+ROUND(W163*$I163,0)</f>
        <v>0</v>
      </c>
      <c r="Y163" s="76"/>
      <c r="Z163" s="78"/>
      <c r="AA163" s="76"/>
      <c r="AB163" s="78">
        <f t="shared" ref="AB163" si="747">+ROUND(AA163*$I163,0)</f>
        <v>0</v>
      </c>
      <c r="AC163" s="76"/>
      <c r="AD163" s="78">
        <f t="shared" ref="AD163" si="748">+ROUND(AC163*$I163,0)</f>
        <v>0</v>
      </c>
      <c r="AE163" s="76"/>
      <c r="AF163" s="78"/>
      <c r="AG163" s="76"/>
      <c r="AH163" s="78">
        <f t="shared" ref="AH163" si="749">+ROUND(AG163*$I163,0)</f>
        <v>0</v>
      </c>
      <c r="AI163" s="76"/>
      <c r="AJ163" s="78"/>
      <c r="AK163" s="76"/>
      <c r="AL163" s="78"/>
    </row>
    <row r="164" spans="1:38" ht="30" customHeight="1" x14ac:dyDescent="0.3">
      <c r="A164" s="3"/>
      <c r="B164" s="8"/>
      <c r="C164" s="66" t="s">
        <v>6082</v>
      </c>
      <c r="D164" s="67"/>
      <c r="E164" s="67"/>
      <c r="F164" s="67"/>
      <c r="G164" s="67"/>
      <c r="H164" s="67"/>
      <c r="I164" s="67"/>
      <c r="J164" s="68"/>
      <c r="K164" s="9"/>
      <c r="L164" s="3"/>
      <c r="M164" s="76"/>
      <c r="N164" s="78">
        <f t="shared" si="674"/>
        <v>0</v>
      </c>
      <c r="O164" s="76"/>
      <c r="P164" s="78"/>
      <c r="Q164" s="76"/>
      <c r="R164" s="78"/>
      <c r="S164" s="76"/>
      <c r="T164" s="78"/>
      <c r="U164" s="76"/>
      <c r="V164" s="78">
        <f t="shared" ref="V164" si="750">+ROUND(U164*$I164,0)</f>
        <v>0</v>
      </c>
      <c r="W164" s="76"/>
      <c r="X164" s="78">
        <f t="shared" ref="X164" si="751">+ROUND(W164*$I164,0)</f>
        <v>0</v>
      </c>
      <c r="Y164" s="76"/>
      <c r="Z164" s="78"/>
      <c r="AA164" s="76"/>
      <c r="AB164" s="78">
        <f t="shared" ref="AB164" si="752">+ROUND(AA164*$I164,0)</f>
        <v>0</v>
      </c>
      <c r="AC164" s="76"/>
      <c r="AD164" s="78">
        <f t="shared" ref="AD164" si="753">+ROUND(AC164*$I164,0)</f>
        <v>0</v>
      </c>
      <c r="AE164" s="76"/>
      <c r="AF164" s="78"/>
      <c r="AG164" s="76"/>
      <c r="AH164" s="78">
        <f t="shared" ref="AH164" si="754">+ROUND(AG164*$I164,0)</f>
        <v>0</v>
      </c>
      <c r="AI164" s="76"/>
      <c r="AJ164" s="78"/>
      <c r="AK164" s="76"/>
      <c r="AL164" s="78"/>
    </row>
    <row r="165" spans="1:38"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755">+ROUND(M165+O165+Q165+S165+U165+W165+Y165+AA165+AC165+AE165+AG165+AI165+AK165,2)</f>
        <v>556.17999999999995</v>
      </c>
      <c r="H165" s="69">
        <f>+VLOOKUP(C165,'PRECIOS IDU 2025'!$A$1:$E$3189,4,FALSE)</f>
        <v>18177</v>
      </c>
      <c r="I165" s="69">
        <f t="shared" ref="I165:I179" si="756">+ROUND(H165*(1+$J$192),0)</f>
        <v>23630</v>
      </c>
      <c r="J165" s="69">
        <f t="shared" ref="J165:J179" si="757">+ROUND(I165*G165,0)</f>
        <v>13142533</v>
      </c>
      <c r="K165" s="9"/>
      <c r="L165" s="3"/>
      <c r="M165" s="76">
        <f>+M11*2</f>
        <v>46.08</v>
      </c>
      <c r="N165" s="78">
        <f t="shared" ref="N165:N179" si="758">+ROUND(M165*$I165,0)</f>
        <v>1088870</v>
      </c>
      <c r="O165" s="76"/>
      <c r="P165" s="78"/>
      <c r="Q165" s="76"/>
      <c r="R165" s="78"/>
      <c r="S165" s="76"/>
      <c r="T165" s="78"/>
      <c r="U165" s="76">
        <f>+U11*2</f>
        <v>60.62</v>
      </c>
      <c r="V165" s="78">
        <f t="shared" ref="V165" si="759">+ROUND(U165*$I165,0)</f>
        <v>1432451</v>
      </c>
      <c r="W165" s="76">
        <f>+W11*2</f>
        <v>100.24</v>
      </c>
      <c r="X165" s="78">
        <f t="shared" ref="X165" si="760">+ROUND(W165*$I165,0)</f>
        <v>2368671</v>
      </c>
      <c r="Y165" s="76"/>
      <c r="Z165" s="78"/>
      <c r="AA165" s="76">
        <f>+AA11*2</f>
        <v>68.72</v>
      </c>
      <c r="AB165" s="78">
        <f t="shared" ref="AB165" si="761">+ROUND(AA165*$I165,0)</f>
        <v>1623854</v>
      </c>
      <c r="AC165" s="76">
        <f>+AC11*2</f>
        <v>108.96</v>
      </c>
      <c r="AD165" s="78">
        <f t="shared" ref="AD165" si="762">+ROUND(AC165*$I165,0)</f>
        <v>2574725</v>
      </c>
      <c r="AE165" s="76"/>
      <c r="AF165" s="78"/>
      <c r="AG165" s="76">
        <f>+AG11*2</f>
        <v>171.56</v>
      </c>
      <c r="AH165" s="78">
        <f t="shared" ref="AH165" si="763">+ROUND(AG165*$I165,0)</f>
        <v>4053963</v>
      </c>
      <c r="AI165" s="76"/>
      <c r="AJ165" s="78"/>
      <c r="AK165" s="76"/>
      <c r="AL165" s="78"/>
    </row>
    <row r="166" spans="1:38"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755"/>
        <v>6</v>
      </c>
      <c r="H166" s="69">
        <f>+VLOOKUP(C166,'PRECIOS IDU 2025'!$A$1:$E$3189,4,FALSE)</f>
        <v>181765</v>
      </c>
      <c r="I166" s="69">
        <f t="shared" si="756"/>
        <v>236295</v>
      </c>
      <c r="J166" s="69">
        <f t="shared" si="757"/>
        <v>1417770</v>
      </c>
      <c r="K166" s="9"/>
      <c r="L166" s="3"/>
      <c r="M166" s="76">
        <v>1</v>
      </c>
      <c r="N166" s="78">
        <f t="shared" si="758"/>
        <v>236295</v>
      </c>
      <c r="O166" s="76"/>
      <c r="P166" s="78"/>
      <c r="Q166" s="76"/>
      <c r="R166" s="78"/>
      <c r="S166" s="76"/>
      <c r="T166" s="78"/>
      <c r="U166" s="76">
        <v>1</v>
      </c>
      <c r="V166" s="78">
        <f t="shared" ref="V166" si="764">+ROUND(U166*$I166,0)</f>
        <v>236295</v>
      </c>
      <c r="W166" s="76">
        <v>1</v>
      </c>
      <c r="X166" s="78">
        <f t="shared" ref="X166" si="765">+ROUND(W166*$I166,0)</f>
        <v>236295</v>
      </c>
      <c r="Y166" s="76"/>
      <c r="Z166" s="78"/>
      <c r="AA166" s="76">
        <v>1</v>
      </c>
      <c r="AB166" s="78">
        <f t="shared" ref="AB166" si="766">+ROUND(AA166*$I166,0)</f>
        <v>236295</v>
      </c>
      <c r="AC166" s="76">
        <v>1</v>
      </c>
      <c r="AD166" s="78">
        <f t="shared" ref="AD166" si="767">+ROUND(AC166*$I166,0)</f>
        <v>236295</v>
      </c>
      <c r="AE166" s="76"/>
      <c r="AF166" s="78"/>
      <c r="AG166" s="76">
        <v>1</v>
      </c>
      <c r="AH166" s="78">
        <f t="shared" ref="AH166" si="768">+ROUND(AG166*$I166,0)</f>
        <v>236295</v>
      </c>
      <c r="AI166" s="76"/>
      <c r="AJ166" s="78"/>
      <c r="AK166" s="76"/>
      <c r="AL166" s="78"/>
    </row>
    <row r="167" spans="1:38"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755"/>
        <v>128.63999999999999</v>
      </c>
      <c r="H167" s="69">
        <f>+VLOOKUP(C167,'PRECIOS IDU 2025'!$A$1:$E$3189,4,FALSE)</f>
        <v>151470</v>
      </c>
      <c r="I167" s="69">
        <f t="shared" si="756"/>
        <v>196911</v>
      </c>
      <c r="J167" s="69">
        <f t="shared" si="757"/>
        <v>25330631</v>
      </c>
      <c r="K167" s="9"/>
      <c r="L167" s="3"/>
      <c r="M167" s="76">
        <f>2*M12*1.5</f>
        <v>20.97</v>
      </c>
      <c r="N167" s="78">
        <f t="shared" si="758"/>
        <v>4129224</v>
      </c>
      <c r="O167" s="76"/>
      <c r="P167" s="78"/>
      <c r="Q167" s="76"/>
      <c r="R167" s="78"/>
      <c r="S167" s="76"/>
      <c r="T167" s="78"/>
      <c r="U167" s="76">
        <f>2*U12*1.5</f>
        <v>22.29</v>
      </c>
      <c r="V167" s="78">
        <f t="shared" ref="V167" si="769">+ROUND(U167*$I167,0)</f>
        <v>4389146</v>
      </c>
      <c r="W167" s="76">
        <f>2*W12*1.5</f>
        <v>20.73</v>
      </c>
      <c r="X167" s="78">
        <f t="shared" ref="X167" si="770">+ROUND(W167*$I167,0)</f>
        <v>4081965</v>
      </c>
      <c r="Y167" s="76"/>
      <c r="Z167" s="78"/>
      <c r="AA167" s="76">
        <f>2*AA12*1.5</f>
        <v>31.56</v>
      </c>
      <c r="AB167" s="78">
        <f t="shared" ref="AB167" si="771">+ROUND(AA167*$I167,0)</f>
        <v>6214511</v>
      </c>
      <c r="AC167" s="76">
        <f>2*AC12*1.5</f>
        <v>17.91</v>
      </c>
      <c r="AD167" s="78">
        <f t="shared" ref="AD167" si="772">+ROUND(AC167*$I167,0)</f>
        <v>3526676</v>
      </c>
      <c r="AE167" s="76"/>
      <c r="AF167" s="78"/>
      <c r="AG167" s="76">
        <f>2*AG12*1.5</f>
        <v>15.18</v>
      </c>
      <c r="AH167" s="78">
        <f t="shared" ref="AH167" si="773">+ROUND(AG167*$I167,0)</f>
        <v>2989109</v>
      </c>
      <c r="AI167" s="76"/>
      <c r="AJ167" s="78"/>
      <c r="AK167" s="76"/>
      <c r="AL167" s="78"/>
    </row>
    <row r="168" spans="1:38"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755"/>
        <v>278.08999999999997</v>
      </c>
      <c r="H168" s="69">
        <f>+VLOOKUP(C168,'PRECIOS IDU 2025'!$A$1:$E$3189,4,FALSE)</f>
        <v>2505</v>
      </c>
      <c r="I168" s="69">
        <f t="shared" si="756"/>
        <v>3257</v>
      </c>
      <c r="J168" s="69">
        <f t="shared" si="757"/>
        <v>905739</v>
      </c>
      <c r="K168" s="9"/>
      <c r="L168" s="3"/>
      <c r="M168" s="76">
        <f>+M11</f>
        <v>23.04</v>
      </c>
      <c r="N168" s="78">
        <f t="shared" si="758"/>
        <v>75041</v>
      </c>
      <c r="O168" s="76"/>
      <c r="P168" s="78"/>
      <c r="Q168" s="76"/>
      <c r="R168" s="78"/>
      <c r="S168" s="76"/>
      <c r="T168" s="78"/>
      <c r="U168" s="76">
        <f>+U11</f>
        <v>30.31</v>
      </c>
      <c r="V168" s="78">
        <f t="shared" ref="V168" si="774">+ROUND(U168*$I168,0)</f>
        <v>98720</v>
      </c>
      <c r="W168" s="76">
        <f>+W11</f>
        <v>50.12</v>
      </c>
      <c r="X168" s="78">
        <f t="shared" ref="X168" si="775">+ROUND(W168*$I168,0)</f>
        <v>163241</v>
      </c>
      <c r="Y168" s="76"/>
      <c r="Z168" s="78"/>
      <c r="AA168" s="76">
        <f>+AA11</f>
        <v>34.36</v>
      </c>
      <c r="AB168" s="78">
        <f t="shared" ref="AB168" si="776">+ROUND(AA168*$I168,0)</f>
        <v>111911</v>
      </c>
      <c r="AC168" s="76">
        <f>+AC11</f>
        <v>54.48</v>
      </c>
      <c r="AD168" s="78">
        <f t="shared" ref="AD168" si="777">+ROUND(AC168*$I168,0)</f>
        <v>177441</v>
      </c>
      <c r="AE168" s="76"/>
      <c r="AF168" s="78"/>
      <c r="AG168" s="76">
        <f>+AG11</f>
        <v>85.78</v>
      </c>
      <c r="AH168" s="78">
        <f t="shared" ref="AH168" si="778">+ROUND(AG168*$I168,0)</f>
        <v>279385</v>
      </c>
      <c r="AI168" s="76"/>
      <c r="AJ168" s="78"/>
      <c r="AK168" s="76"/>
      <c r="AL168" s="78"/>
    </row>
    <row r="169" spans="1:38"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755"/>
        <v>6</v>
      </c>
      <c r="H169" s="69">
        <f>+VLOOKUP(C169,'PRECIOS IDU 2025'!$A$1:$E$3189,4,FALSE)</f>
        <v>228720</v>
      </c>
      <c r="I169" s="69">
        <f t="shared" si="756"/>
        <v>297336</v>
      </c>
      <c r="J169" s="69">
        <f t="shared" si="757"/>
        <v>1784016</v>
      </c>
      <c r="K169" s="9"/>
      <c r="L169" s="3"/>
      <c r="M169" s="76">
        <v>1</v>
      </c>
      <c r="N169" s="78">
        <f t="shared" si="758"/>
        <v>297336</v>
      </c>
      <c r="O169" s="76"/>
      <c r="P169" s="78"/>
      <c r="Q169" s="76"/>
      <c r="R169" s="78"/>
      <c r="S169" s="76"/>
      <c r="T169" s="78"/>
      <c r="U169" s="76">
        <v>1</v>
      </c>
      <c r="V169" s="78">
        <f t="shared" ref="V169" si="779">+ROUND(U169*$I169,0)</f>
        <v>297336</v>
      </c>
      <c r="W169" s="76">
        <v>1</v>
      </c>
      <c r="X169" s="78">
        <f t="shared" ref="X169" si="780">+ROUND(W169*$I169,0)</f>
        <v>297336</v>
      </c>
      <c r="Y169" s="76"/>
      <c r="Z169" s="78"/>
      <c r="AA169" s="76">
        <v>1</v>
      </c>
      <c r="AB169" s="78">
        <f t="shared" ref="AB169" si="781">+ROUND(AA169*$I169,0)</f>
        <v>297336</v>
      </c>
      <c r="AC169" s="76">
        <v>1</v>
      </c>
      <c r="AD169" s="78">
        <f t="shared" ref="AD169" si="782">+ROUND(AC169*$I169,0)</f>
        <v>297336</v>
      </c>
      <c r="AE169" s="76"/>
      <c r="AF169" s="78"/>
      <c r="AG169" s="76">
        <v>1</v>
      </c>
      <c r="AH169" s="78">
        <f t="shared" ref="AH169" si="783">+ROUND(AG169*$I169,0)</f>
        <v>297336</v>
      </c>
      <c r="AI169" s="76"/>
      <c r="AJ169" s="78"/>
      <c r="AK169" s="76"/>
      <c r="AL169" s="78"/>
    </row>
    <row r="170" spans="1:38"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755"/>
        <v>6</v>
      </c>
      <c r="H170" s="69">
        <f>+VLOOKUP(C170,'PRECIOS IDU 2025'!$A$1:$E$3189,4,FALSE)</f>
        <v>330205</v>
      </c>
      <c r="I170" s="69">
        <f t="shared" si="756"/>
        <v>429267</v>
      </c>
      <c r="J170" s="69">
        <f t="shared" si="757"/>
        <v>2575602</v>
      </c>
      <c r="K170" s="9"/>
      <c r="L170" s="3"/>
      <c r="M170" s="76">
        <v>1</v>
      </c>
      <c r="N170" s="78">
        <f t="shared" si="758"/>
        <v>429267</v>
      </c>
      <c r="O170" s="76"/>
      <c r="P170" s="78"/>
      <c r="Q170" s="76"/>
      <c r="R170" s="78"/>
      <c r="S170" s="76"/>
      <c r="T170" s="78"/>
      <c r="U170" s="76">
        <v>1</v>
      </c>
      <c r="V170" s="78">
        <f t="shared" ref="V170" si="784">+ROUND(U170*$I170,0)</f>
        <v>429267</v>
      </c>
      <c r="W170" s="76">
        <v>1</v>
      </c>
      <c r="X170" s="78">
        <f t="shared" ref="X170" si="785">+ROUND(W170*$I170,0)</f>
        <v>429267</v>
      </c>
      <c r="Y170" s="76"/>
      <c r="Z170" s="78"/>
      <c r="AA170" s="76">
        <v>1</v>
      </c>
      <c r="AB170" s="78">
        <f t="shared" ref="AB170" si="786">+ROUND(AA170*$I170,0)</f>
        <v>429267</v>
      </c>
      <c r="AC170" s="76">
        <v>1</v>
      </c>
      <c r="AD170" s="78">
        <f t="shared" ref="AD170" si="787">+ROUND(AC170*$I170,0)</f>
        <v>429267</v>
      </c>
      <c r="AE170" s="76"/>
      <c r="AF170" s="78"/>
      <c r="AG170" s="76">
        <v>1</v>
      </c>
      <c r="AH170" s="78">
        <f t="shared" ref="AH170" si="788">+ROUND(AG170*$I170,0)</f>
        <v>429267</v>
      </c>
      <c r="AI170" s="76"/>
      <c r="AJ170" s="78"/>
      <c r="AK170" s="76"/>
      <c r="AL170" s="78"/>
    </row>
    <row r="171" spans="1:38"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755"/>
        <v>41.71</v>
      </c>
      <c r="H171" s="69">
        <f>+VLOOKUP(C171,'PRECIOS IDU 2025'!$A$1:$E$3189,4,FALSE)</f>
        <v>151470</v>
      </c>
      <c r="I171" s="69">
        <f t="shared" si="756"/>
        <v>196911</v>
      </c>
      <c r="J171" s="69">
        <f t="shared" si="757"/>
        <v>8213158</v>
      </c>
      <c r="K171" s="9"/>
      <c r="L171" s="3"/>
      <c r="M171" s="76">
        <f>0.15*M11</f>
        <v>3.456</v>
      </c>
      <c r="N171" s="78">
        <f t="shared" si="758"/>
        <v>680524</v>
      </c>
      <c r="O171" s="76"/>
      <c r="P171" s="78"/>
      <c r="Q171" s="76"/>
      <c r="R171" s="78"/>
      <c r="S171" s="76"/>
      <c r="T171" s="78"/>
      <c r="U171" s="76">
        <f>0.15*U11</f>
        <v>4.5465</v>
      </c>
      <c r="V171" s="78">
        <f t="shared" ref="V171" si="789">+ROUND(U171*$I171,0)</f>
        <v>895256</v>
      </c>
      <c r="W171" s="76">
        <f>0.15*W11</f>
        <v>7.5179999999999989</v>
      </c>
      <c r="X171" s="78">
        <f t="shared" ref="X171" si="790">+ROUND(W171*$I171,0)</f>
        <v>1480377</v>
      </c>
      <c r="Y171" s="76"/>
      <c r="Z171" s="78"/>
      <c r="AA171" s="76">
        <f>0.15*AA11</f>
        <v>5.1539999999999999</v>
      </c>
      <c r="AB171" s="78">
        <f t="shared" ref="AB171" si="791">+ROUND(AA171*$I171,0)</f>
        <v>1014879</v>
      </c>
      <c r="AC171" s="76">
        <f>0.15*AC11</f>
        <v>8.1719999999999988</v>
      </c>
      <c r="AD171" s="78">
        <f t="shared" ref="AD171" si="792">+ROUND(AC171*$I171,0)</f>
        <v>1609157</v>
      </c>
      <c r="AE171" s="76"/>
      <c r="AF171" s="78"/>
      <c r="AG171" s="76">
        <f>0.15*AG11</f>
        <v>12.866999999999999</v>
      </c>
      <c r="AH171" s="78">
        <f t="shared" ref="AH171" si="793">+ROUND(AG171*$I171,0)</f>
        <v>2533654</v>
      </c>
      <c r="AI171" s="76"/>
      <c r="AJ171" s="78"/>
      <c r="AK171" s="76"/>
      <c r="AL171" s="78"/>
    </row>
    <row r="172" spans="1:38"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755"/>
        <v>300</v>
      </c>
      <c r="H172" s="69">
        <f>+VLOOKUP(C172,'PRECIOS IDU 2025'!$A$1:$E$3189,4,FALSE)</f>
        <v>10907</v>
      </c>
      <c r="I172" s="69">
        <f t="shared" si="756"/>
        <v>14179</v>
      </c>
      <c r="J172" s="69">
        <f t="shared" si="757"/>
        <v>4253700</v>
      </c>
      <c r="K172" s="9"/>
      <c r="L172" s="3"/>
      <c r="M172" s="76">
        <v>50</v>
      </c>
      <c r="N172" s="78">
        <f t="shared" si="758"/>
        <v>708950</v>
      </c>
      <c r="O172" s="76"/>
      <c r="P172" s="78"/>
      <c r="Q172" s="76"/>
      <c r="R172" s="78"/>
      <c r="S172" s="76"/>
      <c r="T172" s="78"/>
      <c r="U172" s="76">
        <v>50</v>
      </c>
      <c r="V172" s="78">
        <f t="shared" ref="V172" si="794">+ROUND(U172*$I172,0)</f>
        <v>708950</v>
      </c>
      <c r="W172" s="76">
        <v>50</v>
      </c>
      <c r="X172" s="78">
        <f t="shared" ref="X172" si="795">+ROUND(W172*$I172,0)</f>
        <v>708950</v>
      </c>
      <c r="Y172" s="76"/>
      <c r="Z172" s="78"/>
      <c r="AA172" s="76">
        <v>50</v>
      </c>
      <c r="AB172" s="78">
        <f t="shared" ref="AB172" si="796">+ROUND(AA172*$I172,0)</f>
        <v>708950</v>
      </c>
      <c r="AC172" s="76">
        <v>50</v>
      </c>
      <c r="AD172" s="78">
        <f t="shared" ref="AD172" si="797">+ROUND(AC172*$I172,0)</f>
        <v>708950</v>
      </c>
      <c r="AE172" s="76"/>
      <c r="AF172" s="78"/>
      <c r="AG172" s="76">
        <v>50</v>
      </c>
      <c r="AH172" s="78">
        <f t="shared" ref="AH172" si="798">+ROUND(AG172*$I172,0)</f>
        <v>708950</v>
      </c>
      <c r="AI172" s="76"/>
      <c r="AJ172" s="78"/>
      <c r="AK172" s="76"/>
      <c r="AL172" s="78"/>
    </row>
    <row r="173" spans="1:38"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755"/>
        <v>278.08999999999997</v>
      </c>
      <c r="H173" s="69">
        <f>+VLOOKUP(C173,'PRECIOS IDU 2025'!$A$1:$E$3189,4,FALSE)</f>
        <v>18776</v>
      </c>
      <c r="I173" s="69">
        <f t="shared" si="756"/>
        <v>24409</v>
      </c>
      <c r="J173" s="69">
        <f t="shared" si="757"/>
        <v>6787899</v>
      </c>
      <c r="K173" s="9"/>
      <c r="L173" s="3"/>
      <c r="M173" s="76">
        <f>+M11</f>
        <v>23.04</v>
      </c>
      <c r="N173" s="78">
        <f t="shared" si="758"/>
        <v>562383</v>
      </c>
      <c r="O173" s="76"/>
      <c r="P173" s="78"/>
      <c r="Q173" s="76"/>
      <c r="R173" s="78"/>
      <c r="S173" s="76"/>
      <c r="T173" s="78"/>
      <c r="U173" s="76">
        <f>+U11</f>
        <v>30.31</v>
      </c>
      <c r="V173" s="78">
        <f t="shared" ref="V173" si="799">+ROUND(U173*$I173,0)</f>
        <v>739837</v>
      </c>
      <c r="W173" s="76">
        <f>+W11</f>
        <v>50.12</v>
      </c>
      <c r="X173" s="78">
        <f t="shared" ref="X173" si="800">+ROUND(W173*$I173,0)</f>
        <v>1223379</v>
      </c>
      <c r="Y173" s="76"/>
      <c r="Z173" s="78"/>
      <c r="AA173" s="76">
        <f>+AA11</f>
        <v>34.36</v>
      </c>
      <c r="AB173" s="78">
        <f t="shared" ref="AB173" si="801">+ROUND(AA173*$I173,0)</f>
        <v>838693</v>
      </c>
      <c r="AC173" s="76">
        <f>+AC11</f>
        <v>54.48</v>
      </c>
      <c r="AD173" s="78">
        <f t="shared" ref="AD173" si="802">+ROUND(AC173*$I173,0)</f>
        <v>1329802</v>
      </c>
      <c r="AE173" s="76"/>
      <c r="AF173" s="78"/>
      <c r="AG173" s="76">
        <f>+AG11</f>
        <v>85.78</v>
      </c>
      <c r="AH173" s="78">
        <f t="shared" ref="AH173" si="803">+ROUND(AG173*$I173,0)</f>
        <v>2093804</v>
      </c>
      <c r="AI173" s="76"/>
      <c r="AJ173" s="78"/>
      <c r="AK173" s="76"/>
      <c r="AL173" s="78"/>
    </row>
    <row r="174" spans="1:38"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755"/>
        <v>278.08999999999997</v>
      </c>
      <c r="H174" s="69">
        <f>+VLOOKUP(C174,'PRECIOS IDU 2025'!$A$1:$E$3189,4,FALSE)</f>
        <v>4323</v>
      </c>
      <c r="I174" s="69">
        <f t="shared" si="756"/>
        <v>5620</v>
      </c>
      <c r="J174" s="69">
        <f t="shared" si="757"/>
        <v>1562866</v>
      </c>
      <c r="K174" s="9"/>
      <c r="L174" s="3"/>
      <c r="M174" s="76">
        <f>+M11</f>
        <v>23.04</v>
      </c>
      <c r="N174" s="78">
        <f t="shared" si="758"/>
        <v>129485</v>
      </c>
      <c r="O174" s="76"/>
      <c r="P174" s="78"/>
      <c r="Q174" s="76"/>
      <c r="R174" s="78"/>
      <c r="S174" s="76"/>
      <c r="T174" s="78"/>
      <c r="U174" s="76">
        <f>+U11</f>
        <v>30.31</v>
      </c>
      <c r="V174" s="78">
        <f t="shared" ref="V174" si="804">+ROUND(U174*$I174,0)</f>
        <v>170342</v>
      </c>
      <c r="W174" s="76">
        <f>+W11</f>
        <v>50.12</v>
      </c>
      <c r="X174" s="78">
        <f t="shared" ref="X174" si="805">+ROUND(W174*$I174,0)</f>
        <v>281674</v>
      </c>
      <c r="Y174" s="76"/>
      <c r="Z174" s="78"/>
      <c r="AA174" s="76">
        <f>+AA11</f>
        <v>34.36</v>
      </c>
      <c r="AB174" s="78">
        <f t="shared" ref="AB174" si="806">+ROUND(AA174*$I174,0)</f>
        <v>193103</v>
      </c>
      <c r="AC174" s="76">
        <f>+AC11</f>
        <v>54.48</v>
      </c>
      <c r="AD174" s="78">
        <f t="shared" ref="AD174" si="807">+ROUND(AC174*$I174,0)</f>
        <v>306178</v>
      </c>
      <c r="AE174" s="76"/>
      <c r="AF174" s="78"/>
      <c r="AG174" s="76">
        <f>+AG11</f>
        <v>85.78</v>
      </c>
      <c r="AH174" s="78">
        <f t="shared" ref="AH174" si="808">+ROUND(AG174*$I174,0)</f>
        <v>482084</v>
      </c>
      <c r="AI174" s="76"/>
      <c r="AJ174" s="78"/>
      <c r="AK174" s="76"/>
      <c r="AL174" s="78"/>
    </row>
    <row r="175" spans="1:38"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755"/>
        <v>278.08999999999997</v>
      </c>
      <c r="H175" s="69">
        <f>+VLOOKUP(C175,'PRECIOS IDU 2025'!$A$1:$E$3189,4,FALSE)</f>
        <v>5850</v>
      </c>
      <c r="I175" s="69">
        <f t="shared" si="756"/>
        <v>7605</v>
      </c>
      <c r="J175" s="69">
        <f t="shared" si="757"/>
        <v>2114874</v>
      </c>
      <c r="K175" s="9"/>
      <c r="L175" s="3"/>
      <c r="M175" s="76">
        <f>+M11</f>
        <v>23.04</v>
      </c>
      <c r="N175" s="78">
        <f t="shared" si="758"/>
        <v>175219</v>
      </c>
      <c r="O175" s="76"/>
      <c r="P175" s="78"/>
      <c r="Q175" s="76"/>
      <c r="R175" s="78"/>
      <c r="S175" s="76"/>
      <c r="T175" s="78"/>
      <c r="U175" s="76">
        <f>+U11</f>
        <v>30.31</v>
      </c>
      <c r="V175" s="78">
        <f t="shared" ref="V175" si="809">+ROUND(U175*$I175,0)</f>
        <v>230508</v>
      </c>
      <c r="W175" s="76">
        <f>+W11</f>
        <v>50.12</v>
      </c>
      <c r="X175" s="78">
        <f t="shared" ref="X175" si="810">+ROUND(W175*$I175,0)</f>
        <v>381163</v>
      </c>
      <c r="Y175" s="76"/>
      <c r="Z175" s="78"/>
      <c r="AA175" s="76">
        <f>+AA11</f>
        <v>34.36</v>
      </c>
      <c r="AB175" s="78">
        <f t="shared" ref="AB175" si="811">+ROUND(AA175*$I175,0)</f>
        <v>261308</v>
      </c>
      <c r="AC175" s="76">
        <f>+AC11</f>
        <v>54.48</v>
      </c>
      <c r="AD175" s="78">
        <f t="shared" ref="AD175" si="812">+ROUND(AC175*$I175,0)</f>
        <v>414320</v>
      </c>
      <c r="AE175" s="76"/>
      <c r="AF175" s="78"/>
      <c r="AG175" s="76">
        <f>+AG11</f>
        <v>85.78</v>
      </c>
      <c r="AH175" s="78">
        <f t="shared" ref="AH175" si="813">+ROUND(AG175*$I175,0)</f>
        <v>652357</v>
      </c>
      <c r="AI175" s="76"/>
      <c r="AJ175" s="78"/>
      <c r="AK175" s="76"/>
      <c r="AL175" s="78"/>
    </row>
    <row r="176" spans="1:38"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755"/>
        <v>278.08999999999997</v>
      </c>
      <c r="H176" s="69">
        <f>+VLOOKUP(C176,'PRECIOS IDU 2025'!$A$1:$E$3189,4,FALSE)</f>
        <v>26586</v>
      </c>
      <c r="I176" s="69">
        <f t="shared" si="756"/>
        <v>34562</v>
      </c>
      <c r="J176" s="69">
        <f t="shared" si="757"/>
        <v>9611347</v>
      </c>
      <c r="K176" s="9"/>
      <c r="L176" s="3"/>
      <c r="M176" s="76">
        <f>+M11</f>
        <v>23.04</v>
      </c>
      <c r="N176" s="78">
        <f t="shared" si="758"/>
        <v>796308</v>
      </c>
      <c r="O176" s="76"/>
      <c r="P176" s="78"/>
      <c r="Q176" s="76"/>
      <c r="R176" s="78"/>
      <c r="S176" s="76"/>
      <c r="T176" s="78"/>
      <c r="U176" s="76">
        <f>+U11</f>
        <v>30.31</v>
      </c>
      <c r="V176" s="78">
        <f t="shared" ref="V176" si="814">+ROUND(U176*$I176,0)</f>
        <v>1047574</v>
      </c>
      <c r="W176" s="76">
        <f>+W11</f>
        <v>50.12</v>
      </c>
      <c r="X176" s="78">
        <f t="shared" ref="X176" si="815">+ROUND(W176*$I176,0)</f>
        <v>1732247</v>
      </c>
      <c r="Y176" s="76"/>
      <c r="Z176" s="78"/>
      <c r="AA176" s="76">
        <f>+AA11</f>
        <v>34.36</v>
      </c>
      <c r="AB176" s="78">
        <f t="shared" ref="AB176" si="816">+ROUND(AA176*$I176,0)</f>
        <v>1187550</v>
      </c>
      <c r="AC176" s="76">
        <f>+AC11</f>
        <v>54.48</v>
      </c>
      <c r="AD176" s="78">
        <f t="shared" ref="AD176" si="817">+ROUND(AC176*$I176,0)</f>
        <v>1882938</v>
      </c>
      <c r="AE176" s="76"/>
      <c r="AF176" s="78"/>
      <c r="AG176" s="76">
        <f>+AG11</f>
        <v>85.78</v>
      </c>
      <c r="AH176" s="78">
        <f t="shared" ref="AH176" si="818">+ROUND(AG176*$I176,0)</f>
        <v>2964728</v>
      </c>
      <c r="AI176" s="76"/>
      <c r="AJ176" s="78"/>
      <c r="AK176" s="76"/>
      <c r="AL176" s="78"/>
    </row>
    <row r="177" spans="1:38"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755"/>
        <v>12</v>
      </c>
      <c r="H177" s="69">
        <f>+VLOOKUP(C177,'PRECIOS IDU 2025'!$A$1:$E$3189,4,FALSE)</f>
        <v>18726</v>
      </c>
      <c r="I177" s="69">
        <f t="shared" si="756"/>
        <v>24344</v>
      </c>
      <c r="J177" s="69">
        <f t="shared" si="757"/>
        <v>292128</v>
      </c>
      <c r="K177" s="9"/>
      <c r="L177" s="3"/>
      <c r="M177" s="76">
        <v>2</v>
      </c>
      <c r="N177" s="78">
        <f t="shared" si="758"/>
        <v>48688</v>
      </c>
      <c r="O177" s="76"/>
      <c r="P177" s="78"/>
      <c r="Q177" s="76"/>
      <c r="R177" s="78"/>
      <c r="S177" s="76"/>
      <c r="T177" s="78"/>
      <c r="U177" s="76">
        <v>2</v>
      </c>
      <c r="V177" s="78">
        <f t="shared" ref="V177" si="819">+ROUND(U177*$I177,0)</f>
        <v>48688</v>
      </c>
      <c r="W177" s="76">
        <v>2</v>
      </c>
      <c r="X177" s="78">
        <f t="shared" ref="X177" si="820">+ROUND(W177*$I177,0)</f>
        <v>48688</v>
      </c>
      <c r="Y177" s="76"/>
      <c r="Z177" s="78"/>
      <c r="AA177" s="76">
        <v>2</v>
      </c>
      <c r="AB177" s="78">
        <f t="shared" ref="AB177" si="821">+ROUND(AA177*$I177,0)</f>
        <v>48688</v>
      </c>
      <c r="AC177" s="76">
        <v>2</v>
      </c>
      <c r="AD177" s="78">
        <f t="shared" ref="AD177" si="822">+ROUND(AC177*$I177,0)</f>
        <v>48688</v>
      </c>
      <c r="AE177" s="76"/>
      <c r="AF177" s="78"/>
      <c r="AG177" s="76">
        <v>2</v>
      </c>
      <c r="AH177" s="78">
        <f t="shared" ref="AH177" si="823">+ROUND(AG177*$I177,0)</f>
        <v>48688</v>
      </c>
      <c r="AI177" s="76"/>
      <c r="AJ177" s="78"/>
      <c r="AK177" s="76"/>
      <c r="AL177" s="78"/>
    </row>
    <row r="178" spans="1:38"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755"/>
        <v>64.319999999999993</v>
      </c>
      <c r="H178" s="69">
        <f>+VLOOKUP(C178,'PRECIOS IDU 2025'!$A$1:$E$3189,4,FALSE)</f>
        <v>144457</v>
      </c>
      <c r="I178" s="69">
        <f t="shared" si="756"/>
        <v>187794</v>
      </c>
      <c r="J178" s="69">
        <f t="shared" si="757"/>
        <v>12078910</v>
      </c>
      <c r="K178" s="9"/>
      <c r="L178" s="3"/>
      <c r="M178" s="76">
        <f>+M12*1.5</f>
        <v>10.484999999999999</v>
      </c>
      <c r="N178" s="78">
        <f t="shared" si="758"/>
        <v>1969020</v>
      </c>
      <c r="O178" s="76"/>
      <c r="P178" s="78"/>
      <c r="Q178" s="76"/>
      <c r="R178" s="78"/>
      <c r="S178" s="76"/>
      <c r="T178" s="78"/>
      <c r="U178" s="76">
        <f>+U12*1.5</f>
        <v>11.145</v>
      </c>
      <c r="V178" s="78">
        <f t="shared" ref="V178" si="824">+ROUND(U178*$I178,0)</f>
        <v>2092964</v>
      </c>
      <c r="W178" s="76">
        <f>+W12*1.5</f>
        <v>10.365</v>
      </c>
      <c r="X178" s="78">
        <f t="shared" ref="X178" si="825">+ROUND(W178*$I178,0)</f>
        <v>1946485</v>
      </c>
      <c r="Y178" s="76"/>
      <c r="Z178" s="78"/>
      <c r="AA178" s="76">
        <f>+AA12*1.5</f>
        <v>15.78</v>
      </c>
      <c r="AB178" s="78">
        <f t="shared" ref="AB178" si="826">+ROUND(AA178*$I178,0)</f>
        <v>2963389</v>
      </c>
      <c r="AC178" s="76">
        <f>+AC12*1.5</f>
        <v>8.9550000000000001</v>
      </c>
      <c r="AD178" s="78">
        <f t="shared" ref="AD178" si="827">+ROUND(AC178*$I178,0)</f>
        <v>1681695</v>
      </c>
      <c r="AE178" s="76"/>
      <c r="AF178" s="78"/>
      <c r="AG178" s="76">
        <f>+AG12*1.5</f>
        <v>7.59</v>
      </c>
      <c r="AH178" s="78">
        <f t="shared" ref="AH178" si="828">+ROUND(AG178*$I178,0)</f>
        <v>1425356</v>
      </c>
      <c r="AI178" s="76"/>
      <c r="AJ178" s="78"/>
      <c r="AK178" s="76"/>
      <c r="AL178" s="78"/>
    </row>
    <row r="179" spans="1:38"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755"/>
        <v>21.44</v>
      </c>
      <c r="H179" s="69">
        <f>+VLOOKUP(C179,'PRECIOS IDU 2025'!$A$1:$E$3189,4,FALSE)</f>
        <v>222740</v>
      </c>
      <c r="I179" s="69">
        <f t="shared" si="756"/>
        <v>289562</v>
      </c>
      <c r="J179" s="69">
        <f t="shared" si="757"/>
        <v>6208209</v>
      </c>
      <c r="K179" s="9"/>
      <c r="L179" s="3"/>
      <c r="M179" s="76">
        <f>+M12*0.25*2</f>
        <v>3.4950000000000001</v>
      </c>
      <c r="N179" s="78">
        <f t="shared" si="758"/>
        <v>1012019</v>
      </c>
      <c r="O179" s="76"/>
      <c r="P179" s="78"/>
      <c r="Q179" s="76"/>
      <c r="R179" s="78"/>
      <c r="S179" s="76"/>
      <c r="T179" s="78"/>
      <c r="U179" s="76">
        <f>+U12*0.25*2</f>
        <v>3.7149999999999999</v>
      </c>
      <c r="V179" s="78">
        <f t="shared" ref="V179" si="829">+ROUND(U179*$I179,0)</f>
        <v>1075723</v>
      </c>
      <c r="W179" s="76">
        <f>+W12*0.25*2</f>
        <v>3.4550000000000001</v>
      </c>
      <c r="X179" s="78">
        <f t="shared" ref="X179" si="830">+ROUND(W179*$I179,0)</f>
        <v>1000437</v>
      </c>
      <c r="Y179" s="76"/>
      <c r="Z179" s="78"/>
      <c r="AA179" s="76">
        <f>+AA12*0.25*2</f>
        <v>5.26</v>
      </c>
      <c r="AB179" s="78">
        <f t="shared" ref="AB179" si="831">+ROUND(AA179*$I179,0)</f>
        <v>1523096</v>
      </c>
      <c r="AC179" s="76">
        <f>+AC12*0.25*2</f>
        <v>2.9849999999999999</v>
      </c>
      <c r="AD179" s="78">
        <f t="shared" ref="AD179" si="832">+ROUND(AC179*$I179,0)</f>
        <v>864343</v>
      </c>
      <c r="AE179" s="76"/>
      <c r="AF179" s="78"/>
      <c r="AG179" s="76">
        <f>+AG12*0.25*2</f>
        <v>2.5299999999999998</v>
      </c>
      <c r="AH179" s="78">
        <f t="shared" ref="AH179" si="833">+ROUND(AG179*$I179,0)</f>
        <v>732592</v>
      </c>
      <c r="AI179" s="76"/>
      <c r="AJ179" s="78"/>
      <c r="AK179" s="76"/>
      <c r="AL179" s="78"/>
    </row>
    <row r="180" spans="1:38"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c r="Y180" s="76"/>
      <c r="Z180" s="78"/>
      <c r="AA180" s="76"/>
      <c r="AB180" s="78"/>
      <c r="AC180" s="76"/>
      <c r="AD180" s="78"/>
      <c r="AE180" s="76"/>
      <c r="AF180" s="78"/>
      <c r="AG180" s="76"/>
      <c r="AH180" s="78"/>
      <c r="AI180" s="76"/>
      <c r="AJ180" s="78"/>
      <c r="AK180" s="76"/>
      <c r="AL180" s="78"/>
    </row>
    <row r="181" spans="1:38" s="22" customFormat="1" ht="30" customHeight="1" thickBot="1" x14ac:dyDescent="0.35">
      <c r="A181" s="17"/>
      <c r="B181" s="18"/>
      <c r="C181" s="573" t="s">
        <v>6083</v>
      </c>
      <c r="D181" s="574"/>
      <c r="E181" s="574"/>
      <c r="F181" s="574"/>
      <c r="G181" s="574"/>
      <c r="H181" s="575"/>
      <c r="I181" s="19"/>
      <c r="J181" s="20" t="e">
        <f>+SUM(J17:J163)</f>
        <v>#N/A</v>
      </c>
      <c r="K181" s="21"/>
      <c r="L181" s="17"/>
      <c r="M181" s="77" t="s">
        <v>6084</v>
      </c>
      <c r="N181" s="79" t="e">
        <f>+SUM(N17:N179)</f>
        <v>#N/A</v>
      </c>
      <c r="O181" s="77"/>
      <c r="P181" s="79"/>
      <c r="Q181" s="77"/>
      <c r="R181" s="79"/>
      <c r="S181" s="77"/>
      <c r="T181" s="79"/>
      <c r="U181" s="77" t="s">
        <v>6084</v>
      </c>
      <c r="V181" s="79" t="e">
        <f>+SUM(V17:V179)</f>
        <v>#N/A</v>
      </c>
      <c r="W181" s="77" t="s">
        <v>6084</v>
      </c>
      <c r="X181" s="79" t="e">
        <f>+SUM(X17:X179)</f>
        <v>#N/A</v>
      </c>
      <c r="Y181" s="77"/>
      <c r="Z181" s="79"/>
      <c r="AA181" s="77" t="s">
        <v>6084</v>
      </c>
      <c r="AB181" s="79" t="e">
        <f>+SUM(AB17:AB179)</f>
        <v>#N/A</v>
      </c>
      <c r="AC181" s="77" t="s">
        <v>6084</v>
      </c>
      <c r="AD181" s="79" t="e">
        <f>+SUM(AD17:AD179)</f>
        <v>#N/A</v>
      </c>
      <c r="AE181" s="77"/>
      <c r="AF181" s="79"/>
      <c r="AG181" s="77" t="s">
        <v>6084</v>
      </c>
      <c r="AH181" s="79" t="e">
        <f>+SUM(AH17:AH179)</f>
        <v>#N/A</v>
      </c>
      <c r="AI181" s="77"/>
      <c r="AJ181" s="79"/>
      <c r="AK181" s="77"/>
      <c r="AL181" s="79"/>
    </row>
    <row r="182" spans="1:38"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c r="Y182" s="17"/>
      <c r="Z182" s="17"/>
      <c r="AA182" s="17"/>
      <c r="AB182" s="17"/>
      <c r="AC182" s="17"/>
      <c r="AD182" s="17"/>
      <c r="AE182" s="17"/>
      <c r="AF182" s="17"/>
    </row>
    <row r="183" spans="1:38"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c r="Y183" s="17"/>
      <c r="Z183" s="17"/>
      <c r="AA183" s="17"/>
      <c r="AB183" s="17"/>
      <c r="AC183" s="17"/>
      <c r="AD183" s="17"/>
      <c r="AE183" s="17"/>
      <c r="AF183" s="17"/>
    </row>
    <row r="184" spans="1:38"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f>+M8</f>
        <v>3001317</v>
      </c>
      <c r="N184" s="17"/>
      <c r="O184" s="17"/>
      <c r="P184" s="17"/>
      <c r="Q184" s="17"/>
      <c r="R184" s="17"/>
      <c r="S184" s="17"/>
      <c r="T184" s="17"/>
      <c r="U184" s="17">
        <f>+U8</f>
        <v>3001709</v>
      </c>
      <c r="V184" s="17"/>
      <c r="W184" s="17">
        <f>+W8</f>
        <v>3001711</v>
      </c>
      <c r="X184" s="17"/>
      <c r="Y184" s="17"/>
      <c r="Z184" s="17"/>
      <c r="AA184" s="17">
        <f>+AA8</f>
        <v>3002256</v>
      </c>
      <c r="AB184" s="17"/>
      <c r="AC184" s="17">
        <f>+AC8</f>
        <v>3002546</v>
      </c>
      <c r="AD184" s="17"/>
      <c r="AE184" s="17"/>
      <c r="AF184" s="17"/>
      <c r="AG184" s="17">
        <f>+AG8</f>
        <v>3002833</v>
      </c>
      <c r="AI184" s="17"/>
      <c r="AK184" s="17"/>
    </row>
    <row r="185" spans="1:38" s="22" customFormat="1" ht="30" customHeight="1" thickBot="1" x14ac:dyDescent="0.35">
      <c r="A185" s="17"/>
      <c r="B185" s="18"/>
      <c r="C185" s="25"/>
      <c r="D185" s="26"/>
      <c r="E185" s="29" t="s">
        <v>181</v>
      </c>
      <c r="F185" s="30"/>
      <c r="G185" s="31"/>
      <c r="H185" s="32"/>
      <c r="I185" s="57"/>
      <c r="J185" s="20" t="e">
        <f>+J181+J183+J184</f>
        <v>#N/A</v>
      </c>
      <c r="K185" s="21"/>
      <c r="L185" s="17"/>
      <c r="M185" s="97" t="e">
        <f>+SUM(N17:N110,N130:N179)</f>
        <v>#N/A</v>
      </c>
      <c r="N185" s="17"/>
      <c r="O185" s="97"/>
      <c r="P185" s="17"/>
      <c r="Q185" s="97"/>
      <c r="R185" s="17"/>
      <c r="S185" s="97"/>
      <c r="T185" s="17"/>
      <c r="U185" s="97" t="e">
        <f>+SUM(V17:V110,V130:V179)</f>
        <v>#N/A</v>
      </c>
      <c r="V185" s="17"/>
      <c r="W185" s="97" t="e">
        <f>+SUM(X17:X110,X130:X179)</f>
        <v>#N/A</v>
      </c>
      <c r="X185" s="17"/>
      <c r="Y185" s="97"/>
      <c r="Z185" s="17"/>
      <c r="AA185" s="97" t="e">
        <f>+SUM(AB17:AB110,AB130:AB179)</f>
        <v>#N/A</v>
      </c>
      <c r="AB185" s="17"/>
      <c r="AC185" s="97" t="e">
        <f>+SUM(AD17:AD110,AD130:AD179)</f>
        <v>#N/A</v>
      </c>
      <c r="AD185" s="17"/>
      <c r="AE185" s="97"/>
      <c r="AF185" s="17"/>
      <c r="AG185" s="97" t="e">
        <f>+SUM(AH17:AH110,AH130:AH179)</f>
        <v>#N/A</v>
      </c>
      <c r="AI185" s="97"/>
      <c r="AK185" s="97"/>
    </row>
    <row r="186" spans="1:38" s="22" customFormat="1" ht="16.2" thickBot="1" x14ac:dyDescent="0.35">
      <c r="A186" s="17"/>
      <c r="B186" s="18"/>
      <c r="C186" s="25"/>
      <c r="D186" s="26"/>
      <c r="E186" s="25"/>
      <c r="F186" s="25"/>
      <c r="G186" s="33"/>
      <c r="H186" s="34"/>
      <c r="I186" s="34"/>
      <c r="J186" s="35"/>
      <c r="K186" s="21"/>
      <c r="L186" s="17"/>
      <c r="M186" s="97">
        <f>+SUM(N111:N128)</f>
        <v>33574449</v>
      </c>
      <c r="N186" s="17"/>
      <c r="O186" s="97"/>
      <c r="P186" s="17"/>
      <c r="Q186" s="97"/>
      <c r="R186" s="17"/>
      <c r="S186" s="97"/>
      <c r="T186" s="17"/>
      <c r="U186" s="97">
        <f>+SUM(V111:V128)</f>
        <v>0</v>
      </c>
      <c r="V186" s="17"/>
      <c r="W186" s="97">
        <f>+SUM(X111:X128)</f>
        <v>0</v>
      </c>
      <c r="X186" s="17"/>
      <c r="Y186" s="97"/>
      <c r="Z186" s="17"/>
      <c r="AA186" s="97">
        <f>+SUM(AB111:AB128)</f>
        <v>49752848</v>
      </c>
      <c r="AB186" s="17"/>
      <c r="AC186" s="97">
        <f>+SUM(AD111:AD128)</f>
        <v>75829774</v>
      </c>
      <c r="AD186" s="17"/>
      <c r="AE186" s="97"/>
      <c r="AF186" s="17"/>
      <c r="AG186" s="97">
        <f>+SUM(AH111:AH128)</f>
        <v>117397095</v>
      </c>
      <c r="AI186" s="97"/>
      <c r="AK186" s="17"/>
    </row>
    <row r="187" spans="1:38"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c r="Y187" s="70"/>
      <c r="Z187" s="70"/>
      <c r="AA187" s="70"/>
      <c r="AB187" s="70"/>
      <c r="AC187" s="70"/>
      <c r="AD187" s="70"/>
      <c r="AE187" s="70"/>
      <c r="AF187" s="70"/>
    </row>
    <row r="188" spans="1:38" s="22" customFormat="1" ht="46.5" customHeight="1" x14ac:dyDescent="0.3">
      <c r="A188" s="17"/>
      <c r="B188" s="18"/>
      <c r="C188" s="562" t="s">
        <v>47</v>
      </c>
      <c r="D188" s="558"/>
      <c r="E188" s="558"/>
      <c r="F188" s="567" t="s">
        <v>48</v>
      </c>
      <c r="G188" s="567"/>
      <c r="H188" s="567"/>
      <c r="I188" s="58"/>
      <c r="J188" s="38" t="s">
        <v>49</v>
      </c>
      <c r="K188" s="39"/>
      <c r="L188" s="71" t="e">
        <f>+SUM(M185:AW186)</f>
        <v>#N/A</v>
      </c>
      <c r="M188" s="71"/>
      <c r="N188" s="71"/>
      <c r="O188" s="71"/>
      <c r="P188" s="71"/>
      <c r="Q188" s="71"/>
      <c r="R188" s="71"/>
      <c r="S188" s="71"/>
      <c r="T188" s="71"/>
      <c r="U188" s="71"/>
      <c r="V188" s="71"/>
      <c r="W188" s="71"/>
      <c r="X188" s="71"/>
      <c r="Y188" s="71"/>
      <c r="Z188" s="71"/>
      <c r="AA188" s="71"/>
      <c r="AB188" s="71"/>
      <c r="AC188" s="71"/>
      <c r="AD188" s="71"/>
      <c r="AE188" s="71"/>
      <c r="AF188" s="71"/>
    </row>
    <row r="189" spans="1:38"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c r="Y189" s="71"/>
      <c r="Z189" s="71"/>
      <c r="AA189" s="71"/>
      <c r="AB189" s="71"/>
      <c r="AC189" s="71"/>
      <c r="AD189" s="71"/>
      <c r="AE189" s="71"/>
      <c r="AF189" s="71"/>
    </row>
    <row r="190" spans="1:38"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c r="Y190" s="71"/>
      <c r="Z190" s="71"/>
      <c r="AA190" s="71"/>
      <c r="AB190" s="71"/>
      <c r="AC190" s="71"/>
      <c r="AD190" s="71"/>
      <c r="AE190" s="71"/>
      <c r="AF190" s="71"/>
    </row>
    <row r="191" spans="1:38"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c r="Y191" s="17"/>
      <c r="Z191" s="17"/>
      <c r="AA191" s="17"/>
      <c r="AB191" s="17"/>
      <c r="AC191" s="17"/>
      <c r="AD191" s="17"/>
      <c r="AE191" s="17"/>
      <c r="AF191" s="17"/>
    </row>
    <row r="192" spans="1:38"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c r="Y192" s="3"/>
      <c r="Z192" s="3"/>
      <c r="AA192" s="3"/>
      <c r="AB192" s="3"/>
      <c r="AC192" s="3"/>
      <c r="AD192" s="3"/>
      <c r="AE192" s="3"/>
      <c r="AF192" s="3"/>
    </row>
    <row r="193" spans="1:32"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c r="Y193" s="3"/>
      <c r="Z193" s="3"/>
      <c r="AA193" s="3"/>
      <c r="AB193" s="3"/>
      <c r="AC193" s="3"/>
      <c r="AD193" s="3"/>
      <c r="AE193" s="3"/>
      <c r="AF193" s="3"/>
    </row>
    <row r="194" spans="1:32"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c r="Y194" s="3"/>
      <c r="Z194" s="3"/>
      <c r="AA194" s="3"/>
      <c r="AB194" s="3"/>
      <c r="AC194" s="3"/>
      <c r="AD194" s="3"/>
      <c r="AE194" s="3"/>
      <c r="AF194" s="3"/>
    </row>
    <row r="195" spans="1:32"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row>
  </sheetData>
  <mergeCells count="57">
    <mergeCell ref="C3:D3"/>
    <mergeCell ref="C5:J5"/>
    <mergeCell ref="C6:J6"/>
    <mergeCell ref="C7:E7"/>
    <mergeCell ref="F7:J9"/>
    <mergeCell ref="C8:E8"/>
    <mergeCell ref="C9:E9"/>
    <mergeCell ref="C10:D12"/>
    <mergeCell ref="E10:J12"/>
    <mergeCell ref="C13:J13"/>
    <mergeCell ref="C14:C15"/>
    <mergeCell ref="D14:D15"/>
    <mergeCell ref="E14:E15"/>
    <mergeCell ref="F14:F15"/>
    <mergeCell ref="G14:G15"/>
    <mergeCell ref="H14:H15"/>
    <mergeCell ref="I14:I15"/>
    <mergeCell ref="V14:V15"/>
    <mergeCell ref="W14:W15"/>
    <mergeCell ref="J14:J15"/>
    <mergeCell ref="M14:M15"/>
    <mergeCell ref="N14:N15"/>
    <mergeCell ref="O14:O15"/>
    <mergeCell ref="P14:P15"/>
    <mergeCell ref="Q14:Q15"/>
    <mergeCell ref="F193:J193"/>
    <mergeCell ref="AG14:AG15"/>
    <mergeCell ref="AH14:AH15"/>
    <mergeCell ref="AI14:AI15"/>
    <mergeCell ref="D187:J187"/>
    <mergeCell ref="C188:E188"/>
    <mergeCell ref="F188:H188"/>
    <mergeCell ref="C189:E189"/>
    <mergeCell ref="F189:G189"/>
    <mergeCell ref="C190:E190"/>
    <mergeCell ref="F190:G190"/>
    <mergeCell ref="AD14:AD15"/>
    <mergeCell ref="AE14:AE15"/>
    <mergeCell ref="AF14:AF15"/>
    <mergeCell ref="C181:H181"/>
    <mergeCell ref="E183:G183"/>
    <mergeCell ref="AJ14:AJ15"/>
    <mergeCell ref="AK14:AK15"/>
    <mergeCell ref="AL14:AL15"/>
    <mergeCell ref="F191:G191"/>
    <mergeCell ref="F192:G192"/>
    <mergeCell ref="E184:G184"/>
    <mergeCell ref="X14:X15"/>
    <mergeCell ref="Y14:Y15"/>
    <mergeCell ref="Z14:Z15"/>
    <mergeCell ref="AA14:AA15"/>
    <mergeCell ref="AB14:AB15"/>
    <mergeCell ref="AC14:AC15"/>
    <mergeCell ref="R14:R15"/>
    <mergeCell ref="S14:S15"/>
    <mergeCell ref="T14:T15"/>
    <mergeCell ref="U14:U15"/>
  </mergeCells>
  <pageMargins left="0.11811023622047245" right="0.11811023622047245" top="0.15748031496062992" bottom="0.15748031496062992" header="0.31496062992125984" footer="0.31496062992125984"/>
  <pageSetup scale="40" orientation="portrait" horizontalDpi="1200"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42276-1632-4210-87E7-DA6A9AC4AC4F}">
  <sheetPr>
    <tabColor rgb="FFFFC000"/>
  </sheetPr>
  <dimension ref="A1:X195"/>
  <sheetViews>
    <sheetView showGridLines="0" view="pageBreakPreview" topLeftCell="E163" zoomScale="55" zoomScaleNormal="100" zoomScaleSheetLayoutView="55" zoomScalePageLayoutView="55" workbookViewId="0">
      <selection activeCell="G40" sqref="G40"/>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0.109375" style="4" bestFit="1" customWidth="1"/>
    <col min="13" max="13" width="31.6640625" style="4" customWidth="1"/>
    <col min="14" max="17" width="25.6640625" style="4" customWidth="1"/>
    <col min="18" max="18" width="28.6640625" style="4" bestFit="1" customWidth="1"/>
    <col min="19" max="19" width="25.6640625" style="4" customWidth="1"/>
    <col min="20" max="20" width="28.6640625" style="4" bestFit="1" customWidth="1"/>
    <col min="21" max="24" width="25.6640625" style="4" customWidth="1"/>
    <col min="25" max="16384" width="11.44140625" style="4"/>
  </cols>
  <sheetData>
    <row r="1" spans="1:24" ht="16.2" thickBot="1" x14ac:dyDescent="0.35">
      <c r="A1" s="3"/>
      <c r="B1" s="3"/>
      <c r="C1" s="3"/>
      <c r="D1" s="3"/>
      <c r="E1" s="3"/>
      <c r="F1" s="3"/>
      <c r="G1" s="3"/>
      <c r="H1" s="3"/>
      <c r="I1" s="3"/>
      <c r="J1" s="3"/>
      <c r="K1" s="3"/>
      <c r="L1" s="3"/>
      <c r="M1" s="3" t="s">
        <v>6060</v>
      </c>
      <c r="N1" s="3"/>
      <c r="O1" s="3"/>
      <c r="P1" s="3"/>
      <c r="Q1" s="3"/>
      <c r="R1" s="3" t="s">
        <v>6061</v>
      </c>
      <c r="S1" s="3"/>
      <c r="T1" s="3"/>
      <c r="U1" s="3"/>
      <c r="V1" s="3"/>
      <c r="W1" s="3"/>
      <c r="X1" s="3"/>
    </row>
    <row r="2" spans="1:24"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row>
    <row r="3" spans="1:24"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row>
    <row r="4" spans="1:24" ht="15.6" x14ac:dyDescent="0.3">
      <c r="A4" s="3"/>
      <c r="B4" s="8"/>
      <c r="C4" s="10" t="s">
        <v>1</v>
      </c>
      <c r="D4" s="11" t="s">
        <v>2</v>
      </c>
      <c r="E4" s="3"/>
      <c r="F4" s="3"/>
      <c r="G4" s="3"/>
      <c r="H4" s="3"/>
      <c r="I4" s="3"/>
      <c r="J4" s="3"/>
      <c r="K4" s="9"/>
      <c r="L4" s="3"/>
      <c r="M4" s="3" t="s">
        <v>6067</v>
      </c>
      <c r="N4" s="3"/>
      <c r="O4" s="3"/>
      <c r="P4" s="3"/>
      <c r="Q4" s="3"/>
      <c r="R4" s="3"/>
      <c r="S4" s="3"/>
      <c r="T4" s="3"/>
      <c r="U4" s="3"/>
      <c r="V4" s="3"/>
      <c r="W4" s="3"/>
      <c r="X4" s="3"/>
    </row>
    <row r="5" spans="1:24"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row>
    <row r="6" spans="1:24"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row>
    <row r="7" spans="1:24" s="15" customFormat="1" ht="16.5" customHeight="1" x14ac:dyDescent="0.3">
      <c r="A7" s="12"/>
      <c r="B7" s="13"/>
      <c r="C7" s="588" t="s">
        <v>5</v>
      </c>
      <c r="D7" s="589"/>
      <c r="E7" s="589"/>
      <c r="F7" s="590"/>
      <c r="G7" s="590"/>
      <c r="H7" s="590"/>
      <c r="I7" s="591"/>
      <c r="J7" s="592"/>
      <c r="K7" s="14"/>
      <c r="L7" s="12"/>
      <c r="M7" s="92" t="e">
        <f>+N181</f>
        <v>#N/A</v>
      </c>
      <c r="O7" s="92" t="e">
        <f>+P181</f>
        <v>#N/A</v>
      </c>
      <c r="Q7" s="12"/>
      <c r="R7" s="12"/>
      <c r="S7" s="12"/>
      <c r="T7" s="12"/>
      <c r="U7" s="12"/>
      <c r="V7" s="12"/>
      <c r="W7" s="12"/>
      <c r="X7" s="12"/>
    </row>
    <row r="8" spans="1:24" ht="15.6" x14ac:dyDescent="0.3">
      <c r="A8" s="3"/>
      <c r="B8" s="16"/>
      <c r="C8" s="596" t="s">
        <v>6</v>
      </c>
      <c r="D8" s="597"/>
      <c r="E8" s="597"/>
      <c r="F8" s="593"/>
      <c r="G8" s="593"/>
      <c r="H8" s="593"/>
      <c r="I8" s="594"/>
      <c r="J8" s="595"/>
      <c r="K8" s="9"/>
      <c r="L8" s="80" t="s">
        <v>5794</v>
      </c>
      <c r="M8" s="1">
        <v>3001330</v>
      </c>
      <c r="N8" s="3"/>
      <c r="O8" s="1">
        <v>3000012</v>
      </c>
      <c r="P8" s="3"/>
      <c r="Q8" s="74"/>
      <c r="R8" s="3"/>
      <c r="S8" s="74"/>
      <c r="T8" s="3"/>
      <c r="U8" s="74"/>
      <c r="V8" s="3"/>
      <c r="W8" s="74"/>
      <c r="X8" s="3"/>
    </row>
    <row r="9" spans="1:24" ht="15.6" x14ac:dyDescent="0.3">
      <c r="A9" s="3"/>
      <c r="B9" s="16"/>
      <c r="C9" s="596" t="s">
        <v>6070</v>
      </c>
      <c r="D9" s="597"/>
      <c r="E9" s="597"/>
      <c r="F9" s="593"/>
      <c r="G9" s="593"/>
      <c r="H9" s="593"/>
      <c r="I9" s="594"/>
      <c r="J9" s="595"/>
      <c r="K9" s="9"/>
      <c r="L9" s="80" t="s">
        <v>6071</v>
      </c>
      <c r="M9" s="74" t="str">
        <f>+VLOOKUP(M8,'LISTADO CIV FLEXIBLES'!$A$1:$H$40,7)</f>
        <v>FLEXIBLE</v>
      </c>
      <c r="O9" s="74" t="str">
        <f>+VLOOKUP(O8,'LISTADO CIV FLEXIBLES'!$A$1:$H$40,7)</f>
        <v>FLEXIBLE</v>
      </c>
      <c r="Q9" s="74"/>
      <c r="S9" s="74"/>
      <c r="U9" s="74"/>
      <c r="W9" s="74"/>
    </row>
    <row r="10" spans="1:24" ht="15.6" x14ac:dyDescent="0.3">
      <c r="A10" s="3"/>
      <c r="B10" s="16"/>
      <c r="C10" s="599" t="s">
        <v>8</v>
      </c>
      <c r="D10" s="593"/>
      <c r="E10" s="593"/>
      <c r="F10" s="593"/>
      <c r="G10" s="593"/>
      <c r="H10" s="593"/>
      <c r="I10" s="594"/>
      <c r="J10" s="595"/>
      <c r="K10" s="9"/>
      <c r="L10" s="80" t="s">
        <v>6072</v>
      </c>
      <c r="M10" s="74" t="str">
        <f>+VLOOKUP(M8,'LISTADO CIV FLEXIBLES'!$A$1:$H$40,8)</f>
        <v>REHABILITACION</v>
      </c>
      <c r="O10" s="74" t="str">
        <f>+VLOOKUP(O8,'LISTADO CIV FLEXIBLES'!$A$1:$H$40,8)</f>
        <v>REHABILITACION</v>
      </c>
      <c r="Q10" s="74"/>
      <c r="S10" s="74"/>
      <c r="U10" s="74"/>
      <c r="W10" s="74"/>
    </row>
    <row r="11" spans="1:24" ht="15.6" x14ac:dyDescent="0.3">
      <c r="A11" s="3"/>
      <c r="B11" s="16"/>
      <c r="C11" s="599"/>
      <c r="D11" s="593"/>
      <c r="E11" s="593"/>
      <c r="F11" s="593"/>
      <c r="G11" s="593"/>
      <c r="H11" s="593"/>
      <c r="I11" s="594"/>
      <c r="J11" s="595"/>
      <c r="K11" s="9"/>
      <c r="L11" s="80" t="s">
        <v>6073</v>
      </c>
      <c r="M11" s="74">
        <f>+VLOOKUP(M8,'LISTADO CIV FLEXIBLES'!$A$1:$H$40,5)</f>
        <v>35.409999999999997</v>
      </c>
      <c r="O11" s="74">
        <f>+VLOOKUP(O8,'LISTADO CIV FLEXIBLES'!$A$1:$H$40,5)</f>
        <v>63.18</v>
      </c>
      <c r="Q11" s="74"/>
      <c r="S11" s="74"/>
      <c r="U11" s="74"/>
      <c r="W11" s="74"/>
    </row>
    <row r="12" spans="1:24" ht="16.2" thickBot="1" x14ac:dyDescent="0.35">
      <c r="A12" s="3"/>
      <c r="B12" s="16"/>
      <c r="C12" s="600"/>
      <c r="D12" s="601"/>
      <c r="E12" s="601"/>
      <c r="F12" s="601"/>
      <c r="G12" s="601"/>
      <c r="H12" s="601"/>
      <c r="I12" s="602"/>
      <c r="J12" s="603"/>
      <c r="K12" s="9"/>
      <c r="L12" s="80" t="s">
        <v>6074</v>
      </c>
      <c r="M12" s="90">
        <f>+VLOOKUP(M8,'LISTADO CIV FLEXIBLES'!$A$1:$H$40,6)</f>
        <v>5.41</v>
      </c>
      <c r="O12" s="90">
        <f>+VLOOKUP(O8,'LISTADO CIV FLEXIBLES'!$A$1:$H$40,6)</f>
        <v>5.76</v>
      </c>
      <c r="Q12" s="90"/>
      <c r="S12" s="90"/>
      <c r="U12" s="90"/>
      <c r="W12" s="90"/>
    </row>
    <row r="13" spans="1:24" ht="30" customHeight="1" thickBot="1" x14ac:dyDescent="0.35">
      <c r="A13" s="3"/>
      <c r="B13" s="8"/>
      <c r="C13" s="604"/>
      <c r="D13" s="605"/>
      <c r="E13" s="605"/>
      <c r="F13" s="605"/>
      <c r="G13" s="605"/>
      <c r="H13" s="605"/>
      <c r="I13" s="605"/>
      <c r="J13" s="606"/>
      <c r="K13" s="9"/>
      <c r="L13" s="80" t="s">
        <v>6075</v>
      </c>
      <c r="M13" s="75">
        <f>+ROUND(M11*M12,2)</f>
        <v>191.57</v>
      </c>
      <c r="O13" s="75">
        <f>+ROUND(O11*O12,2)</f>
        <v>363.92</v>
      </c>
      <c r="Q13" s="75"/>
      <c r="S13" s="75"/>
      <c r="U13" s="75"/>
      <c r="W13" s="75"/>
    </row>
    <row r="14" spans="1:24" ht="16.5" customHeight="1" x14ac:dyDescent="0.3">
      <c r="A14" s="3"/>
      <c r="B14" s="8"/>
      <c r="C14" s="607" t="s">
        <v>10</v>
      </c>
      <c r="D14" s="609" t="s">
        <v>11</v>
      </c>
      <c r="E14" s="607" t="s">
        <v>12</v>
      </c>
      <c r="F14" s="611" t="s">
        <v>13</v>
      </c>
      <c r="G14" s="611" t="s">
        <v>14</v>
      </c>
      <c r="H14" s="598" t="s">
        <v>15</v>
      </c>
      <c r="I14" s="598" t="s">
        <v>27</v>
      </c>
      <c r="J14" s="925" t="s">
        <v>16</v>
      </c>
      <c r="K14" s="9"/>
      <c r="L14" s="3"/>
      <c r="M14" s="547" t="s">
        <v>14</v>
      </c>
      <c r="N14" s="548" t="s">
        <v>16</v>
      </c>
      <c r="O14" s="547" t="s">
        <v>14</v>
      </c>
      <c r="P14" s="548" t="s">
        <v>16</v>
      </c>
      <c r="Q14" s="547"/>
      <c r="R14" s="548"/>
      <c r="S14" s="547"/>
      <c r="T14" s="548"/>
      <c r="U14" s="547"/>
      <c r="V14" s="548"/>
      <c r="W14" s="547"/>
      <c r="X14" s="548"/>
    </row>
    <row r="15" spans="1:24"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row>
    <row r="16" spans="1:24"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row>
    <row r="17" spans="1:24" ht="30" customHeight="1" x14ac:dyDescent="0.3">
      <c r="A17" s="3"/>
      <c r="B17" s="8"/>
      <c r="C17" s="60">
        <v>3007</v>
      </c>
      <c r="D17" s="60">
        <v>1001</v>
      </c>
      <c r="E17" s="60" t="str">
        <f>+VLOOKUP(C17,'PRECIOS IDU 2025'!$A$1:$E$3189,2,FALSE)</f>
        <v>REPLANTEO GENERAL</v>
      </c>
      <c r="F17" s="60" t="str">
        <f>+VLOOKUP(C17,'PRECIOS IDU 2025'!$A$1:$E$3189,3,FALSE)</f>
        <v>M2</v>
      </c>
      <c r="G17" s="108">
        <f>+ROUND(M17+O17,2)</f>
        <v>555.49</v>
      </c>
      <c r="H17" s="69">
        <f>+VLOOKUP(C17,'PRECIOS IDU 2025'!$A$1:$E$3189,4,FALSE)</f>
        <v>909</v>
      </c>
      <c r="I17" s="69">
        <f t="shared" ref="I17:I38" si="0">+ROUND(H17*(1+$J$192),0)</f>
        <v>1182</v>
      </c>
      <c r="J17" s="69">
        <f>+ROUND(I17*G17,0)</f>
        <v>656589</v>
      </c>
      <c r="K17" s="9"/>
      <c r="L17" s="3"/>
      <c r="M17" s="76">
        <v>191.57</v>
      </c>
      <c r="N17" s="78">
        <f t="shared" ref="N17:P27" si="1">+ROUND(M17*$I17,0)</f>
        <v>226436</v>
      </c>
      <c r="O17" s="76">
        <f>+O13</f>
        <v>363.92</v>
      </c>
      <c r="P17" s="78">
        <f t="shared" si="1"/>
        <v>430153</v>
      </c>
      <c r="Q17" s="76"/>
      <c r="R17" s="78"/>
      <c r="S17" s="76"/>
      <c r="T17" s="78"/>
      <c r="U17" s="76"/>
      <c r="V17" s="78"/>
      <c r="W17" s="76"/>
      <c r="X17" s="78"/>
    </row>
    <row r="18" spans="1:24"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ref="G18:G38" si="2">+ROUND(M18+O18,2)</f>
        <v>22.34</v>
      </c>
      <c r="H18" s="69">
        <f>+VLOOKUP(C18,'PRECIOS IDU 2025'!$A$1:$E$3189,4,FALSE)</f>
        <v>2659</v>
      </c>
      <c r="I18" s="69">
        <f t="shared" si="0"/>
        <v>3457</v>
      </c>
      <c r="J18" s="69">
        <f>+ROUND(I18*G18,0)</f>
        <v>77229</v>
      </c>
      <c r="K18" s="9"/>
      <c r="L18" s="3"/>
      <c r="M18" s="76">
        <v>10.82</v>
      </c>
      <c r="N18" s="78">
        <f t="shared" si="1"/>
        <v>37405</v>
      </c>
      <c r="O18" s="76">
        <f>+O12*2</f>
        <v>11.52</v>
      </c>
      <c r="P18" s="78">
        <f t="shared" si="1"/>
        <v>39825</v>
      </c>
      <c r="Q18" s="76"/>
      <c r="R18" s="78"/>
      <c r="S18" s="76"/>
      <c r="T18" s="78"/>
      <c r="U18" s="76"/>
      <c r="V18" s="78"/>
      <c r="W18" s="76"/>
      <c r="X18" s="78"/>
    </row>
    <row r="19" spans="1:24"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2"/>
        <v>9.86</v>
      </c>
      <c r="H19" s="69">
        <f>+VLOOKUP(C19,'PRECIOS IDU 2025'!$A$1:$E$3189,4,FALSE)</f>
        <v>38781</v>
      </c>
      <c r="I19" s="69">
        <f t="shared" si="0"/>
        <v>50415</v>
      </c>
      <c r="J19" s="69">
        <f t="shared" ref="J19:J38" si="3">+ROUND(I19*G19,0)</f>
        <v>497092</v>
      </c>
      <c r="K19" s="9"/>
      <c r="L19" s="3"/>
      <c r="M19" s="76">
        <v>3.5409999999999999</v>
      </c>
      <c r="N19" s="78">
        <f t="shared" si="1"/>
        <v>178520</v>
      </c>
      <c r="O19" s="76">
        <f>+O11*0.1</f>
        <v>6.3180000000000005</v>
      </c>
      <c r="P19" s="78">
        <f t="shared" si="1"/>
        <v>318522</v>
      </c>
      <c r="Q19" s="76"/>
      <c r="R19" s="78"/>
      <c r="S19" s="76"/>
      <c r="T19" s="78"/>
      <c r="U19" s="76"/>
      <c r="V19" s="78"/>
      <c r="W19" s="76"/>
      <c r="X19" s="78"/>
    </row>
    <row r="20" spans="1:24"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2"/>
        <v>427.73</v>
      </c>
      <c r="H20" s="69">
        <f>+VLOOKUP(C20,'PRECIOS IDU 2025'!$A$1:$E$3189,4,FALSE)</f>
        <v>5741</v>
      </c>
      <c r="I20" s="69">
        <f t="shared" si="0"/>
        <v>7463</v>
      </c>
      <c r="J20" s="69">
        <f t="shared" si="3"/>
        <v>3192149</v>
      </c>
      <c r="K20" s="9"/>
      <c r="L20" s="3"/>
      <c r="M20" s="76">
        <v>147.50890000000001</v>
      </c>
      <c r="N20" s="78">
        <f t="shared" si="1"/>
        <v>1100859</v>
      </c>
      <c r="O20" s="76">
        <f>+O13*SUM($M$6:$P$6)</f>
        <v>280.21840000000003</v>
      </c>
      <c r="P20" s="78">
        <f t="shared" si="1"/>
        <v>2091270</v>
      </c>
      <c r="Q20" s="76"/>
      <c r="R20" s="78"/>
      <c r="S20" s="76"/>
      <c r="T20" s="78"/>
      <c r="U20" s="76"/>
      <c r="V20" s="78"/>
      <c r="W20" s="76"/>
      <c r="X20" s="78"/>
    </row>
    <row r="21" spans="1:24"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2"/>
        <v>21.39</v>
      </c>
      <c r="H21" s="69">
        <f>+VLOOKUP(C21,'PRECIOS IDU 2025'!$A$1:$E$3189,4,FALSE)</f>
        <v>46379</v>
      </c>
      <c r="I21" s="69">
        <f t="shared" si="0"/>
        <v>60293</v>
      </c>
      <c r="J21" s="69">
        <f t="shared" si="3"/>
        <v>1289667</v>
      </c>
      <c r="K21" s="9"/>
      <c r="L21" s="3"/>
      <c r="M21" s="76">
        <v>7.3754450000000009</v>
      </c>
      <c r="N21" s="78">
        <f t="shared" si="1"/>
        <v>444688</v>
      </c>
      <c r="O21" s="76">
        <f>+O20*0.05</f>
        <v>14.010920000000002</v>
      </c>
      <c r="P21" s="78">
        <f t="shared" si="1"/>
        <v>844760</v>
      </c>
      <c r="Q21" s="76"/>
      <c r="R21" s="78"/>
      <c r="S21" s="76"/>
      <c r="T21" s="78"/>
      <c r="U21" s="76"/>
      <c r="V21" s="78"/>
      <c r="W21" s="76"/>
      <c r="X21" s="78"/>
    </row>
    <row r="22" spans="1:24"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2"/>
        <v>596.66</v>
      </c>
      <c r="H22" s="69">
        <f>+VLOOKUP(C22,'PRECIOS IDU 2025'!$A$1:$E$3189,4,FALSE)</f>
        <v>45600</v>
      </c>
      <c r="I22" s="69">
        <f t="shared" si="0"/>
        <v>59280</v>
      </c>
      <c r="J22" s="69">
        <f t="shared" si="3"/>
        <v>35370005</v>
      </c>
      <c r="K22" s="9"/>
      <c r="L22" s="3"/>
      <c r="M22" s="76">
        <v>205.95294850000005</v>
      </c>
      <c r="N22" s="78">
        <f t="shared" si="1"/>
        <v>12208891</v>
      </c>
      <c r="O22" s="76">
        <f>++SUM(O19:O21)*1.3</f>
        <v>390.71151600000002</v>
      </c>
      <c r="P22" s="78">
        <f t="shared" si="1"/>
        <v>23161379</v>
      </c>
      <c r="Q22" s="76"/>
      <c r="R22" s="78"/>
      <c r="S22" s="76"/>
      <c r="T22" s="78"/>
      <c r="U22" s="76"/>
      <c r="V22" s="78"/>
      <c r="W22" s="76"/>
      <c r="X22" s="78"/>
    </row>
    <row r="23" spans="1:24" ht="15.6" x14ac:dyDescent="0.3">
      <c r="A23" s="3"/>
      <c r="B23" s="8"/>
      <c r="C23" s="60">
        <v>3800</v>
      </c>
      <c r="D23" s="60">
        <v>1007</v>
      </c>
      <c r="E23" s="60" t="str">
        <f>+VLOOKUP(C23,'PRECIOS IDU 2025'!$A$1:$E$3189,2,FALSE)</f>
        <v>NIVELACION Y COMPACTACIÓN DE SUBRASANTE</v>
      </c>
      <c r="F23" s="60" t="str">
        <f>+VLOOKUP(C23,'PRECIOS IDU 2025'!$A$1:$E$3189,3,FALSE)</f>
        <v>M2</v>
      </c>
      <c r="G23" s="108">
        <f t="shared" si="2"/>
        <v>555.49</v>
      </c>
      <c r="H23" s="69">
        <f>+VLOOKUP(C23,'PRECIOS IDU 2025'!$A$1:$E$3189,4,FALSE)</f>
        <v>1757</v>
      </c>
      <c r="I23" s="69">
        <f t="shared" si="0"/>
        <v>2284</v>
      </c>
      <c r="J23" s="69">
        <f t="shared" si="3"/>
        <v>1268739</v>
      </c>
      <c r="K23" s="9"/>
      <c r="L23" s="3"/>
      <c r="M23" s="76">
        <v>191.57</v>
      </c>
      <c r="N23" s="78">
        <f t="shared" si="1"/>
        <v>437546</v>
      </c>
      <c r="O23" s="76">
        <f>+O13</f>
        <v>363.92</v>
      </c>
      <c r="P23" s="78">
        <f t="shared" si="1"/>
        <v>831193</v>
      </c>
      <c r="Q23" s="76"/>
      <c r="R23" s="78"/>
      <c r="S23" s="76"/>
      <c r="T23" s="78"/>
      <c r="U23" s="76"/>
      <c r="V23" s="78"/>
      <c r="W23" s="76"/>
      <c r="X23" s="78"/>
    </row>
    <row r="24" spans="1:24"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2"/>
        <v>0</v>
      </c>
      <c r="H24" s="69">
        <f>+VLOOKUP(C24,'PRECIOS IDU 2025'!$A$1:$E$3189,4,FALSE)</f>
        <v>184030</v>
      </c>
      <c r="I24" s="69">
        <f t="shared" si="0"/>
        <v>239239</v>
      </c>
      <c r="J24" s="69">
        <f t="shared" si="3"/>
        <v>0</v>
      </c>
      <c r="K24" s="9"/>
      <c r="L24" s="3"/>
      <c r="M24" s="76"/>
      <c r="N24" s="78">
        <f t="shared" si="1"/>
        <v>0</v>
      </c>
      <c r="O24" s="76"/>
      <c r="P24" s="78">
        <f t="shared" si="1"/>
        <v>0</v>
      </c>
      <c r="Q24" s="76"/>
      <c r="R24" s="78"/>
      <c r="S24" s="76"/>
      <c r="T24" s="78"/>
      <c r="U24" s="76"/>
      <c r="V24" s="78"/>
      <c r="W24" s="76"/>
      <c r="X24" s="78"/>
    </row>
    <row r="25" spans="1:24"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2"/>
        <v>0</v>
      </c>
      <c r="H25" s="69">
        <f>+VLOOKUP(C25,'PRECIOS IDU 2025'!$A$1:$E$3189,4,FALSE)</f>
        <v>73638</v>
      </c>
      <c r="I25" s="69">
        <f t="shared" si="0"/>
        <v>95729</v>
      </c>
      <c r="J25" s="69">
        <f t="shared" si="3"/>
        <v>0</v>
      </c>
      <c r="K25" s="9"/>
      <c r="L25" s="3"/>
      <c r="M25" s="76"/>
      <c r="N25" s="78">
        <f t="shared" si="1"/>
        <v>0</v>
      </c>
      <c r="O25" s="76"/>
      <c r="P25" s="78">
        <f t="shared" si="1"/>
        <v>0</v>
      </c>
      <c r="Q25" s="76"/>
      <c r="R25" s="78"/>
      <c r="S25" s="76"/>
      <c r="T25" s="78"/>
      <c r="U25" s="76"/>
      <c r="V25" s="78"/>
      <c r="W25" s="76"/>
      <c r="X25" s="78"/>
    </row>
    <row r="26" spans="1:24"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2"/>
        <v>555.49</v>
      </c>
      <c r="H26" s="69">
        <f>+VLOOKUP(C26,'PRECIOS IDU 2025'!$A$1:$E$3189,4,FALSE)</f>
        <v>13158</v>
      </c>
      <c r="I26" s="69">
        <f t="shared" si="0"/>
        <v>17105</v>
      </c>
      <c r="J26" s="69">
        <f t="shared" si="3"/>
        <v>9501656</v>
      </c>
      <c r="K26" s="9"/>
      <c r="L26" s="3"/>
      <c r="M26" s="76">
        <v>191.57</v>
      </c>
      <c r="N26" s="78">
        <f t="shared" si="1"/>
        <v>3276805</v>
      </c>
      <c r="O26" s="76">
        <f>+O13</f>
        <v>363.92</v>
      </c>
      <c r="P26" s="78">
        <f t="shared" si="1"/>
        <v>6224852</v>
      </c>
      <c r="Q26" s="76"/>
      <c r="R26" s="78"/>
      <c r="S26" s="76"/>
      <c r="T26" s="78"/>
      <c r="U26" s="76"/>
      <c r="V26" s="78"/>
      <c r="W26" s="76"/>
      <c r="X26" s="78"/>
    </row>
    <row r="27" spans="1:24"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2"/>
        <v>555.49</v>
      </c>
      <c r="H27" s="69">
        <f>+VLOOKUP(C27,'PRECIOS IDU 2025'!$A$1:$E$3189,4,FALSE)</f>
        <v>30940</v>
      </c>
      <c r="I27" s="69">
        <f t="shared" si="0"/>
        <v>40222</v>
      </c>
      <c r="J27" s="69">
        <f t="shared" si="3"/>
        <v>22342919</v>
      </c>
      <c r="K27" s="9"/>
      <c r="L27" s="3"/>
      <c r="M27" s="76">
        <v>191.57</v>
      </c>
      <c r="N27" s="78">
        <f t="shared" si="1"/>
        <v>7705329</v>
      </c>
      <c r="O27" s="76">
        <f>+O13</f>
        <v>363.92</v>
      </c>
      <c r="P27" s="78">
        <f t="shared" si="1"/>
        <v>14637590</v>
      </c>
      <c r="Q27" s="76"/>
      <c r="R27" s="78"/>
      <c r="S27" s="76"/>
      <c r="T27" s="78"/>
      <c r="U27" s="76"/>
      <c r="V27" s="78"/>
      <c r="W27" s="76"/>
      <c r="X27" s="78"/>
    </row>
    <row r="28" spans="1:24"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2"/>
        <v>77.77</v>
      </c>
      <c r="H28" s="69">
        <f>+VLOOKUP(C28,'PRECIOS IDU 2025'!$A$1:$E$3189,4,FALSE)</f>
        <v>175866</v>
      </c>
      <c r="I28" s="69">
        <f t="shared" si="0"/>
        <v>228626</v>
      </c>
      <c r="J28" s="69">
        <f t="shared" si="3"/>
        <v>17780244</v>
      </c>
      <c r="K28" s="9"/>
      <c r="L28" s="3"/>
      <c r="M28" s="76">
        <v>26.819799999999997</v>
      </c>
      <c r="N28" s="78">
        <f>+ROUND(M28*$I28,0)</f>
        <v>6131704</v>
      </c>
      <c r="O28" s="76">
        <f>+O13*$O$6*0.7</f>
        <v>50.948799999999999</v>
      </c>
      <c r="P28" s="78">
        <f>+ROUND(O28*$I28,0)</f>
        <v>11648220</v>
      </c>
      <c r="Q28" s="76"/>
      <c r="R28" s="78"/>
      <c r="S28" s="76"/>
      <c r="T28" s="78"/>
      <c r="U28" s="76"/>
      <c r="V28" s="78"/>
      <c r="W28" s="76"/>
      <c r="X28" s="78"/>
    </row>
    <row r="29" spans="1:24"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2"/>
        <v>33.33</v>
      </c>
      <c r="H29" s="69">
        <f>+VLOOKUP(C29,'PRECIOS IDU 2025'!$A$1:$E$3189,4,FALSE)</f>
        <v>166345</v>
      </c>
      <c r="I29" s="69">
        <f t="shared" si="0"/>
        <v>216249</v>
      </c>
      <c r="J29" s="69">
        <f t="shared" si="3"/>
        <v>7207579</v>
      </c>
      <c r="K29" s="9"/>
      <c r="L29" s="3"/>
      <c r="M29" s="76">
        <v>11.494199999999999</v>
      </c>
      <c r="N29" s="78">
        <f>+ROUND(M29*$I29,0)</f>
        <v>2485609</v>
      </c>
      <c r="O29" s="76">
        <f>+O13*$O$6*0.3</f>
        <v>21.8352</v>
      </c>
      <c r="P29" s="78">
        <f>+ROUND(O29*$I29,0)</f>
        <v>4721840</v>
      </c>
      <c r="Q29" s="76"/>
      <c r="R29" s="78"/>
      <c r="S29" s="76"/>
      <c r="T29" s="78"/>
      <c r="U29" s="76"/>
      <c r="V29" s="78"/>
      <c r="W29" s="76"/>
      <c r="X29" s="78"/>
    </row>
    <row r="30" spans="1:24"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2"/>
        <v>58.33</v>
      </c>
      <c r="H30" s="69">
        <f>+VLOOKUP(C30,'PRECIOS IDU 2025'!$A$1:$E$3189,4,FALSE)</f>
        <v>191915</v>
      </c>
      <c r="I30" s="69">
        <f t="shared" si="0"/>
        <v>249490</v>
      </c>
      <c r="J30" s="69">
        <f t="shared" si="3"/>
        <v>14552752</v>
      </c>
      <c r="K30" s="9"/>
      <c r="L30" s="3"/>
      <c r="M30" s="76">
        <v>20.114849999999997</v>
      </c>
      <c r="N30" s="78">
        <f t="shared" ref="N30:P47" si="4">+ROUND(M30*$I30,0)</f>
        <v>5018454</v>
      </c>
      <c r="O30" s="76">
        <f>+O13*$N$6*0.7</f>
        <v>38.211599999999997</v>
      </c>
      <c r="P30" s="78">
        <f t="shared" si="4"/>
        <v>9533412</v>
      </c>
      <c r="Q30" s="76"/>
      <c r="R30" s="78"/>
      <c r="S30" s="76"/>
      <c r="T30" s="78"/>
      <c r="U30" s="76"/>
      <c r="V30" s="78"/>
      <c r="W30" s="76"/>
      <c r="X30" s="78"/>
    </row>
    <row r="31" spans="1:24"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2"/>
        <v>25</v>
      </c>
      <c r="H31" s="69">
        <f>+VLOOKUP(C31,'PRECIOS IDU 2025'!$A$1:$E$3189,4,FALSE)</f>
        <v>192883</v>
      </c>
      <c r="I31" s="69">
        <f t="shared" si="0"/>
        <v>250748</v>
      </c>
      <c r="J31" s="69">
        <f t="shared" si="3"/>
        <v>6268700</v>
      </c>
      <c r="K31" s="9"/>
      <c r="L31" s="3"/>
      <c r="M31" s="76">
        <v>8.6206499999999995</v>
      </c>
      <c r="N31" s="78">
        <f t="shared" si="4"/>
        <v>2161611</v>
      </c>
      <c r="O31" s="76">
        <f>+O13*$N$6*0.3</f>
        <v>16.3764</v>
      </c>
      <c r="P31" s="78">
        <f t="shared" si="4"/>
        <v>4106350</v>
      </c>
      <c r="Q31" s="76"/>
      <c r="R31" s="78"/>
      <c r="S31" s="76"/>
      <c r="T31" s="78"/>
      <c r="U31" s="76"/>
      <c r="V31" s="78"/>
      <c r="W31" s="76"/>
      <c r="X31" s="78"/>
    </row>
    <row r="32" spans="1:24"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2"/>
        <v>555.49</v>
      </c>
      <c r="H32" s="69">
        <f>+VLOOKUP(C32,'PRECIOS IDU 2025'!$A$1:$E$3189,4,FALSE)</f>
        <v>3189</v>
      </c>
      <c r="I32" s="69">
        <f t="shared" si="0"/>
        <v>4146</v>
      </c>
      <c r="J32" s="69">
        <f t="shared" si="3"/>
        <v>2303062</v>
      </c>
      <c r="K32" s="9"/>
      <c r="L32" s="3"/>
      <c r="M32" s="76">
        <v>191.57</v>
      </c>
      <c r="N32" s="78">
        <f t="shared" si="4"/>
        <v>794249</v>
      </c>
      <c r="O32" s="76">
        <f>+O13</f>
        <v>363.92</v>
      </c>
      <c r="P32" s="78">
        <f t="shared" si="4"/>
        <v>1508812</v>
      </c>
      <c r="Q32" s="76"/>
      <c r="R32" s="78"/>
      <c r="S32" s="76"/>
      <c r="T32" s="78"/>
      <c r="U32" s="76"/>
      <c r="V32" s="78"/>
      <c r="W32" s="76"/>
      <c r="X32" s="78"/>
    </row>
    <row r="33" spans="1:24"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2"/>
        <v>27.77</v>
      </c>
      <c r="H33" s="69">
        <f>+VLOOKUP(C33,'PRECIOS IDU 2025'!$A$1:$E$3189,4,FALSE)</f>
        <v>3885</v>
      </c>
      <c r="I33" s="69">
        <f t="shared" si="0"/>
        <v>5051</v>
      </c>
      <c r="J33" s="69">
        <f t="shared" si="3"/>
        <v>140266</v>
      </c>
      <c r="K33" s="9"/>
      <c r="L33" s="3"/>
      <c r="M33" s="76">
        <v>9.5785</v>
      </c>
      <c r="N33" s="78">
        <f t="shared" si="4"/>
        <v>48381</v>
      </c>
      <c r="O33" s="76">
        <f>+O32*0.05</f>
        <v>18.196000000000002</v>
      </c>
      <c r="P33" s="78">
        <f t="shared" si="4"/>
        <v>91908</v>
      </c>
      <c r="Q33" s="76"/>
      <c r="R33" s="78"/>
      <c r="S33" s="76"/>
      <c r="T33" s="78"/>
      <c r="U33" s="76"/>
      <c r="V33" s="78"/>
      <c r="W33" s="76"/>
      <c r="X33" s="78"/>
    </row>
    <row r="34" spans="1:24"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2"/>
        <v>46.66</v>
      </c>
      <c r="H34" s="69">
        <f>+VLOOKUP(C34,'PRECIOS IDU 2025'!$A$1:$E$3189,4,FALSE)</f>
        <v>1341971</v>
      </c>
      <c r="I34" s="69">
        <f t="shared" si="0"/>
        <v>1744562</v>
      </c>
      <c r="J34" s="69">
        <f t="shared" si="3"/>
        <v>81401263</v>
      </c>
      <c r="K34" s="9"/>
      <c r="L34" s="3"/>
      <c r="M34" s="76">
        <v>16.09188</v>
      </c>
      <c r="N34" s="78">
        <f t="shared" si="4"/>
        <v>28073282</v>
      </c>
      <c r="O34" s="76">
        <f>+O13*$M$6*0.7</f>
        <v>30.569279999999999</v>
      </c>
      <c r="P34" s="78">
        <f t="shared" si="4"/>
        <v>53330004</v>
      </c>
      <c r="Q34" s="76"/>
      <c r="R34" s="78"/>
      <c r="S34" s="76"/>
      <c r="T34" s="78"/>
      <c r="U34" s="76"/>
      <c r="V34" s="78"/>
      <c r="W34" s="76"/>
      <c r="X34" s="78"/>
    </row>
    <row r="35" spans="1:24"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2"/>
        <v>0</v>
      </c>
      <c r="H35" s="69">
        <f>+VLOOKUP(C35,'PRECIOS IDU 2025'!$A$1:$E$3189,4,FALSE)</f>
        <v>1241977</v>
      </c>
      <c r="I35" s="69">
        <f t="shared" si="0"/>
        <v>1614570</v>
      </c>
      <c r="J35" s="69">
        <f t="shared" si="3"/>
        <v>0</v>
      </c>
      <c r="K35" s="9"/>
      <c r="L35" s="3"/>
      <c r="M35" s="76"/>
      <c r="N35" s="78">
        <f t="shared" si="4"/>
        <v>0</v>
      </c>
      <c r="O35" s="76"/>
      <c r="P35" s="78">
        <f t="shared" si="4"/>
        <v>0</v>
      </c>
      <c r="Q35" s="76"/>
      <c r="R35" s="78"/>
      <c r="S35" s="76"/>
      <c r="T35" s="78"/>
      <c r="U35" s="76"/>
      <c r="V35" s="78"/>
      <c r="W35" s="76"/>
      <c r="X35" s="78"/>
    </row>
    <row r="36" spans="1:24"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2"/>
        <v>0</v>
      </c>
      <c r="H36" s="69">
        <f>+VLOOKUP(C36,'PRECIOS IDU 2025'!$A$1:$E$3189,4,FALSE)</f>
        <v>1556215</v>
      </c>
      <c r="I36" s="69">
        <f t="shared" ref="I36:I37" si="5">+ROUND(H36*(1+$J$192),0)</f>
        <v>2023080</v>
      </c>
      <c r="J36" s="69">
        <f t="shared" ref="J36:J37" si="6">+ROUND(I36*G36,0)</f>
        <v>0</v>
      </c>
      <c r="K36" s="9"/>
      <c r="L36" s="3"/>
      <c r="M36" s="76"/>
      <c r="N36" s="78"/>
      <c r="O36" s="76"/>
      <c r="P36" s="78"/>
      <c r="Q36" s="76"/>
      <c r="R36" s="78"/>
      <c r="S36" s="76"/>
      <c r="T36" s="78"/>
      <c r="U36" s="76"/>
      <c r="V36" s="78"/>
      <c r="W36" s="76"/>
      <c r="X36" s="78"/>
    </row>
    <row r="37" spans="1:24" ht="30"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2"/>
        <v>0</v>
      </c>
      <c r="H37" s="69">
        <f>+VLOOKUP(C37,'PRECIOS IDU 2025'!$A$1:$E$3189,4,FALSE)</f>
        <v>142844</v>
      </c>
      <c r="I37" s="69">
        <f t="shared" si="5"/>
        <v>185697</v>
      </c>
      <c r="J37" s="69">
        <f t="shared" si="6"/>
        <v>0</v>
      </c>
      <c r="K37" s="9"/>
      <c r="L37" s="3"/>
      <c r="M37" s="76"/>
      <c r="N37" s="78"/>
      <c r="O37" s="76"/>
      <c r="P37" s="78"/>
      <c r="Q37" s="76"/>
      <c r="R37" s="78"/>
      <c r="S37" s="76"/>
      <c r="T37" s="78"/>
      <c r="U37" s="76"/>
      <c r="V37" s="78"/>
      <c r="W37" s="76"/>
      <c r="X37" s="78"/>
    </row>
    <row r="38" spans="1:24"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2"/>
        <v>20</v>
      </c>
      <c r="H38" s="69">
        <f>+VLOOKUP(C38,'PRECIOS IDU 2025'!$A$1:$E$3189,4,FALSE)</f>
        <v>749962</v>
      </c>
      <c r="I38" s="69">
        <f t="shared" si="0"/>
        <v>974951</v>
      </c>
      <c r="J38" s="69">
        <f t="shared" si="3"/>
        <v>19499020</v>
      </c>
      <c r="K38" s="9"/>
      <c r="L38" s="3"/>
      <c r="M38" s="76">
        <v>6.8965199999999998</v>
      </c>
      <c r="N38" s="78">
        <f t="shared" si="4"/>
        <v>6723769</v>
      </c>
      <c r="O38" s="76">
        <f>+O13*$M$6*0.3</f>
        <v>13.10112</v>
      </c>
      <c r="P38" s="78">
        <f t="shared" si="4"/>
        <v>12772950</v>
      </c>
      <c r="Q38" s="76"/>
      <c r="R38" s="78"/>
      <c r="S38" s="76"/>
      <c r="T38" s="78"/>
      <c r="U38" s="76"/>
      <c r="V38" s="78"/>
      <c r="W38" s="76"/>
      <c r="X38" s="78"/>
    </row>
    <row r="39" spans="1:24" ht="30" customHeight="1" x14ac:dyDescent="0.3">
      <c r="A39" s="3"/>
      <c r="B39" s="8"/>
      <c r="C39" s="61" t="s">
        <v>6077</v>
      </c>
      <c r="D39" s="62"/>
      <c r="E39" s="62"/>
      <c r="F39" s="62"/>
      <c r="G39" s="62"/>
      <c r="H39" s="62"/>
      <c r="I39" s="62"/>
      <c r="J39" s="63"/>
      <c r="K39" s="9"/>
      <c r="L39" s="3"/>
      <c r="M39" s="76"/>
      <c r="N39" s="78">
        <f t="shared" si="4"/>
        <v>0</v>
      </c>
      <c r="O39" s="76"/>
      <c r="P39" s="78">
        <f t="shared" si="4"/>
        <v>0</v>
      </c>
      <c r="Q39" s="76"/>
      <c r="R39" s="78"/>
      <c r="S39" s="76"/>
      <c r="T39" s="78"/>
      <c r="U39" s="76"/>
      <c r="V39" s="78"/>
      <c r="W39" s="76"/>
      <c r="X39" s="78"/>
    </row>
    <row r="40" spans="1:24" ht="30" customHeight="1" x14ac:dyDescent="0.3">
      <c r="A40" s="3"/>
      <c r="B40" s="8"/>
      <c r="C40" s="60">
        <v>3007</v>
      </c>
      <c r="D40" s="60">
        <v>2001</v>
      </c>
      <c r="E40" s="60" t="str">
        <f>+VLOOKUP(C40,'PRECIOS IDU 2025'!$A$1:$E$3189,2,FALSE)</f>
        <v>REPLANTEO GENERAL</v>
      </c>
      <c r="F40" s="60" t="str">
        <f>+VLOOKUP(C40,'PRECIOS IDU 2025'!$A$1:$E$3189,3,FALSE)</f>
        <v>M2</v>
      </c>
      <c r="G40" s="108">
        <f t="shared" ref="G40:G67" si="7">+ROUND(M40+O40,2)</f>
        <v>0</v>
      </c>
      <c r="H40" s="69">
        <f>+VLOOKUP(C40,'PRECIOS IDU 2025'!$A$1:$E$3189,4,FALSE)</f>
        <v>909</v>
      </c>
      <c r="I40" s="69">
        <f t="shared" ref="I40:I67" si="8">+ROUND(H40*(1+$J$192),0)</f>
        <v>1182</v>
      </c>
      <c r="J40" s="69">
        <f t="shared" ref="J40:J67" si="9">+ROUND(I40*G40,0)</f>
        <v>0</v>
      </c>
      <c r="K40" s="9"/>
      <c r="L40" s="3"/>
      <c r="M40" s="73"/>
      <c r="N40" s="78">
        <f t="shared" si="4"/>
        <v>0</v>
      </c>
      <c r="O40" s="73"/>
      <c r="P40" s="78">
        <f t="shared" si="4"/>
        <v>0</v>
      </c>
      <c r="Q40" s="73"/>
      <c r="R40" s="78"/>
      <c r="S40" s="73"/>
      <c r="T40" s="78"/>
      <c r="U40" s="73"/>
      <c r="V40" s="78"/>
      <c r="W40" s="73"/>
      <c r="X40" s="78"/>
    </row>
    <row r="41" spans="1:24"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si="7"/>
        <v>0</v>
      </c>
      <c r="H41" s="69">
        <f>+VLOOKUP(C41,'PRECIOS IDU 2025'!$A$1:$E$3189,4,FALSE)</f>
        <v>2659</v>
      </c>
      <c r="I41" s="69">
        <f t="shared" si="8"/>
        <v>3457</v>
      </c>
      <c r="J41" s="69">
        <f t="shared" si="9"/>
        <v>0</v>
      </c>
      <c r="K41" s="9"/>
      <c r="L41" s="3"/>
      <c r="M41" s="73"/>
      <c r="N41" s="78">
        <f t="shared" si="4"/>
        <v>0</v>
      </c>
      <c r="O41" s="73"/>
      <c r="P41" s="78">
        <f t="shared" si="4"/>
        <v>0</v>
      </c>
      <c r="Q41" s="73"/>
      <c r="R41" s="78"/>
      <c r="S41" s="73"/>
      <c r="T41" s="78"/>
      <c r="U41" s="73"/>
      <c r="V41" s="78"/>
      <c r="W41" s="73"/>
      <c r="X41" s="78"/>
    </row>
    <row r="42" spans="1:24"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7"/>
        <v>0</v>
      </c>
      <c r="H42" s="69">
        <f>+VLOOKUP(C42,'PRECIOS IDU 2025'!$A$1:$E$3189,4,FALSE)</f>
        <v>38781</v>
      </c>
      <c r="I42" s="69">
        <f t="shared" si="8"/>
        <v>50415</v>
      </c>
      <c r="J42" s="69">
        <f t="shared" si="9"/>
        <v>0</v>
      </c>
      <c r="K42" s="9"/>
      <c r="L42" s="3"/>
      <c r="M42" s="76"/>
      <c r="N42" s="78">
        <f t="shared" si="4"/>
        <v>0</v>
      </c>
      <c r="O42" s="76"/>
      <c r="P42" s="78">
        <f t="shared" si="4"/>
        <v>0</v>
      </c>
      <c r="Q42" s="76"/>
      <c r="R42" s="78"/>
      <c r="S42" s="76"/>
      <c r="T42" s="78"/>
      <c r="U42" s="76"/>
      <c r="V42" s="78"/>
      <c r="W42" s="76"/>
      <c r="X42" s="78"/>
    </row>
    <row r="43" spans="1:24"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7"/>
        <v>0</v>
      </c>
      <c r="H43" s="69">
        <f>+VLOOKUP(C43,'PRECIOS IDU 2025'!$A$1:$E$3189,4,FALSE)</f>
        <v>187178</v>
      </c>
      <c r="I43" s="69">
        <f t="shared" si="8"/>
        <v>243331</v>
      </c>
      <c r="J43" s="69">
        <f t="shared" si="9"/>
        <v>0</v>
      </c>
      <c r="K43" s="9"/>
      <c r="L43" s="3"/>
      <c r="M43" s="73"/>
      <c r="N43" s="78">
        <f t="shared" si="4"/>
        <v>0</v>
      </c>
      <c r="O43" s="73"/>
      <c r="P43" s="78">
        <f t="shared" si="4"/>
        <v>0</v>
      </c>
      <c r="Q43" s="73"/>
      <c r="R43" s="78"/>
      <c r="S43" s="73"/>
      <c r="T43" s="78"/>
      <c r="U43" s="73"/>
      <c r="V43" s="78"/>
      <c r="W43" s="73"/>
      <c r="X43" s="78"/>
    </row>
    <row r="44" spans="1:24"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7"/>
        <v>0</v>
      </c>
      <c r="H44" s="69">
        <f>+VLOOKUP(C44,'PRECIOS IDU 2025'!$A$1:$E$3189,4,FALSE)</f>
        <v>5741</v>
      </c>
      <c r="I44" s="69">
        <f t="shared" si="8"/>
        <v>7463</v>
      </c>
      <c r="J44" s="69">
        <f t="shared" si="9"/>
        <v>0</v>
      </c>
      <c r="K44" s="9"/>
      <c r="L44" s="3"/>
      <c r="M44" s="73"/>
      <c r="N44" s="78">
        <f t="shared" si="4"/>
        <v>0</v>
      </c>
      <c r="O44" s="73"/>
      <c r="P44" s="78">
        <f t="shared" si="4"/>
        <v>0</v>
      </c>
      <c r="Q44" s="73"/>
      <c r="R44" s="78"/>
      <c r="S44" s="73"/>
      <c r="T44" s="78"/>
      <c r="U44" s="73"/>
      <c r="V44" s="78"/>
      <c r="W44" s="73"/>
      <c r="X44" s="78"/>
    </row>
    <row r="45" spans="1:24"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7"/>
        <v>0</v>
      </c>
      <c r="H45" s="69">
        <f>+VLOOKUP(C45,'PRECIOS IDU 2025'!$A$1:$E$3189,4,FALSE)</f>
        <v>46379</v>
      </c>
      <c r="I45" s="69">
        <f t="shared" si="8"/>
        <v>60293</v>
      </c>
      <c r="J45" s="69">
        <f t="shared" si="9"/>
        <v>0</v>
      </c>
      <c r="K45" s="9"/>
      <c r="L45" s="3"/>
      <c r="M45" s="73"/>
      <c r="N45" s="78">
        <f t="shared" si="4"/>
        <v>0</v>
      </c>
      <c r="O45" s="73"/>
      <c r="P45" s="78">
        <f t="shared" si="4"/>
        <v>0</v>
      </c>
      <c r="Q45" s="73"/>
      <c r="R45" s="78"/>
      <c r="S45" s="73"/>
      <c r="T45" s="78"/>
      <c r="U45" s="73"/>
      <c r="V45" s="78"/>
      <c r="W45" s="73"/>
      <c r="X45" s="78"/>
    </row>
    <row r="46" spans="1:24"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7"/>
        <v>0</v>
      </c>
      <c r="H46" s="69">
        <f>+VLOOKUP(C46,'PRECIOS IDU 2025'!$A$1:$E$3189,4,FALSE)</f>
        <v>45600</v>
      </c>
      <c r="I46" s="69">
        <f t="shared" si="8"/>
        <v>59280</v>
      </c>
      <c r="J46" s="69">
        <f t="shared" si="9"/>
        <v>0</v>
      </c>
      <c r="K46" s="9"/>
      <c r="L46" s="3"/>
      <c r="M46" s="73"/>
      <c r="N46" s="78">
        <f t="shared" si="4"/>
        <v>0</v>
      </c>
      <c r="O46" s="73"/>
      <c r="P46" s="78">
        <f t="shared" si="4"/>
        <v>0</v>
      </c>
      <c r="Q46" s="73"/>
      <c r="R46" s="78"/>
      <c r="S46" s="73"/>
      <c r="T46" s="78"/>
      <c r="U46" s="73"/>
      <c r="V46" s="78"/>
      <c r="W46" s="73"/>
      <c r="X46" s="78"/>
    </row>
    <row r="47" spans="1:24"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7"/>
        <v>0</v>
      </c>
      <c r="H47" s="69">
        <f>+VLOOKUP(C47,'PRECIOS IDU 2025'!$A$1:$E$3189,4,FALSE)</f>
        <v>1757</v>
      </c>
      <c r="I47" s="69">
        <f t="shared" si="8"/>
        <v>2284</v>
      </c>
      <c r="J47" s="69">
        <f t="shared" si="9"/>
        <v>0</v>
      </c>
      <c r="K47" s="9"/>
      <c r="L47" s="3"/>
      <c r="M47" s="73"/>
      <c r="N47" s="78">
        <f t="shared" si="4"/>
        <v>0</v>
      </c>
      <c r="O47" s="73"/>
      <c r="P47" s="78">
        <f t="shared" si="4"/>
        <v>0</v>
      </c>
      <c r="Q47" s="73"/>
      <c r="R47" s="78"/>
      <c r="S47" s="73"/>
      <c r="T47" s="78"/>
      <c r="U47" s="73"/>
      <c r="V47" s="78"/>
      <c r="W47" s="73"/>
      <c r="X47" s="78"/>
    </row>
    <row r="48" spans="1:24"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7"/>
        <v>0</v>
      </c>
      <c r="H48" s="69">
        <f>+VLOOKUP(C48,'PRECIOS IDU 2025'!$A$1:$E$3189,4,FALSE)</f>
        <v>184030</v>
      </c>
      <c r="I48" s="69">
        <f t="shared" si="8"/>
        <v>239239</v>
      </c>
      <c r="J48" s="69">
        <f t="shared" si="9"/>
        <v>0</v>
      </c>
      <c r="K48" s="9"/>
      <c r="L48" s="3"/>
      <c r="M48" s="73"/>
      <c r="N48" s="78">
        <f t="shared" ref="N48:P63" si="10">+ROUND(M48*$I48,0)</f>
        <v>0</v>
      </c>
      <c r="O48" s="73"/>
      <c r="P48" s="78">
        <f t="shared" si="10"/>
        <v>0</v>
      </c>
      <c r="Q48" s="73"/>
      <c r="R48" s="78"/>
      <c r="S48" s="73"/>
      <c r="T48" s="78"/>
      <c r="U48" s="73"/>
      <c r="V48" s="78"/>
      <c r="W48" s="73"/>
      <c r="X48" s="78"/>
    </row>
    <row r="49" spans="1:24"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7"/>
        <v>0</v>
      </c>
      <c r="H49" s="69">
        <f>+VLOOKUP(C49,'PRECIOS IDU 2025'!$A$1:$E$3189,4,FALSE)</f>
        <v>73638</v>
      </c>
      <c r="I49" s="69">
        <f t="shared" si="8"/>
        <v>95729</v>
      </c>
      <c r="J49" s="69">
        <f t="shared" si="9"/>
        <v>0</v>
      </c>
      <c r="K49" s="9"/>
      <c r="L49" s="3"/>
      <c r="M49" s="76"/>
      <c r="N49" s="78">
        <f t="shared" si="10"/>
        <v>0</v>
      </c>
      <c r="O49" s="76"/>
      <c r="P49" s="78">
        <f t="shared" si="10"/>
        <v>0</v>
      </c>
      <c r="Q49" s="76"/>
      <c r="R49" s="78"/>
      <c r="S49" s="76"/>
      <c r="T49" s="78"/>
      <c r="U49" s="76"/>
      <c r="V49" s="78"/>
      <c r="W49" s="76"/>
      <c r="X49" s="78"/>
    </row>
    <row r="50" spans="1:24"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7"/>
        <v>0</v>
      </c>
      <c r="H50" s="69">
        <f>+VLOOKUP(C50,'PRECIOS IDU 2025'!$A$1:$E$3189,4,FALSE)</f>
        <v>13158</v>
      </c>
      <c r="I50" s="69">
        <f t="shared" si="8"/>
        <v>17105</v>
      </c>
      <c r="J50" s="69">
        <f t="shared" si="9"/>
        <v>0</v>
      </c>
      <c r="K50" s="9"/>
      <c r="L50" s="3"/>
      <c r="M50" s="73"/>
      <c r="N50" s="78">
        <f t="shared" si="10"/>
        <v>0</v>
      </c>
      <c r="O50" s="73"/>
      <c r="P50" s="78">
        <f t="shared" si="10"/>
        <v>0</v>
      </c>
      <c r="Q50" s="73"/>
      <c r="R50" s="78"/>
      <c r="S50" s="73"/>
      <c r="T50" s="78"/>
      <c r="U50" s="73"/>
      <c r="V50" s="78"/>
      <c r="W50" s="73"/>
      <c r="X50" s="78"/>
    </row>
    <row r="51" spans="1:24"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7"/>
        <v>0</v>
      </c>
      <c r="H51" s="69">
        <f>+VLOOKUP(C51,'PRECIOS IDU 2025'!$A$1:$E$3189,4,FALSE)</f>
        <v>30940</v>
      </c>
      <c r="I51" s="69">
        <f t="shared" si="8"/>
        <v>40222</v>
      </c>
      <c r="J51" s="69">
        <f t="shared" si="9"/>
        <v>0</v>
      </c>
      <c r="K51" s="9"/>
      <c r="L51" s="3"/>
      <c r="M51" s="73"/>
      <c r="N51" s="78">
        <f t="shared" si="10"/>
        <v>0</v>
      </c>
      <c r="O51" s="73"/>
      <c r="P51" s="78">
        <f t="shared" si="10"/>
        <v>0</v>
      </c>
      <c r="Q51" s="73"/>
      <c r="R51" s="78"/>
      <c r="S51" s="73"/>
      <c r="T51" s="78"/>
      <c r="U51" s="73"/>
      <c r="V51" s="78"/>
      <c r="W51" s="73"/>
      <c r="X51" s="78"/>
    </row>
    <row r="52" spans="1:24"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7"/>
        <v>0</v>
      </c>
      <c r="H52" s="69">
        <f>+VLOOKUP(C52,'PRECIOS IDU 2025'!$A$1:$E$3189,4,FALSE)</f>
        <v>170143</v>
      </c>
      <c r="I52" s="69">
        <f t="shared" si="8"/>
        <v>221186</v>
      </c>
      <c r="J52" s="69">
        <f t="shared" si="9"/>
        <v>0</v>
      </c>
      <c r="K52" s="9"/>
      <c r="L52" s="3"/>
      <c r="M52" s="73"/>
      <c r="N52" s="78">
        <f t="shared" si="10"/>
        <v>0</v>
      </c>
      <c r="O52" s="73"/>
      <c r="P52" s="78">
        <f t="shared" si="10"/>
        <v>0</v>
      </c>
      <c r="Q52" s="73"/>
      <c r="R52" s="78"/>
      <c r="S52" s="73"/>
      <c r="T52" s="78"/>
      <c r="U52" s="73"/>
      <c r="V52" s="78"/>
      <c r="W52" s="73"/>
      <c r="X52" s="78"/>
    </row>
    <row r="53" spans="1:24"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7"/>
        <v>0</v>
      </c>
      <c r="H53" s="69">
        <f>+VLOOKUP(C53,'PRECIOS IDU 2025'!$A$1:$E$3189,4,FALSE)</f>
        <v>163490</v>
      </c>
      <c r="I53" s="69">
        <f t="shared" si="8"/>
        <v>212537</v>
      </c>
      <c r="J53" s="69">
        <f t="shared" si="9"/>
        <v>0</v>
      </c>
      <c r="K53" s="9"/>
      <c r="L53" s="3"/>
      <c r="M53" s="73"/>
      <c r="N53" s="78">
        <f t="shared" si="10"/>
        <v>0</v>
      </c>
      <c r="O53" s="73"/>
      <c r="P53" s="78">
        <f t="shared" si="10"/>
        <v>0</v>
      </c>
      <c r="Q53" s="73"/>
      <c r="R53" s="78"/>
      <c r="S53" s="73"/>
      <c r="T53" s="78"/>
      <c r="U53" s="73"/>
      <c r="V53" s="78"/>
      <c r="W53" s="73"/>
      <c r="X53" s="78"/>
    </row>
    <row r="54" spans="1:24"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7"/>
        <v>0</v>
      </c>
      <c r="H54" s="69">
        <f>+VLOOKUP(C54,'PRECIOS IDU 2025'!$A$1:$E$3189,4,FALSE)</f>
        <v>3189</v>
      </c>
      <c r="I54" s="69">
        <f t="shared" si="8"/>
        <v>4146</v>
      </c>
      <c r="J54" s="69">
        <f t="shared" si="9"/>
        <v>0</v>
      </c>
      <c r="K54" s="9"/>
      <c r="L54" s="3"/>
      <c r="M54" s="73"/>
      <c r="N54" s="78">
        <f t="shared" si="10"/>
        <v>0</v>
      </c>
      <c r="O54" s="73"/>
      <c r="P54" s="78">
        <f t="shared" si="10"/>
        <v>0</v>
      </c>
      <c r="Q54" s="73"/>
      <c r="R54" s="78"/>
      <c r="S54" s="73"/>
      <c r="T54" s="78"/>
      <c r="U54" s="73"/>
      <c r="V54" s="78"/>
      <c r="W54" s="73"/>
      <c r="X54" s="78"/>
    </row>
    <row r="55" spans="1:24"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7"/>
        <v>0</v>
      </c>
      <c r="H55" s="69">
        <f>+VLOOKUP(C55,'PRECIOS IDU 2025'!$A$1:$E$3189,4,FALSE)</f>
        <v>3885</v>
      </c>
      <c r="I55" s="69">
        <f t="shared" si="8"/>
        <v>5051</v>
      </c>
      <c r="J55" s="69">
        <f t="shared" si="9"/>
        <v>0</v>
      </c>
      <c r="K55" s="9"/>
      <c r="L55" s="3"/>
      <c r="M55" s="73"/>
      <c r="N55" s="78">
        <f t="shared" si="10"/>
        <v>0</v>
      </c>
      <c r="O55" s="73"/>
      <c r="P55" s="78">
        <f t="shared" si="10"/>
        <v>0</v>
      </c>
      <c r="Q55" s="73"/>
      <c r="R55" s="78"/>
      <c r="S55" s="73"/>
      <c r="T55" s="78"/>
      <c r="U55" s="73"/>
      <c r="V55" s="78"/>
      <c r="W55" s="73"/>
      <c r="X55" s="78"/>
    </row>
    <row r="56" spans="1:24"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7"/>
        <v>0</v>
      </c>
      <c r="H56" s="69">
        <f>+VLOOKUP(C56,'PRECIOS IDU 2025'!$A$1:$E$3189,4,FALSE)</f>
        <v>1341971</v>
      </c>
      <c r="I56" s="69">
        <f t="shared" si="8"/>
        <v>1744562</v>
      </c>
      <c r="J56" s="69">
        <f t="shared" si="9"/>
        <v>0</v>
      </c>
      <c r="K56" s="9"/>
      <c r="L56" s="3"/>
      <c r="M56" s="73"/>
      <c r="N56" s="78">
        <f t="shared" si="10"/>
        <v>0</v>
      </c>
      <c r="O56" s="73"/>
      <c r="P56" s="78">
        <f t="shared" si="10"/>
        <v>0</v>
      </c>
      <c r="Q56" s="73"/>
      <c r="R56" s="78"/>
      <c r="S56" s="73"/>
      <c r="T56" s="78"/>
      <c r="U56" s="73"/>
      <c r="V56" s="78"/>
      <c r="W56" s="73"/>
      <c r="X56" s="78"/>
    </row>
    <row r="57" spans="1:24"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7"/>
        <v>0</v>
      </c>
      <c r="H57" s="69">
        <f>+VLOOKUP(C57,'PRECIOS IDU 2025'!$A$1:$E$3189,4,FALSE)</f>
        <v>1241977</v>
      </c>
      <c r="I57" s="69">
        <f t="shared" si="8"/>
        <v>1614570</v>
      </c>
      <c r="J57" s="69">
        <f t="shared" si="9"/>
        <v>0</v>
      </c>
      <c r="K57" s="9"/>
      <c r="L57" s="3"/>
      <c r="M57" s="73"/>
      <c r="N57" s="78">
        <f t="shared" si="10"/>
        <v>0</v>
      </c>
      <c r="O57" s="73"/>
      <c r="P57" s="78">
        <f t="shared" si="10"/>
        <v>0</v>
      </c>
      <c r="Q57" s="73"/>
      <c r="R57" s="78"/>
      <c r="S57" s="73"/>
      <c r="T57" s="78"/>
      <c r="U57" s="73"/>
      <c r="V57" s="78"/>
      <c r="W57" s="73"/>
      <c r="X57" s="78"/>
    </row>
    <row r="58" spans="1:24"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7"/>
        <v>0</v>
      </c>
      <c r="H58" s="69">
        <f>+VLOOKUP(C58,'PRECIOS IDU 2025'!$A$1:$E$3189,4,FALSE)</f>
        <v>1556215</v>
      </c>
      <c r="I58" s="69">
        <f t="shared" si="8"/>
        <v>2023080</v>
      </c>
      <c r="J58" s="69">
        <f t="shared" si="9"/>
        <v>0</v>
      </c>
      <c r="K58" s="9"/>
      <c r="L58" s="3"/>
      <c r="M58" s="73"/>
      <c r="N58" s="78">
        <f t="shared" si="10"/>
        <v>0</v>
      </c>
      <c r="O58" s="73"/>
      <c r="P58" s="78">
        <f t="shared" si="10"/>
        <v>0</v>
      </c>
      <c r="Q58" s="73"/>
      <c r="R58" s="78"/>
      <c r="S58" s="73"/>
      <c r="T58" s="78"/>
      <c r="U58" s="73"/>
      <c r="V58" s="78"/>
      <c r="W58" s="73"/>
      <c r="X58" s="78"/>
    </row>
    <row r="59" spans="1:24"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7"/>
        <v>0</v>
      </c>
      <c r="H59" s="69">
        <f>+VLOOKUP(C59,'PRECIOS IDU 2025'!$A$1:$E$3189,4,FALSE)</f>
        <v>5591</v>
      </c>
      <c r="I59" s="69">
        <f t="shared" si="8"/>
        <v>7268</v>
      </c>
      <c r="J59" s="69">
        <f t="shared" si="9"/>
        <v>0</v>
      </c>
      <c r="K59" s="9"/>
      <c r="L59" s="3"/>
      <c r="M59" s="76"/>
      <c r="N59" s="78">
        <f t="shared" si="10"/>
        <v>0</v>
      </c>
      <c r="O59" s="76"/>
      <c r="P59" s="78">
        <f t="shared" si="10"/>
        <v>0</v>
      </c>
      <c r="Q59" s="76"/>
      <c r="R59" s="78"/>
      <c r="S59" s="76"/>
      <c r="T59" s="78"/>
      <c r="U59" s="76"/>
      <c r="V59" s="78"/>
      <c r="W59" s="76"/>
      <c r="X59" s="78"/>
    </row>
    <row r="60" spans="1:24"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7"/>
        <v>0</v>
      </c>
      <c r="H60" s="69">
        <f>+VLOOKUP(C60,'PRECIOS IDU 2025'!$A$1:$E$3189,4,FALSE)</f>
        <v>8404</v>
      </c>
      <c r="I60" s="69">
        <f t="shared" si="8"/>
        <v>10925</v>
      </c>
      <c r="J60" s="69">
        <f t="shared" si="9"/>
        <v>0</v>
      </c>
      <c r="K60" s="9"/>
      <c r="L60" s="3"/>
      <c r="M60" s="76"/>
      <c r="N60" s="78">
        <f t="shared" si="10"/>
        <v>0</v>
      </c>
      <c r="O60" s="76"/>
      <c r="P60" s="78">
        <f t="shared" si="10"/>
        <v>0</v>
      </c>
      <c r="Q60" s="76"/>
      <c r="R60" s="78"/>
      <c r="S60" s="76"/>
      <c r="T60" s="78"/>
      <c r="U60" s="76"/>
      <c r="V60" s="78"/>
      <c r="W60" s="76"/>
      <c r="X60" s="78"/>
    </row>
    <row r="61" spans="1:24"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7"/>
        <v>0</v>
      </c>
      <c r="H61" s="69">
        <f>+VLOOKUP(C61,'PRECIOS IDU 2025'!$A$1:$E$3189,4,FALSE)</f>
        <v>7882</v>
      </c>
      <c r="I61" s="69">
        <f t="shared" si="8"/>
        <v>10247</v>
      </c>
      <c r="J61" s="69">
        <f t="shared" si="9"/>
        <v>0</v>
      </c>
      <c r="K61" s="9"/>
      <c r="L61" s="3"/>
      <c r="M61" s="76"/>
      <c r="N61" s="78">
        <f t="shared" si="10"/>
        <v>0</v>
      </c>
      <c r="O61" s="76"/>
      <c r="P61" s="78">
        <f t="shared" si="10"/>
        <v>0</v>
      </c>
      <c r="Q61" s="76"/>
      <c r="R61" s="78"/>
      <c r="S61" s="76"/>
      <c r="T61" s="78"/>
      <c r="U61" s="76"/>
      <c r="V61" s="78"/>
      <c r="W61" s="76"/>
      <c r="X61" s="78"/>
    </row>
    <row r="62" spans="1:24"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7"/>
        <v>0</v>
      </c>
      <c r="H62" s="69">
        <f>+VLOOKUP(C62,'PRECIOS IDU 2025'!$A$1:$E$3189,4,FALSE)</f>
        <v>7882</v>
      </c>
      <c r="I62" s="69">
        <f t="shared" si="8"/>
        <v>10247</v>
      </c>
      <c r="J62" s="69">
        <f t="shared" si="9"/>
        <v>0</v>
      </c>
      <c r="K62" s="9"/>
      <c r="L62" s="3"/>
      <c r="M62" s="76"/>
      <c r="N62" s="78">
        <f t="shared" si="10"/>
        <v>0</v>
      </c>
      <c r="O62" s="76"/>
      <c r="P62" s="78">
        <f t="shared" si="10"/>
        <v>0</v>
      </c>
      <c r="Q62" s="76"/>
      <c r="R62" s="78"/>
      <c r="S62" s="76"/>
      <c r="T62" s="78"/>
      <c r="U62" s="76"/>
      <c r="V62" s="78"/>
      <c r="W62" s="76"/>
      <c r="X62" s="78"/>
    </row>
    <row r="63" spans="1:24"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7"/>
        <v>0</v>
      </c>
      <c r="H63" s="69">
        <f>+VLOOKUP(C63,'PRECIOS IDU 2025'!$A$1:$E$3189,4,FALSE)</f>
        <v>875661</v>
      </c>
      <c r="I63" s="69">
        <f t="shared" si="8"/>
        <v>1138359</v>
      </c>
      <c r="J63" s="69">
        <f t="shared" si="9"/>
        <v>0</v>
      </c>
      <c r="K63" s="9"/>
      <c r="L63" s="3"/>
      <c r="M63" s="76"/>
      <c r="N63" s="78">
        <f t="shared" si="10"/>
        <v>0</v>
      </c>
      <c r="O63" s="76"/>
      <c r="P63" s="78">
        <f t="shared" si="10"/>
        <v>0</v>
      </c>
      <c r="Q63" s="76"/>
      <c r="R63" s="78"/>
      <c r="S63" s="76"/>
      <c r="T63" s="78"/>
      <c r="U63" s="76"/>
      <c r="V63" s="78"/>
      <c r="W63" s="76"/>
      <c r="X63" s="78"/>
    </row>
    <row r="64" spans="1:24"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7"/>
        <v>0</v>
      </c>
      <c r="H64" s="69">
        <f>+VLOOKUP(C64,'PRECIOS IDU 2025'!$A$1:$E$3189,4,FALSE)</f>
        <v>890453</v>
      </c>
      <c r="I64" s="69">
        <f t="shared" si="8"/>
        <v>1157589</v>
      </c>
      <c r="J64" s="69">
        <f t="shared" si="9"/>
        <v>0</v>
      </c>
      <c r="K64" s="9"/>
      <c r="L64" s="3"/>
      <c r="M64" s="76"/>
      <c r="N64" s="78">
        <f t="shared" ref="N64:N99" si="11">+ROUND(M64*$I64,0)</f>
        <v>0</v>
      </c>
      <c r="O64" s="76"/>
      <c r="P64" s="78">
        <f t="shared" ref="P64:P99" si="12">+ROUND(O64*$I64,0)</f>
        <v>0</v>
      </c>
      <c r="Q64" s="76"/>
      <c r="R64" s="78"/>
      <c r="S64" s="76"/>
      <c r="T64" s="78"/>
      <c r="U64" s="76"/>
      <c r="V64" s="78"/>
      <c r="W64" s="76"/>
      <c r="X64" s="78"/>
    </row>
    <row r="65" spans="1:24"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7"/>
        <v>0</v>
      </c>
      <c r="H65" s="69">
        <f>+VLOOKUP(C65,'PRECIOS IDU 2025'!$A$1:$E$3189,4,FALSE)</f>
        <v>2554</v>
      </c>
      <c r="I65" s="69">
        <f t="shared" si="8"/>
        <v>3320</v>
      </c>
      <c r="J65" s="69">
        <f t="shared" si="9"/>
        <v>0</v>
      </c>
      <c r="K65" s="9"/>
      <c r="L65" s="3"/>
      <c r="M65" s="76"/>
      <c r="N65" s="78">
        <f t="shared" si="11"/>
        <v>0</v>
      </c>
      <c r="O65" s="76"/>
      <c r="P65" s="78">
        <f t="shared" si="12"/>
        <v>0</v>
      </c>
      <c r="Q65" s="76"/>
      <c r="R65" s="78"/>
      <c r="S65" s="76"/>
      <c r="T65" s="78"/>
      <c r="U65" s="76"/>
      <c r="V65" s="78"/>
      <c r="W65" s="76"/>
      <c r="X65" s="78"/>
    </row>
    <row r="66" spans="1:24"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7"/>
        <v>0</v>
      </c>
      <c r="H66" s="69">
        <f>+VLOOKUP(C66,'PRECIOS IDU 2025'!$A$1:$E$3189,4,FALSE)</f>
        <v>13778</v>
      </c>
      <c r="I66" s="69">
        <f t="shared" si="8"/>
        <v>17911</v>
      </c>
      <c r="J66" s="69">
        <f t="shared" si="9"/>
        <v>0</v>
      </c>
      <c r="K66" s="9"/>
      <c r="L66" s="3"/>
      <c r="M66" s="76"/>
      <c r="N66" s="78">
        <f t="shared" si="11"/>
        <v>0</v>
      </c>
      <c r="O66" s="76"/>
      <c r="P66" s="78">
        <f t="shared" si="12"/>
        <v>0</v>
      </c>
      <c r="Q66" s="76"/>
      <c r="R66" s="78"/>
      <c r="S66" s="76"/>
      <c r="T66" s="78"/>
      <c r="U66" s="76"/>
      <c r="V66" s="78"/>
      <c r="W66" s="76"/>
      <c r="X66" s="78"/>
    </row>
    <row r="67" spans="1:24"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7"/>
        <v>0</v>
      </c>
      <c r="H67" s="69">
        <f>+VLOOKUP(C67,'PRECIOS IDU 2025'!$A$1:$E$3189,4,FALSE)</f>
        <v>10578</v>
      </c>
      <c r="I67" s="69">
        <f t="shared" si="8"/>
        <v>13751</v>
      </c>
      <c r="J67" s="69">
        <f t="shared" si="9"/>
        <v>0</v>
      </c>
      <c r="K67" s="9"/>
      <c r="L67" s="3"/>
      <c r="M67" s="76"/>
      <c r="N67" s="78">
        <f t="shared" si="11"/>
        <v>0</v>
      </c>
      <c r="O67" s="76"/>
      <c r="P67" s="78">
        <f t="shared" si="12"/>
        <v>0</v>
      </c>
      <c r="Q67" s="76"/>
      <c r="R67" s="78"/>
      <c r="S67" s="76"/>
      <c r="T67" s="78"/>
      <c r="U67" s="76"/>
      <c r="V67" s="78"/>
      <c r="W67" s="76"/>
      <c r="X67" s="78"/>
    </row>
    <row r="68" spans="1:24" ht="30" customHeight="1" x14ac:dyDescent="0.3">
      <c r="A68" s="3"/>
      <c r="B68" s="8"/>
      <c r="C68" s="61" t="s">
        <v>6078</v>
      </c>
      <c r="D68" s="62"/>
      <c r="E68" s="62"/>
      <c r="F68" s="62"/>
      <c r="G68" s="62"/>
      <c r="H68" s="62"/>
      <c r="I68" s="62"/>
      <c r="J68" s="63"/>
      <c r="K68" s="9"/>
      <c r="L68" s="3"/>
      <c r="M68" s="76"/>
      <c r="N68" s="78">
        <f t="shared" si="11"/>
        <v>0</v>
      </c>
      <c r="O68" s="76"/>
      <c r="P68" s="78">
        <f t="shared" si="12"/>
        <v>0</v>
      </c>
      <c r="Q68" s="76"/>
      <c r="R68" s="78"/>
      <c r="S68" s="76"/>
      <c r="T68" s="78"/>
      <c r="U68" s="76"/>
      <c r="V68" s="78"/>
      <c r="W68" s="76"/>
      <c r="X68" s="78"/>
    </row>
    <row r="69" spans="1:24" ht="30" customHeight="1" x14ac:dyDescent="0.3">
      <c r="A69" s="3"/>
      <c r="B69" s="8"/>
      <c r="C69" s="60">
        <v>3007</v>
      </c>
      <c r="D69" s="60">
        <v>3001</v>
      </c>
      <c r="E69" s="60" t="str">
        <f>+VLOOKUP(C69,'PRECIOS IDU 2025'!$A$1:$E$3189,2,FALSE)</f>
        <v>REPLANTEO GENERAL</v>
      </c>
      <c r="F69" s="60" t="str">
        <f>+VLOOKUP(C69,'PRECIOS IDU 2025'!$A$1:$E$3189,3,FALSE)</f>
        <v>M2</v>
      </c>
      <c r="G69" s="108">
        <f t="shared" ref="G69:G85" si="13">+ROUND(M69+O69,2)</f>
        <v>0</v>
      </c>
      <c r="H69" s="69">
        <f>+VLOOKUP(C69,'PRECIOS IDU 2025'!$A$1:$E$3189,4,FALSE)</f>
        <v>909</v>
      </c>
      <c r="I69" s="69">
        <f t="shared" ref="I69:I85" si="14">+ROUND(H69*(1+$J$192),0)</f>
        <v>1182</v>
      </c>
      <c r="J69" s="69">
        <f t="shared" ref="J69:J85" si="15">+ROUND(I69*G69,0)</f>
        <v>0</v>
      </c>
      <c r="K69" s="9"/>
      <c r="L69" s="3"/>
      <c r="M69" s="76"/>
      <c r="N69" s="78">
        <f t="shared" si="11"/>
        <v>0</v>
      </c>
      <c r="O69" s="76"/>
      <c r="P69" s="78">
        <f t="shared" si="12"/>
        <v>0</v>
      </c>
      <c r="Q69" s="76"/>
      <c r="R69" s="78"/>
      <c r="S69" s="76"/>
      <c r="T69" s="78"/>
      <c r="U69" s="76"/>
      <c r="V69" s="78"/>
      <c r="W69" s="76"/>
      <c r="X69" s="78"/>
    </row>
    <row r="70" spans="1:24"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13"/>
        <v>0</v>
      </c>
      <c r="H70" s="69">
        <f>+VLOOKUP(C70,'PRECIOS IDU 2025'!$A$1:$E$3189,4,FALSE)</f>
        <v>2659</v>
      </c>
      <c r="I70" s="69">
        <f t="shared" si="14"/>
        <v>3457</v>
      </c>
      <c r="J70" s="69">
        <f t="shared" si="15"/>
        <v>0</v>
      </c>
      <c r="K70" s="9"/>
      <c r="L70" s="3"/>
      <c r="M70" s="76"/>
      <c r="N70" s="78">
        <f t="shared" si="11"/>
        <v>0</v>
      </c>
      <c r="O70" s="76"/>
      <c r="P70" s="78">
        <f t="shared" si="12"/>
        <v>0</v>
      </c>
      <c r="Q70" s="76"/>
      <c r="R70" s="78"/>
      <c r="S70" s="76"/>
      <c r="T70" s="78"/>
      <c r="U70" s="76"/>
      <c r="V70" s="78"/>
      <c r="W70" s="76"/>
      <c r="X70" s="78"/>
    </row>
    <row r="71" spans="1:24"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13"/>
        <v>0</v>
      </c>
      <c r="H71" s="69">
        <f>+VLOOKUP(C71,'PRECIOS IDU 2025'!$A$1:$E$3189,4,FALSE)</f>
        <v>38781</v>
      </c>
      <c r="I71" s="69">
        <f t="shared" si="14"/>
        <v>50415</v>
      </c>
      <c r="J71" s="69">
        <f t="shared" si="15"/>
        <v>0</v>
      </c>
      <c r="K71" s="9"/>
      <c r="L71" s="3"/>
      <c r="M71" s="76"/>
      <c r="N71" s="78">
        <f t="shared" si="11"/>
        <v>0</v>
      </c>
      <c r="O71" s="76"/>
      <c r="P71" s="78">
        <f t="shared" si="12"/>
        <v>0</v>
      </c>
      <c r="Q71" s="76"/>
      <c r="R71" s="78"/>
      <c r="S71" s="76"/>
      <c r="T71" s="78"/>
      <c r="U71" s="76"/>
      <c r="V71" s="78"/>
      <c r="W71" s="76"/>
      <c r="X71" s="78"/>
    </row>
    <row r="72" spans="1:24"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13"/>
        <v>0</v>
      </c>
      <c r="H72" s="69">
        <f>+VLOOKUP(C72,'PRECIOS IDU 2025'!$A$1:$E$3189,4,FALSE)</f>
        <v>5741</v>
      </c>
      <c r="I72" s="69">
        <f t="shared" si="14"/>
        <v>7463</v>
      </c>
      <c r="J72" s="69">
        <f t="shared" si="15"/>
        <v>0</v>
      </c>
      <c r="K72" s="9"/>
      <c r="L72" s="3"/>
      <c r="M72" s="76"/>
      <c r="N72" s="78">
        <f t="shared" si="11"/>
        <v>0</v>
      </c>
      <c r="O72" s="76"/>
      <c r="P72" s="78">
        <f t="shared" si="12"/>
        <v>0</v>
      </c>
      <c r="Q72" s="76"/>
      <c r="R72" s="78"/>
      <c r="S72" s="76"/>
      <c r="T72" s="78"/>
      <c r="U72" s="76"/>
      <c r="V72" s="78"/>
      <c r="W72" s="76"/>
      <c r="X72" s="78"/>
    </row>
    <row r="73" spans="1:24"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13"/>
        <v>0</v>
      </c>
      <c r="H73" s="69">
        <f>+VLOOKUP(C73,'PRECIOS IDU 2025'!$A$1:$E$3189,4,FALSE)</f>
        <v>46379</v>
      </c>
      <c r="I73" s="69">
        <f t="shared" si="14"/>
        <v>60293</v>
      </c>
      <c r="J73" s="69">
        <f t="shared" si="15"/>
        <v>0</v>
      </c>
      <c r="K73" s="9"/>
      <c r="L73" s="3"/>
      <c r="M73" s="76"/>
      <c r="N73" s="78">
        <f t="shared" si="11"/>
        <v>0</v>
      </c>
      <c r="O73" s="76"/>
      <c r="P73" s="78">
        <f t="shared" si="12"/>
        <v>0</v>
      </c>
      <c r="Q73" s="76"/>
      <c r="R73" s="78"/>
      <c r="S73" s="76"/>
      <c r="T73" s="78"/>
      <c r="U73" s="76"/>
      <c r="V73" s="78"/>
      <c r="W73" s="76"/>
      <c r="X73" s="78"/>
    </row>
    <row r="74" spans="1:24"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13"/>
        <v>0</v>
      </c>
      <c r="H74" s="69">
        <f>+VLOOKUP(C74,'PRECIOS IDU 2025'!$A$1:$E$3189,4,FALSE)</f>
        <v>45600</v>
      </c>
      <c r="I74" s="69">
        <f t="shared" si="14"/>
        <v>59280</v>
      </c>
      <c r="J74" s="69">
        <f t="shared" si="15"/>
        <v>0</v>
      </c>
      <c r="K74" s="9"/>
      <c r="L74" s="3"/>
      <c r="M74" s="76"/>
      <c r="N74" s="78">
        <f t="shared" si="11"/>
        <v>0</v>
      </c>
      <c r="O74" s="76"/>
      <c r="P74" s="78">
        <f t="shared" si="12"/>
        <v>0</v>
      </c>
      <c r="Q74" s="76"/>
      <c r="R74" s="78"/>
      <c r="S74" s="76"/>
      <c r="T74" s="78"/>
      <c r="U74" s="76"/>
      <c r="V74" s="78"/>
      <c r="W74" s="76"/>
      <c r="X74" s="78"/>
    </row>
    <row r="75" spans="1:24" ht="15.6" x14ac:dyDescent="0.3">
      <c r="A75" s="3"/>
      <c r="B75" s="8"/>
      <c r="C75" s="60">
        <v>3800</v>
      </c>
      <c r="D75" s="60">
        <v>3007</v>
      </c>
      <c r="E75" s="60" t="str">
        <f>+VLOOKUP(C75,'PRECIOS IDU 2025'!$A$1:$E$3189,2,FALSE)</f>
        <v>NIVELACION Y COMPACTACIÓN DE SUBRASANTE</v>
      </c>
      <c r="F75" s="60" t="str">
        <f>+VLOOKUP(C75,'PRECIOS IDU 2025'!$A$1:$E$3189,3,FALSE)</f>
        <v>M2</v>
      </c>
      <c r="G75" s="108">
        <f t="shared" si="13"/>
        <v>0</v>
      </c>
      <c r="H75" s="69">
        <f>+VLOOKUP(C75,'PRECIOS IDU 2025'!$A$1:$E$3189,4,FALSE)</f>
        <v>1757</v>
      </c>
      <c r="I75" s="69">
        <f t="shared" si="14"/>
        <v>2284</v>
      </c>
      <c r="J75" s="69">
        <f t="shared" si="15"/>
        <v>0</v>
      </c>
      <c r="K75" s="9"/>
      <c r="L75" s="3"/>
      <c r="M75" s="76"/>
      <c r="N75" s="78">
        <f t="shared" si="11"/>
        <v>0</v>
      </c>
      <c r="O75" s="76"/>
      <c r="P75" s="78">
        <f t="shared" si="12"/>
        <v>0</v>
      </c>
      <c r="Q75" s="76"/>
      <c r="R75" s="78"/>
      <c r="S75" s="76"/>
      <c r="T75" s="78"/>
      <c r="U75" s="76"/>
      <c r="V75" s="78"/>
      <c r="W75" s="76"/>
      <c r="X75" s="78"/>
    </row>
    <row r="76" spans="1:24"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13"/>
        <v>0</v>
      </c>
      <c r="H76" s="69">
        <f>+VLOOKUP(C76,'PRECIOS IDU 2025'!$A$1:$E$3189,4,FALSE)</f>
        <v>32622</v>
      </c>
      <c r="I76" s="69">
        <f t="shared" si="14"/>
        <v>42409</v>
      </c>
      <c r="J76" s="69">
        <f t="shared" si="15"/>
        <v>0</v>
      </c>
      <c r="K76" s="9"/>
      <c r="L76" s="3"/>
      <c r="M76" s="76"/>
      <c r="N76" s="78">
        <f t="shared" si="11"/>
        <v>0</v>
      </c>
      <c r="O76" s="76"/>
      <c r="P76" s="78">
        <f t="shared" si="12"/>
        <v>0</v>
      </c>
      <c r="Q76" s="76"/>
      <c r="R76" s="78"/>
      <c r="S76" s="76"/>
      <c r="T76" s="78"/>
      <c r="U76" s="76"/>
      <c r="V76" s="78"/>
      <c r="W76" s="76"/>
      <c r="X76" s="78"/>
    </row>
    <row r="77" spans="1:24"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13"/>
        <v>0</v>
      </c>
      <c r="H77" s="69">
        <f>+VLOOKUP(C77,'PRECIOS IDU 2025'!$A$1:$E$3189,4,FALSE)</f>
        <v>3189</v>
      </c>
      <c r="I77" s="69">
        <f t="shared" si="14"/>
        <v>4146</v>
      </c>
      <c r="J77" s="69">
        <f t="shared" si="15"/>
        <v>0</v>
      </c>
      <c r="K77" s="9"/>
      <c r="L77" s="3"/>
      <c r="M77" s="76"/>
      <c r="N77" s="78">
        <f t="shared" si="11"/>
        <v>0</v>
      </c>
      <c r="O77" s="76"/>
      <c r="P77" s="78">
        <f t="shared" si="12"/>
        <v>0</v>
      </c>
      <c r="Q77" s="76"/>
      <c r="R77" s="78"/>
      <c r="S77" s="76"/>
      <c r="T77" s="78"/>
      <c r="U77" s="76"/>
      <c r="V77" s="78"/>
      <c r="W77" s="76"/>
      <c r="X77" s="78"/>
    </row>
    <row r="78" spans="1:24"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13"/>
        <v>0</v>
      </c>
      <c r="H78" s="69">
        <f>+VLOOKUP(C78,'PRECIOS IDU 2025'!$A$1:$E$3189,4,FALSE)</f>
        <v>3885</v>
      </c>
      <c r="I78" s="69">
        <f t="shared" si="14"/>
        <v>5051</v>
      </c>
      <c r="J78" s="69">
        <f t="shared" si="15"/>
        <v>0</v>
      </c>
      <c r="K78" s="9"/>
      <c r="L78" s="3"/>
      <c r="M78" s="76"/>
      <c r="N78" s="78">
        <f t="shared" si="11"/>
        <v>0</v>
      </c>
      <c r="O78" s="76"/>
      <c r="P78" s="78">
        <f t="shared" si="12"/>
        <v>0</v>
      </c>
      <c r="Q78" s="76"/>
      <c r="R78" s="78"/>
      <c r="S78" s="76"/>
      <c r="T78" s="78"/>
      <c r="U78" s="76"/>
      <c r="V78" s="78"/>
      <c r="W78" s="76"/>
      <c r="X78" s="78"/>
    </row>
    <row r="79" spans="1:24"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13"/>
        <v>0</v>
      </c>
      <c r="H79" s="69">
        <f>+VLOOKUP(C79,'PRECIOS IDU 2025'!$A$1:$E$3189,4,FALSE)</f>
        <v>1341971</v>
      </c>
      <c r="I79" s="69">
        <f t="shared" si="14"/>
        <v>1744562</v>
      </c>
      <c r="J79" s="69">
        <f t="shared" si="15"/>
        <v>0</v>
      </c>
      <c r="K79" s="9"/>
      <c r="L79" s="3"/>
      <c r="M79" s="76"/>
      <c r="N79" s="78">
        <f t="shared" si="11"/>
        <v>0</v>
      </c>
      <c r="O79" s="76"/>
      <c r="P79" s="78">
        <f t="shared" si="12"/>
        <v>0</v>
      </c>
      <c r="Q79" s="76"/>
      <c r="R79" s="78"/>
      <c r="S79" s="76"/>
      <c r="T79" s="78"/>
      <c r="U79" s="76"/>
      <c r="V79" s="78"/>
      <c r="W79" s="76"/>
      <c r="X79" s="78"/>
    </row>
    <row r="80" spans="1:24"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13"/>
        <v>0</v>
      </c>
      <c r="H80" s="69">
        <f>+VLOOKUP(C80,'PRECIOS IDU 2025'!$A$1:$E$3189,4,FALSE)</f>
        <v>1241977</v>
      </c>
      <c r="I80" s="69">
        <f t="shared" si="14"/>
        <v>1614570</v>
      </c>
      <c r="J80" s="69">
        <f t="shared" si="15"/>
        <v>0</v>
      </c>
      <c r="K80" s="9"/>
      <c r="L80" s="3"/>
      <c r="M80" s="76"/>
      <c r="N80" s="78">
        <f t="shared" si="11"/>
        <v>0</v>
      </c>
      <c r="O80" s="76"/>
      <c r="P80" s="78">
        <f t="shared" si="12"/>
        <v>0</v>
      </c>
      <c r="Q80" s="76"/>
      <c r="R80" s="78"/>
      <c r="S80" s="76"/>
      <c r="T80" s="78"/>
      <c r="U80" s="76"/>
      <c r="V80" s="78"/>
      <c r="W80" s="76"/>
      <c r="X80" s="78"/>
    </row>
    <row r="81" spans="1:24"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13"/>
        <v>0</v>
      </c>
      <c r="H81" s="69">
        <f>+VLOOKUP(C81,'PRECIOS IDU 2025'!$A$1:$E$3189,4,FALSE)</f>
        <v>1556215</v>
      </c>
      <c r="I81" s="69">
        <f t="shared" si="14"/>
        <v>2023080</v>
      </c>
      <c r="J81" s="69">
        <f t="shared" si="15"/>
        <v>0</v>
      </c>
      <c r="K81" s="9"/>
      <c r="L81" s="3"/>
      <c r="M81" s="76"/>
      <c r="N81" s="78">
        <f t="shared" si="11"/>
        <v>0</v>
      </c>
      <c r="O81" s="76"/>
      <c r="P81" s="78">
        <f t="shared" si="12"/>
        <v>0</v>
      </c>
      <c r="Q81" s="76"/>
      <c r="R81" s="78"/>
      <c r="S81" s="76"/>
      <c r="T81" s="78"/>
      <c r="U81" s="76"/>
      <c r="V81" s="78"/>
      <c r="W81" s="76"/>
      <c r="X81" s="78"/>
    </row>
    <row r="82" spans="1:24" ht="30" customHeight="1" x14ac:dyDescent="0.3">
      <c r="A82" s="3"/>
      <c r="B82" s="8"/>
      <c r="C82" s="60">
        <v>4598</v>
      </c>
      <c r="D82" s="60">
        <v>3014</v>
      </c>
      <c r="E82" s="60" t="str">
        <f>+VLOOKUP(C82,'PRECIOS IDU 2025'!$A$1:$E$3189,2,FALSE)</f>
        <v>SELLO DE GRIETAS</v>
      </c>
      <c r="F82" s="60" t="str">
        <f>+VLOOKUP(C82,'PRECIOS IDU 2025'!$A$1:$E$3189,3,FALSE)</f>
        <v>ML</v>
      </c>
      <c r="G82" s="108">
        <f t="shared" si="13"/>
        <v>0</v>
      </c>
      <c r="H82" s="69">
        <f>+VLOOKUP(C82,'PRECIOS IDU 2025'!$A$1:$E$3189,4,FALSE)</f>
        <v>10386</v>
      </c>
      <c r="I82" s="69">
        <f t="shared" si="14"/>
        <v>13502</v>
      </c>
      <c r="J82" s="69">
        <f t="shared" si="15"/>
        <v>0</v>
      </c>
      <c r="K82" s="9"/>
      <c r="L82" s="3"/>
      <c r="M82" s="76"/>
      <c r="N82" s="78">
        <f t="shared" si="11"/>
        <v>0</v>
      </c>
      <c r="O82" s="76"/>
      <c r="P82" s="78">
        <f t="shared" si="12"/>
        <v>0</v>
      </c>
      <c r="Q82" s="76"/>
      <c r="R82" s="78"/>
      <c r="S82" s="76"/>
      <c r="T82" s="78"/>
      <c r="U82" s="76"/>
      <c r="V82" s="78"/>
      <c r="W82" s="76"/>
      <c r="X82" s="78"/>
    </row>
    <row r="83" spans="1:24" ht="30" customHeight="1" x14ac:dyDescent="0.3">
      <c r="A83" s="3"/>
      <c r="B83" s="8"/>
      <c r="C83" s="60">
        <v>4758</v>
      </c>
      <c r="D83" s="60">
        <v>3015</v>
      </c>
      <c r="E83" s="60" t="str">
        <f>+VLOOKUP(C83,'PRECIOS IDU 2025'!$A$1:$E$3189,2,FALSE)</f>
        <v>SELLO DE FISURAS</v>
      </c>
      <c r="F83" s="60" t="str">
        <f>+VLOOKUP(C83,'PRECIOS IDU 2025'!$A$1:$E$3189,3,FALSE)</f>
        <v>ML</v>
      </c>
      <c r="G83" s="108">
        <f t="shared" si="13"/>
        <v>0</v>
      </c>
      <c r="H83" s="69">
        <f>+VLOOKUP(C83,'PRECIOS IDU 2025'!$A$1:$E$3189,4,FALSE)</f>
        <v>8877</v>
      </c>
      <c r="I83" s="69">
        <f t="shared" si="14"/>
        <v>11540</v>
      </c>
      <c r="J83" s="69">
        <f t="shared" si="15"/>
        <v>0</v>
      </c>
      <c r="K83" s="9"/>
      <c r="L83" s="3"/>
      <c r="M83" s="76"/>
      <c r="N83" s="78">
        <f t="shared" si="11"/>
        <v>0</v>
      </c>
      <c r="O83" s="76"/>
      <c r="P83" s="78">
        <f t="shared" si="12"/>
        <v>0</v>
      </c>
      <c r="Q83" s="76"/>
      <c r="R83" s="78"/>
      <c r="S83" s="76"/>
      <c r="T83" s="78"/>
      <c r="U83" s="76"/>
      <c r="V83" s="78"/>
      <c r="W83" s="76"/>
      <c r="X83" s="78"/>
    </row>
    <row r="84" spans="1:24"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13"/>
        <v>0</v>
      </c>
      <c r="H84" s="69">
        <f>+VLOOKUP(C84,'PRECIOS IDU 2025'!$A$1:$E$3189,4,FALSE)</f>
        <v>104695</v>
      </c>
      <c r="I84" s="69">
        <f t="shared" si="14"/>
        <v>136104</v>
      </c>
      <c r="J84" s="69">
        <f t="shared" si="15"/>
        <v>0</v>
      </c>
      <c r="K84" s="9"/>
      <c r="L84" s="3"/>
      <c r="M84" s="76"/>
      <c r="N84" s="78">
        <f t="shared" si="11"/>
        <v>0</v>
      </c>
      <c r="O84" s="76"/>
      <c r="P84" s="78">
        <f t="shared" si="12"/>
        <v>0</v>
      </c>
      <c r="Q84" s="76"/>
      <c r="R84" s="78"/>
      <c r="S84" s="76"/>
      <c r="T84" s="78"/>
      <c r="U84" s="76"/>
      <c r="V84" s="78"/>
      <c r="W84" s="76"/>
      <c r="X84" s="78"/>
    </row>
    <row r="85" spans="1:24"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13"/>
        <v>0</v>
      </c>
      <c r="H85" s="69">
        <f>+VLOOKUP(C85,'PRECIOS IDU 2025'!$A$1:$E$3189,4,FALSE)</f>
        <v>104695</v>
      </c>
      <c r="I85" s="69">
        <f t="shared" si="14"/>
        <v>136104</v>
      </c>
      <c r="J85" s="69">
        <f t="shared" si="15"/>
        <v>0</v>
      </c>
      <c r="K85" s="9"/>
      <c r="L85" s="3"/>
      <c r="M85" s="76"/>
      <c r="N85" s="78">
        <f t="shared" si="11"/>
        <v>0</v>
      </c>
      <c r="O85" s="76"/>
      <c r="P85" s="78">
        <f t="shared" si="12"/>
        <v>0</v>
      </c>
      <c r="Q85" s="76"/>
      <c r="R85" s="78"/>
      <c r="S85" s="76"/>
      <c r="T85" s="78"/>
      <c r="U85" s="76"/>
      <c r="V85" s="78"/>
      <c r="W85" s="76"/>
      <c r="X85" s="78"/>
    </row>
    <row r="86" spans="1:24" ht="30" customHeight="1" x14ac:dyDescent="0.3">
      <c r="A86" s="3"/>
      <c r="B86" s="8"/>
      <c r="C86" s="66" t="s">
        <v>6079</v>
      </c>
      <c r="D86" s="62"/>
      <c r="E86" s="62"/>
      <c r="F86" s="62"/>
      <c r="G86" s="62"/>
      <c r="H86" s="62"/>
      <c r="I86" s="62"/>
      <c r="J86" s="63"/>
      <c r="K86" s="9"/>
      <c r="L86" s="3"/>
      <c r="M86" s="76"/>
      <c r="N86" s="78">
        <f t="shared" si="11"/>
        <v>0</v>
      </c>
      <c r="O86" s="76"/>
      <c r="P86" s="78">
        <f t="shared" si="12"/>
        <v>0</v>
      </c>
      <c r="Q86" s="76"/>
      <c r="R86" s="78"/>
      <c r="S86" s="76"/>
      <c r="T86" s="78"/>
      <c r="U86" s="76"/>
      <c r="V86" s="78"/>
      <c r="W86" s="76"/>
      <c r="X86" s="78"/>
    </row>
    <row r="87" spans="1:24" ht="30" customHeight="1" x14ac:dyDescent="0.3">
      <c r="A87" s="3"/>
      <c r="B87" s="8"/>
      <c r="C87" s="60">
        <v>3007</v>
      </c>
      <c r="D87" s="60">
        <v>4001</v>
      </c>
      <c r="E87" s="60" t="str">
        <f>+VLOOKUP(C87,'PRECIOS IDU 2025'!$A$1:$E$3189,2,FALSE)</f>
        <v>REPLANTEO GENERAL</v>
      </c>
      <c r="F87" s="60" t="str">
        <f>+VLOOKUP(C87,'PRECIOS IDU 2025'!$A$1:$E$3189,3,FALSE)</f>
        <v>M2</v>
      </c>
      <c r="G87" s="108">
        <f t="shared" ref="G87:G110" si="16">+ROUND(M87+O87,2)</f>
        <v>0</v>
      </c>
      <c r="H87" s="69">
        <f>+VLOOKUP(C87,'PRECIOS IDU 2025'!$A$1:$E$3189,4,FALSE)</f>
        <v>909</v>
      </c>
      <c r="I87" s="69">
        <f t="shared" ref="I87:I110" si="17">+ROUND(H87*(1+$J$192),0)</f>
        <v>1182</v>
      </c>
      <c r="J87" s="69">
        <f t="shared" ref="J87:J110" si="18">+ROUND(I87*G87,0)</f>
        <v>0</v>
      </c>
      <c r="K87" s="9"/>
      <c r="L87" s="3"/>
      <c r="M87" s="76"/>
      <c r="N87" s="78">
        <f t="shared" si="11"/>
        <v>0</v>
      </c>
      <c r="O87" s="76"/>
      <c r="P87" s="78">
        <f t="shared" si="12"/>
        <v>0</v>
      </c>
      <c r="Q87" s="76"/>
      <c r="R87" s="78"/>
      <c r="S87" s="76"/>
      <c r="T87" s="78"/>
      <c r="U87" s="76"/>
      <c r="V87" s="78"/>
      <c r="W87" s="76"/>
      <c r="X87" s="78"/>
    </row>
    <row r="88" spans="1:24"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16"/>
        <v>0</v>
      </c>
      <c r="H88" s="69">
        <f>+VLOOKUP(C88,'PRECIOS IDU 2025'!$A$1:$E$3189,4,FALSE)</f>
        <v>2659</v>
      </c>
      <c r="I88" s="69">
        <f t="shared" si="17"/>
        <v>3457</v>
      </c>
      <c r="J88" s="69">
        <f t="shared" si="18"/>
        <v>0</v>
      </c>
      <c r="K88" s="9"/>
      <c r="L88" s="3"/>
      <c r="M88" s="76"/>
      <c r="N88" s="78">
        <f t="shared" si="11"/>
        <v>0</v>
      </c>
      <c r="O88" s="76"/>
      <c r="P88" s="78">
        <f t="shared" si="12"/>
        <v>0</v>
      </c>
      <c r="Q88" s="76"/>
      <c r="R88" s="78"/>
      <c r="S88" s="76"/>
      <c r="T88" s="78"/>
      <c r="U88" s="76"/>
      <c r="V88" s="78"/>
      <c r="W88" s="76"/>
      <c r="X88" s="78"/>
    </row>
    <row r="89" spans="1:24"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16"/>
        <v>0</v>
      </c>
      <c r="H89" s="69">
        <f>+VLOOKUP(C89,'PRECIOS IDU 2025'!$A$1:$E$3189,4,FALSE)</f>
        <v>38781</v>
      </c>
      <c r="I89" s="69">
        <f t="shared" si="17"/>
        <v>50415</v>
      </c>
      <c r="J89" s="69">
        <f t="shared" si="18"/>
        <v>0</v>
      </c>
      <c r="K89" s="9"/>
      <c r="L89" s="3"/>
      <c r="M89" s="76"/>
      <c r="N89" s="78">
        <f t="shared" si="11"/>
        <v>0</v>
      </c>
      <c r="O89" s="76"/>
      <c r="P89" s="78">
        <f t="shared" si="12"/>
        <v>0</v>
      </c>
      <c r="Q89" s="76"/>
      <c r="R89" s="78"/>
      <c r="S89" s="76"/>
      <c r="T89" s="78"/>
      <c r="U89" s="76"/>
      <c r="V89" s="78"/>
      <c r="W89" s="76"/>
      <c r="X89" s="78"/>
    </row>
    <row r="90" spans="1:24"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16"/>
        <v>0</v>
      </c>
      <c r="H90" s="69">
        <f>+VLOOKUP(C90,'PRECIOS IDU 2025'!$A$1:$E$3189,4,FALSE)</f>
        <v>187178</v>
      </c>
      <c r="I90" s="69">
        <f t="shared" si="17"/>
        <v>243331</v>
      </c>
      <c r="J90" s="69">
        <f t="shared" si="18"/>
        <v>0</v>
      </c>
      <c r="K90" s="9"/>
      <c r="L90" s="3"/>
      <c r="M90" s="76"/>
      <c r="N90" s="78">
        <f t="shared" si="11"/>
        <v>0</v>
      </c>
      <c r="O90" s="76"/>
      <c r="P90" s="78">
        <f t="shared" si="12"/>
        <v>0</v>
      </c>
      <c r="Q90" s="76"/>
      <c r="R90" s="78"/>
      <c r="S90" s="76"/>
      <c r="T90" s="78"/>
      <c r="U90" s="76"/>
      <c r="V90" s="78"/>
      <c r="W90" s="76"/>
      <c r="X90" s="78"/>
    </row>
    <row r="91" spans="1:24"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16"/>
        <v>0</v>
      </c>
      <c r="H91" s="69">
        <f>+VLOOKUP(C91,'PRECIOS IDU 2025'!$A$1:$E$3189,4,FALSE)</f>
        <v>5741</v>
      </c>
      <c r="I91" s="69">
        <f t="shared" si="17"/>
        <v>7463</v>
      </c>
      <c r="J91" s="69">
        <f t="shared" si="18"/>
        <v>0</v>
      </c>
      <c r="K91" s="9"/>
      <c r="L91" s="3"/>
      <c r="M91" s="76"/>
      <c r="N91" s="78">
        <f t="shared" si="11"/>
        <v>0</v>
      </c>
      <c r="O91" s="76"/>
      <c r="P91" s="78">
        <f t="shared" si="12"/>
        <v>0</v>
      </c>
      <c r="Q91" s="76"/>
      <c r="R91" s="78"/>
      <c r="S91" s="76"/>
      <c r="T91" s="78"/>
      <c r="U91" s="76"/>
      <c r="V91" s="78"/>
      <c r="W91" s="76"/>
      <c r="X91" s="78"/>
    </row>
    <row r="92" spans="1:24"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16"/>
        <v>0</v>
      </c>
      <c r="H92" s="69">
        <f>+VLOOKUP(C92,'PRECIOS IDU 2025'!$A$1:$E$3189,4,FALSE)</f>
        <v>46379</v>
      </c>
      <c r="I92" s="69">
        <f t="shared" si="17"/>
        <v>60293</v>
      </c>
      <c r="J92" s="69">
        <f t="shared" si="18"/>
        <v>0</v>
      </c>
      <c r="K92" s="9"/>
      <c r="L92" s="3"/>
      <c r="M92" s="76"/>
      <c r="N92" s="78">
        <f t="shared" si="11"/>
        <v>0</v>
      </c>
      <c r="O92" s="76"/>
      <c r="P92" s="78">
        <f t="shared" si="12"/>
        <v>0</v>
      </c>
      <c r="Q92" s="76"/>
      <c r="R92" s="78"/>
      <c r="S92" s="76"/>
      <c r="T92" s="78"/>
      <c r="U92" s="76"/>
      <c r="V92" s="78"/>
      <c r="W92" s="76"/>
      <c r="X92" s="78"/>
    </row>
    <row r="93" spans="1:24"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16"/>
        <v>0</v>
      </c>
      <c r="H93" s="69">
        <f>+VLOOKUP(C93,'PRECIOS IDU 2025'!$A$1:$E$3189,4,FALSE)</f>
        <v>45600</v>
      </c>
      <c r="I93" s="69">
        <f t="shared" si="17"/>
        <v>59280</v>
      </c>
      <c r="J93" s="69">
        <f t="shared" si="18"/>
        <v>0</v>
      </c>
      <c r="K93" s="9"/>
      <c r="L93" s="3"/>
      <c r="M93" s="76"/>
      <c r="N93" s="78">
        <f t="shared" si="11"/>
        <v>0</v>
      </c>
      <c r="O93" s="76"/>
      <c r="P93" s="78">
        <f t="shared" si="12"/>
        <v>0</v>
      </c>
      <c r="Q93" s="76"/>
      <c r="R93" s="78"/>
      <c r="S93" s="76"/>
      <c r="T93" s="78"/>
      <c r="U93" s="76"/>
      <c r="V93" s="78"/>
      <c r="W93" s="76"/>
      <c r="X93" s="78"/>
    </row>
    <row r="94" spans="1:24"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16"/>
        <v>0</v>
      </c>
      <c r="H94" s="69">
        <f>+VLOOKUP(C94,'PRECIOS IDU 2025'!$A$1:$E$3189,4,FALSE)</f>
        <v>1757</v>
      </c>
      <c r="I94" s="69">
        <f t="shared" si="17"/>
        <v>2284</v>
      </c>
      <c r="J94" s="69">
        <f t="shared" si="18"/>
        <v>0</v>
      </c>
      <c r="K94" s="9"/>
      <c r="L94" s="3"/>
      <c r="M94" s="76"/>
      <c r="N94" s="78">
        <f t="shared" si="11"/>
        <v>0</v>
      </c>
      <c r="O94" s="76"/>
      <c r="P94" s="78">
        <f t="shared" si="12"/>
        <v>0</v>
      </c>
      <c r="Q94" s="76"/>
      <c r="R94" s="78"/>
      <c r="S94" s="76"/>
      <c r="T94" s="78"/>
      <c r="U94" s="76"/>
      <c r="V94" s="78"/>
      <c r="W94" s="76"/>
      <c r="X94" s="78"/>
    </row>
    <row r="95" spans="1:24"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16"/>
        <v>0</v>
      </c>
      <c r="H95" s="69">
        <f>+VLOOKUP(C95,'PRECIOS IDU 2025'!$A$1:$E$3189,4,FALSE)</f>
        <v>3189</v>
      </c>
      <c r="I95" s="69">
        <f t="shared" si="17"/>
        <v>4146</v>
      </c>
      <c r="J95" s="69">
        <f t="shared" si="18"/>
        <v>0</v>
      </c>
      <c r="K95" s="9"/>
      <c r="L95" s="3"/>
      <c r="M95" s="76"/>
      <c r="N95" s="78">
        <f t="shared" si="11"/>
        <v>0</v>
      </c>
      <c r="O95" s="76"/>
      <c r="P95" s="78">
        <f t="shared" si="12"/>
        <v>0</v>
      </c>
      <c r="Q95" s="76"/>
      <c r="R95" s="78"/>
      <c r="S95" s="76"/>
      <c r="T95" s="78"/>
      <c r="U95" s="76"/>
      <c r="V95" s="78"/>
      <c r="W95" s="76"/>
      <c r="X95" s="78"/>
    </row>
    <row r="96" spans="1:24"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16"/>
        <v>0</v>
      </c>
      <c r="H96" s="69">
        <f>+VLOOKUP(C96,'PRECIOS IDU 2025'!$A$1:$E$3189,4,FALSE)</f>
        <v>3885</v>
      </c>
      <c r="I96" s="69">
        <f t="shared" si="17"/>
        <v>5051</v>
      </c>
      <c r="J96" s="69">
        <f t="shared" si="18"/>
        <v>0</v>
      </c>
      <c r="K96" s="9"/>
      <c r="L96" s="3"/>
      <c r="M96" s="76"/>
      <c r="N96" s="78">
        <f t="shared" si="11"/>
        <v>0</v>
      </c>
      <c r="O96" s="76"/>
      <c r="P96" s="78">
        <f t="shared" si="12"/>
        <v>0</v>
      </c>
      <c r="Q96" s="76"/>
      <c r="R96" s="78"/>
      <c r="S96" s="76"/>
      <c r="T96" s="78"/>
      <c r="U96" s="76"/>
      <c r="V96" s="78"/>
      <c r="W96" s="76"/>
      <c r="X96" s="78"/>
    </row>
    <row r="97" spans="1:24"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16"/>
        <v>0</v>
      </c>
      <c r="H97" s="69">
        <f>+VLOOKUP(C97,'PRECIOS IDU 2025'!$A$1:$E$3189,4,FALSE)</f>
        <v>1341971</v>
      </c>
      <c r="I97" s="69">
        <f t="shared" si="17"/>
        <v>1744562</v>
      </c>
      <c r="J97" s="69">
        <f t="shared" si="18"/>
        <v>0</v>
      </c>
      <c r="K97" s="9"/>
      <c r="L97" s="3"/>
      <c r="M97" s="76"/>
      <c r="N97" s="78">
        <f t="shared" si="11"/>
        <v>0</v>
      </c>
      <c r="O97" s="76"/>
      <c r="P97" s="78">
        <f t="shared" si="12"/>
        <v>0</v>
      </c>
      <c r="Q97" s="76"/>
      <c r="R97" s="78"/>
      <c r="S97" s="76"/>
      <c r="T97" s="78"/>
      <c r="U97" s="76"/>
      <c r="V97" s="78"/>
      <c r="W97" s="76"/>
      <c r="X97" s="78"/>
    </row>
    <row r="98" spans="1:24"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16"/>
        <v>0</v>
      </c>
      <c r="H98" s="69">
        <f>+VLOOKUP(C98,'PRECIOS IDU 2025'!$A$1:$E$3189,4,FALSE)</f>
        <v>1241977</v>
      </c>
      <c r="I98" s="69">
        <f t="shared" si="17"/>
        <v>1614570</v>
      </c>
      <c r="J98" s="69">
        <f t="shared" si="18"/>
        <v>0</v>
      </c>
      <c r="K98" s="9"/>
      <c r="L98" s="3"/>
      <c r="M98" s="76"/>
      <c r="N98" s="78">
        <f t="shared" si="11"/>
        <v>0</v>
      </c>
      <c r="O98" s="76"/>
      <c r="P98" s="78">
        <f t="shared" si="12"/>
        <v>0</v>
      </c>
      <c r="Q98" s="76"/>
      <c r="R98" s="78"/>
      <c r="S98" s="76"/>
      <c r="T98" s="78"/>
      <c r="U98" s="76"/>
      <c r="V98" s="78"/>
      <c r="W98" s="76"/>
      <c r="X98" s="78"/>
    </row>
    <row r="99" spans="1:24"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16"/>
        <v>0</v>
      </c>
      <c r="H99" s="69">
        <f>+VLOOKUP(C99,'PRECIOS IDU 2025'!$A$1:$E$3189,4,FALSE)</f>
        <v>1556215</v>
      </c>
      <c r="I99" s="69">
        <f t="shared" si="17"/>
        <v>2023080</v>
      </c>
      <c r="J99" s="69">
        <f t="shared" si="18"/>
        <v>0</v>
      </c>
      <c r="K99" s="9"/>
      <c r="L99" s="3"/>
      <c r="M99" s="76"/>
      <c r="N99" s="78">
        <f t="shared" si="11"/>
        <v>0</v>
      </c>
      <c r="O99" s="76"/>
      <c r="P99" s="78">
        <f t="shared" si="12"/>
        <v>0</v>
      </c>
      <c r="Q99" s="76"/>
      <c r="R99" s="78"/>
      <c r="S99" s="76"/>
      <c r="T99" s="78"/>
      <c r="U99" s="76"/>
      <c r="V99" s="78"/>
      <c r="W99" s="76"/>
      <c r="X99" s="78"/>
    </row>
    <row r="100" spans="1:24"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16"/>
        <v>0</v>
      </c>
      <c r="H100" s="69">
        <f>+VLOOKUP(C100,'PRECIOS IDU 2025'!$A$1:$E$3189,4,FALSE)</f>
        <v>5591</v>
      </c>
      <c r="I100" s="69">
        <f t="shared" si="17"/>
        <v>7268</v>
      </c>
      <c r="J100" s="69">
        <f t="shared" si="18"/>
        <v>0</v>
      </c>
      <c r="K100" s="9"/>
      <c r="L100" s="3"/>
      <c r="M100" s="76"/>
      <c r="N100" s="78"/>
      <c r="O100" s="76"/>
      <c r="P100" s="78"/>
      <c r="Q100" s="76"/>
      <c r="R100" s="78"/>
      <c r="S100" s="76"/>
      <c r="T100" s="78"/>
      <c r="U100" s="76"/>
      <c r="V100" s="78"/>
      <c r="W100" s="76"/>
      <c r="X100" s="78"/>
    </row>
    <row r="101" spans="1:24"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16"/>
        <v>0</v>
      </c>
      <c r="H101" s="69">
        <f>+VLOOKUP(C101,'PRECIOS IDU 2025'!$A$1:$E$3189,4,FALSE)</f>
        <v>8404</v>
      </c>
      <c r="I101" s="69">
        <f t="shared" si="17"/>
        <v>10925</v>
      </c>
      <c r="J101" s="69">
        <f t="shared" si="18"/>
        <v>0</v>
      </c>
      <c r="K101" s="9"/>
      <c r="L101" s="3"/>
      <c r="M101" s="76"/>
      <c r="N101" s="78">
        <f t="shared" ref="N101:N164" si="19">+ROUND(M101*$I101,0)</f>
        <v>0</v>
      </c>
      <c r="O101" s="76"/>
      <c r="P101" s="78">
        <f t="shared" ref="P101:P164" si="20">+ROUND(O101*$I101,0)</f>
        <v>0</v>
      </c>
      <c r="Q101" s="76"/>
      <c r="R101" s="78"/>
      <c r="S101" s="76"/>
      <c r="T101" s="78"/>
      <c r="U101" s="76"/>
      <c r="V101" s="78"/>
      <c r="W101" s="76"/>
      <c r="X101" s="78"/>
    </row>
    <row r="102" spans="1:24"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16"/>
        <v>0</v>
      </c>
      <c r="H102" s="69">
        <f>+VLOOKUP(C102,'PRECIOS IDU 2025'!$A$1:$E$3189,4,FALSE)</f>
        <v>7882</v>
      </c>
      <c r="I102" s="69">
        <f t="shared" si="17"/>
        <v>10247</v>
      </c>
      <c r="J102" s="69">
        <f t="shared" si="18"/>
        <v>0</v>
      </c>
      <c r="K102" s="9"/>
      <c r="L102" s="3"/>
      <c r="M102" s="76"/>
      <c r="N102" s="78">
        <f t="shared" si="19"/>
        <v>0</v>
      </c>
      <c r="O102" s="76"/>
      <c r="P102" s="78">
        <f t="shared" si="20"/>
        <v>0</v>
      </c>
      <c r="Q102" s="76"/>
      <c r="R102" s="78"/>
      <c r="S102" s="76"/>
      <c r="T102" s="78"/>
      <c r="U102" s="76"/>
      <c r="V102" s="78"/>
      <c r="W102" s="76"/>
      <c r="X102" s="78"/>
    </row>
    <row r="103" spans="1:24"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16"/>
        <v>0</v>
      </c>
      <c r="H103" s="69">
        <f>+VLOOKUP(C103,'PRECIOS IDU 2025'!$A$1:$E$3189,4,FALSE)</f>
        <v>7882</v>
      </c>
      <c r="I103" s="69">
        <f t="shared" si="17"/>
        <v>10247</v>
      </c>
      <c r="J103" s="69">
        <f t="shared" si="18"/>
        <v>0</v>
      </c>
      <c r="K103" s="9"/>
      <c r="L103" s="3"/>
      <c r="M103" s="76"/>
      <c r="N103" s="78">
        <f t="shared" si="19"/>
        <v>0</v>
      </c>
      <c r="O103" s="76"/>
      <c r="P103" s="78">
        <f t="shared" si="20"/>
        <v>0</v>
      </c>
      <c r="Q103" s="76"/>
      <c r="R103" s="78"/>
      <c r="S103" s="76"/>
      <c r="T103" s="78"/>
      <c r="U103" s="76"/>
      <c r="V103" s="78"/>
      <c r="W103" s="76"/>
      <c r="X103" s="78"/>
    </row>
    <row r="104" spans="1:24"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16"/>
        <v>0</v>
      </c>
      <c r="H104" s="69">
        <f>+VLOOKUP(C104,'PRECIOS IDU 2025'!$A$1:$E$3189,4,FALSE)</f>
        <v>875661</v>
      </c>
      <c r="I104" s="69">
        <f t="shared" si="17"/>
        <v>1138359</v>
      </c>
      <c r="J104" s="69">
        <f t="shared" si="18"/>
        <v>0</v>
      </c>
      <c r="K104" s="9"/>
      <c r="L104" s="3"/>
      <c r="M104" s="76"/>
      <c r="N104" s="78">
        <f t="shared" si="19"/>
        <v>0</v>
      </c>
      <c r="O104" s="76"/>
      <c r="P104" s="78">
        <f t="shared" si="20"/>
        <v>0</v>
      </c>
      <c r="Q104" s="76"/>
      <c r="R104" s="78"/>
      <c r="S104" s="76"/>
      <c r="T104" s="78"/>
      <c r="U104" s="76"/>
      <c r="V104" s="78"/>
      <c r="W104" s="76"/>
      <c r="X104" s="78"/>
    </row>
    <row r="105" spans="1:24"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16"/>
        <v>0</v>
      </c>
      <c r="H105" s="69">
        <f>+VLOOKUP(C105,'PRECIOS IDU 2025'!$A$1:$E$3189,4,FALSE)</f>
        <v>890453</v>
      </c>
      <c r="I105" s="69">
        <f t="shared" si="17"/>
        <v>1157589</v>
      </c>
      <c r="J105" s="69">
        <f t="shared" si="18"/>
        <v>0</v>
      </c>
      <c r="K105" s="9"/>
      <c r="L105" s="3"/>
      <c r="M105" s="76"/>
      <c r="N105" s="78">
        <f t="shared" si="19"/>
        <v>0</v>
      </c>
      <c r="O105" s="76"/>
      <c r="P105" s="78">
        <f t="shared" si="20"/>
        <v>0</v>
      </c>
      <c r="Q105" s="76"/>
      <c r="R105" s="78"/>
      <c r="S105" s="76"/>
      <c r="T105" s="78"/>
      <c r="U105" s="76"/>
      <c r="V105" s="78"/>
      <c r="W105" s="76"/>
      <c r="X105" s="78"/>
    </row>
    <row r="106" spans="1:24"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16"/>
        <v>0</v>
      </c>
      <c r="H106" s="69">
        <f>+VLOOKUP(C106,'PRECIOS IDU 2025'!$A$1:$E$3189,4,FALSE)</f>
        <v>2554</v>
      </c>
      <c r="I106" s="69">
        <f t="shared" si="17"/>
        <v>3320</v>
      </c>
      <c r="J106" s="69">
        <f t="shared" si="18"/>
        <v>0</v>
      </c>
      <c r="K106" s="9"/>
      <c r="L106" s="3"/>
      <c r="M106" s="76"/>
      <c r="N106" s="78">
        <f t="shared" si="19"/>
        <v>0</v>
      </c>
      <c r="O106" s="76"/>
      <c r="P106" s="78">
        <f t="shared" si="20"/>
        <v>0</v>
      </c>
      <c r="Q106" s="76"/>
      <c r="R106" s="78"/>
      <c r="S106" s="76"/>
      <c r="T106" s="78"/>
      <c r="U106" s="76"/>
      <c r="V106" s="78"/>
      <c r="W106" s="76"/>
      <c r="X106" s="78"/>
    </row>
    <row r="107" spans="1:24"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16"/>
        <v>0</v>
      </c>
      <c r="H107" s="69">
        <f>+VLOOKUP(C107,'PRECIOS IDU 2025'!$A$1:$E$3189,4,FALSE)</f>
        <v>13778</v>
      </c>
      <c r="I107" s="69">
        <f t="shared" si="17"/>
        <v>17911</v>
      </c>
      <c r="J107" s="69">
        <f t="shared" si="18"/>
        <v>0</v>
      </c>
      <c r="K107" s="9"/>
      <c r="L107" s="3"/>
      <c r="M107" s="76"/>
      <c r="N107" s="78">
        <f t="shared" si="19"/>
        <v>0</v>
      </c>
      <c r="O107" s="76"/>
      <c r="P107" s="78">
        <f t="shared" si="20"/>
        <v>0</v>
      </c>
      <c r="Q107" s="76"/>
      <c r="R107" s="78"/>
      <c r="S107" s="76"/>
      <c r="T107" s="78"/>
      <c r="U107" s="76"/>
      <c r="V107" s="78"/>
      <c r="W107" s="76"/>
      <c r="X107" s="78"/>
    </row>
    <row r="108" spans="1:24"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16"/>
        <v>0</v>
      </c>
      <c r="H108" s="69">
        <f>+VLOOKUP(C108,'PRECIOS IDU 2025'!$A$1:$E$3189,4,FALSE)</f>
        <v>10578</v>
      </c>
      <c r="I108" s="69">
        <f t="shared" si="17"/>
        <v>13751</v>
      </c>
      <c r="J108" s="69">
        <f t="shared" si="18"/>
        <v>0</v>
      </c>
      <c r="K108" s="9"/>
      <c r="L108" s="3"/>
      <c r="M108" s="76"/>
      <c r="N108" s="78">
        <f t="shared" si="19"/>
        <v>0</v>
      </c>
      <c r="O108" s="76"/>
      <c r="P108" s="78">
        <f t="shared" si="20"/>
        <v>0</v>
      </c>
      <c r="Q108" s="76"/>
      <c r="R108" s="78"/>
      <c r="S108" s="76"/>
      <c r="T108" s="78"/>
      <c r="U108" s="76"/>
      <c r="V108" s="78"/>
      <c r="W108" s="76"/>
      <c r="X108" s="78"/>
    </row>
    <row r="109" spans="1:24"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16"/>
        <v>0</v>
      </c>
      <c r="H109" s="69">
        <f>+VLOOKUP(C109,'PRECIOS IDU 2025'!$A$1:$E$3189,4,FALSE)</f>
        <v>104695</v>
      </c>
      <c r="I109" s="69">
        <f t="shared" si="17"/>
        <v>136104</v>
      </c>
      <c r="J109" s="69">
        <f t="shared" si="18"/>
        <v>0</v>
      </c>
      <c r="K109" s="9"/>
      <c r="L109" s="3"/>
      <c r="M109" s="76"/>
      <c r="N109" s="78">
        <f t="shared" si="19"/>
        <v>0</v>
      </c>
      <c r="O109" s="76"/>
      <c r="P109" s="78">
        <f t="shared" si="20"/>
        <v>0</v>
      </c>
      <c r="Q109" s="76"/>
      <c r="R109" s="78"/>
      <c r="S109" s="76"/>
      <c r="T109" s="78"/>
      <c r="U109" s="76"/>
      <c r="V109" s="78"/>
      <c r="W109" s="76"/>
      <c r="X109" s="78"/>
    </row>
    <row r="110" spans="1:24"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16"/>
        <v>0</v>
      </c>
      <c r="H110" s="69">
        <f>+VLOOKUP(C110,'PRECIOS IDU 2025'!$A$1:$E$3189,4,FALSE)</f>
        <v>104695</v>
      </c>
      <c r="I110" s="69">
        <f t="shared" si="17"/>
        <v>136104</v>
      </c>
      <c r="J110" s="69">
        <f t="shared" si="18"/>
        <v>0</v>
      </c>
      <c r="K110" s="9"/>
      <c r="L110" s="3"/>
      <c r="M110" s="76"/>
      <c r="N110" s="78">
        <f t="shared" si="19"/>
        <v>0</v>
      </c>
      <c r="O110" s="76"/>
      <c r="P110" s="78">
        <f t="shared" si="20"/>
        <v>0</v>
      </c>
      <c r="Q110" s="76"/>
      <c r="R110" s="78"/>
      <c r="S110" s="76"/>
      <c r="T110" s="78"/>
      <c r="U110" s="76"/>
      <c r="V110" s="78"/>
      <c r="W110" s="76"/>
      <c r="X110" s="78"/>
    </row>
    <row r="111" spans="1:24" ht="30" customHeight="1" x14ac:dyDescent="0.3">
      <c r="A111" s="3"/>
      <c r="B111" s="8"/>
      <c r="C111" s="66" t="s">
        <v>6080</v>
      </c>
      <c r="D111" s="67"/>
      <c r="E111" s="67"/>
      <c r="F111" s="67"/>
      <c r="G111" s="67"/>
      <c r="H111" s="67"/>
      <c r="I111" s="67"/>
      <c r="J111" s="68"/>
      <c r="K111" s="9"/>
      <c r="L111" s="3"/>
      <c r="M111" s="76"/>
      <c r="N111" s="78">
        <f t="shared" si="19"/>
        <v>0</v>
      </c>
      <c r="O111" s="76"/>
      <c r="P111" s="78">
        <f t="shared" si="20"/>
        <v>0</v>
      </c>
      <c r="Q111" s="76"/>
      <c r="R111" s="78"/>
      <c r="S111" s="76"/>
      <c r="T111" s="78"/>
      <c r="U111" s="76"/>
      <c r="V111" s="78"/>
      <c r="W111" s="76"/>
      <c r="X111" s="78"/>
    </row>
    <row r="112" spans="1:24"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21">+ROUND(M112+O112,2)</f>
        <v>0</v>
      </c>
      <c r="H112" s="69">
        <f>+VLOOKUP(C112,'PRECIOS IDU 2025'!$A$1:$E$3189,4,FALSE)</f>
        <v>8262</v>
      </c>
      <c r="I112" s="69">
        <f t="shared" ref="I112:I128" si="22">+ROUND(H112*(1+$J$192),0)</f>
        <v>10741</v>
      </c>
      <c r="J112" s="69">
        <f t="shared" ref="J112:J128" si="23">+ROUND(I112*G112,0)</f>
        <v>0</v>
      </c>
      <c r="K112" s="9"/>
      <c r="L112" s="3"/>
      <c r="M112" s="76"/>
      <c r="N112" s="78">
        <f t="shared" si="19"/>
        <v>0</v>
      </c>
      <c r="O112" s="76"/>
      <c r="P112" s="78">
        <f t="shared" si="20"/>
        <v>0</v>
      </c>
      <c r="Q112" s="76"/>
      <c r="R112" s="78"/>
      <c r="S112" s="76"/>
      <c r="T112" s="78"/>
      <c r="U112" s="76"/>
      <c r="V112" s="78"/>
      <c r="W112" s="76"/>
      <c r="X112" s="78"/>
    </row>
    <row r="113" spans="1:24"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21"/>
        <v>0</v>
      </c>
      <c r="H113" s="69">
        <f>+VLOOKUP(C113,'PRECIOS IDU 2025'!$A$1:$E$3189,4,FALSE)</f>
        <v>6417</v>
      </c>
      <c r="I113" s="69">
        <f t="shared" si="22"/>
        <v>8342</v>
      </c>
      <c r="J113" s="69">
        <f t="shared" si="23"/>
        <v>0</v>
      </c>
      <c r="K113" s="9"/>
      <c r="L113" s="3"/>
      <c r="M113" s="76"/>
      <c r="N113" s="78">
        <f t="shared" si="19"/>
        <v>0</v>
      </c>
      <c r="O113" s="76"/>
      <c r="P113" s="78">
        <f t="shared" si="20"/>
        <v>0</v>
      </c>
      <c r="Q113" s="76"/>
      <c r="R113" s="78"/>
      <c r="S113" s="76"/>
      <c r="T113" s="78"/>
      <c r="U113" s="76"/>
      <c r="V113" s="78"/>
      <c r="W113" s="76"/>
      <c r="X113" s="78"/>
    </row>
    <row r="114" spans="1:24"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21"/>
        <v>0</v>
      </c>
      <c r="H114" s="69">
        <f>+VLOOKUP(C114,'PRECIOS IDU 2025'!$A$1:$E$3189,4,FALSE)</f>
        <v>46379</v>
      </c>
      <c r="I114" s="69">
        <f t="shared" si="22"/>
        <v>60293</v>
      </c>
      <c r="J114" s="69">
        <f t="shared" si="23"/>
        <v>0</v>
      </c>
      <c r="K114" s="9"/>
      <c r="L114" s="3"/>
      <c r="M114" s="76"/>
      <c r="N114" s="78">
        <f t="shared" si="19"/>
        <v>0</v>
      </c>
      <c r="O114" s="76"/>
      <c r="P114" s="78">
        <f t="shared" si="20"/>
        <v>0</v>
      </c>
      <c r="Q114" s="76"/>
      <c r="R114" s="78"/>
      <c r="S114" s="76"/>
      <c r="T114" s="78"/>
      <c r="U114" s="76"/>
      <c r="V114" s="78"/>
      <c r="W114" s="76"/>
      <c r="X114" s="78"/>
    </row>
    <row r="115" spans="1:24"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21"/>
        <v>0</v>
      </c>
      <c r="H115" s="69">
        <f>+VLOOKUP(C115,'PRECIOS IDU 2025'!$A$1:$E$3189,4,FALSE)</f>
        <v>45600</v>
      </c>
      <c r="I115" s="69">
        <f t="shared" si="22"/>
        <v>59280</v>
      </c>
      <c r="J115" s="69">
        <f t="shared" si="23"/>
        <v>0</v>
      </c>
      <c r="K115" s="9"/>
      <c r="L115" s="3"/>
      <c r="M115" s="76"/>
      <c r="N115" s="78">
        <f t="shared" si="19"/>
        <v>0</v>
      </c>
      <c r="O115" s="76"/>
      <c r="P115" s="78">
        <f t="shared" si="20"/>
        <v>0</v>
      </c>
      <c r="Q115" s="76"/>
      <c r="R115" s="78"/>
      <c r="S115" s="76"/>
      <c r="T115" s="78"/>
      <c r="U115" s="76"/>
      <c r="V115" s="78"/>
      <c r="W115" s="76"/>
      <c r="X115" s="78"/>
    </row>
    <row r="116" spans="1:24"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21"/>
        <v>0</v>
      </c>
      <c r="H116" s="69">
        <f>+VLOOKUP(C116,'PRECIOS IDU 2025'!$A$1:$E$3189,4,FALSE)</f>
        <v>167049</v>
      </c>
      <c r="I116" s="69">
        <f t="shared" si="22"/>
        <v>217164</v>
      </c>
      <c r="J116" s="69">
        <f t="shared" si="23"/>
        <v>0</v>
      </c>
      <c r="K116" s="9"/>
      <c r="L116" s="3"/>
      <c r="M116" s="76"/>
      <c r="N116" s="78">
        <f t="shared" si="19"/>
        <v>0</v>
      </c>
      <c r="O116" s="76"/>
      <c r="P116" s="78">
        <f t="shared" si="20"/>
        <v>0</v>
      </c>
      <c r="Q116" s="76"/>
      <c r="R116" s="78"/>
      <c r="S116" s="76"/>
      <c r="T116" s="78"/>
      <c r="U116" s="76"/>
      <c r="V116" s="78"/>
      <c r="W116" s="76"/>
      <c r="X116" s="78"/>
    </row>
    <row r="117" spans="1:24"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21"/>
        <v>0</v>
      </c>
      <c r="H117" s="69">
        <f>+VLOOKUP(C117,'PRECIOS IDU 2025'!$A$1:$E$3189,4,FALSE)</f>
        <v>162047</v>
      </c>
      <c r="I117" s="69">
        <f t="shared" si="22"/>
        <v>210661</v>
      </c>
      <c r="J117" s="69">
        <f t="shared" si="23"/>
        <v>0</v>
      </c>
      <c r="K117" s="9"/>
      <c r="L117" s="3"/>
      <c r="M117" s="76"/>
      <c r="N117" s="78">
        <f t="shared" si="19"/>
        <v>0</v>
      </c>
      <c r="O117" s="76"/>
      <c r="P117" s="78">
        <f t="shared" si="20"/>
        <v>0</v>
      </c>
      <c r="Q117" s="76"/>
      <c r="R117" s="78"/>
      <c r="S117" s="76"/>
      <c r="T117" s="78"/>
      <c r="U117" s="76"/>
      <c r="V117" s="78"/>
      <c r="W117" s="76"/>
      <c r="X117" s="78"/>
    </row>
    <row r="118" spans="1:24"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21"/>
        <v>0</v>
      </c>
      <c r="H118" s="69">
        <f>+VLOOKUP(C118,'PRECIOS IDU 2025'!$A$1:$E$3189,4,FALSE)</f>
        <v>83828</v>
      </c>
      <c r="I118" s="69">
        <f t="shared" si="22"/>
        <v>108976</v>
      </c>
      <c r="J118" s="69">
        <f t="shared" si="23"/>
        <v>0</v>
      </c>
      <c r="K118" s="9"/>
      <c r="L118" s="3"/>
      <c r="M118" s="76"/>
      <c r="N118" s="78">
        <f t="shared" si="19"/>
        <v>0</v>
      </c>
      <c r="O118" s="76"/>
      <c r="P118" s="78">
        <f t="shared" si="20"/>
        <v>0</v>
      </c>
      <c r="Q118" s="76"/>
      <c r="R118" s="78"/>
      <c r="S118" s="76"/>
      <c r="T118" s="78"/>
      <c r="U118" s="76"/>
      <c r="V118" s="78"/>
      <c r="W118" s="76"/>
      <c r="X118" s="78"/>
    </row>
    <row r="119" spans="1:24"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21"/>
        <v>0</v>
      </c>
      <c r="H119" s="69">
        <f>+VLOOKUP(C119,'PRECIOS IDU 2025'!$A$1:$E$3189,4,FALSE)</f>
        <v>7346</v>
      </c>
      <c r="I119" s="69">
        <f t="shared" si="22"/>
        <v>9550</v>
      </c>
      <c r="J119" s="69">
        <f t="shared" si="23"/>
        <v>0</v>
      </c>
      <c r="K119" s="9"/>
      <c r="L119" s="3"/>
      <c r="M119" s="76"/>
      <c r="N119" s="78">
        <f t="shared" si="19"/>
        <v>0</v>
      </c>
      <c r="O119" s="76"/>
      <c r="P119" s="78">
        <f t="shared" si="20"/>
        <v>0</v>
      </c>
      <c r="Q119" s="76"/>
      <c r="R119" s="78"/>
      <c r="S119" s="76"/>
      <c r="T119" s="78"/>
      <c r="U119" s="76"/>
      <c r="V119" s="78"/>
      <c r="W119" s="76"/>
      <c r="X119" s="78"/>
    </row>
    <row r="120" spans="1:24"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21"/>
        <v>0</v>
      </c>
      <c r="H120" s="69">
        <f>+VLOOKUP(C120,'PRECIOS IDU 2025'!$A$1:$E$3189,4,FALSE)</f>
        <v>184030</v>
      </c>
      <c r="I120" s="69">
        <f t="shared" si="22"/>
        <v>239239</v>
      </c>
      <c r="J120" s="69">
        <f t="shared" si="23"/>
        <v>0</v>
      </c>
      <c r="K120" s="9"/>
      <c r="L120" s="3"/>
      <c r="M120" s="76"/>
      <c r="N120" s="78">
        <f t="shared" si="19"/>
        <v>0</v>
      </c>
      <c r="O120" s="76"/>
      <c r="P120" s="78">
        <f t="shared" si="20"/>
        <v>0</v>
      </c>
      <c r="Q120" s="76"/>
      <c r="R120" s="78"/>
      <c r="S120" s="76"/>
      <c r="T120" s="78"/>
      <c r="U120" s="76"/>
      <c r="V120" s="78"/>
      <c r="W120" s="76"/>
      <c r="X120" s="78"/>
    </row>
    <row r="121" spans="1:24"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21"/>
        <v>0</v>
      </c>
      <c r="H121" s="69">
        <f>+VLOOKUP(C121,'PRECIOS IDU 2025'!$A$1:$E$3189,4,FALSE)</f>
        <v>966133</v>
      </c>
      <c r="I121" s="69">
        <f t="shared" si="22"/>
        <v>1255973</v>
      </c>
      <c r="J121" s="69">
        <f t="shared" si="23"/>
        <v>0</v>
      </c>
      <c r="K121" s="9"/>
      <c r="L121" s="3"/>
      <c r="M121" s="76"/>
      <c r="N121" s="78">
        <f t="shared" si="19"/>
        <v>0</v>
      </c>
      <c r="O121" s="76"/>
      <c r="P121" s="78">
        <f t="shared" si="20"/>
        <v>0</v>
      </c>
      <c r="Q121" s="76"/>
      <c r="R121" s="78"/>
      <c r="S121" s="76"/>
      <c r="T121" s="78"/>
      <c r="U121" s="76"/>
      <c r="V121" s="78"/>
      <c r="W121" s="76"/>
      <c r="X121" s="78"/>
    </row>
    <row r="122" spans="1:24"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21"/>
        <v>0</v>
      </c>
      <c r="H122" s="69">
        <f>+VLOOKUP(C122,'PRECIOS IDU 2025'!$A$1:$E$3189,4,FALSE)</f>
        <v>62386</v>
      </c>
      <c r="I122" s="69">
        <f t="shared" si="22"/>
        <v>81102</v>
      </c>
      <c r="J122" s="69">
        <f t="shared" si="23"/>
        <v>0</v>
      </c>
      <c r="K122" s="9"/>
      <c r="L122" s="3"/>
      <c r="M122" s="76"/>
      <c r="N122" s="78">
        <f t="shared" si="19"/>
        <v>0</v>
      </c>
      <c r="O122" s="76"/>
      <c r="P122" s="78">
        <f t="shared" si="20"/>
        <v>0</v>
      </c>
      <c r="Q122" s="76"/>
      <c r="R122" s="78"/>
      <c r="S122" s="76"/>
      <c r="T122" s="78"/>
      <c r="U122" s="76"/>
      <c r="V122" s="78"/>
      <c r="W122" s="76"/>
      <c r="X122" s="78"/>
    </row>
    <row r="123" spans="1:24"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21"/>
        <v>0</v>
      </c>
      <c r="H123" s="69">
        <f>+VLOOKUP(C123,'PRECIOS IDU 2025'!$A$1:$E$3189,4,FALSE)</f>
        <v>82015</v>
      </c>
      <c r="I123" s="69">
        <f t="shared" si="22"/>
        <v>106620</v>
      </c>
      <c r="J123" s="69">
        <f t="shared" si="23"/>
        <v>0</v>
      </c>
      <c r="K123" s="9"/>
      <c r="L123" s="3"/>
      <c r="M123" s="76"/>
      <c r="N123" s="78">
        <f t="shared" si="19"/>
        <v>0</v>
      </c>
      <c r="O123" s="76"/>
      <c r="P123" s="78">
        <f t="shared" si="20"/>
        <v>0</v>
      </c>
      <c r="Q123" s="76"/>
      <c r="R123" s="78"/>
      <c r="S123" s="76"/>
      <c r="T123" s="78"/>
      <c r="U123" s="76"/>
      <c r="V123" s="78"/>
      <c r="W123" s="76"/>
      <c r="X123" s="78"/>
    </row>
    <row r="124" spans="1:24"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21"/>
        <v>0</v>
      </c>
      <c r="H124" s="69">
        <f>+VLOOKUP(C124,'PRECIOS IDU 2025'!$A$1:$E$3189,4,FALSE)</f>
        <v>69041</v>
      </c>
      <c r="I124" s="69">
        <f t="shared" si="22"/>
        <v>89753</v>
      </c>
      <c r="J124" s="69">
        <f t="shared" si="23"/>
        <v>0</v>
      </c>
      <c r="K124" s="9"/>
      <c r="L124" s="3"/>
      <c r="M124" s="76"/>
      <c r="N124" s="78">
        <f t="shared" si="19"/>
        <v>0</v>
      </c>
      <c r="O124" s="76"/>
      <c r="P124" s="78">
        <f t="shared" si="20"/>
        <v>0</v>
      </c>
      <c r="Q124" s="76"/>
      <c r="R124" s="78"/>
      <c r="S124" s="76"/>
      <c r="T124" s="78"/>
      <c r="U124" s="76"/>
      <c r="V124" s="78"/>
      <c r="W124" s="76"/>
      <c r="X124" s="78"/>
    </row>
    <row r="125" spans="1:24"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21"/>
        <v>0</v>
      </c>
      <c r="H125" s="69">
        <f>+VLOOKUP(C125,'PRECIOS IDU 2025'!$A$1:$E$3189,4,FALSE)</f>
        <v>2560</v>
      </c>
      <c r="I125" s="69">
        <f t="shared" si="22"/>
        <v>3328</v>
      </c>
      <c r="J125" s="69">
        <f t="shared" si="23"/>
        <v>0</v>
      </c>
      <c r="K125" s="9"/>
      <c r="L125" s="3"/>
      <c r="M125" s="76"/>
      <c r="N125" s="78">
        <f t="shared" si="19"/>
        <v>0</v>
      </c>
      <c r="O125" s="76"/>
      <c r="P125" s="78">
        <f t="shared" si="20"/>
        <v>0</v>
      </c>
      <c r="Q125" s="76"/>
      <c r="R125" s="78"/>
      <c r="S125" s="76"/>
      <c r="T125" s="78"/>
      <c r="U125" s="76"/>
      <c r="V125" s="78"/>
      <c r="W125" s="76"/>
      <c r="X125" s="78"/>
    </row>
    <row r="126" spans="1:24"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21"/>
        <v>0</v>
      </c>
      <c r="H126" s="69">
        <f>+VLOOKUP(C126,'PRECIOS IDU 2025'!$A$1:$E$3189,4,FALSE)</f>
        <v>738210</v>
      </c>
      <c r="I126" s="69">
        <f t="shared" si="22"/>
        <v>959673</v>
      </c>
      <c r="J126" s="69">
        <f t="shared" si="23"/>
        <v>0</v>
      </c>
      <c r="K126" s="9"/>
      <c r="L126" s="3"/>
      <c r="M126" s="76"/>
      <c r="N126" s="78">
        <f t="shared" si="19"/>
        <v>0</v>
      </c>
      <c r="O126" s="76"/>
      <c r="P126" s="78">
        <f t="shared" si="20"/>
        <v>0</v>
      </c>
      <c r="Q126" s="76"/>
      <c r="R126" s="78"/>
      <c r="S126" s="76"/>
      <c r="T126" s="78"/>
      <c r="U126" s="76"/>
      <c r="V126" s="78"/>
      <c r="W126" s="76"/>
      <c r="X126" s="78"/>
    </row>
    <row r="127" spans="1:24"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21"/>
        <v>0</v>
      </c>
      <c r="H127" s="69">
        <f>+VLOOKUP(C127,'PRECIOS IDU 2025'!$A$1:$E$3189,4,FALSE)</f>
        <v>63798</v>
      </c>
      <c r="I127" s="69">
        <f t="shared" si="22"/>
        <v>82937</v>
      </c>
      <c r="J127" s="69">
        <f t="shared" si="23"/>
        <v>0</v>
      </c>
      <c r="K127" s="9"/>
      <c r="L127" s="3"/>
      <c r="M127" s="76"/>
      <c r="N127" s="78">
        <f t="shared" si="19"/>
        <v>0</v>
      </c>
      <c r="O127" s="76"/>
      <c r="P127" s="78">
        <f t="shared" si="20"/>
        <v>0</v>
      </c>
      <c r="Q127" s="76"/>
      <c r="R127" s="78"/>
      <c r="S127" s="76"/>
      <c r="T127" s="78"/>
      <c r="U127" s="76"/>
      <c r="V127" s="78"/>
      <c r="W127" s="76"/>
      <c r="X127" s="78"/>
    </row>
    <row r="128" spans="1:24"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21"/>
        <v>0</v>
      </c>
      <c r="H128" s="69">
        <f>+VLOOKUP(C128,'PRECIOS IDU 2025'!$A$1:$E$3189,4,FALSE)</f>
        <v>112423</v>
      </c>
      <c r="I128" s="69">
        <f t="shared" si="22"/>
        <v>146150</v>
      </c>
      <c r="J128" s="69">
        <f t="shared" si="23"/>
        <v>0</v>
      </c>
      <c r="K128" s="9"/>
      <c r="L128" s="3"/>
      <c r="M128" s="76"/>
      <c r="N128" s="78">
        <f t="shared" si="19"/>
        <v>0</v>
      </c>
      <c r="O128" s="76"/>
      <c r="P128" s="78">
        <f t="shared" si="20"/>
        <v>0</v>
      </c>
      <c r="Q128" s="76"/>
      <c r="R128" s="78"/>
      <c r="S128" s="76"/>
      <c r="T128" s="78"/>
      <c r="U128" s="76"/>
      <c r="V128" s="78"/>
      <c r="W128" s="76"/>
      <c r="X128" s="78"/>
    </row>
    <row r="129" spans="1:24" ht="30" customHeight="1" x14ac:dyDescent="0.3">
      <c r="A129" s="3"/>
      <c r="B129" s="8"/>
      <c r="C129" s="66" t="s">
        <v>6081</v>
      </c>
      <c r="D129" s="67"/>
      <c r="E129" s="67"/>
      <c r="F129" s="67"/>
      <c r="G129" s="67"/>
      <c r="H129" s="67"/>
      <c r="I129" s="67"/>
      <c r="J129" s="68"/>
      <c r="K129" s="9"/>
      <c r="L129" s="3"/>
      <c r="M129" s="76"/>
      <c r="N129" s="78">
        <f t="shared" si="19"/>
        <v>0</v>
      </c>
      <c r="O129" s="76"/>
      <c r="P129" s="78">
        <f t="shared" si="20"/>
        <v>0</v>
      </c>
      <c r="Q129" s="76"/>
      <c r="R129" s="78"/>
      <c r="S129" s="76"/>
      <c r="T129" s="78"/>
      <c r="U129" s="76"/>
      <c r="V129" s="78"/>
      <c r="W129" s="76"/>
      <c r="X129" s="78"/>
    </row>
    <row r="130" spans="1:24"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24">+ROUND(M130+O130,2)</f>
        <v>0</v>
      </c>
      <c r="H130" s="69">
        <f>+VLOOKUP(C130,'PRECIOS IDU 2025'!$A$1:$E$3189,4,FALSE)</f>
        <v>46379</v>
      </c>
      <c r="I130" s="69">
        <f t="shared" ref="I130:I163" si="25">+ROUND(H130*(1+$J$192),0)</f>
        <v>60293</v>
      </c>
      <c r="J130" s="69">
        <f t="shared" ref="J130:J163" si="26">+ROUND(I130*G130,0)</f>
        <v>0</v>
      </c>
      <c r="K130" s="9"/>
      <c r="L130" s="3"/>
      <c r="M130" s="76"/>
      <c r="N130" s="78">
        <f t="shared" si="19"/>
        <v>0</v>
      </c>
      <c r="O130" s="76"/>
      <c r="P130" s="78">
        <f t="shared" si="20"/>
        <v>0</v>
      </c>
      <c r="Q130" s="76"/>
      <c r="R130" s="78"/>
      <c r="S130" s="76"/>
      <c r="T130" s="78"/>
      <c r="U130" s="76"/>
      <c r="V130" s="78"/>
      <c r="W130" s="76"/>
      <c r="X130" s="78"/>
    </row>
    <row r="131" spans="1:24"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24"/>
        <v>0</v>
      </c>
      <c r="H131" s="69">
        <f>+VLOOKUP(C131,'PRECIOS IDU 2025'!$A$1:$E$3189,4,FALSE)</f>
        <v>268852</v>
      </c>
      <c r="I131" s="69">
        <f t="shared" si="25"/>
        <v>349508</v>
      </c>
      <c r="J131" s="69">
        <f t="shared" si="26"/>
        <v>0</v>
      </c>
      <c r="K131" s="9"/>
      <c r="L131" s="3"/>
      <c r="M131" s="76"/>
      <c r="N131" s="78">
        <f t="shared" si="19"/>
        <v>0</v>
      </c>
      <c r="O131" s="76"/>
      <c r="P131" s="78">
        <f t="shared" si="20"/>
        <v>0</v>
      </c>
      <c r="Q131" s="76"/>
      <c r="R131" s="78"/>
      <c r="S131" s="76"/>
      <c r="T131" s="78"/>
      <c r="U131" s="76"/>
      <c r="V131" s="78"/>
      <c r="W131" s="76"/>
      <c r="X131" s="78"/>
    </row>
    <row r="132" spans="1:24"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24"/>
        <v>0</v>
      </c>
      <c r="H132" s="69">
        <f>+VLOOKUP(C132,'PRECIOS IDU 2025'!$A$1:$E$3189,4,FALSE)</f>
        <v>10836</v>
      </c>
      <c r="I132" s="69">
        <f t="shared" si="25"/>
        <v>14087</v>
      </c>
      <c r="J132" s="69">
        <f t="shared" si="26"/>
        <v>0</v>
      </c>
      <c r="K132" s="9"/>
      <c r="L132" s="3"/>
      <c r="M132" s="76"/>
      <c r="N132" s="78">
        <f t="shared" si="19"/>
        <v>0</v>
      </c>
      <c r="O132" s="76"/>
      <c r="P132" s="78">
        <f t="shared" si="20"/>
        <v>0</v>
      </c>
      <c r="Q132" s="76"/>
      <c r="R132" s="78"/>
      <c r="S132" s="76"/>
      <c r="T132" s="78"/>
      <c r="U132" s="76"/>
      <c r="V132" s="78"/>
      <c r="W132" s="76"/>
      <c r="X132" s="78"/>
    </row>
    <row r="133" spans="1:24"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24"/>
        <v>0</v>
      </c>
      <c r="H133" s="69">
        <f>+VLOOKUP(C133,'PRECIOS IDU 2025'!$A$1:$E$3189,4,FALSE)</f>
        <v>189054</v>
      </c>
      <c r="I133" s="69">
        <f t="shared" si="25"/>
        <v>245770</v>
      </c>
      <c r="J133" s="69">
        <f t="shared" si="26"/>
        <v>0</v>
      </c>
      <c r="K133" s="9"/>
      <c r="L133" s="3"/>
      <c r="M133" s="76"/>
      <c r="N133" s="78">
        <f t="shared" si="19"/>
        <v>0</v>
      </c>
      <c r="O133" s="76"/>
      <c r="P133" s="78">
        <f t="shared" si="20"/>
        <v>0</v>
      </c>
      <c r="Q133" s="76"/>
      <c r="R133" s="78"/>
      <c r="S133" s="76"/>
      <c r="T133" s="78"/>
      <c r="U133" s="76"/>
      <c r="V133" s="78"/>
      <c r="W133" s="76"/>
      <c r="X133" s="78"/>
    </row>
    <row r="134" spans="1:24"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24"/>
        <v>0</v>
      </c>
      <c r="H134" s="69">
        <f>+VLOOKUP(C134,'PRECIOS IDU 2025'!$A$1:$E$3189,4,FALSE)</f>
        <v>45600</v>
      </c>
      <c r="I134" s="69">
        <f t="shared" si="25"/>
        <v>59280</v>
      </c>
      <c r="J134" s="69">
        <f t="shared" si="26"/>
        <v>0</v>
      </c>
      <c r="K134" s="9"/>
      <c r="L134" s="3"/>
      <c r="M134" s="76"/>
      <c r="N134" s="78">
        <f t="shared" si="19"/>
        <v>0</v>
      </c>
      <c r="O134" s="76"/>
      <c r="P134" s="78">
        <f t="shared" si="20"/>
        <v>0</v>
      </c>
      <c r="Q134" s="76"/>
      <c r="R134" s="78"/>
      <c r="S134" s="76"/>
      <c r="T134" s="78"/>
      <c r="U134" s="76"/>
      <c r="V134" s="78"/>
      <c r="W134" s="76"/>
      <c r="X134" s="78"/>
    </row>
    <row r="135" spans="1:24"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24"/>
        <v>0</v>
      </c>
      <c r="H135" s="69">
        <f>+VLOOKUP(C135,'PRECIOS IDU 2025'!$A$1:$E$3189,4,FALSE)</f>
        <v>58200</v>
      </c>
      <c r="I135" s="69">
        <f t="shared" si="25"/>
        <v>75660</v>
      </c>
      <c r="J135" s="69">
        <f t="shared" si="26"/>
        <v>0</v>
      </c>
      <c r="K135" s="9"/>
      <c r="L135" s="3"/>
      <c r="M135" s="76"/>
      <c r="N135" s="78">
        <f t="shared" si="19"/>
        <v>0</v>
      </c>
      <c r="O135" s="76"/>
      <c r="P135" s="78">
        <f t="shared" si="20"/>
        <v>0</v>
      </c>
      <c r="Q135" s="76"/>
      <c r="R135" s="78"/>
      <c r="S135" s="76"/>
      <c r="T135" s="78"/>
      <c r="U135" s="76"/>
      <c r="V135" s="78"/>
      <c r="W135" s="76"/>
      <c r="X135" s="78"/>
    </row>
    <row r="136" spans="1:24"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24"/>
        <v>0</v>
      </c>
      <c r="H136" s="69">
        <f>+VLOOKUP(C136,'PRECIOS IDU 2025'!$A$1:$E$3189,4,FALSE)</f>
        <v>39211</v>
      </c>
      <c r="I136" s="69">
        <f t="shared" si="25"/>
        <v>50974</v>
      </c>
      <c r="J136" s="69">
        <f t="shared" si="26"/>
        <v>0</v>
      </c>
      <c r="K136" s="9"/>
      <c r="L136" s="3"/>
      <c r="M136" s="76"/>
      <c r="N136" s="78">
        <f t="shared" si="19"/>
        <v>0</v>
      </c>
      <c r="O136" s="76"/>
      <c r="P136" s="78">
        <f t="shared" si="20"/>
        <v>0</v>
      </c>
      <c r="Q136" s="76"/>
      <c r="R136" s="78"/>
      <c r="S136" s="76"/>
      <c r="T136" s="78"/>
      <c r="U136" s="76"/>
      <c r="V136" s="78"/>
      <c r="W136" s="76"/>
      <c r="X136" s="78"/>
    </row>
    <row r="137" spans="1:24"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24"/>
        <v>0</v>
      </c>
      <c r="H137" s="69">
        <f>+VLOOKUP(C137,'PRECIOS IDU 2025'!$A$1:$E$3189,4,FALSE)</f>
        <v>167159</v>
      </c>
      <c r="I137" s="69">
        <f t="shared" si="25"/>
        <v>217307</v>
      </c>
      <c r="J137" s="69">
        <f t="shared" si="26"/>
        <v>0</v>
      </c>
      <c r="K137" s="9"/>
      <c r="L137" s="3"/>
      <c r="M137" s="76"/>
      <c r="N137" s="78">
        <f t="shared" si="19"/>
        <v>0</v>
      </c>
      <c r="O137" s="76"/>
      <c r="P137" s="78">
        <f t="shared" si="20"/>
        <v>0</v>
      </c>
      <c r="Q137" s="76"/>
      <c r="R137" s="78"/>
      <c r="S137" s="76"/>
      <c r="T137" s="78"/>
      <c r="U137" s="76"/>
      <c r="V137" s="78"/>
      <c r="W137" s="76"/>
      <c r="X137" s="78"/>
    </row>
    <row r="138" spans="1:24"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24"/>
        <v>0</v>
      </c>
      <c r="H138" s="69">
        <f>+VLOOKUP(C138,'PRECIOS IDU 2025'!$A$1:$E$3189,4,FALSE)</f>
        <v>100367</v>
      </c>
      <c r="I138" s="69">
        <f t="shared" si="25"/>
        <v>130477</v>
      </c>
      <c r="J138" s="69">
        <f t="shared" si="26"/>
        <v>0</v>
      </c>
      <c r="K138" s="9"/>
      <c r="L138" s="3"/>
      <c r="M138" s="76"/>
      <c r="N138" s="78">
        <f t="shared" si="19"/>
        <v>0</v>
      </c>
      <c r="O138" s="76"/>
      <c r="P138" s="78">
        <f t="shared" si="20"/>
        <v>0</v>
      </c>
      <c r="Q138" s="76"/>
      <c r="R138" s="78"/>
      <c r="S138" s="76"/>
      <c r="T138" s="78"/>
      <c r="U138" s="76"/>
      <c r="V138" s="78"/>
      <c r="W138" s="76"/>
      <c r="X138" s="78"/>
    </row>
    <row r="139" spans="1:24"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24"/>
        <v>0</v>
      </c>
      <c r="H139" s="69">
        <f>+VLOOKUP(C139,'PRECIOS IDU 2025'!$A$1:$E$3189,4,FALSE)</f>
        <v>214107</v>
      </c>
      <c r="I139" s="69">
        <f t="shared" si="25"/>
        <v>278339</v>
      </c>
      <c r="J139" s="69">
        <f t="shared" si="26"/>
        <v>0</v>
      </c>
      <c r="K139" s="9"/>
      <c r="L139" s="3"/>
      <c r="M139" s="76"/>
      <c r="N139" s="78">
        <f t="shared" si="19"/>
        <v>0</v>
      </c>
      <c r="O139" s="76"/>
      <c r="P139" s="78">
        <f t="shared" si="20"/>
        <v>0</v>
      </c>
      <c r="Q139" s="76"/>
      <c r="R139" s="78"/>
      <c r="S139" s="76"/>
      <c r="T139" s="78"/>
      <c r="U139" s="76"/>
      <c r="V139" s="78"/>
      <c r="W139" s="76"/>
      <c r="X139" s="78"/>
    </row>
    <row r="140" spans="1:24"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24"/>
        <v>0</v>
      </c>
      <c r="H140" s="69">
        <f>+VLOOKUP(C140,'PRECIOS IDU 2025'!$A$1:$E$3189,4,FALSE)</f>
        <v>155503</v>
      </c>
      <c r="I140" s="69">
        <f t="shared" si="25"/>
        <v>202154</v>
      </c>
      <c r="J140" s="69">
        <f t="shared" si="26"/>
        <v>0</v>
      </c>
      <c r="K140" s="9"/>
      <c r="L140" s="3"/>
      <c r="M140" s="76"/>
      <c r="N140" s="78">
        <f t="shared" si="19"/>
        <v>0</v>
      </c>
      <c r="O140" s="76"/>
      <c r="P140" s="78">
        <f t="shared" si="20"/>
        <v>0</v>
      </c>
      <c r="Q140" s="76"/>
      <c r="R140" s="78"/>
      <c r="S140" s="76"/>
      <c r="T140" s="78"/>
      <c r="U140" s="76"/>
      <c r="V140" s="78"/>
      <c r="W140" s="76"/>
      <c r="X140" s="78"/>
    </row>
    <row r="141" spans="1:24"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24"/>
        <v>0</v>
      </c>
      <c r="H141" s="69">
        <f>+VLOOKUP(C141,'PRECIOS IDU 2025'!$A$1:$E$3189,4,FALSE)</f>
        <v>1895915</v>
      </c>
      <c r="I141" s="69">
        <f t="shared" si="25"/>
        <v>2464690</v>
      </c>
      <c r="J141" s="69">
        <f t="shared" si="26"/>
        <v>0</v>
      </c>
      <c r="K141" s="9"/>
      <c r="L141" s="3"/>
      <c r="M141" s="76"/>
      <c r="N141" s="78">
        <f t="shared" si="19"/>
        <v>0</v>
      </c>
      <c r="O141" s="76"/>
      <c r="P141" s="78">
        <f t="shared" si="20"/>
        <v>0</v>
      </c>
      <c r="Q141" s="76"/>
      <c r="R141" s="78"/>
      <c r="S141" s="76"/>
      <c r="T141" s="78"/>
      <c r="U141" s="76"/>
      <c r="V141" s="78"/>
      <c r="W141" s="76"/>
      <c r="X141" s="78"/>
    </row>
    <row r="142" spans="1:24"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24"/>
        <v>0</v>
      </c>
      <c r="H142" s="69">
        <f>+VLOOKUP(C142,'PRECIOS IDU 2025'!$A$1:$E$3189,4,FALSE)</f>
        <v>739808</v>
      </c>
      <c r="I142" s="69">
        <f t="shared" si="25"/>
        <v>961750</v>
      </c>
      <c r="J142" s="69">
        <f t="shared" si="26"/>
        <v>0</v>
      </c>
      <c r="K142" s="9"/>
      <c r="L142" s="3"/>
      <c r="M142" s="76"/>
      <c r="N142" s="78">
        <f t="shared" si="19"/>
        <v>0</v>
      </c>
      <c r="O142" s="76"/>
      <c r="P142" s="78">
        <f t="shared" si="20"/>
        <v>0</v>
      </c>
      <c r="Q142" s="76"/>
      <c r="R142" s="78"/>
      <c r="S142" s="76"/>
      <c r="T142" s="78"/>
      <c r="U142" s="76"/>
      <c r="V142" s="78"/>
      <c r="W142" s="76"/>
      <c r="X142" s="78"/>
    </row>
    <row r="143" spans="1:24"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24"/>
        <v>0</v>
      </c>
      <c r="H143" s="69">
        <f>+VLOOKUP(C143,'PRECIOS IDU 2025'!$A$1:$E$3189,4,FALSE)</f>
        <v>135984</v>
      </c>
      <c r="I143" s="69">
        <f t="shared" si="25"/>
        <v>176779</v>
      </c>
      <c r="J143" s="69">
        <f t="shared" si="26"/>
        <v>0</v>
      </c>
      <c r="K143" s="9"/>
      <c r="L143" s="3"/>
      <c r="M143" s="76"/>
      <c r="N143" s="78">
        <f t="shared" si="19"/>
        <v>0</v>
      </c>
      <c r="O143" s="76"/>
      <c r="P143" s="78">
        <f t="shared" si="20"/>
        <v>0</v>
      </c>
      <c r="Q143" s="76"/>
      <c r="R143" s="78"/>
      <c r="S143" s="76"/>
      <c r="T143" s="78"/>
      <c r="U143" s="76"/>
      <c r="V143" s="78"/>
      <c r="W143" s="76"/>
      <c r="X143" s="78"/>
    </row>
    <row r="144" spans="1:24"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24"/>
        <v>0</v>
      </c>
      <c r="H144" s="69">
        <f>+VLOOKUP(C144,'PRECIOS IDU 2025'!$A$1:$E$3189,4,FALSE)</f>
        <v>37349</v>
      </c>
      <c r="I144" s="69">
        <f t="shared" si="25"/>
        <v>48554</v>
      </c>
      <c r="J144" s="69">
        <f t="shared" si="26"/>
        <v>0</v>
      </c>
      <c r="K144" s="9"/>
      <c r="L144" s="3"/>
      <c r="M144" s="76"/>
      <c r="N144" s="78">
        <f t="shared" si="19"/>
        <v>0</v>
      </c>
      <c r="O144" s="76"/>
      <c r="P144" s="78">
        <f t="shared" si="20"/>
        <v>0</v>
      </c>
      <c r="Q144" s="76"/>
      <c r="R144" s="78"/>
      <c r="S144" s="76"/>
      <c r="T144" s="78"/>
      <c r="U144" s="76"/>
      <c r="V144" s="78"/>
      <c r="W144" s="76"/>
      <c r="X144" s="78"/>
    </row>
    <row r="145" spans="1:24"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24"/>
        <v>0</v>
      </c>
      <c r="H145" s="69">
        <f>+VLOOKUP(C145,'PRECIOS IDU 2025'!$A$1:$E$3189,4,FALSE)</f>
        <v>63957</v>
      </c>
      <c r="I145" s="69">
        <f t="shared" si="25"/>
        <v>83144</v>
      </c>
      <c r="J145" s="69">
        <f t="shared" si="26"/>
        <v>0</v>
      </c>
      <c r="K145" s="9"/>
      <c r="L145" s="3"/>
      <c r="M145" s="76"/>
      <c r="N145" s="78">
        <f t="shared" si="19"/>
        <v>0</v>
      </c>
      <c r="O145" s="76"/>
      <c r="P145" s="78">
        <f t="shared" si="20"/>
        <v>0</v>
      </c>
      <c r="Q145" s="76"/>
      <c r="R145" s="78"/>
      <c r="S145" s="76"/>
      <c r="T145" s="78"/>
      <c r="U145" s="76"/>
      <c r="V145" s="78"/>
      <c r="W145" s="76"/>
      <c r="X145" s="78"/>
    </row>
    <row r="146" spans="1:24"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24"/>
        <v>0</v>
      </c>
      <c r="H146" s="69">
        <f>+VLOOKUP(C146,'PRECIOS IDU 2025'!$A$1:$E$3189,4,FALSE)</f>
        <v>88930</v>
      </c>
      <c r="I146" s="69">
        <f t="shared" si="25"/>
        <v>115609</v>
      </c>
      <c r="J146" s="69">
        <f t="shared" si="26"/>
        <v>0</v>
      </c>
      <c r="K146" s="9"/>
      <c r="L146" s="3"/>
      <c r="M146" s="76"/>
      <c r="N146" s="78">
        <f t="shared" si="19"/>
        <v>0</v>
      </c>
      <c r="O146" s="76"/>
      <c r="P146" s="78">
        <f t="shared" si="20"/>
        <v>0</v>
      </c>
      <c r="Q146" s="76"/>
      <c r="R146" s="78"/>
      <c r="S146" s="76"/>
      <c r="T146" s="78"/>
      <c r="U146" s="76"/>
      <c r="V146" s="78"/>
      <c r="W146" s="76"/>
      <c r="X146" s="78"/>
    </row>
    <row r="147" spans="1:24"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24"/>
        <v>0</v>
      </c>
      <c r="H147" s="69">
        <f>+VLOOKUP(C147,'PRECIOS IDU 2025'!$A$1:$E$3189,4,FALSE)</f>
        <v>125950</v>
      </c>
      <c r="I147" s="69">
        <f t="shared" si="25"/>
        <v>163735</v>
      </c>
      <c r="J147" s="69">
        <f t="shared" si="26"/>
        <v>0</v>
      </c>
      <c r="K147" s="9"/>
      <c r="L147" s="3"/>
      <c r="M147" s="76"/>
      <c r="N147" s="78">
        <f t="shared" si="19"/>
        <v>0</v>
      </c>
      <c r="O147" s="76"/>
      <c r="P147" s="78">
        <f t="shared" si="20"/>
        <v>0</v>
      </c>
      <c r="Q147" s="76"/>
      <c r="R147" s="78"/>
      <c r="S147" s="76"/>
      <c r="T147" s="78"/>
      <c r="U147" s="76"/>
      <c r="V147" s="78"/>
      <c r="W147" s="76"/>
      <c r="X147" s="78"/>
    </row>
    <row r="148" spans="1:24"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24"/>
        <v>0</v>
      </c>
      <c r="H148" s="69">
        <f>+VLOOKUP(C148,'PRECIOS IDU 2025'!$A$1:$E$3189,4,FALSE)</f>
        <v>176674</v>
      </c>
      <c r="I148" s="69">
        <f t="shared" si="25"/>
        <v>229676</v>
      </c>
      <c r="J148" s="69">
        <f t="shared" si="26"/>
        <v>0</v>
      </c>
      <c r="K148" s="9"/>
      <c r="L148" s="3"/>
      <c r="M148" s="76"/>
      <c r="N148" s="78">
        <f t="shared" si="19"/>
        <v>0</v>
      </c>
      <c r="O148" s="76"/>
      <c r="P148" s="78">
        <f t="shared" si="20"/>
        <v>0</v>
      </c>
      <c r="Q148" s="76"/>
      <c r="R148" s="78"/>
      <c r="S148" s="76"/>
      <c r="T148" s="78"/>
      <c r="U148" s="76"/>
      <c r="V148" s="78"/>
      <c r="W148" s="76"/>
      <c r="X148" s="78"/>
    </row>
    <row r="149" spans="1:24"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24"/>
        <v>0</v>
      </c>
      <c r="H149" s="69">
        <f>+VLOOKUP(C149,'PRECIOS IDU 2025'!$A$1:$E$3189,4,FALSE)</f>
        <v>314109</v>
      </c>
      <c r="I149" s="69">
        <f t="shared" si="25"/>
        <v>408342</v>
      </c>
      <c r="J149" s="69">
        <f t="shared" si="26"/>
        <v>0</v>
      </c>
      <c r="K149" s="9"/>
      <c r="L149" s="3"/>
      <c r="M149" s="76"/>
      <c r="N149" s="78">
        <f t="shared" si="19"/>
        <v>0</v>
      </c>
      <c r="O149" s="76"/>
      <c r="P149" s="78">
        <f t="shared" si="20"/>
        <v>0</v>
      </c>
      <c r="Q149" s="76"/>
      <c r="R149" s="78"/>
      <c r="S149" s="76"/>
      <c r="T149" s="78"/>
      <c r="U149" s="76"/>
      <c r="V149" s="78"/>
      <c r="W149" s="76"/>
      <c r="X149" s="78"/>
    </row>
    <row r="150" spans="1:24"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24"/>
        <v>0</v>
      </c>
      <c r="H150" s="69">
        <f>+VLOOKUP(C150,'PRECIOS IDU 2025'!$A$1:$E$3189,4,FALSE)</f>
        <v>426915</v>
      </c>
      <c r="I150" s="69">
        <f t="shared" si="25"/>
        <v>554990</v>
      </c>
      <c r="J150" s="69">
        <f t="shared" si="26"/>
        <v>0</v>
      </c>
      <c r="K150" s="9"/>
      <c r="L150" s="3"/>
      <c r="M150" s="76"/>
      <c r="N150" s="78">
        <f t="shared" si="19"/>
        <v>0</v>
      </c>
      <c r="O150" s="76"/>
      <c r="P150" s="78">
        <f t="shared" si="20"/>
        <v>0</v>
      </c>
      <c r="Q150" s="76"/>
      <c r="R150" s="78"/>
      <c r="S150" s="76"/>
      <c r="T150" s="78"/>
      <c r="U150" s="76"/>
      <c r="V150" s="78"/>
      <c r="W150" s="76"/>
      <c r="X150" s="78"/>
    </row>
    <row r="151" spans="1:24"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24"/>
        <v>0</v>
      </c>
      <c r="H151" s="69">
        <f>+VLOOKUP(C151,'PRECIOS IDU 2025'!$A$1:$E$3189,4,FALSE)</f>
        <v>520777</v>
      </c>
      <c r="I151" s="69">
        <f t="shared" si="25"/>
        <v>677010</v>
      </c>
      <c r="J151" s="69">
        <f t="shared" si="26"/>
        <v>0</v>
      </c>
      <c r="K151" s="9"/>
      <c r="L151" s="3"/>
      <c r="M151" s="76"/>
      <c r="N151" s="78">
        <f t="shared" si="19"/>
        <v>0</v>
      </c>
      <c r="O151" s="76"/>
      <c r="P151" s="78">
        <f t="shared" si="20"/>
        <v>0</v>
      </c>
      <c r="Q151" s="76"/>
      <c r="R151" s="78"/>
      <c r="S151" s="76"/>
      <c r="T151" s="78"/>
      <c r="U151" s="76"/>
      <c r="V151" s="78"/>
      <c r="W151" s="76"/>
      <c r="X151" s="78"/>
    </row>
    <row r="152" spans="1:24"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24"/>
        <v>0</v>
      </c>
      <c r="H152" s="69">
        <f>+VLOOKUP(C152,'PRECIOS IDU 2025'!$A$1:$E$3189,4,FALSE)</f>
        <v>235700</v>
      </c>
      <c r="I152" s="69">
        <f t="shared" si="25"/>
        <v>306410</v>
      </c>
      <c r="J152" s="69">
        <f t="shared" si="26"/>
        <v>0</v>
      </c>
      <c r="K152" s="9"/>
      <c r="L152" s="3"/>
      <c r="M152" s="76"/>
      <c r="N152" s="78">
        <f t="shared" si="19"/>
        <v>0</v>
      </c>
      <c r="O152" s="76"/>
      <c r="P152" s="78">
        <f t="shared" si="20"/>
        <v>0</v>
      </c>
      <c r="Q152" s="76"/>
      <c r="R152" s="78"/>
      <c r="S152" s="76"/>
      <c r="T152" s="78"/>
      <c r="U152" s="76"/>
      <c r="V152" s="78"/>
      <c r="W152" s="76"/>
      <c r="X152" s="78"/>
    </row>
    <row r="153" spans="1:24"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24"/>
        <v>0</v>
      </c>
      <c r="H153" s="69">
        <f>+VLOOKUP(C153,'PRECIOS IDU 2025'!$A$1:$E$3189,4,FALSE)</f>
        <v>235700</v>
      </c>
      <c r="I153" s="69">
        <f t="shared" si="25"/>
        <v>306410</v>
      </c>
      <c r="J153" s="69">
        <f t="shared" si="26"/>
        <v>0</v>
      </c>
      <c r="K153" s="9"/>
      <c r="L153" s="3"/>
      <c r="M153" s="76"/>
      <c r="N153" s="78">
        <f t="shared" si="19"/>
        <v>0</v>
      </c>
      <c r="O153" s="76"/>
      <c r="P153" s="78">
        <f t="shared" si="20"/>
        <v>0</v>
      </c>
      <c r="Q153" s="76"/>
      <c r="R153" s="78"/>
      <c r="S153" s="76"/>
      <c r="T153" s="78"/>
      <c r="U153" s="76"/>
      <c r="V153" s="78"/>
      <c r="W153" s="76"/>
      <c r="X153" s="78"/>
    </row>
    <row r="154" spans="1:24"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24"/>
        <v>0</v>
      </c>
      <c r="H154" s="69">
        <f>+VLOOKUP(C154,'PRECIOS IDU 2025'!$A$1:$E$3189,4,FALSE)</f>
        <v>238084</v>
      </c>
      <c r="I154" s="69">
        <f t="shared" si="25"/>
        <v>309509</v>
      </c>
      <c r="J154" s="69">
        <f t="shared" si="26"/>
        <v>0</v>
      </c>
      <c r="K154" s="9"/>
      <c r="L154" s="3"/>
      <c r="M154" s="76"/>
      <c r="N154" s="78">
        <f t="shared" si="19"/>
        <v>0</v>
      </c>
      <c r="O154" s="76"/>
      <c r="P154" s="78">
        <f t="shared" si="20"/>
        <v>0</v>
      </c>
      <c r="Q154" s="76"/>
      <c r="R154" s="78"/>
      <c r="S154" s="76"/>
      <c r="T154" s="78"/>
      <c r="U154" s="76"/>
      <c r="V154" s="78"/>
      <c r="W154" s="76"/>
      <c r="X154" s="78"/>
    </row>
    <row r="155" spans="1:24"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24"/>
        <v>0</v>
      </c>
      <c r="H155" s="69">
        <f>+VLOOKUP(C155,'PRECIOS IDU 2025'!$A$1:$E$3189,4,FALSE)</f>
        <v>298533</v>
      </c>
      <c r="I155" s="69">
        <f t="shared" si="25"/>
        <v>388093</v>
      </c>
      <c r="J155" s="69">
        <f t="shared" si="26"/>
        <v>0</v>
      </c>
      <c r="K155" s="9"/>
      <c r="L155" s="3"/>
      <c r="M155" s="76"/>
      <c r="N155" s="78">
        <f t="shared" si="19"/>
        <v>0</v>
      </c>
      <c r="O155" s="76"/>
      <c r="P155" s="78">
        <f t="shared" si="20"/>
        <v>0</v>
      </c>
      <c r="Q155" s="76"/>
      <c r="R155" s="78"/>
      <c r="S155" s="76"/>
      <c r="T155" s="78"/>
      <c r="U155" s="76"/>
      <c r="V155" s="78"/>
      <c r="W155" s="76"/>
      <c r="X155" s="78"/>
    </row>
    <row r="156" spans="1:24"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24"/>
        <v>0</v>
      </c>
      <c r="H156" s="69">
        <f>+VLOOKUP(C156,'PRECIOS IDU 2025'!$A$1:$E$3189,4,FALSE)</f>
        <v>298533</v>
      </c>
      <c r="I156" s="69">
        <f t="shared" si="25"/>
        <v>388093</v>
      </c>
      <c r="J156" s="69">
        <f t="shared" si="26"/>
        <v>0</v>
      </c>
      <c r="K156" s="9"/>
      <c r="L156" s="3"/>
      <c r="M156" s="76"/>
      <c r="N156" s="78">
        <f t="shared" si="19"/>
        <v>0</v>
      </c>
      <c r="O156" s="76"/>
      <c r="P156" s="78">
        <f t="shared" si="20"/>
        <v>0</v>
      </c>
      <c r="Q156" s="76"/>
      <c r="R156" s="78"/>
      <c r="S156" s="76"/>
      <c r="T156" s="78"/>
      <c r="U156" s="76"/>
      <c r="V156" s="78"/>
      <c r="W156" s="76"/>
      <c r="X156" s="78"/>
    </row>
    <row r="157" spans="1:24"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24"/>
        <v>0</v>
      </c>
      <c r="H157" s="69">
        <f>+VLOOKUP(C157,'PRECIOS IDU 2025'!$A$1:$E$3189,4,FALSE)</f>
        <v>309435</v>
      </c>
      <c r="I157" s="69">
        <f t="shared" si="25"/>
        <v>402266</v>
      </c>
      <c r="J157" s="69">
        <f t="shared" si="26"/>
        <v>0</v>
      </c>
      <c r="K157" s="9"/>
      <c r="L157" s="3"/>
      <c r="M157" s="76"/>
      <c r="N157" s="78">
        <f t="shared" si="19"/>
        <v>0</v>
      </c>
      <c r="O157" s="76"/>
      <c r="P157" s="78">
        <f t="shared" si="20"/>
        <v>0</v>
      </c>
      <c r="Q157" s="76"/>
      <c r="R157" s="78"/>
      <c r="S157" s="76"/>
      <c r="T157" s="78"/>
      <c r="U157" s="76"/>
      <c r="V157" s="78"/>
      <c r="W157" s="76"/>
      <c r="X157" s="78"/>
    </row>
    <row r="158" spans="1:24"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24"/>
        <v>0</v>
      </c>
      <c r="H158" s="69">
        <f>+VLOOKUP(C158,'PRECIOS IDU 2025'!$A$1:$E$3189,4,FALSE)</f>
        <v>191968</v>
      </c>
      <c r="I158" s="69">
        <f t="shared" si="25"/>
        <v>249558</v>
      </c>
      <c r="J158" s="69">
        <f t="shared" si="26"/>
        <v>0</v>
      </c>
      <c r="K158" s="9"/>
      <c r="L158" s="3"/>
      <c r="M158" s="76"/>
      <c r="N158" s="78">
        <f t="shared" si="19"/>
        <v>0</v>
      </c>
      <c r="O158" s="76"/>
      <c r="P158" s="78">
        <f t="shared" si="20"/>
        <v>0</v>
      </c>
      <c r="Q158" s="76"/>
      <c r="R158" s="78"/>
      <c r="S158" s="76"/>
      <c r="T158" s="78"/>
      <c r="U158" s="76"/>
      <c r="V158" s="78"/>
      <c r="W158" s="76"/>
      <c r="X158" s="78"/>
    </row>
    <row r="159" spans="1:24"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24"/>
        <v>0</v>
      </c>
      <c r="H159" s="69">
        <f>+VLOOKUP(C159,'PRECIOS IDU 2025'!$A$1:$E$3189,4,FALSE)</f>
        <v>622071</v>
      </c>
      <c r="I159" s="69">
        <f t="shared" si="25"/>
        <v>808692</v>
      </c>
      <c r="J159" s="69">
        <f t="shared" si="26"/>
        <v>0</v>
      </c>
      <c r="K159" s="9"/>
      <c r="L159" s="3"/>
      <c r="M159" s="76"/>
      <c r="N159" s="78">
        <f t="shared" si="19"/>
        <v>0</v>
      </c>
      <c r="O159" s="76"/>
      <c r="P159" s="78">
        <f t="shared" si="20"/>
        <v>0</v>
      </c>
      <c r="Q159" s="76"/>
      <c r="R159" s="78"/>
      <c r="S159" s="76"/>
      <c r="T159" s="78"/>
      <c r="U159" s="76"/>
      <c r="V159" s="78"/>
      <c r="W159" s="76"/>
      <c r="X159" s="78"/>
    </row>
    <row r="160" spans="1:24" ht="30" customHeight="1" x14ac:dyDescent="0.3">
      <c r="A160" s="3"/>
      <c r="B160" s="8"/>
      <c r="C160" s="60">
        <v>7830</v>
      </c>
      <c r="D160" s="60">
        <v>6031</v>
      </c>
      <c r="E160" s="60" t="e">
        <f>+VLOOKUP(C160,'PRECIOS IDU 2025'!$A$1:$E$3189,2,FALSE)</f>
        <v>#N/A</v>
      </c>
      <c r="F160" s="60" t="e">
        <f>+VLOOKUP(C160,'PRECIOS IDU 2025'!$A$1:$E$3189,3,FALSE)</f>
        <v>#N/A</v>
      </c>
      <c r="G160" s="108">
        <f t="shared" si="24"/>
        <v>0</v>
      </c>
      <c r="H160" s="69" t="e">
        <f>+VLOOKUP(C160,'PRECIOS IDU 2025'!$A$1:$E$3189,4,FALSE)</f>
        <v>#N/A</v>
      </c>
      <c r="I160" s="69" t="e">
        <f t="shared" si="25"/>
        <v>#N/A</v>
      </c>
      <c r="J160" s="69" t="e">
        <f t="shared" si="26"/>
        <v>#N/A</v>
      </c>
      <c r="K160" s="9"/>
      <c r="L160" s="3"/>
      <c r="M160" s="76"/>
      <c r="N160" s="78" t="e">
        <f t="shared" si="19"/>
        <v>#N/A</v>
      </c>
      <c r="O160" s="76"/>
      <c r="P160" s="78" t="e">
        <f t="shared" si="20"/>
        <v>#N/A</v>
      </c>
      <c r="Q160" s="76"/>
      <c r="R160" s="78"/>
      <c r="S160" s="76"/>
      <c r="T160" s="78"/>
      <c r="U160" s="76"/>
      <c r="V160" s="78"/>
      <c r="W160" s="76"/>
      <c r="X160" s="78"/>
    </row>
    <row r="161" spans="1:24" ht="30" customHeight="1" x14ac:dyDescent="0.3">
      <c r="A161" s="3"/>
      <c r="B161" s="8"/>
      <c r="C161" s="60">
        <v>7831</v>
      </c>
      <c r="D161" s="60">
        <v>6032</v>
      </c>
      <c r="E161" s="60" t="e">
        <f>+VLOOKUP(C161,'PRECIOS IDU 2025'!$A$1:$E$3189,2,FALSE)</f>
        <v>#N/A</v>
      </c>
      <c r="F161" s="60" t="e">
        <f>+VLOOKUP(C161,'PRECIOS IDU 2025'!$A$1:$E$3189,3,FALSE)</f>
        <v>#N/A</v>
      </c>
      <c r="G161" s="108">
        <f t="shared" si="24"/>
        <v>0</v>
      </c>
      <c r="H161" s="69" t="e">
        <f>+VLOOKUP(C161,'PRECIOS IDU 2025'!$A$1:$E$3189,4,FALSE)</f>
        <v>#N/A</v>
      </c>
      <c r="I161" s="69" t="e">
        <f t="shared" si="25"/>
        <v>#N/A</v>
      </c>
      <c r="J161" s="69" t="e">
        <f t="shared" si="26"/>
        <v>#N/A</v>
      </c>
      <c r="K161" s="9"/>
      <c r="L161" s="3"/>
      <c r="M161" s="76"/>
      <c r="N161" s="78" t="e">
        <f t="shared" si="19"/>
        <v>#N/A</v>
      </c>
      <c r="O161" s="76"/>
      <c r="P161" s="78" t="e">
        <f t="shared" si="20"/>
        <v>#N/A</v>
      </c>
      <c r="Q161" s="76"/>
      <c r="R161" s="78"/>
      <c r="S161" s="76"/>
      <c r="T161" s="78"/>
      <c r="U161" s="76"/>
      <c r="V161" s="78"/>
      <c r="W161" s="76"/>
      <c r="X161" s="78"/>
    </row>
    <row r="162" spans="1:24"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24"/>
        <v>0</v>
      </c>
      <c r="H162" s="69">
        <f>+VLOOKUP(C162,'PRECIOS IDU 2025'!$A$1:$E$3189,4,FALSE)</f>
        <v>407062</v>
      </c>
      <c r="I162" s="69">
        <f t="shared" si="25"/>
        <v>529181</v>
      </c>
      <c r="J162" s="69">
        <f t="shared" si="26"/>
        <v>0</v>
      </c>
      <c r="K162" s="9"/>
      <c r="L162" s="3"/>
      <c r="M162" s="76"/>
      <c r="N162" s="78">
        <f t="shared" si="19"/>
        <v>0</v>
      </c>
      <c r="O162" s="76"/>
      <c r="P162" s="78">
        <f t="shared" si="20"/>
        <v>0</v>
      </c>
      <c r="Q162" s="76"/>
      <c r="R162" s="78"/>
      <c r="S162" s="76"/>
      <c r="T162" s="78"/>
      <c r="U162" s="76"/>
      <c r="V162" s="78"/>
      <c r="W162" s="76"/>
      <c r="X162" s="78"/>
    </row>
    <row r="163" spans="1:24"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24"/>
        <v>0</v>
      </c>
      <c r="H163" s="69">
        <f>+VLOOKUP(C163,'PRECIOS IDU 2025'!$A$1:$E$3189,4,FALSE)</f>
        <v>7624362</v>
      </c>
      <c r="I163" s="69">
        <f t="shared" si="25"/>
        <v>9911671</v>
      </c>
      <c r="J163" s="69">
        <f t="shared" si="26"/>
        <v>0</v>
      </c>
      <c r="K163" s="9"/>
      <c r="L163" s="3"/>
      <c r="M163" s="76"/>
      <c r="N163" s="78">
        <f t="shared" si="19"/>
        <v>0</v>
      </c>
      <c r="O163" s="76"/>
      <c r="P163" s="78">
        <f t="shared" si="20"/>
        <v>0</v>
      </c>
      <c r="Q163" s="76"/>
      <c r="R163" s="78"/>
      <c r="S163" s="76"/>
      <c r="T163" s="78"/>
      <c r="U163" s="76"/>
      <c r="V163" s="78"/>
      <c r="W163" s="76"/>
      <c r="X163" s="78"/>
    </row>
    <row r="164" spans="1:24" ht="30" customHeight="1" x14ac:dyDescent="0.3">
      <c r="A164" s="3"/>
      <c r="B164" s="8"/>
      <c r="C164" s="66" t="s">
        <v>6082</v>
      </c>
      <c r="D164" s="67"/>
      <c r="E164" s="67"/>
      <c r="F164" s="67"/>
      <c r="G164" s="67"/>
      <c r="H164" s="67"/>
      <c r="I164" s="67"/>
      <c r="J164" s="68"/>
      <c r="K164" s="9"/>
      <c r="L164" s="3"/>
      <c r="M164" s="76"/>
      <c r="N164" s="78">
        <f t="shared" si="19"/>
        <v>0</v>
      </c>
      <c r="O164" s="76"/>
      <c r="P164" s="78">
        <f t="shared" si="20"/>
        <v>0</v>
      </c>
      <c r="Q164" s="76"/>
      <c r="R164" s="78"/>
      <c r="S164" s="76"/>
      <c r="T164" s="78"/>
      <c r="U164" s="76"/>
      <c r="V164" s="78"/>
      <c r="W164" s="76"/>
      <c r="X164" s="78"/>
    </row>
    <row r="165" spans="1:24"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27">+ROUND(M165+O165,2)</f>
        <v>197.18</v>
      </c>
      <c r="H165" s="69">
        <f>+VLOOKUP(C165,'PRECIOS IDU 2025'!$A$1:$E$3189,4,FALSE)</f>
        <v>18177</v>
      </c>
      <c r="I165" s="69">
        <f t="shared" ref="I165:I179" si="28">+ROUND(H165*(1+$J$192),0)</f>
        <v>23630</v>
      </c>
      <c r="J165" s="69">
        <f t="shared" ref="J165:J179" si="29">+ROUND(I165*G165,0)</f>
        <v>4659363</v>
      </c>
      <c r="K165" s="9"/>
      <c r="L165" s="3"/>
      <c r="M165" s="76">
        <v>70.819999999999993</v>
      </c>
      <c r="N165" s="78">
        <f t="shared" ref="N165:N179" si="30">+ROUND(M165*$I165,0)</f>
        <v>1673477</v>
      </c>
      <c r="O165" s="76">
        <f>+O11*2</f>
        <v>126.36</v>
      </c>
      <c r="P165" s="78">
        <f t="shared" ref="P165:P179" si="31">+ROUND(O165*$I165,0)</f>
        <v>2985887</v>
      </c>
      <c r="Q165" s="76"/>
      <c r="R165" s="78"/>
      <c r="S165" s="76"/>
      <c r="T165" s="78"/>
      <c r="U165" s="76"/>
      <c r="V165" s="78"/>
      <c r="W165" s="76"/>
      <c r="X165" s="78"/>
    </row>
    <row r="166" spans="1:24"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27"/>
        <v>2</v>
      </c>
      <c r="H166" s="69">
        <f>+VLOOKUP(C166,'PRECIOS IDU 2025'!$A$1:$E$3189,4,FALSE)</f>
        <v>181765</v>
      </c>
      <c r="I166" s="69">
        <f t="shared" si="28"/>
        <v>236295</v>
      </c>
      <c r="J166" s="69">
        <f t="shared" si="29"/>
        <v>472590</v>
      </c>
      <c r="K166" s="9"/>
      <c r="L166" s="3"/>
      <c r="M166" s="76">
        <v>1</v>
      </c>
      <c r="N166" s="78">
        <f t="shared" si="30"/>
        <v>236295</v>
      </c>
      <c r="O166" s="76">
        <v>1</v>
      </c>
      <c r="P166" s="78">
        <f t="shared" si="31"/>
        <v>236295</v>
      </c>
      <c r="Q166" s="76"/>
      <c r="R166" s="78"/>
      <c r="S166" s="76"/>
      <c r="T166" s="78"/>
      <c r="U166" s="76"/>
      <c r="V166" s="78"/>
      <c r="W166" s="76"/>
      <c r="X166" s="78"/>
    </row>
    <row r="167" spans="1:24"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27"/>
        <v>33.51</v>
      </c>
      <c r="H167" s="69">
        <f>+VLOOKUP(C167,'PRECIOS IDU 2025'!$A$1:$E$3189,4,FALSE)</f>
        <v>151470</v>
      </c>
      <c r="I167" s="69">
        <f t="shared" si="28"/>
        <v>196911</v>
      </c>
      <c r="J167" s="69">
        <f t="shared" si="29"/>
        <v>6598488</v>
      </c>
      <c r="K167" s="9"/>
      <c r="L167" s="3"/>
      <c r="M167" s="76">
        <v>16.23</v>
      </c>
      <c r="N167" s="78">
        <f t="shared" si="30"/>
        <v>3195866</v>
      </c>
      <c r="O167" s="76">
        <f>2*O12*1.5</f>
        <v>17.28</v>
      </c>
      <c r="P167" s="78">
        <f t="shared" si="31"/>
        <v>3402622</v>
      </c>
      <c r="Q167" s="76"/>
      <c r="R167" s="78"/>
      <c r="S167" s="76"/>
      <c r="T167" s="78"/>
      <c r="U167" s="76"/>
      <c r="V167" s="78"/>
      <c r="W167" s="76"/>
      <c r="X167" s="78"/>
    </row>
    <row r="168" spans="1:24"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27"/>
        <v>98.59</v>
      </c>
      <c r="H168" s="69">
        <f>+VLOOKUP(C168,'PRECIOS IDU 2025'!$A$1:$E$3189,4,FALSE)</f>
        <v>2505</v>
      </c>
      <c r="I168" s="69">
        <f t="shared" si="28"/>
        <v>3257</v>
      </c>
      <c r="J168" s="69">
        <f t="shared" si="29"/>
        <v>321108</v>
      </c>
      <c r="K168" s="9"/>
      <c r="L168" s="3"/>
      <c r="M168" s="76">
        <v>35.409999999999997</v>
      </c>
      <c r="N168" s="78">
        <f t="shared" si="30"/>
        <v>115330</v>
      </c>
      <c r="O168" s="76">
        <f>+O11</f>
        <v>63.18</v>
      </c>
      <c r="P168" s="78">
        <f t="shared" si="31"/>
        <v>205777</v>
      </c>
      <c r="Q168" s="76"/>
      <c r="R168" s="78"/>
      <c r="S168" s="76"/>
      <c r="T168" s="78"/>
      <c r="U168" s="76"/>
      <c r="V168" s="78"/>
      <c r="W168" s="76"/>
      <c r="X168" s="78"/>
    </row>
    <row r="169" spans="1:24"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27"/>
        <v>2</v>
      </c>
      <c r="H169" s="69">
        <f>+VLOOKUP(C169,'PRECIOS IDU 2025'!$A$1:$E$3189,4,FALSE)</f>
        <v>228720</v>
      </c>
      <c r="I169" s="69">
        <f t="shared" si="28"/>
        <v>297336</v>
      </c>
      <c r="J169" s="69">
        <f t="shared" si="29"/>
        <v>594672</v>
      </c>
      <c r="K169" s="9"/>
      <c r="L169" s="3"/>
      <c r="M169" s="76">
        <v>1</v>
      </c>
      <c r="N169" s="78">
        <f t="shared" si="30"/>
        <v>297336</v>
      </c>
      <c r="O169" s="76">
        <v>1</v>
      </c>
      <c r="P169" s="78">
        <f t="shared" si="31"/>
        <v>297336</v>
      </c>
      <c r="Q169" s="76"/>
      <c r="R169" s="78"/>
      <c r="S169" s="76"/>
      <c r="T169" s="78"/>
      <c r="U169" s="76"/>
      <c r="V169" s="78"/>
      <c r="W169" s="76"/>
      <c r="X169" s="78"/>
    </row>
    <row r="170" spans="1:24"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27"/>
        <v>2</v>
      </c>
      <c r="H170" s="69">
        <f>+VLOOKUP(C170,'PRECIOS IDU 2025'!$A$1:$E$3189,4,FALSE)</f>
        <v>330205</v>
      </c>
      <c r="I170" s="69">
        <f t="shared" si="28"/>
        <v>429267</v>
      </c>
      <c r="J170" s="69">
        <f t="shared" si="29"/>
        <v>858534</v>
      </c>
      <c r="K170" s="9"/>
      <c r="L170" s="3"/>
      <c r="M170" s="76">
        <v>1</v>
      </c>
      <c r="N170" s="78">
        <f t="shared" si="30"/>
        <v>429267</v>
      </c>
      <c r="O170" s="76">
        <v>1</v>
      </c>
      <c r="P170" s="78">
        <f t="shared" si="31"/>
        <v>429267</v>
      </c>
      <c r="Q170" s="76"/>
      <c r="R170" s="78"/>
      <c r="S170" s="76"/>
      <c r="T170" s="78"/>
      <c r="U170" s="76"/>
      <c r="V170" s="78"/>
      <c r="W170" s="76"/>
      <c r="X170" s="78"/>
    </row>
    <row r="171" spans="1:24"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27"/>
        <v>14.79</v>
      </c>
      <c r="H171" s="69">
        <f>+VLOOKUP(C171,'PRECIOS IDU 2025'!$A$1:$E$3189,4,FALSE)</f>
        <v>151470</v>
      </c>
      <c r="I171" s="69">
        <f t="shared" si="28"/>
        <v>196911</v>
      </c>
      <c r="J171" s="69">
        <f t="shared" si="29"/>
        <v>2912314</v>
      </c>
      <c r="K171" s="9"/>
      <c r="L171" s="3"/>
      <c r="M171" s="76">
        <v>5.3114999999999997</v>
      </c>
      <c r="N171" s="78">
        <f t="shared" si="30"/>
        <v>1045893</v>
      </c>
      <c r="O171" s="76">
        <f>0.15*O11</f>
        <v>9.4770000000000003</v>
      </c>
      <c r="P171" s="78">
        <f t="shared" si="31"/>
        <v>1866126</v>
      </c>
      <c r="Q171" s="76"/>
      <c r="R171" s="78"/>
      <c r="S171" s="76"/>
      <c r="T171" s="78"/>
      <c r="U171" s="76"/>
      <c r="V171" s="78"/>
      <c r="W171" s="76"/>
      <c r="X171" s="78"/>
    </row>
    <row r="172" spans="1:24"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27"/>
        <v>100</v>
      </c>
      <c r="H172" s="69">
        <f>+VLOOKUP(C172,'PRECIOS IDU 2025'!$A$1:$E$3189,4,FALSE)</f>
        <v>10907</v>
      </c>
      <c r="I172" s="69">
        <f t="shared" si="28"/>
        <v>14179</v>
      </c>
      <c r="J172" s="69">
        <f t="shared" si="29"/>
        <v>1417900</v>
      </c>
      <c r="K172" s="9"/>
      <c r="L172" s="3"/>
      <c r="M172" s="76">
        <v>50</v>
      </c>
      <c r="N172" s="78">
        <f t="shared" si="30"/>
        <v>708950</v>
      </c>
      <c r="O172" s="76">
        <v>50</v>
      </c>
      <c r="P172" s="78">
        <f t="shared" si="31"/>
        <v>708950</v>
      </c>
      <c r="Q172" s="76"/>
      <c r="R172" s="78"/>
      <c r="S172" s="76"/>
      <c r="T172" s="78"/>
      <c r="U172" s="76"/>
      <c r="V172" s="78"/>
      <c r="W172" s="76"/>
      <c r="X172" s="78"/>
    </row>
    <row r="173" spans="1:24"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27"/>
        <v>98.59</v>
      </c>
      <c r="H173" s="69">
        <f>+VLOOKUP(C173,'PRECIOS IDU 2025'!$A$1:$E$3189,4,FALSE)</f>
        <v>18776</v>
      </c>
      <c r="I173" s="69">
        <f t="shared" si="28"/>
        <v>24409</v>
      </c>
      <c r="J173" s="69">
        <f t="shared" si="29"/>
        <v>2406483</v>
      </c>
      <c r="K173" s="9"/>
      <c r="L173" s="3"/>
      <c r="M173" s="76">
        <v>35.409999999999997</v>
      </c>
      <c r="N173" s="78">
        <f t="shared" si="30"/>
        <v>864323</v>
      </c>
      <c r="O173" s="76">
        <f>+O11</f>
        <v>63.18</v>
      </c>
      <c r="P173" s="78">
        <f t="shared" si="31"/>
        <v>1542161</v>
      </c>
      <c r="Q173" s="76"/>
      <c r="R173" s="78"/>
      <c r="S173" s="76"/>
      <c r="T173" s="78"/>
      <c r="U173" s="76"/>
      <c r="V173" s="78"/>
      <c r="W173" s="76"/>
      <c r="X173" s="78"/>
    </row>
    <row r="174" spans="1:24"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27"/>
        <v>98.59</v>
      </c>
      <c r="H174" s="69">
        <f>+VLOOKUP(C174,'PRECIOS IDU 2025'!$A$1:$E$3189,4,FALSE)</f>
        <v>4323</v>
      </c>
      <c r="I174" s="69">
        <f t="shared" si="28"/>
        <v>5620</v>
      </c>
      <c r="J174" s="69">
        <f t="shared" si="29"/>
        <v>554076</v>
      </c>
      <c r="K174" s="9"/>
      <c r="L174" s="3"/>
      <c r="M174" s="76">
        <v>35.409999999999997</v>
      </c>
      <c r="N174" s="78">
        <f t="shared" si="30"/>
        <v>199004</v>
      </c>
      <c r="O174" s="76">
        <f>+O11</f>
        <v>63.18</v>
      </c>
      <c r="P174" s="78">
        <f t="shared" si="31"/>
        <v>355072</v>
      </c>
      <c r="Q174" s="76"/>
      <c r="R174" s="78"/>
      <c r="S174" s="76"/>
      <c r="T174" s="78"/>
      <c r="U174" s="76"/>
      <c r="V174" s="78"/>
      <c r="W174" s="76"/>
      <c r="X174" s="78"/>
    </row>
    <row r="175" spans="1:24"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27"/>
        <v>98.59</v>
      </c>
      <c r="H175" s="69">
        <f>+VLOOKUP(C175,'PRECIOS IDU 2025'!$A$1:$E$3189,4,FALSE)</f>
        <v>5850</v>
      </c>
      <c r="I175" s="69">
        <f t="shared" si="28"/>
        <v>7605</v>
      </c>
      <c r="J175" s="69">
        <f t="shared" si="29"/>
        <v>749777</v>
      </c>
      <c r="K175" s="9"/>
      <c r="L175" s="3"/>
      <c r="M175" s="76">
        <v>35.409999999999997</v>
      </c>
      <c r="N175" s="78">
        <f t="shared" si="30"/>
        <v>269293</v>
      </c>
      <c r="O175" s="76">
        <f>+O11</f>
        <v>63.18</v>
      </c>
      <c r="P175" s="78">
        <f t="shared" si="31"/>
        <v>480484</v>
      </c>
      <c r="Q175" s="76"/>
      <c r="R175" s="78"/>
      <c r="S175" s="76"/>
      <c r="T175" s="78"/>
      <c r="U175" s="76"/>
      <c r="V175" s="78"/>
      <c r="W175" s="76"/>
      <c r="X175" s="78"/>
    </row>
    <row r="176" spans="1:24"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27"/>
        <v>98.59</v>
      </c>
      <c r="H176" s="69">
        <f>+VLOOKUP(C176,'PRECIOS IDU 2025'!$A$1:$E$3189,4,FALSE)</f>
        <v>26586</v>
      </c>
      <c r="I176" s="69">
        <f t="shared" si="28"/>
        <v>34562</v>
      </c>
      <c r="J176" s="69">
        <f t="shared" si="29"/>
        <v>3407468</v>
      </c>
      <c r="K176" s="9"/>
      <c r="L176" s="3"/>
      <c r="M176" s="76">
        <v>35.409999999999997</v>
      </c>
      <c r="N176" s="78">
        <f t="shared" si="30"/>
        <v>1223840</v>
      </c>
      <c r="O176" s="76">
        <f>+O11</f>
        <v>63.18</v>
      </c>
      <c r="P176" s="78">
        <f t="shared" si="31"/>
        <v>2183627</v>
      </c>
      <c r="Q176" s="76"/>
      <c r="R176" s="78"/>
      <c r="S176" s="76"/>
      <c r="T176" s="78"/>
      <c r="U176" s="76"/>
      <c r="V176" s="78"/>
      <c r="W176" s="76"/>
      <c r="X176" s="78"/>
    </row>
    <row r="177" spans="1:24"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27"/>
        <v>4</v>
      </c>
      <c r="H177" s="69">
        <f>+VLOOKUP(C177,'PRECIOS IDU 2025'!$A$1:$E$3189,4,FALSE)</f>
        <v>18726</v>
      </c>
      <c r="I177" s="69">
        <f t="shared" si="28"/>
        <v>24344</v>
      </c>
      <c r="J177" s="69">
        <f t="shared" si="29"/>
        <v>97376</v>
      </c>
      <c r="K177" s="9"/>
      <c r="L177" s="3"/>
      <c r="M177" s="76">
        <v>2</v>
      </c>
      <c r="N177" s="78">
        <f t="shared" si="30"/>
        <v>48688</v>
      </c>
      <c r="O177" s="76">
        <v>2</v>
      </c>
      <c r="P177" s="78">
        <f t="shared" si="31"/>
        <v>48688</v>
      </c>
      <c r="Q177" s="76"/>
      <c r="R177" s="78"/>
      <c r="S177" s="76"/>
      <c r="T177" s="78"/>
      <c r="U177" s="76"/>
      <c r="V177" s="78"/>
      <c r="W177" s="76"/>
      <c r="X177" s="78"/>
    </row>
    <row r="178" spans="1:24"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27"/>
        <v>16.760000000000002</v>
      </c>
      <c r="H178" s="69">
        <f>+VLOOKUP(C178,'PRECIOS IDU 2025'!$A$1:$E$3189,4,FALSE)</f>
        <v>144457</v>
      </c>
      <c r="I178" s="69">
        <f t="shared" si="28"/>
        <v>187794</v>
      </c>
      <c r="J178" s="69">
        <f t="shared" si="29"/>
        <v>3147427</v>
      </c>
      <c r="K178" s="9"/>
      <c r="L178" s="3"/>
      <c r="M178" s="76">
        <v>8.1150000000000002</v>
      </c>
      <c r="N178" s="78">
        <f t="shared" si="30"/>
        <v>1523948</v>
      </c>
      <c r="O178" s="76">
        <f>+O12*1.5</f>
        <v>8.64</v>
      </c>
      <c r="P178" s="78">
        <f t="shared" si="31"/>
        <v>1622540</v>
      </c>
      <c r="Q178" s="76"/>
      <c r="R178" s="78"/>
      <c r="S178" s="76"/>
      <c r="T178" s="78"/>
      <c r="U178" s="76"/>
      <c r="V178" s="78"/>
      <c r="W178" s="76"/>
      <c r="X178" s="78"/>
    </row>
    <row r="179" spans="1:24"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27"/>
        <v>5.59</v>
      </c>
      <c r="H179" s="69">
        <f>+VLOOKUP(C179,'PRECIOS IDU 2025'!$A$1:$E$3189,4,FALSE)</f>
        <v>222740</v>
      </c>
      <c r="I179" s="69">
        <f t="shared" si="28"/>
        <v>289562</v>
      </c>
      <c r="J179" s="69">
        <f t="shared" si="29"/>
        <v>1618652</v>
      </c>
      <c r="K179" s="9"/>
      <c r="L179" s="3"/>
      <c r="M179" s="76">
        <v>2.7050000000000001</v>
      </c>
      <c r="N179" s="78">
        <f t="shared" si="30"/>
        <v>783265</v>
      </c>
      <c r="O179" s="76">
        <f>+O12*0.25*2</f>
        <v>2.88</v>
      </c>
      <c r="P179" s="78">
        <f t="shared" si="31"/>
        <v>833939</v>
      </c>
      <c r="Q179" s="76"/>
      <c r="R179" s="78"/>
      <c r="S179" s="76"/>
      <c r="T179" s="78"/>
      <c r="U179" s="76"/>
      <c r="V179" s="78"/>
      <c r="W179" s="76"/>
      <c r="X179" s="78"/>
    </row>
    <row r="180" spans="1:24"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row>
    <row r="181" spans="1:24" s="22" customFormat="1" ht="30" customHeight="1" thickBot="1" x14ac:dyDescent="0.35">
      <c r="A181" s="17"/>
      <c r="B181" s="18"/>
      <c r="C181" s="573" t="s">
        <v>6083</v>
      </c>
      <c r="D181" s="574"/>
      <c r="E181" s="574"/>
      <c r="F181" s="574"/>
      <c r="G181" s="574"/>
      <c r="H181" s="575"/>
      <c r="I181" s="19"/>
      <c r="J181" s="20" t="e">
        <f>+SUM(J17:J163)</f>
        <v>#N/A</v>
      </c>
      <c r="K181" s="21"/>
      <c r="L181" s="17"/>
      <c r="M181" s="77" t="s">
        <v>6084</v>
      </c>
      <c r="N181" s="79" t="e">
        <f>+SUM(N17:N179)</f>
        <v>#N/A</v>
      </c>
      <c r="O181" s="77" t="s">
        <v>6084</v>
      </c>
      <c r="P181" s="79" t="e">
        <f>+SUM(P17:P179)</f>
        <v>#N/A</v>
      </c>
      <c r="Q181" s="77"/>
      <c r="R181" s="79"/>
      <c r="S181" s="77"/>
      <c r="T181" s="79"/>
      <c r="U181" s="77"/>
      <c r="V181" s="79"/>
      <c r="W181" s="77"/>
      <c r="X181" s="79"/>
    </row>
    <row r="182" spans="1:24"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row>
    <row r="183" spans="1:24"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row>
    <row r="184" spans="1:24"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f>+M8</f>
        <v>3001330</v>
      </c>
      <c r="N184" s="17"/>
      <c r="O184" s="17">
        <f>+O8</f>
        <v>3000012</v>
      </c>
      <c r="P184" s="17"/>
      <c r="Q184" s="17"/>
      <c r="R184" s="17"/>
      <c r="S184" s="17"/>
      <c r="T184" s="17"/>
      <c r="U184" s="17"/>
      <c r="V184" s="17"/>
      <c r="W184" s="17"/>
      <c r="X184" s="17"/>
    </row>
    <row r="185" spans="1:24" s="22" customFormat="1" ht="30" customHeight="1" thickBot="1" x14ac:dyDescent="0.35">
      <c r="A185" s="17"/>
      <c r="B185" s="18"/>
      <c r="C185" s="25"/>
      <c r="D185" s="26"/>
      <c r="E185" s="29" t="s">
        <v>181</v>
      </c>
      <c r="F185" s="30"/>
      <c r="G185" s="31"/>
      <c r="H185" s="32"/>
      <c r="I185" s="57"/>
      <c r="J185" s="20" t="e">
        <f>+J181+J183+J184</f>
        <v>#N/A</v>
      </c>
      <c r="K185" s="21"/>
      <c r="L185" s="17"/>
      <c r="M185" s="97" t="e">
        <f>+SUM(N17:N110,N130:N179)</f>
        <v>#N/A</v>
      </c>
      <c r="N185" s="17"/>
      <c r="O185" s="97" t="e">
        <f>+SUM(P17:P110,P130:P179)</f>
        <v>#N/A</v>
      </c>
      <c r="P185" s="17"/>
      <c r="Q185" s="17"/>
      <c r="R185" s="17"/>
      <c r="S185" s="17"/>
      <c r="T185" s="17"/>
      <c r="U185" s="17"/>
      <c r="V185" s="17"/>
      <c r="W185" s="17"/>
      <c r="X185" s="17"/>
    </row>
    <row r="186" spans="1:24" s="22" customFormat="1" ht="16.2" thickBot="1" x14ac:dyDescent="0.35">
      <c r="A186" s="17"/>
      <c r="B186" s="18"/>
      <c r="C186" s="25"/>
      <c r="D186" s="26"/>
      <c r="E186" s="25"/>
      <c r="F186" s="25"/>
      <c r="G186" s="33"/>
      <c r="H186" s="34"/>
      <c r="I186" s="34"/>
      <c r="J186" s="35"/>
      <c r="K186" s="21"/>
      <c r="L186" s="97" t="e">
        <f>+SUM(M185:X186)</f>
        <v>#N/A</v>
      </c>
      <c r="M186" s="97">
        <f>+SUM(N111:N128)</f>
        <v>0</v>
      </c>
      <c r="N186" s="17"/>
      <c r="O186" s="97">
        <f>+SUM(P111:P128)</f>
        <v>0</v>
      </c>
      <c r="P186" s="17"/>
      <c r="Q186" s="17"/>
      <c r="R186" s="17"/>
      <c r="S186" s="17"/>
      <c r="T186" s="17"/>
      <c r="U186" s="17"/>
      <c r="V186" s="17"/>
      <c r="W186" s="17"/>
      <c r="X186" s="17"/>
    </row>
    <row r="187" spans="1:24"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row>
    <row r="188" spans="1:24" s="22" customFormat="1" ht="46.5" customHeight="1" x14ac:dyDescent="0.3">
      <c r="A188" s="17"/>
      <c r="B188" s="18"/>
      <c r="C188" s="562" t="s">
        <v>47</v>
      </c>
      <c r="D188" s="558"/>
      <c r="E188" s="558"/>
      <c r="F188" s="567" t="s">
        <v>48</v>
      </c>
      <c r="G188" s="567"/>
      <c r="H188" s="567"/>
      <c r="I188" s="58"/>
      <c r="J188" s="38" t="s">
        <v>49</v>
      </c>
      <c r="K188" s="39"/>
      <c r="L188" s="71"/>
      <c r="M188" s="71"/>
      <c r="N188" s="71"/>
      <c r="O188" s="71"/>
      <c r="P188" s="71"/>
      <c r="Q188" s="71"/>
      <c r="R188" s="71"/>
      <c r="S188" s="71"/>
      <c r="T188" s="71"/>
      <c r="U188" s="71"/>
      <c r="V188" s="71"/>
      <c r="W188" s="71"/>
      <c r="X188" s="71"/>
    </row>
    <row r="189" spans="1:24"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row>
    <row r="190" spans="1:24"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row>
    <row r="191" spans="1:24"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row>
    <row r="192" spans="1:24"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row>
    <row r="193" spans="1:24"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row>
    <row r="194" spans="1:24"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row>
    <row r="195" spans="1:24"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row>
  </sheetData>
  <mergeCells count="43">
    <mergeCell ref="F193:J193"/>
    <mergeCell ref="C189:E189"/>
    <mergeCell ref="F189:G189"/>
    <mergeCell ref="C190:E190"/>
    <mergeCell ref="F190:G190"/>
    <mergeCell ref="F191:G191"/>
    <mergeCell ref="F192:G192"/>
    <mergeCell ref="X14:X15"/>
    <mergeCell ref="C181:H181"/>
    <mergeCell ref="E183:G183"/>
    <mergeCell ref="E184:G184"/>
    <mergeCell ref="D187:J187"/>
    <mergeCell ref="U14:U15"/>
    <mergeCell ref="V14:V15"/>
    <mergeCell ref="W14:W15"/>
    <mergeCell ref="C188:E188"/>
    <mergeCell ref="F188:H188"/>
    <mergeCell ref="R14:R15"/>
    <mergeCell ref="S14:S15"/>
    <mergeCell ref="T14:T15"/>
    <mergeCell ref="J14:J15"/>
    <mergeCell ref="M14:M15"/>
    <mergeCell ref="N14:N15"/>
    <mergeCell ref="O14:O15"/>
    <mergeCell ref="P14:P15"/>
    <mergeCell ref="Q14:Q15"/>
    <mergeCell ref="C10:D12"/>
    <mergeCell ref="E10:J12"/>
    <mergeCell ref="C13:J13"/>
    <mergeCell ref="C14:C15"/>
    <mergeCell ref="D14:D15"/>
    <mergeCell ref="E14:E15"/>
    <mergeCell ref="F14:F15"/>
    <mergeCell ref="G14:G15"/>
    <mergeCell ref="H14:H15"/>
    <mergeCell ref="I14:I15"/>
    <mergeCell ref="C3:D3"/>
    <mergeCell ref="C5:J5"/>
    <mergeCell ref="C6:J6"/>
    <mergeCell ref="C7:E7"/>
    <mergeCell ref="F7:J9"/>
    <mergeCell ref="C8:E8"/>
    <mergeCell ref="C9:E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CE391-CF1B-47FB-99B7-42D1ABD3973B}">
  <sheetPr>
    <tabColor rgb="FFFFFF00"/>
  </sheetPr>
  <dimension ref="A1:CF195"/>
  <sheetViews>
    <sheetView showGridLines="0" view="pageBreakPreview" topLeftCell="BN160" zoomScale="50" zoomScaleNormal="100" zoomScaleSheetLayoutView="50" zoomScalePageLayoutView="55" workbookViewId="0">
      <selection activeCell="G40" sqref="G40"/>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22.44140625" style="4" bestFit="1" customWidth="1"/>
    <col min="13" max="13" width="31.6640625" style="4" customWidth="1"/>
    <col min="14" max="32" width="25.6640625" style="4" customWidth="1"/>
    <col min="33" max="33" width="19.109375" style="4" bestFit="1" customWidth="1"/>
    <col min="34" max="34" width="25.109375" style="4" bestFit="1" customWidth="1"/>
    <col min="35" max="35" width="19.109375" style="4" bestFit="1" customWidth="1"/>
    <col min="36" max="36" width="25.109375" style="4" bestFit="1" customWidth="1"/>
    <col min="37" max="37" width="19.109375" style="4" bestFit="1" customWidth="1"/>
    <col min="38" max="38" width="26.6640625" style="4" bestFit="1" customWidth="1"/>
    <col min="39" max="39" width="17.88671875" style="4" bestFit="1" customWidth="1"/>
    <col min="40" max="40" width="26.6640625" style="4" bestFit="1" customWidth="1"/>
    <col min="41" max="41" width="17.88671875" style="4" bestFit="1" customWidth="1"/>
    <col min="42" max="42" width="26.6640625" style="4" bestFit="1" customWidth="1"/>
    <col min="43" max="43" width="17.88671875" style="4" bestFit="1" customWidth="1"/>
    <col min="44" max="44" width="26.6640625" style="4" bestFit="1" customWidth="1"/>
    <col min="45" max="45" width="17.88671875" style="4" bestFit="1" customWidth="1"/>
    <col min="46" max="46" width="26.6640625" style="4" bestFit="1" customWidth="1"/>
    <col min="47" max="47" width="17.88671875" style="4" bestFit="1" customWidth="1"/>
    <col min="48" max="48" width="26.6640625" style="4" bestFit="1" customWidth="1"/>
    <col min="49" max="49" width="17.88671875" style="4" bestFit="1" customWidth="1"/>
    <col min="50" max="50" width="26.6640625" style="4" bestFit="1" customWidth="1"/>
    <col min="51" max="51" width="17.88671875" style="4" bestFit="1" customWidth="1"/>
    <col min="52" max="52" width="26.6640625" style="4" bestFit="1" customWidth="1"/>
    <col min="53" max="53" width="17.88671875" style="4" bestFit="1" customWidth="1"/>
    <col min="54" max="54" width="26.6640625" style="4" bestFit="1" customWidth="1"/>
    <col min="55" max="55" width="17.88671875" style="4" bestFit="1" customWidth="1"/>
    <col min="56" max="56" width="26.6640625" style="4" bestFit="1" customWidth="1"/>
    <col min="57" max="57" width="17.88671875" style="4" bestFit="1" customWidth="1"/>
    <col min="58" max="58" width="26.6640625" style="4" bestFit="1" customWidth="1"/>
    <col min="59" max="59" width="17.88671875" style="4" bestFit="1" customWidth="1"/>
    <col min="60" max="60" width="26.6640625" style="4" bestFit="1" customWidth="1"/>
    <col min="61" max="61" width="17.88671875" style="4" bestFit="1" customWidth="1"/>
    <col min="62" max="62" width="26.6640625" style="4" bestFit="1" customWidth="1"/>
    <col min="63" max="63" width="29.33203125" style="4" bestFit="1" customWidth="1"/>
    <col min="64" max="64" width="27.88671875" style="4" bestFit="1" customWidth="1"/>
    <col min="65" max="65" width="29.33203125" style="4" bestFit="1" customWidth="1"/>
    <col min="66" max="66" width="27.88671875" style="4" bestFit="1" customWidth="1"/>
    <col min="67" max="67" width="29.33203125" style="4" bestFit="1" customWidth="1"/>
    <col min="68" max="68" width="27.88671875" style="4" bestFit="1" customWidth="1"/>
    <col min="69" max="69" width="29.33203125" style="4" bestFit="1" customWidth="1"/>
    <col min="70" max="70" width="27.88671875" style="4" bestFit="1" customWidth="1"/>
    <col min="71" max="71" width="29.33203125" style="4" bestFit="1" customWidth="1"/>
    <col min="72" max="72" width="27.88671875" style="4" bestFit="1" customWidth="1"/>
    <col min="73" max="73" width="29.33203125" style="4" bestFit="1" customWidth="1"/>
    <col min="74" max="74" width="27.88671875" style="4" bestFit="1" customWidth="1"/>
    <col min="75" max="75" width="29.33203125" style="4" bestFit="1" customWidth="1"/>
    <col min="76" max="76" width="27.88671875" style="4" bestFit="1" customWidth="1"/>
    <col min="77" max="77" width="29.33203125" style="4" bestFit="1" customWidth="1"/>
    <col min="78" max="78" width="27.88671875" style="4" bestFit="1" customWidth="1"/>
    <col min="79" max="79" width="29.33203125" style="4" bestFit="1" customWidth="1"/>
    <col min="80" max="80" width="27.88671875" style="4" bestFit="1" customWidth="1"/>
    <col min="81" max="81" width="29.33203125" style="4" bestFit="1" customWidth="1"/>
    <col min="82" max="82" width="27.88671875" style="4" bestFit="1" customWidth="1"/>
    <col min="83" max="83" width="29.33203125" style="4" bestFit="1" customWidth="1"/>
    <col min="84" max="84" width="27.88671875" style="4" bestFit="1" customWidth="1"/>
    <col min="85" max="16384" width="11.44140625" style="4"/>
  </cols>
  <sheetData>
    <row r="1" spans="1:84" ht="16.2" thickBot="1" x14ac:dyDescent="0.35">
      <c r="A1" s="3"/>
      <c r="B1" s="3"/>
      <c r="C1" s="3"/>
      <c r="D1" s="3"/>
      <c r="E1" s="3"/>
      <c r="F1" s="3"/>
      <c r="G1" s="3"/>
      <c r="H1" s="3"/>
      <c r="I1" s="3"/>
      <c r="J1" s="3"/>
      <c r="K1" s="3"/>
      <c r="L1" s="3"/>
      <c r="M1" s="3" t="s">
        <v>6060</v>
      </c>
      <c r="N1" s="3"/>
      <c r="O1" s="3"/>
      <c r="P1" s="3"/>
      <c r="Q1" s="3"/>
      <c r="R1" s="3" t="s">
        <v>6061</v>
      </c>
      <c r="S1" s="3"/>
      <c r="T1" s="3"/>
      <c r="U1" s="3"/>
      <c r="V1" s="3"/>
      <c r="W1" s="3"/>
      <c r="X1" s="3"/>
      <c r="Y1" s="3"/>
      <c r="Z1" s="3"/>
      <c r="AA1" s="3"/>
      <c r="AB1" s="3"/>
      <c r="AC1" s="3"/>
      <c r="AD1" s="3"/>
      <c r="AE1" s="3"/>
      <c r="AF1" s="3"/>
    </row>
    <row r="2" spans="1:84"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c r="Y2" s="3"/>
      <c r="Z2" s="3"/>
      <c r="AA2" s="3"/>
      <c r="AB2" s="3"/>
      <c r="AC2" s="3"/>
      <c r="AD2" s="3"/>
      <c r="AE2" s="3"/>
      <c r="AF2" s="3"/>
    </row>
    <row r="3" spans="1:84"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c r="Y3" s="3"/>
      <c r="Z3" s="3"/>
      <c r="AA3" s="3"/>
      <c r="AB3" s="3"/>
      <c r="AC3" s="3"/>
      <c r="AD3" s="3"/>
      <c r="AE3" s="3"/>
      <c r="AF3" s="3"/>
    </row>
    <row r="4" spans="1:84" ht="15.6" x14ac:dyDescent="0.3">
      <c r="A4" s="3"/>
      <c r="B4" s="8"/>
      <c r="C4" s="10" t="s">
        <v>1</v>
      </c>
      <c r="D4" s="11" t="s">
        <v>2</v>
      </c>
      <c r="E4" s="3"/>
      <c r="F4" s="3"/>
      <c r="G4" s="3"/>
      <c r="H4" s="3"/>
      <c r="I4" s="3"/>
      <c r="J4" s="3"/>
      <c r="K4" s="9"/>
      <c r="L4" s="3"/>
      <c r="M4" s="3" t="s">
        <v>6067</v>
      </c>
      <c r="N4" s="3"/>
      <c r="O4" s="3"/>
      <c r="P4" s="3"/>
      <c r="Q4" s="3"/>
      <c r="R4" s="3"/>
      <c r="S4" s="3"/>
      <c r="T4" s="3"/>
      <c r="U4" s="3"/>
      <c r="V4" s="3"/>
      <c r="W4" s="3"/>
      <c r="X4" s="3"/>
      <c r="Y4" s="3"/>
      <c r="Z4" s="3"/>
      <c r="AA4" s="3"/>
      <c r="AB4" s="3"/>
      <c r="AC4" s="3"/>
      <c r="AD4" s="3"/>
      <c r="AE4" s="3"/>
      <c r="AF4" s="3"/>
    </row>
    <row r="5" spans="1:84"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c r="Y5" s="3"/>
      <c r="Z5" s="3"/>
      <c r="AA5" s="3"/>
      <c r="AB5" s="3"/>
      <c r="AC5" s="3"/>
      <c r="AD5" s="3"/>
      <c r="AE5" s="3"/>
      <c r="AF5" s="3"/>
    </row>
    <row r="6" spans="1:84"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c r="Y6" s="3"/>
      <c r="Z6" s="3"/>
      <c r="AA6" s="3"/>
      <c r="AB6" s="3"/>
      <c r="AC6" s="3"/>
      <c r="AD6" s="3"/>
      <c r="AE6" s="3"/>
      <c r="AF6" s="3"/>
    </row>
    <row r="7" spans="1:84" s="15" customFormat="1" ht="16.5" customHeight="1" x14ac:dyDescent="0.3">
      <c r="A7" s="12"/>
      <c r="B7" s="13"/>
      <c r="C7" s="588" t="s">
        <v>5</v>
      </c>
      <c r="D7" s="589"/>
      <c r="E7" s="589"/>
      <c r="F7" s="590"/>
      <c r="G7" s="590"/>
      <c r="H7" s="590"/>
      <c r="I7" s="591"/>
      <c r="J7" s="592"/>
      <c r="K7" s="14"/>
      <c r="L7" s="12"/>
      <c r="M7" s="92"/>
      <c r="O7" s="92"/>
      <c r="Q7" s="92"/>
      <c r="R7" s="12"/>
      <c r="S7" s="92"/>
      <c r="T7" s="12"/>
      <c r="U7" s="92"/>
      <c r="V7" s="12"/>
      <c r="W7" s="92"/>
      <c r="X7" s="12"/>
      <c r="Y7" s="92"/>
      <c r="Z7" s="12"/>
      <c r="AA7" s="92"/>
      <c r="AB7" s="12"/>
      <c r="AC7" s="92"/>
      <c r="AD7" s="12"/>
      <c r="AE7" s="92"/>
      <c r="AF7" s="12"/>
      <c r="AG7" s="92"/>
      <c r="AI7" s="92"/>
      <c r="AK7" s="92"/>
      <c r="AM7" s="92"/>
      <c r="AO7" s="92"/>
      <c r="AQ7" s="92"/>
      <c r="AS7" s="92"/>
      <c r="AU7" s="92"/>
      <c r="AW7" s="92"/>
      <c r="AY7" s="92" t="e">
        <f>+AZ181</f>
        <v>#N/A</v>
      </c>
      <c r="BA7" s="92"/>
      <c r="BC7" s="92"/>
      <c r="BE7" s="92"/>
      <c r="BG7" s="92"/>
      <c r="BI7" s="92"/>
      <c r="BK7" s="92"/>
      <c r="BM7" s="92"/>
      <c r="BO7" s="92" t="e">
        <f>+BP181</f>
        <v>#N/A</v>
      </c>
      <c r="BQ7" s="92"/>
      <c r="BS7" s="92"/>
      <c r="BU7" s="92"/>
      <c r="BW7" s="92"/>
      <c r="BY7" s="92"/>
      <c r="CA7" s="92"/>
      <c r="CC7" s="92"/>
      <c r="CE7" s="92"/>
    </row>
    <row r="8" spans="1:84" ht="15.6" x14ac:dyDescent="0.3">
      <c r="A8" s="3"/>
      <c r="B8" s="16"/>
      <c r="C8" s="596" t="s">
        <v>6</v>
      </c>
      <c r="D8" s="597"/>
      <c r="E8" s="597"/>
      <c r="F8" s="593"/>
      <c r="G8" s="593"/>
      <c r="H8" s="593"/>
      <c r="I8" s="594"/>
      <c r="J8" s="595"/>
      <c r="K8" s="9"/>
      <c r="L8" s="80" t="s">
        <v>5794</v>
      </c>
      <c r="M8" s="74"/>
      <c r="N8" s="3"/>
      <c r="O8" s="74"/>
      <c r="P8" s="3"/>
      <c r="Q8" s="74"/>
      <c r="R8" s="3"/>
      <c r="S8" s="74"/>
      <c r="T8" s="3"/>
      <c r="U8" s="74"/>
      <c r="V8" s="3"/>
      <c r="W8" s="74"/>
      <c r="X8" s="3"/>
      <c r="Y8" s="74"/>
      <c r="Z8" s="3"/>
      <c r="AA8" s="74"/>
      <c r="AB8" s="3"/>
      <c r="AC8" s="74"/>
      <c r="AD8" s="3"/>
      <c r="AE8" s="74"/>
      <c r="AF8" s="3"/>
      <c r="AG8" s="74"/>
      <c r="AH8" s="3"/>
      <c r="AI8" s="74"/>
      <c r="AJ8" s="3"/>
      <c r="AK8" s="74"/>
      <c r="AL8" s="3"/>
      <c r="AM8" s="74"/>
      <c r="AN8" s="3"/>
      <c r="AO8" s="74"/>
      <c r="AP8" s="3"/>
      <c r="AQ8" s="74"/>
      <c r="AR8" s="3"/>
      <c r="AS8" s="74"/>
      <c r="AT8" s="3"/>
      <c r="AU8" s="74"/>
      <c r="AV8" s="3"/>
      <c r="AW8" s="74"/>
      <c r="AX8" s="3"/>
      <c r="AY8" s="1">
        <v>3001079</v>
      </c>
      <c r="AZ8" s="3"/>
      <c r="BA8" s="74"/>
      <c r="BB8" s="3"/>
      <c r="BC8" s="1"/>
      <c r="BD8" s="3"/>
      <c r="BE8" s="74"/>
      <c r="BF8" s="3"/>
      <c r="BG8" s="74"/>
      <c r="BH8" s="3"/>
      <c r="BI8" s="74"/>
      <c r="BJ8" s="3"/>
      <c r="BK8" s="74"/>
      <c r="BL8" s="3"/>
      <c r="BM8" s="74"/>
      <c r="BN8" s="3"/>
      <c r="BO8" s="1">
        <v>3001479</v>
      </c>
      <c r="BP8" s="3"/>
      <c r="BQ8" s="74"/>
      <c r="BR8" s="3"/>
      <c r="BS8" s="74"/>
      <c r="BT8" s="3"/>
      <c r="BU8" s="74"/>
      <c r="BV8" s="3"/>
      <c r="BW8" s="74"/>
      <c r="BX8" s="3"/>
      <c r="BY8" s="74"/>
      <c r="BZ8" s="3"/>
      <c r="CA8" s="74"/>
      <c r="CB8" s="3"/>
      <c r="CC8" s="74"/>
      <c r="CD8" s="3"/>
      <c r="CE8" s="74"/>
      <c r="CF8" s="3"/>
    </row>
    <row r="9" spans="1:84" ht="15.6" x14ac:dyDescent="0.3">
      <c r="A9" s="3"/>
      <c r="B9" s="16"/>
      <c r="C9" s="596" t="s">
        <v>6070</v>
      </c>
      <c r="D9" s="597"/>
      <c r="E9" s="597"/>
      <c r="F9" s="593"/>
      <c r="G9" s="593"/>
      <c r="H9" s="593"/>
      <c r="I9" s="594"/>
      <c r="J9" s="595"/>
      <c r="K9" s="9"/>
      <c r="L9" s="80" t="s">
        <v>6071</v>
      </c>
      <c r="M9" s="74"/>
      <c r="O9" s="74"/>
      <c r="Q9" s="74"/>
      <c r="S9" s="74"/>
      <c r="U9" s="74"/>
      <c r="W9" s="74"/>
      <c r="Y9" s="74"/>
      <c r="AA9" s="74"/>
      <c r="AC9" s="74"/>
      <c r="AE9" s="74"/>
      <c r="AG9" s="74"/>
      <c r="AI9" s="74"/>
      <c r="AK9" s="74"/>
      <c r="AM9" s="74"/>
      <c r="AO9" s="74"/>
      <c r="AQ9" s="74"/>
      <c r="AS9" s="74"/>
      <c r="AU9" s="74"/>
      <c r="AW9" s="74"/>
      <c r="AY9" s="74" t="str">
        <f>++VLOOKUP(AY8,'LISTADO CIV RIGIDOS'!$D$2:$K$59,7)</f>
        <v>RIGIDO</v>
      </c>
      <c r="BA9" s="74"/>
      <c r="BC9" s="74"/>
      <c r="BE9" s="74"/>
      <c r="BG9" s="74"/>
      <c r="BI9" s="74"/>
      <c r="BK9" s="74"/>
      <c r="BM9" s="74"/>
      <c r="BO9" s="74" t="str">
        <f>++VLOOKUP(BO8,'LISTADO CIV RIGIDOS'!$D$2:$K$59,7)</f>
        <v>RIGIDO</v>
      </c>
      <c r="BQ9" s="74"/>
      <c r="BS9" s="74"/>
      <c r="BU9" s="74"/>
      <c r="BW9" s="74"/>
      <c r="BY9" s="74"/>
      <c r="CA9" s="74"/>
      <c r="CC9" s="74"/>
      <c r="CE9" s="74"/>
    </row>
    <row r="10" spans="1:84" ht="15.6" x14ac:dyDescent="0.3">
      <c r="A10" s="3"/>
      <c r="B10" s="16"/>
      <c r="C10" s="599" t="s">
        <v>8</v>
      </c>
      <c r="D10" s="593"/>
      <c r="E10" s="593"/>
      <c r="F10" s="593"/>
      <c r="G10" s="593"/>
      <c r="H10" s="593"/>
      <c r="I10" s="594"/>
      <c r="J10" s="595"/>
      <c r="K10" s="9"/>
      <c r="L10" s="80" t="s">
        <v>6072</v>
      </c>
      <c r="M10" s="74"/>
      <c r="O10" s="74"/>
      <c r="Q10" s="74"/>
      <c r="S10" s="74"/>
      <c r="U10" s="74"/>
      <c r="W10" s="74"/>
      <c r="Y10" s="74"/>
      <c r="AA10" s="74"/>
      <c r="AC10" s="74"/>
      <c r="AE10" s="74"/>
      <c r="AG10" s="74"/>
      <c r="AI10" s="74"/>
      <c r="AK10" s="74"/>
      <c r="AM10" s="74"/>
      <c r="AO10" s="74"/>
      <c r="AQ10" s="74"/>
      <c r="AS10" s="74"/>
      <c r="AU10" s="74"/>
      <c r="AW10" s="74"/>
      <c r="AY10" s="74" t="str">
        <f>++VLOOKUP(AY8,'LISTADO CIV RIGIDOS'!$D$2:$K$59,8)</f>
        <v>MANTENIMIENTO PERIODICO</v>
      </c>
      <c r="BA10" s="74"/>
      <c r="BC10" s="74"/>
      <c r="BE10" s="74"/>
      <c r="BG10" s="74"/>
      <c r="BI10" s="74"/>
      <c r="BK10" s="74"/>
      <c r="BM10" s="74"/>
      <c r="BO10" s="74" t="str">
        <f>++VLOOKUP(BO8,'LISTADO CIV RIGIDOS'!$D$2:$K$59,8)</f>
        <v>MANTENIMIENTO PERIODICO</v>
      </c>
      <c r="BQ10" s="74"/>
      <c r="BS10" s="74"/>
      <c r="BU10" s="74"/>
      <c r="BW10" s="74"/>
      <c r="BY10" s="74"/>
      <c r="CA10" s="74"/>
      <c r="CC10" s="74"/>
      <c r="CE10" s="74"/>
    </row>
    <row r="11" spans="1:84" ht="15.6" x14ac:dyDescent="0.3">
      <c r="A11" s="3"/>
      <c r="B11" s="16"/>
      <c r="C11" s="599"/>
      <c r="D11" s="593"/>
      <c r="E11" s="593"/>
      <c r="F11" s="593"/>
      <c r="G11" s="593"/>
      <c r="H11" s="593"/>
      <c r="I11" s="594"/>
      <c r="J11" s="595"/>
      <c r="K11" s="9"/>
      <c r="L11" s="80" t="s">
        <v>6073</v>
      </c>
      <c r="M11" s="74"/>
      <c r="O11" s="74"/>
      <c r="Q11" s="74"/>
      <c r="S11" s="74"/>
      <c r="U11" s="74"/>
      <c r="W11" s="74"/>
      <c r="Y11" s="74"/>
      <c r="AA11" s="74"/>
      <c r="AC11" s="74"/>
      <c r="AE11" s="74"/>
      <c r="AG11" s="74"/>
      <c r="AI11" s="74"/>
      <c r="AK11" s="74"/>
      <c r="AM11" s="74"/>
      <c r="AO11" s="74"/>
      <c r="AQ11" s="74"/>
      <c r="AS11" s="74"/>
      <c r="AU11" s="74"/>
      <c r="AW11" s="74"/>
      <c r="AY11" s="74">
        <f>++VLOOKUP(AY8,'LISTADO CIV RIGIDOS'!$D$2:$K$59,5)</f>
        <v>87.52</v>
      </c>
      <c r="BA11" s="74"/>
      <c r="BC11" s="74"/>
      <c r="BE11" s="74"/>
      <c r="BG11" s="74"/>
      <c r="BI11" s="74"/>
      <c r="BK11" s="74"/>
      <c r="BM11" s="74"/>
      <c r="BO11" s="74">
        <f>++VLOOKUP(BO8,'LISTADO CIV RIGIDOS'!$D$2:$K$59,5)</f>
        <v>119.34</v>
      </c>
      <c r="BQ11" s="74"/>
      <c r="BS11" s="74"/>
      <c r="BU11" s="74"/>
      <c r="BW11" s="74"/>
      <c r="BY11" s="74"/>
      <c r="CA11" s="74"/>
      <c r="CC11" s="74"/>
      <c r="CE11" s="74"/>
    </row>
    <row r="12" spans="1:84" ht="16.2" thickBot="1" x14ac:dyDescent="0.35">
      <c r="A12" s="3"/>
      <c r="B12" s="16"/>
      <c r="C12" s="600"/>
      <c r="D12" s="601"/>
      <c r="E12" s="601"/>
      <c r="F12" s="601"/>
      <c r="G12" s="601"/>
      <c r="H12" s="601"/>
      <c r="I12" s="602"/>
      <c r="J12" s="603"/>
      <c r="K12" s="9"/>
      <c r="L12" s="80" t="s">
        <v>6074</v>
      </c>
      <c r="M12" s="74"/>
      <c r="O12" s="74"/>
      <c r="Q12" s="74"/>
      <c r="S12" s="74"/>
      <c r="U12" s="74"/>
      <c r="W12" s="74"/>
      <c r="Y12" s="74"/>
      <c r="AA12" s="74"/>
      <c r="AC12" s="74"/>
      <c r="AE12" s="74"/>
      <c r="AG12" s="74"/>
      <c r="AI12" s="74"/>
      <c r="AK12" s="74"/>
      <c r="AM12" s="74"/>
      <c r="AO12" s="74"/>
      <c r="AQ12" s="74"/>
      <c r="AS12" s="74"/>
      <c r="AU12" s="74"/>
      <c r="AW12" s="74"/>
      <c r="AY12" s="74">
        <f>++VLOOKUP(AY8,'LISTADO CIV RIGIDOS'!$D$2:$K$59,6)</f>
        <v>3.83</v>
      </c>
      <c r="BA12" s="74"/>
      <c r="BC12" s="74"/>
      <c r="BE12" s="74"/>
      <c r="BG12" s="74"/>
      <c r="BI12" s="74"/>
      <c r="BK12" s="74"/>
      <c r="BM12" s="74"/>
      <c r="BO12" s="74">
        <f>++VLOOKUP(BO8,'LISTADO CIV RIGIDOS'!$D$2:$K$59,6)</f>
        <v>7.55</v>
      </c>
      <c r="BQ12" s="74"/>
      <c r="BS12" s="74"/>
      <c r="BU12" s="74"/>
      <c r="BW12" s="74"/>
      <c r="BY12" s="74"/>
      <c r="CA12" s="74"/>
      <c r="CC12" s="74"/>
      <c r="CE12" s="74"/>
    </row>
    <row r="13" spans="1:84" ht="30" customHeight="1" thickBot="1" x14ac:dyDescent="0.35">
      <c r="A13" s="3"/>
      <c r="B13" s="8"/>
      <c r="C13" s="604"/>
      <c r="D13" s="605"/>
      <c r="E13" s="605"/>
      <c r="F13" s="605"/>
      <c r="G13" s="605"/>
      <c r="H13" s="605"/>
      <c r="I13" s="605"/>
      <c r="J13" s="606"/>
      <c r="K13" s="9"/>
      <c r="L13" s="80" t="s">
        <v>6075</v>
      </c>
      <c r="M13" s="75"/>
      <c r="O13" s="75"/>
      <c r="Q13" s="75"/>
      <c r="S13" s="75"/>
      <c r="U13" s="75"/>
      <c r="W13" s="75"/>
      <c r="Y13" s="75"/>
      <c r="AA13" s="75"/>
      <c r="AC13" s="75"/>
      <c r="AE13" s="75"/>
      <c r="AG13" s="75"/>
      <c r="AI13" s="75"/>
      <c r="AK13" s="75"/>
      <c r="AM13" s="75"/>
      <c r="AO13" s="75"/>
      <c r="AQ13" s="75"/>
      <c r="AS13" s="75"/>
      <c r="AU13" s="75"/>
      <c r="AW13" s="75"/>
      <c r="AY13" s="75">
        <f>+ROUND(AY11*AY12,2)*0.3</f>
        <v>100.55999999999999</v>
      </c>
      <c r="BA13" s="75"/>
      <c r="BC13" s="75"/>
      <c r="BE13" s="75"/>
      <c r="BG13" s="75"/>
      <c r="BI13" s="75"/>
      <c r="BK13" s="75"/>
      <c r="BM13" s="75"/>
      <c r="BO13" s="75">
        <f>+ROUND(BO11*BO12,2)*0.3</f>
        <v>270.30599999999998</v>
      </c>
      <c r="BQ13" s="75"/>
      <c r="BS13" s="75"/>
      <c r="BU13" s="75"/>
      <c r="BW13" s="75"/>
      <c r="BY13" s="75"/>
      <c r="CA13" s="75"/>
      <c r="CC13" s="75"/>
      <c r="CE13" s="75"/>
    </row>
    <row r="14" spans="1:84" ht="16.5" customHeight="1" x14ac:dyDescent="0.3">
      <c r="A14" s="3"/>
      <c r="B14" s="8"/>
      <c r="C14" s="607" t="s">
        <v>10</v>
      </c>
      <c r="D14" s="609" t="s">
        <v>11</v>
      </c>
      <c r="E14" s="607" t="s">
        <v>12</v>
      </c>
      <c r="F14" s="611" t="s">
        <v>13</v>
      </c>
      <c r="G14" s="611" t="s">
        <v>14</v>
      </c>
      <c r="H14" s="598" t="s">
        <v>15</v>
      </c>
      <c r="I14" s="598" t="s">
        <v>27</v>
      </c>
      <c r="J14" s="925" t="s">
        <v>16</v>
      </c>
      <c r="K14" s="9"/>
      <c r="L14" s="3"/>
      <c r="M14" s="547"/>
      <c r="N14" s="548"/>
      <c r="O14" s="547"/>
      <c r="P14" s="548"/>
      <c r="Q14" s="547"/>
      <c r="R14" s="548"/>
      <c r="S14" s="547"/>
      <c r="T14" s="548"/>
      <c r="U14" s="547"/>
      <c r="V14" s="548"/>
      <c r="W14" s="547"/>
      <c r="X14" s="548"/>
      <c r="Y14" s="547"/>
      <c r="Z14" s="548"/>
      <c r="AA14" s="547"/>
      <c r="AB14" s="548"/>
      <c r="AC14" s="547"/>
      <c r="AD14" s="548"/>
      <c r="AE14" s="547"/>
      <c r="AF14" s="548"/>
      <c r="AG14" s="547"/>
      <c r="AH14" s="548"/>
      <c r="AI14" s="547"/>
      <c r="AJ14" s="548"/>
      <c r="AK14" s="547"/>
      <c r="AL14" s="548"/>
      <c r="AM14" s="547"/>
      <c r="AN14" s="548"/>
      <c r="AO14" s="547"/>
      <c r="AP14" s="548"/>
      <c r="AQ14" s="547"/>
      <c r="AR14" s="548"/>
      <c r="AS14" s="547"/>
      <c r="AT14" s="548"/>
      <c r="AU14" s="547"/>
      <c r="AV14" s="548"/>
      <c r="AW14" s="547"/>
      <c r="AX14" s="548"/>
      <c r="AY14" s="547" t="s">
        <v>14</v>
      </c>
      <c r="AZ14" s="548" t="s">
        <v>16</v>
      </c>
      <c r="BA14" s="547"/>
      <c r="BB14" s="548"/>
      <c r="BC14" s="547"/>
      <c r="BD14" s="548"/>
      <c r="BE14" s="547"/>
      <c r="BF14" s="548"/>
      <c r="BG14" s="547"/>
      <c r="BH14" s="548"/>
      <c r="BI14" s="547"/>
      <c r="BJ14" s="548"/>
      <c r="BK14" s="547"/>
      <c r="BL14" s="548"/>
      <c r="BM14" s="547"/>
      <c r="BN14" s="548"/>
      <c r="BO14" s="547" t="s">
        <v>14</v>
      </c>
      <c r="BP14" s="548" t="s">
        <v>16</v>
      </c>
      <c r="BQ14" s="547"/>
      <c r="BR14" s="548"/>
      <c r="BS14" s="547"/>
      <c r="BT14" s="548"/>
      <c r="BU14" s="547"/>
      <c r="BV14" s="548"/>
      <c r="BW14" s="547"/>
      <c r="BX14" s="548"/>
      <c r="BY14" s="547"/>
      <c r="BZ14" s="548"/>
      <c r="CA14" s="547"/>
      <c r="CB14" s="548"/>
      <c r="CC14" s="547"/>
      <c r="CD14" s="548"/>
      <c r="CE14" s="547"/>
      <c r="CF14" s="548"/>
    </row>
    <row r="15" spans="1:84"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c r="Y15" s="547"/>
      <c r="Z15" s="548"/>
      <c r="AA15" s="547"/>
      <c r="AB15" s="548"/>
      <c r="AC15" s="547"/>
      <c r="AD15" s="548"/>
      <c r="AE15" s="547"/>
      <c r="AF15" s="548"/>
      <c r="AG15" s="547"/>
      <c r="AH15" s="548"/>
      <c r="AI15" s="547"/>
      <c r="AJ15" s="548"/>
      <c r="AK15" s="547"/>
      <c r="AL15" s="548"/>
      <c r="AM15" s="547"/>
      <c r="AN15" s="548"/>
      <c r="AO15" s="547"/>
      <c r="AP15" s="548"/>
      <c r="AQ15" s="547"/>
      <c r="AR15" s="548"/>
      <c r="AS15" s="547"/>
      <c r="AT15" s="548"/>
      <c r="AU15" s="547"/>
      <c r="AV15" s="548"/>
      <c r="AW15" s="547"/>
      <c r="AX15" s="548"/>
      <c r="AY15" s="547"/>
      <c r="AZ15" s="548"/>
      <c r="BA15" s="547"/>
      <c r="BB15" s="548"/>
      <c r="BC15" s="547"/>
      <c r="BD15" s="548"/>
      <c r="BE15" s="547"/>
      <c r="BF15" s="548"/>
      <c r="BG15" s="547"/>
      <c r="BH15" s="548"/>
      <c r="BI15" s="547"/>
      <c r="BJ15" s="548"/>
      <c r="BK15" s="547"/>
      <c r="BL15" s="548"/>
      <c r="BM15" s="547"/>
      <c r="BN15" s="548"/>
      <c r="BO15" s="547"/>
      <c r="BP15" s="548"/>
      <c r="BQ15" s="547"/>
      <c r="BR15" s="548"/>
      <c r="BS15" s="547"/>
      <c r="BT15" s="548"/>
      <c r="BU15" s="547"/>
      <c r="BV15" s="548"/>
      <c r="BW15" s="547"/>
      <c r="BX15" s="548"/>
      <c r="BY15" s="547"/>
      <c r="BZ15" s="548"/>
      <c r="CA15" s="547"/>
      <c r="CB15" s="548"/>
      <c r="CC15" s="547"/>
      <c r="CD15" s="548"/>
      <c r="CE15" s="547"/>
      <c r="CF15" s="548"/>
    </row>
    <row r="16" spans="1:84"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row>
    <row r="17" spans="1:84" ht="30" customHeight="1" x14ac:dyDescent="0.3">
      <c r="A17" s="3"/>
      <c r="B17" s="8"/>
      <c r="C17" s="60">
        <v>3007</v>
      </c>
      <c r="D17" s="60">
        <v>1001</v>
      </c>
      <c r="E17" s="60" t="str">
        <f>+VLOOKUP(C17,'PRECIOS IDU 2025'!$A$1:$E$3189,2,FALSE)</f>
        <v>REPLANTEO GENERAL</v>
      </c>
      <c r="F17" s="60" t="str">
        <f>+VLOOKUP(C17,'PRECIOS IDU 2025'!$A$1:$E$3189,3,FALSE)</f>
        <v>M2</v>
      </c>
      <c r="G17" s="108">
        <f>+ROUND(M17+O17+Q17+S17+U17+W17+Y17+AA17+AC17+AE17+AG17+AI17+AK17+AM17+AO17+AQ17+AS17+AU17+AW17+AY17+BA17+BC17+BE17+BG17+BI17+BK17+BM17+BO17+BQ17+BS17+BU17+BW17+BY17+CA17+CC17+CE17,2)</f>
        <v>0</v>
      </c>
      <c r="H17" s="69">
        <f>+VLOOKUP(C17,'PRECIOS IDU 2025'!$A$1:$E$3189,4,FALSE)</f>
        <v>909</v>
      </c>
      <c r="I17" s="69">
        <f t="shared" ref="I17:I38" si="0">+ROUND(H17*(1+$J$192),0)</f>
        <v>1182</v>
      </c>
      <c r="J17" s="69">
        <f>+ROUND(I17*G17,0)</f>
        <v>0</v>
      </c>
      <c r="K17" s="9"/>
      <c r="L17" s="3"/>
      <c r="M17" s="76"/>
      <c r="N17" s="78"/>
      <c r="O17" s="76"/>
      <c r="P17" s="78"/>
      <c r="Q17" s="76"/>
      <c r="R17" s="78"/>
      <c r="S17" s="76"/>
      <c r="T17" s="78"/>
      <c r="U17" s="76"/>
      <c r="V17" s="78"/>
      <c r="W17" s="76"/>
      <c r="X17" s="78"/>
      <c r="Y17" s="76"/>
      <c r="Z17" s="78"/>
      <c r="AA17" s="76"/>
      <c r="AB17" s="78"/>
      <c r="AC17" s="76"/>
      <c r="AD17" s="78"/>
      <c r="AE17" s="76"/>
      <c r="AF17" s="78"/>
      <c r="AG17" s="76"/>
      <c r="AH17" s="78"/>
      <c r="AI17" s="76"/>
      <c r="AJ17" s="78"/>
      <c r="AK17" s="76"/>
      <c r="AL17" s="78"/>
      <c r="AM17" s="76"/>
      <c r="AN17" s="78"/>
      <c r="AO17" s="76"/>
      <c r="AP17" s="78"/>
      <c r="AQ17" s="76"/>
      <c r="AR17" s="78"/>
      <c r="AS17" s="76"/>
      <c r="AT17" s="78"/>
      <c r="AU17" s="76"/>
      <c r="AV17" s="78"/>
      <c r="AW17" s="76"/>
      <c r="AX17" s="78"/>
      <c r="AY17" s="76"/>
      <c r="AZ17" s="78">
        <f>+ROUND(AY17*$I17,0)</f>
        <v>0</v>
      </c>
      <c r="BA17" s="76"/>
      <c r="BB17" s="78"/>
      <c r="BC17" s="76"/>
      <c r="BD17" s="78"/>
      <c r="BE17" s="76"/>
      <c r="BF17" s="78"/>
      <c r="BG17" s="76"/>
      <c r="BH17" s="78"/>
      <c r="BI17" s="76"/>
      <c r="BJ17" s="78"/>
      <c r="BK17" s="76"/>
      <c r="BL17" s="78"/>
      <c r="BM17" s="76"/>
      <c r="BN17" s="78"/>
      <c r="BO17" s="76"/>
      <c r="BP17" s="78">
        <f>+ROUND(BO17*$I17,0)</f>
        <v>0</v>
      </c>
      <c r="BQ17" s="76"/>
      <c r="BR17" s="78"/>
      <c r="BS17" s="76"/>
      <c r="BT17" s="78"/>
      <c r="BU17" s="76"/>
      <c r="BV17" s="78"/>
      <c r="BW17" s="76"/>
      <c r="BX17" s="78"/>
      <c r="BY17" s="76"/>
      <c r="BZ17" s="78"/>
      <c r="CA17" s="76"/>
      <c r="CB17" s="78"/>
      <c r="CC17" s="76"/>
      <c r="CD17" s="78"/>
      <c r="CE17" s="76"/>
      <c r="CF17" s="78"/>
    </row>
    <row r="18" spans="1:84"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ref="G18:G38" si="1">+ROUND(M18+O18+Q18+S18+U18+W18+Y18+AA18+AC18+AE18+AG18+AI18+AK18+AM18+AO18+AQ18+AS18+AU18+AW18+AY18+BA18+BC18+BE18+BG18+BI18+BK18+BM18+BO18+BQ18+BS18+BU18+BW18+BY18+CA18+CC18+CE18,2)</f>
        <v>0</v>
      </c>
      <c r="H18" s="69">
        <f>+VLOOKUP(C18,'PRECIOS IDU 2025'!$A$1:$E$3189,4,FALSE)</f>
        <v>2659</v>
      </c>
      <c r="I18" s="69">
        <f t="shared" si="0"/>
        <v>3457</v>
      </c>
      <c r="J18" s="69">
        <f>+ROUND(I18*G18,0)</f>
        <v>0</v>
      </c>
      <c r="K18" s="9"/>
      <c r="L18" s="3"/>
      <c r="M18" s="76"/>
      <c r="N18" s="78"/>
      <c r="O18" s="76"/>
      <c r="P18" s="78"/>
      <c r="Q18" s="76"/>
      <c r="R18" s="78"/>
      <c r="S18" s="76"/>
      <c r="T18" s="78"/>
      <c r="U18" s="76"/>
      <c r="V18" s="78"/>
      <c r="W18" s="76"/>
      <c r="X18" s="78"/>
      <c r="Y18" s="76"/>
      <c r="Z18" s="78"/>
      <c r="AA18" s="76"/>
      <c r="AB18" s="78"/>
      <c r="AC18" s="76"/>
      <c r="AD18" s="78"/>
      <c r="AE18" s="76"/>
      <c r="AF18" s="78"/>
      <c r="AG18" s="76"/>
      <c r="AH18" s="78"/>
      <c r="AI18" s="76"/>
      <c r="AJ18" s="78"/>
      <c r="AK18" s="76"/>
      <c r="AL18" s="78"/>
      <c r="AM18" s="76"/>
      <c r="AN18" s="78"/>
      <c r="AO18" s="76"/>
      <c r="AP18" s="78"/>
      <c r="AQ18" s="76"/>
      <c r="AR18" s="78"/>
      <c r="AS18" s="76"/>
      <c r="AT18" s="78"/>
      <c r="AU18" s="76"/>
      <c r="AV18" s="78"/>
      <c r="AW18" s="76"/>
      <c r="AX18" s="78"/>
      <c r="AY18" s="76"/>
      <c r="AZ18" s="78">
        <f t="shared" ref="AZ18" si="2">+ROUND(AY18*$I18,0)</f>
        <v>0</v>
      </c>
      <c r="BA18" s="76"/>
      <c r="BB18" s="78"/>
      <c r="BC18" s="76"/>
      <c r="BD18" s="78"/>
      <c r="BE18" s="76"/>
      <c r="BF18" s="78"/>
      <c r="BG18" s="76"/>
      <c r="BH18" s="78"/>
      <c r="BI18" s="76"/>
      <c r="BJ18" s="78"/>
      <c r="BK18" s="76"/>
      <c r="BL18" s="78"/>
      <c r="BM18" s="76"/>
      <c r="BN18" s="78"/>
      <c r="BO18" s="76"/>
      <c r="BP18" s="78">
        <f t="shared" ref="BP18" si="3">+ROUND(BO18*$I18,0)</f>
        <v>0</v>
      </c>
      <c r="BQ18" s="76"/>
      <c r="BR18" s="78"/>
      <c r="BS18" s="76"/>
      <c r="BT18" s="78"/>
      <c r="BU18" s="76"/>
      <c r="BV18" s="78"/>
      <c r="BW18" s="76"/>
      <c r="BX18" s="78"/>
      <c r="BY18" s="76"/>
      <c r="BZ18" s="78"/>
      <c r="CA18" s="76"/>
      <c r="CB18" s="78"/>
      <c r="CC18" s="76"/>
      <c r="CD18" s="78"/>
      <c r="CE18" s="76"/>
      <c r="CF18" s="78"/>
    </row>
    <row r="19" spans="1:84"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1"/>
        <v>0</v>
      </c>
      <c r="H19" s="69">
        <f>+VLOOKUP(C19,'PRECIOS IDU 2025'!$A$1:$E$3189,4,FALSE)</f>
        <v>38781</v>
      </c>
      <c r="I19" s="69">
        <f t="shared" si="0"/>
        <v>50415</v>
      </c>
      <c r="J19" s="69">
        <f t="shared" ref="J19:J38" si="4">+ROUND(I19*G19,0)</f>
        <v>0</v>
      </c>
      <c r="K19" s="9"/>
      <c r="L19" s="3"/>
      <c r="M19" s="76"/>
      <c r="N19" s="78"/>
      <c r="O19" s="76"/>
      <c r="P19" s="78"/>
      <c r="Q19" s="76"/>
      <c r="R19" s="78"/>
      <c r="S19" s="76"/>
      <c r="T19" s="78"/>
      <c r="U19" s="76"/>
      <c r="V19" s="78"/>
      <c r="W19" s="76"/>
      <c r="X19" s="78"/>
      <c r="Y19" s="76"/>
      <c r="Z19" s="78"/>
      <c r="AA19" s="76"/>
      <c r="AB19" s="78"/>
      <c r="AC19" s="76"/>
      <c r="AD19" s="78"/>
      <c r="AE19" s="76"/>
      <c r="AF19" s="78"/>
      <c r="AG19" s="76"/>
      <c r="AH19" s="78"/>
      <c r="AI19" s="76"/>
      <c r="AJ19" s="78"/>
      <c r="AK19" s="76"/>
      <c r="AL19" s="78"/>
      <c r="AM19" s="76"/>
      <c r="AN19" s="78"/>
      <c r="AO19" s="76"/>
      <c r="AP19" s="78"/>
      <c r="AQ19" s="76"/>
      <c r="AR19" s="78"/>
      <c r="AS19" s="76"/>
      <c r="AT19" s="78"/>
      <c r="AU19" s="76"/>
      <c r="AV19" s="78"/>
      <c r="AW19" s="76"/>
      <c r="AX19" s="78"/>
      <c r="AY19" s="76"/>
      <c r="AZ19" s="78">
        <f t="shared" ref="AZ19" si="5">+ROUND(AY19*$I19,0)</f>
        <v>0</v>
      </c>
      <c r="BA19" s="76"/>
      <c r="BB19" s="78"/>
      <c r="BC19" s="76"/>
      <c r="BD19" s="78"/>
      <c r="BE19" s="76"/>
      <c r="BF19" s="78"/>
      <c r="BG19" s="76"/>
      <c r="BH19" s="78"/>
      <c r="BI19" s="76"/>
      <c r="BJ19" s="78"/>
      <c r="BK19" s="76"/>
      <c r="BL19" s="78"/>
      <c r="BM19" s="76"/>
      <c r="BN19" s="78"/>
      <c r="BO19" s="76"/>
      <c r="BP19" s="78">
        <f t="shared" ref="BP19" si="6">+ROUND(BO19*$I19,0)</f>
        <v>0</v>
      </c>
      <c r="BQ19" s="76"/>
      <c r="BR19" s="78"/>
      <c r="BS19" s="76"/>
      <c r="BT19" s="78"/>
      <c r="BU19" s="76"/>
      <c r="BV19" s="78"/>
      <c r="BW19" s="76"/>
      <c r="BX19" s="78"/>
      <c r="BY19" s="76"/>
      <c r="BZ19" s="78"/>
      <c r="CA19" s="76"/>
      <c r="CB19" s="78"/>
      <c r="CC19" s="76"/>
      <c r="CD19" s="78"/>
      <c r="CE19" s="76"/>
      <c r="CF19" s="78"/>
    </row>
    <row r="20" spans="1:84"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1"/>
        <v>0</v>
      </c>
      <c r="H20" s="69">
        <f>+VLOOKUP(C20,'PRECIOS IDU 2025'!$A$1:$E$3189,4,FALSE)</f>
        <v>5741</v>
      </c>
      <c r="I20" s="69">
        <f t="shared" si="0"/>
        <v>7463</v>
      </c>
      <c r="J20" s="69">
        <f t="shared" si="4"/>
        <v>0</v>
      </c>
      <c r="K20" s="9"/>
      <c r="L20" s="3"/>
      <c r="M20" s="76"/>
      <c r="N20" s="78"/>
      <c r="O20" s="76"/>
      <c r="P20" s="78"/>
      <c r="Q20" s="76"/>
      <c r="R20" s="78"/>
      <c r="S20" s="76"/>
      <c r="T20" s="78"/>
      <c r="U20" s="76"/>
      <c r="V20" s="78"/>
      <c r="W20" s="76"/>
      <c r="X20" s="78"/>
      <c r="Y20" s="76"/>
      <c r="Z20" s="78"/>
      <c r="AA20" s="76"/>
      <c r="AB20" s="78"/>
      <c r="AC20" s="76"/>
      <c r="AD20" s="78"/>
      <c r="AE20" s="76"/>
      <c r="AF20" s="78"/>
      <c r="AG20" s="76"/>
      <c r="AH20" s="78"/>
      <c r="AI20" s="76"/>
      <c r="AJ20" s="78"/>
      <c r="AK20" s="76"/>
      <c r="AL20" s="78"/>
      <c r="AM20" s="76"/>
      <c r="AN20" s="78"/>
      <c r="AO20" s="76"/>
      <c r="AP20" s="78"/>
      <c r="AQ20" s="76"/>
      <c r="AR20" s="78"/>
      <c r="AS20" s="76"/>
      <c r="AT20" s="78"/>
      <c r="AU20" s="76"/>
      <c r="AV20" s="78"/>
      <c r="AW20" s="76"/>
      <c r="AX20" s="78"/>
      <c r="AY20" s="76"/>
      <c r="AZ20" s="78">
        <f t="shared" ref="AZ20" si="7">+ROUND(AY20*$I20,0)</f>
        <v>0</v>
      </c>
      <c r="BA20" s="76"/>
      <c r="BB20" s="78"/>
      <c r="BC20" s="76"/>
      <c r="BD20" s="78"/>
      <c r="BE20" s="76"/>
      <c r="BF20" s="78"/>
      <c r="BG20" s="76"/>
      <c r="BH20" s="78"/>
      <c r="BI20" s="76"/>
      <c r="BJ20" s="78"/>
      <c r="BK20" s="76"/>
      <c r="BL20" s="78"/>
      <c r="BM20" s="76"/>
      <c r="BN20" s="78"/>
      <c r="BO20" s="76"/>
      <c r="BP20" s="78">
        <f t="shared" ref="BP20" si="8">+ROUND(BO20*$I20,0)</f>
        <v>0</v>
      </c>
      <c r="BQ20" s="76"/>
      <c r="BR20" s="78"/>
      <c r="BS20" s="76"/>
      <c r="BT20" s="78"/>
      <c r="BU20" s="76"/>
      <c r="BV20" s="78"/>
      <c r="BW20" s="76"/>
      <c r="BX20" s="78"/>
      <c r="BY20" s="76"/>
      <c r="BZ20" s="78"/>
      <c r="CA20" s="76"/>
      <c r="CB20" s="78"/>
      <c r="CC20" s="76"/>
      <c r="CD20" s="78"/>
      <c r="CE20" s="76"/>
      <c r="CF20" s="78"/>
    </row>
    <row r="21" spans="1:84"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1"/>
        <v>0</v>
      </c>
      <c r="H21" s="69">
        <f>+VLOOKUP(C21,'PRECIOS IDU 2025'!$A$1:$E$3189,4,FALSE)</f>
        <v>46379</v>
      </c>
      <c r="I21" s="69">
        <f t="shared" si="0"/>
        <v>60293</v>
      </c>
      <c r="J21" s="69">
        <f t="shared" si="4"/>
        <v>0</v>
      </c>
      <c r="K21" s="9"/>
      <c r="L21" s="3"/>
      <c r="M21" s="76"/>
      <c r="N21" s="78"/>
      <c r="O21" s="76"/>
      <c r="P21" s="78"/>
      <c r="Q21" s="76"/>
      <c r="R21" s="78"/>
      <c r="S21" s="76"/>
      <c r="T21" s="78"/>
      <c r="U21" s="76"/>
      <c r="V21" s="78"/>
      <c r="W21" s="76"/>
      <c r="X21" s="78"/>
      <c r="Y21" s="76"/>
      <c r="Z21" s="78"/>
      <c r="AA21" s="76"/>
      <c r="AB21" s="78"/>
      <c r="AC21" s="76"/>
      <c r="AD21" s="78"/>
      <c r="AE21" s="76"/>
      <c r="AF21" s="78"/>
      <c r="AG21" s="76"/>
      <c r="AH21" s="78"/>
      <c r="AI21" s="76"/>
      <c r="AJ21" s="78"/>
      <c r="AK21" s="76"/>
      <c r="AL21" s="78"/>
      <c r="AM21" s="76"/>
      <c r="AN21" s="78"/>
      <c r="AO21" s="76"/>
      <c r="AP21" s="78"/>
      <c r="AQ21" s="76"/>
      <c r="AR21" s="78"/>
      <c r="AS21" s="76"/>
      <c r="AT21" s="78"/>
      <c r="AU21" s="76"/>
      <c r="AV21" s="78"/>
      <c r="AW21" s="76"/>
      <c r="AX21" s="78"/>
      <c r="AY21" s="76"/>
      <c r="AZ21" s="78">
        <f t="shared" ref="AZ21" si="9">+ROUND(AY21*$I21,0)</f>
        <v>0</v>
      </c>
      <c r="BA21" s="76"/>
      <c r="BB21" s="78"/>
      <c r="BC21" s="76"/>
      <c r="BD21" s="78"/>
      <c r="BE21" s="76"/>
      <c r="BF21" s="78"/>
      <c r="BG21" s="76"/>
      <c r="BH21" s="78"/>
      <c r="BI21" s="76"/>
      <c r="BJ21" s="78"/>
      <c r="BK21" s="76"/>
      <c r="BL21" s="78"/>
      <c r="BM21" s="76"/>
      <c r="BN21" s="78"/>
      <c r="BO21" s="76"/>
      <c r="BP21" s="78">
        <f t="shared" ref="BP21" si="10">+ROUND(BO21*$I21,0)</f>
        <v>0</v>
      </c>
      <c r="BQ21" s="76"/>
      <c r="BR21" s="78"/>
      <c r="BS21" s="76"/>
      <c r="BT21" s="78"/>
      <c r="BU21" s="76"/>
      <c r="BV21" s="78"/>
      <c r="BW21" s="76"/>
      <c r="BX21" s="78"/>
      <c r="BY21" s="76"/>
      <c r="BZ21" s="78"/>
      <c r="CA21" s="76"/>
      <c r="CB21" s="78"/>
      <c r="CC21" s="76"/>
      <c r="CD21" s="78"/>
      <c r="CE21" s="76"/>
      <c r="CF21" s="78"/>
    </row>
    <row r="22" spans="1:84" ht="41.4"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1"/>
        <v>0</v>
      </c>
      <c r="H22" s="69">
        <f>+VLOOKUP(C22,'PRECIOS IDU 2025'!$A$1:$E$3189,4,FALSE)</f>
        <v>45600</v>
      </c>
      <c r="I22" s="69">
        <f t="shared" si="0"/>
        <v>59280</v>
      </c>
      <c r="J22" s="69">
        <f t="shared" si="4"/>
        <v>0</v>
      </c>
      <c r="K22" s="9"/>
      <c r="L22" s="3"/>
      <c r="M22" s="76"/>
      <c r="N22" s="78"/>
      <c r="O22" s="76"/>
      <c r="P22" s="78"/>
      <c r="Q22" s="76"/>
      <c r="R22" s="78"/>
      <c r="S22" s="76"/>
      <c r="T22" s="78"/>
      <c r="U22" s="76"/>
      <c r="V22" s="78"/>
      <c r="W22" s="76"/>
      <c r="X22" s="78"/>
      <c r="Y22" s="76"/>
      <c r="Z22" s="78"/>
      <c r="AA22" s="76"/>
      <c r="AB22" s="78"/>
      <c r="AC22" s="76"/>
      <c r="AD22" s="78"/>
      <c r="AE22" s="76"/>
      <c r="AF22" s="78"/>
      <c r="AG22" s="76"/>
      <c r="AH22" s="78"/>
      <c r="AI22" s="76"/>
      <c r="AJ22" s="78"/>
      <c r="AK22" s="76"/>
      <c r="AL22" s="78"/>
      <c r="AM22" s="76"/>
      <c r="AN22" s="78"/>
      <c r="AO22" s="76"/>
      <c r="AP22" s="78"/>
      <c r="AQ22" s="76"/>
      <c r="AR22" s="78"/>
      <c r="AS22" s="76"/>
      <c r="AT22" s="78"/>
      <c r="AU22" s="76"/>
      <c r="AV22" s="78"/>
      <c r="AW22" s="76"/>
      <c r="AX22" s="78"/>
      <c r="AY22" s="76"/>
      <c r="AZ22" s="78">
        <f t="shared" ref="AZ22" si="11">+ROUND(AY22*$I22,0)</f>
        <v>0</v>
      </c>
      <c r="BA22" s="76"/>
      <c r="BB22" s="78"/>
      <c r="BC22" s="76"/>
      <c r="BD22" s="78"/>
      <c r="BE22" s="76"/>
      <c r="BF22" s="78"/>
      <c r="BG22" s="76"/>
      <c r="BH22" s="78"/>
      <c r="BI22" s="76"/>
      <c r="BJ22" s="78"/>
      <c r="BK22" s="76"/>
      <c r="BL22" s="78"/>
      <c r="BM22" s="76"/>
      <c r="BN22" s="78"/>
      <c r="BO22" s="76"/>
      <c r="BP22" s="78">
        <f t="shared" ref="BP22" si="12">+ROUND(BO22*$I22,0)</f>
        <v>0</v>
      </c>
      <c r="BQ22" s="76"/>
      <c r="BR22" s="78"/>
      <c r="BS22" s="76"/>
      <c r="BT22" s="78"/>
      <c r="BU22" s="76"/>
      <c r="BV22" s="78"/>
      <c r="BW22" s="76"/>
      <c r="BX22" s="78"/>
      <c r="BY22" s="76"/>
      <c r="BZ22" s="78"/>
      <c r="CA22" s="76"/>
      <c r="CB22" s="78"/>
      <c r="CC22" s="76"/>
      <c r="CD22" s="78"/>
      <c r="CE22" s="76"/>
      <c r="CF22" s="78"/>
    </row>
    <row r="23" spans="1:84" ht="15.6" x14ac:dyDescent="0.3">
      <c r="A23" s="3"/>
      <c r="B23" s="8"/>
      <c r="C23" s="60">
        <v>3800</v>
      </c>
      <c r="D23" s="60">
        <v>1007</v>
      </c>
      <c r="E23" s="60" t="str">
        <f>+VLOOKUP(C23,'PRECIOS IDU 2025'!$A$1:$E$3189,2,FALSE)</f>
        <v>NIVELACION Y COMPACTACIÓN DE SUBRASANTE</v>
      </c>
      <c r="F23" s="60" t="str">
        <f>+VLOOKUP(C23,'PRECIOS IDU 2025'!$A$1:$E$3189,3,FALSE)</f>
        <v>M2</v>
      </c>
      <c r="G23" s="108">
        <f t="shared" si="1"/>
        <v>0</v>
      </c>
      <c r="H23" s="69">
        <f>+VLOOKUP(C23,'PRECIOS IDU 2025'!$A$1:$E$3189,4,FALSE)</f>
        <v>1757</v>
      </c>
      <c r="I23" s="69">
        <f t="shared" si="0"/>
        <v>2284</v>
      </c>
      <c r="J23" s="69">
        <f t="shared" si="4"/>
        <v>0</v>
      </c>
      <c r="K23" s="9"/>
      <c r="L23" s="3"/>
      <c r="M23" s="76"/>
      <c r="N23" s="78"/>
      <c r="O23" s="76"/>
      <c r="P23" s="78"/>
      <c r="Q23" s="76"/>
      <c r="R23" s="78"/>
      <c r="S23" s="76"/>
      <c r="T23" s="78"/>
      <c r="U23" s="76"/>
      <c r="V23" s="78"/>
      <c r="W23" s="76"/>
      <c r="X23" s="78"/>
      <c r="Y23" s="76"/>
      <c r="Z23" s="78"/>
      <c r="AA23" s="76"/>
      <c r="AB23" s="78"/>
      <c r="AC23" s="76"/>
      <c r="AD23" s="78"/>
      <c r="AE23" s="76"/>
      <c r="AF23" s="78"/>
      <c r="AG23" s="76"/>
      <c r="AH23" s="78"/>
      <c r="AI23" s="76"/>
      <c r="AJ23" s="78"/>
      <c r="AK23" s="76"/>
      <c r="AL23" s="78"/>
      <c r="AM23" s="76"/>
      <c r="AN23" s="78"/>
      <c r="AO23" s="76"/>
      <c r="AP23" s="78"/>
      <c r="AQ23" s="76"/>
      <c r="AR23" s="78"/>
      <c r="AS23" s="76"/>
      <c r="AT23" s="78"/>
      <c r="AU23" s="76"/>
      <c r="AV23" s="78"/>
      <c r="AW23" s="76"/>
      <c r="AX23" s="78"/>
      <c r="AY23" s="76"/>
      <c r="AZ23" s="78">
        <f t="shared" ref="AZ23" si="13">+ROUND(AY23*$I23,0)</f>
        <v>0</v>
      </c>
      <c r="BA23" s="76"/>
      <c r="BB23" s="78"/>
      <c r="BC23" s="76"/>
      <c r="BD23" s="78"/>
      <c r="BE23" s="76"/>
      <c r="BF23" s="78"/>
      <c r="BG23" s="76"/>
      <c r="BH23" s="78"/>
      <c r="BI23" s="76"/>
      <c r="BJ23" s="78"/>
      <c r="BK23" s="76"/>
      <c r="BL23" s="78"/>
      <c r="BM23" s="76"/>
      <c r="BN23" s="78"/>
      <c r="BO23" s="76"/>
      <c r="BP23" s="78">
        <f t="shared" ref="BP23" si="14">+ROUND(BO23*$I23,0)</f>
        <v>0</v>
      </c>
      <c r="BQ23" s="76"/>
      <c r="BR23" s="78"/>
      <c r="BS23" s="76"/>
      <c r="BT23" s="78"/>
      <c r="BU23" s="76"/>
      <c r="BV23" s="78"/>
      <c r="BW23" s="76"/>
      <c r="BX23" s="78"/>
      <c r="BY23" s="76"/>
      <c r="BZ23" s="78"/>
      <c r="CA23" s="76"/>
      <c r="CB23" s="78"/>
      <c r="CC23" s="76"/>
      <c r="CD23" s="78"/>
      <c r="CE23" s="76"/>
      <c r="CF23" s="78"/>
    </row>
    <row r="24" spans="1:84"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1"/>
        <v>0</v>
      </c>
      <c r="H24" s="69">
        <f>+VLOOKUP(C24,'PRECIOS IDU 2025'!$A$1:$E$3189,4,FALSE)</f>
        <v>184030</v>
      </c>
      <c r="I24" s="69">
        <f t="shared" si="0"/>
        <v>239239</v>
      </c>
      <c r="J24" s="69">
        <f t="shared" si="4"/>
        <v>0</v>
      </c>
      <c r="K24" s="9"/>
      <c r="L24" s="3"/>
      <c r="M24" s="76"/>
      <c r="N24" s="78"/>
      <c r="O24" s="76"/>
      <c r="P24" s="78"/>
      <c r="Q24" s="76"/>
      <c r="R24" s="78"/>
      <c r="S24" s="76"/>
      <c r="T24" s="78"/>
      <c r="U24" s="76"/>
      <c r="V24" s="78"/>
      <c r="W24" s="76"/>
      <c r="X24" s="78"/>
      <c r="Y24" s="76"/>
      <c r="Z24" s="78"/>
      <c r="AA24" s="76"/>
      <c r="AB24" s="78"/>
      <c r="AC24" s="76"/>
      <c r="AD24" s="78"/>
      <c r="AE24" s="76"/>
      <c r="AF24" s="78"/>
      <c r="AG24" s="76"/>
      <c r="AH24" s="78"/>
      <c r="AI24" s="76"/>
      <c r="AJ24" s="78"/>
      <c r="AK24" s="76"/>
      <c r="AL24" s="78"/>
      <c r="AM24" s="76"/>
      <c r="AN24" s="78"/>
      <c r="AO24" s="76"/>
      <c r="AP24" s="78"/>
      <c r="AQ24" s="76"/>
      <c r="AR24" s="78"/>
      <c r="AS24" s="76"/>
      <c r="AT24" s="78"/>
      <c r="AU24" s="76"/>
      <c r="AV24" s="78"/>
      <c r="AW24" s="76"/>
      <c r="AX24" s="78"/>
      <c r="AY24" s="76"/>
      <c r="AZ24" s="78">
        <f t="shared" ref="AZ24" si="15">+ROUND(AY24*$I24,0)</f>
        <v>0</v>
      </c>
      <c r="BA24" s="76"/>
      <c r="BB24" s="78"/>
      <c r="BC24" s="76"/>
      <c r="BD24" s="78"/>
      <c r="BE24" s="76"/>
      <c r="BF24" s="78"/>
      <c r="BG24" s="76"/>
      <c r="BH24" s="78"/>
      <c r="BI24" s="76"/>
      <c r="BJ24" s="78"/>
      <c r="BK24" s="76"/>
      <c r="BL24" s="78"/>
      <c r="BM24" s="76"/>
      <c r="BN24" s="78"/>
      <c r="BO24" s="76"/>
      <c r="BP24" s="78">
        <f t="shared" ref="BP24" si="16">+ROUND(BO24*$I24,0)</f>
        <v>0</v>
      </c>
      <c r="BQ24" s="76"/>
      <c r="BR24" s="78"/>
      <c r="BS24" s="76"/>
      <c r="BT24" s="78"/>
      <c r="BU24" s="76"/>
      <c r="BV24" s="78"/>
      <c r="BW24" s="76"/>
      <c r="BX24" s="78"/>
      <c r="BY24" s="76"/>
      <c r="BZ24" s="78"/>
      <c r="CA24" s="76"/>
      <c r="CB24" s="78"/>
      <c r="CC24" s="76"/>
      <c r="CD24" s="78"/>
      <c r="CE24" s="76"/>
      <c r="CF24" s="78"/>
    </row>
    <row r="25" spans="1:84"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1"/>
        <v>0</v>
      </c>
      <c r="H25" s="69">
        <f>+VLOOKUP(C25,'PRECIOS IDU 2025'!$A$1:$E$3189,4,FALSE)</f>
        <v>73638</v>
      </c>
      <c r="I25" s="69">
        <f t="shared" si="0"/>
        <v>95729</v>
      </c>
      <c r="J25" s="69">
        <f t="shared" si="4"/>
        <v>0</v>
      </c>
      <c r="K25" s="9"/>
      <c r="L25" s="3"/>
      <c r="M25" s="76"/>
      <c r="N25" s="78"/>
      <c r="O25" s="76"/>
      <c r="P25" s="78"/>
      <c r="Q25" s="76"/>
      <c r="R25" s="78"/>
      <c r="S25" s="76"/>
      <c r="T25" s="78"/>
      <c r="U25" s="76"/>
      <c r="V25" s="78"/>
      <c r="W25" s="76"/>
      <c r="X25" s="78"/>
      <c r="Y25" s="76"/>
      <c r="Z25" s="78"/>
      <c r="AA25" s="76"/>
      <c r="AB25" s="78"/>
      <c r="AC25" s="76"/>
      <c r="AD25" s="78"/>
      <c r="AE25" s="76"/>
      <c r="AF25" s="78"/>
      <c r="AG25" s="76"/>
      <c r="AH25" s="78"/>
      <c r="AI25" s="76"/>
      <c r="AJ25" s="78"/>
      <c r="AK25" s="76"/>
      <c r="AL25" s="78"/>
      <c r="AM25" s="76"/>
      <c r="AN25" s="78"/>
      <c r="AO25" s="76"/>
      <c r="AP25" s="78"/>
      <c r="AQ25" s="76"/>
      <c r="AR25" s="78"/>
      <c r="AS25" s="76"/>
      <c r="AT25" s="78"/>
      <c r="AU25" s="76"/>
      <c r="AV25" s="78"/>
      <c r="AW25" s="76"/>
      <c r="AX25" s="78"/>
      <c r="AY25" s="76"/>
      <c r="AZ25" s="78">
        <f t="shared" ref="AZ25" si="17">+ROUND(AY25*$I25,0)</f>
        <v>0</v>
      </c>
      <c r="BA25" s="76"/>
      <c r="BB25" s="78"/>
      <c r="BC25" s="76"/>
      <c r="BD25" s="78"/>
      <c r="BE25" s="76"/>
      <c r="BF25" s="78"/>
      <c r="BG25" s="76"/>
      <c r="BH25" s="78"/>
      <c r="BI25" s="76"/>
      <c r="BJ25" s="78"/>
      <c r="BK25" s="76"/>
      <c r="BL25" s="78"/>
      <c r="BM25" s="76"/>
      <c r="BN25" s="78"/>
      <c r="BO25" s="76"/>
      <c r="BP25" s="78">
        <f t="shared" ref="BP25" si="18">+ROUND(BO25*$I25,0)</f>
        <v>0</v>
      </c>
      <c r="BQ25" s="76"/>
      <c r="BR25" s="78"/>
      <c r="BS25" s="76"/>
      <c r="BT25" s="78"/>
      <c r="BU25" s="76"/>
      <c r="BV25" s="78"/>
      <c r="BW25" s="76"/>
      <c r="BX25" s="78"/>
      <c r="BY25" s="76"/>
      <c r="BZ25" s="78"/>
      <c r="CA25" s="76"/>
      <c r="CB25" s="78"/>
      <c r="CC25" s="76"/>
      <c r="CD25" s="78"/>
      <c r="CE25" s="76"/>
      <c r="CF25" s="78"/>
    </row>
    <row r="26" spans="1:84"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1"/>
        <v>0</v>
      </c>
      <c r="H26" s="69">
        <f>+VLOOKUP(C26,'PRECIOS IDU 2025'!$A$1:$E$3189,4,FALSE)</f>
        <v>13158</v>
      </c>
      <c r="I26" s="69">
        <f t="shared" si="0"/>
        <v>17105</v>
      </c>
      <c r="J26" s="69">
        <f t="shared" si="4"/>
        <v>0</v>
      </c>
      <c r="K26" s="9"/>
      <c r="L26" s="3"/>
      <c r="M26" s="76"/>
      <c r="N26" s="78"/>
      <c r="O26" s="76"/>
      <c r="P26" s="78"/>
      <c r="Q26" s="76"/>
      <c r="R26" s="78"/>
      <c r="S26" s="76"/>
      <c r="T26" s="78"/>
      <c r="U26" s="76"/>
      <c r="V26" s="78"/>
      <c r="W26" s="76"/>
      <c r="X26" s="78"/>
      <c r="Y26" s="76"/>
      <c r="Z26" s="78"/>
      <c r="AA26" s="76"/>
      <c r="AB26" s="78"/>
      <c r="AC26" s="76"/>
      <c r="AD26" s="78"/>
      <c r="AE26" s="76"/>
      <c r="AF26" s="78"/>
      <c r="AG26" s="76"/>
      <c r="AH26" s="78"/>
      <c r="AI26" s="76"/>
      <c r="AJ26" s="78"/>
      <c r="AK26" s="76"/>
      <c r="AL26" s="78"/>
      <c r="AM26" s="76"/>
      <c r="AN26" s="78"/>
      <c r="AO26" s="76"/>
      <c r="AP26" s="78"/>
      <c r="AQ26" s="76"/>
      <c r="AR26" s="78"/>
      <c r="AS26" s="76"/>
      <c r="AT26" s="78"/>
      <c r="AU26" s="76"/>
      <c r="AV26" s="78"/>
      <c r="AW26" s="76"/>
      <c r="AX26" s="78"/>
      <c r="AY26" s="76"/>
      <c r="AZ26" s="78">
        <f t="shared" ref="AZ26" si="19">+ROUND(AY26*$I26,0)</f>
        <v>0</v>
      </c>
      <c r="BA26" s="76"/>
      <c r="BB26" s="78"/>
      <c r="BC26" s="76"/>
      <c r="BD26" s="78"/>
      <c r="BE26" s="76"/>
      <c r="BF26" s="78"/>
      <c r="BG26" s="76"/>
      <c r="BH26" s="78"/>
      <c r="BI26" s="76"/>
      <c r="BJ26" s="78"/>
      <c r="BK26" s="76"/>
      <c r="BL26" s="78"/>
      <c r="BM26" s="76"/>
      <c r="BN26" s="78"/>
      <c r="BO26" s="76"/>
      <c r="BP26" s="78">
        <f t="shared" ref="BP26" si="20">+ROUND(BO26*$I26,0)</f>
        <v>0</v>
      </c>
      <c r="BQ26" s="76"/>
      <c r="BR26" s="78"/>
      <c r="BS26" s="76"/>
      <c r="BT26" s="78"/>
      <c r="BU26" s="76"/>
      <c r="BV26" s="78"/>
      <c r="BW26" s="76"/>
      <c r="BX26" s="78"/>
      <c r="BY26" s="76"/>
      <c r="BZ26" s="78"/>
      <c r="CA26" s="76"/>
      <c r="CB26" s="78"/>
      <c r="CC26" s="76"/>
      <c r="CD26" s="78"/>
      <c r="CE26" s="76"/>
      <c r="CF26" s="78"/>
    </row>
    <row r="27" spans="1:84"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1"/>
        <v>0</v>
      </c>
      <c r="H27" s="69">
        <f>+VLOOKUP(C27,'PRECIOS IDU 2025'!$A$1:$E$3189,4,FALSE)</f>
        <v>30940</v>
      </c>
      <c r="I27" s="69">
        <f t="shared" si="0"/>
        <v>40222</v>
      </c>
      <c r="J27" s="69">
        <f t="shared" si="4"/>
        <v>0</v>
      </c>
      <c r="K27" s="9"/>
      <c r="L27" s="3"/>
      <c r="M27" s="76"/>
      <c r="N27" s="78"/>
      <c r="O27" s="76"/>
      <c r="P27" s="78"/>
      <c r="Q27" s="76"/>
      <c r="R27" s="78"/>
      <c r="S27" s="76"/>
      <c r="T27" s="78"/>
      <c r="U27" s="76"/>
      <c r="V27" s="78"/>
      <c r="W27" s="76"/>
      <c r="X27" s="78"/>
      <c r="Y27" s="76"/>
      <c r="Z27" s="78"/>
      <c r="AA27" s="76"/>
      <c r="AB27" s="78"/>
      <c r="AC27" s="76"/>
      <c r="AD27" s="78"/>
      <c r="AE27" s="76"/>
      <c r="AF27" s="78"/>
      <c r="AG27" s="76"/>
      <c r="AH27" s="78"/>
      <c r="AI27" s="76"/>
      <c r="AJ27" s="78"/>
      <c r="AK27" s="76"/>
      <c r="AL27" s="78"/>
      <c r="AM27" s="76"/>
      <c r="AN27" s="78"/>
      <c r="AO27" s="76"/>
      <c r="AP27" s="78"/>
      <c r="AQ27" s="76"/>
      <c r="AR27" s="78"/>
      <c r="AS27" s="76"/>
      <c r="AT27" s="78"/>
      <c r="AU27" s="76"/>
      <c r="AV27" s="78"/>
      <c r="AW27" s="76"/>
      <c r="AX27" s="78"/>
      <c r="AY27" s="76"/>
      <c r="AZ27" s="78">
        <f t="shared" ref="AZ27" si="21">+ROUND(AY27*$I27,0)</f>
        <v>0</v>
      </c>
      <c r="BA27" s="76"/>
      <c r="BB27" s="78"/>
      <c r="BC27" s="76"/>
      <c r="BD27" s="78"/>
      <c r="BE27" s="76"/>
      <c r="BF27" s="78"/>
      <c r="BG27" s="76"/>
      <c r="BH27" s="78"/>
      <c r="BI27" s="76"/>
      <c r="BJ27" s="78"/>
      <c r="BK27" s="76"/>
      <c r="BL27" s="78"/>
      <c r="BM27" s="76"/>
      <c r="BN27" s="78"/>
      <c r="BO27" s="76"/>
      <c r="BP27" s="78">
        <f t="shared" ref="BP27" si="22">+ROUND(BO27*$I27,0)</f>
        <v>0</v>
      </c>
      <c r="BQ27" s="76"/>
      <c r="BR27" s="78"/>
      <c r="BS27" s="76"/>
      <c r="BT27" s="78"/>
      <c r="BU27" s="76"/>
      <c r="BV27" s="78"/>
      <c r="BW27" s="76"/>
      <c r="BX27" s="78"/>
      <c r="BY27" s="76"/>
      <c r="BZ27" s="78"/>
      <c r="CA27" s="76"/>
      <c r="CB27" s="78"/>
      <c r="CC27" s="76"/>
      <c r="CD27" s="78"/>
      <c r="CE27" s="76"/>
      <c r="CF27" s="78"/>
    </row>
    <row r="28" spans="1:84"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1"/>
        <v>0</v>
      </c>
      <c r="H28" s="69">
        <f>+VLOOKUP(C28,'PRECIOS IDU 2025'!$A$1:$E$3189,4,FALSE)</f>
        <v>175866</v>
      </c>
      <c r="I28" s="69">
        <f t="shared" si="0"/>
        <v>228626</v>
      </c>
      <c r="J28" s="69">
        <f t="shared" si="4"/>
        <v>0</v>
      </c>
      <c r="K28" s="9"/>
      <c r="L28" s="3"/>
      <c r="M28" s="76"/>
      <c r="N28" s="78"/>
      <c r="O28" s="76"/>
      <c r="P28" s="78"/>
      <c r="Q28" s="76"/>
      <c r="R28" s="78"/>
      <c r="S28" s="76"/>
      <c r="T28" s="78"/>
      <c r="U28" s="76"/>
      <c r="V28" s="78"/>
      <c r="W28" s="76"/>
      <c r="X28" s="78"/>
      <c r="Y28" s="76"/>
      <c r="Z28" s="78"/>
      <c r="AA28" s="76"/>
      <c r="AB28" s="78"/>
      <c r="AC28" s="76"/>
      <c r="AD28" s="78"/>
      <c r="AE28" s="76"/>
      <c r="AF28" s="78"/>
      <c r="AG28" s="76"/>
      <c r="AH28" s="78"/>
      <c r="AI28" s="76"/>
      <c r="AJ28" s="78"/>
      <c r="AK28" s="76"/>
      <c r="AL28" s="78"/>
      <c r="AM28" s="76"/>
      <c r="AN28" s="78"/>
      <c r="AO28" s="76"/>
      <c r="AP28" s="78"/>
      <c r="AQ28" s="76"/>
      <c r="AR28" s="78"/>
      <c r="AS28" s="76"/>
      <c r="AT28" s="78"/>
      <c r="AU28" s="76"/>
      <c r="AV28" s="78"/>
      <c r="AW28" s="76"/>
      <c r="AX28" s="78"/>
      <c r="AY28" s="76"/>
      <c r="AZ28" s="78">
        <f t="shared" ref="AZ28" si="23">+ROUND(AY28*$I28,0)</f>
        <v>0</v>
      </c>
      <c r="BA28" s="76"/>
      <c r="BB28" s="78"/>
      <c r="BC28" s="76"/>
      <c r="BD28" s="78"/>
      <c r="BE28" s="76"/>
      <c r="BF28" s="78"/>
      <c r="BG28" s="76"/>
      <c r="BH28" s="78"/>
      <c r="BI28" s="76"/>
      <c r="BJ28" s="78"/>
      <c r="BK28" s="76"/>
      <c r="BL28" s="78"/>
      <c r="BM28" s="76"/>
      <c r="BN28" s="78"/>
      <c r="BO28" s="76"/>
      <c r="BP28" s="78">
        <f t="shared" ref="BP28" si="24">+ROUND(BO28*$I28,0)</f>
        <v>0</v>
      </c>
      <c r="BQ28" s="76"/>
      <c r="BR28" s="78"/>
      <c r="BS28" s="76"/>
      <c r="BT28" s="78"/>
      <c r="BU28" s="76"/>
      <c r="BV28" s="78"/>
      <c r="BW28" s="76"/>
      <c r="BX28" s="78"/>
      <c r="BY28" s="76"/>
      <c r="BZ28" s="78"/>
      <c r="CA28" s="76"/>
      <c r="CB28" s="78"/>
      <c r="CC28" s="76"/>
      <c r="CD28" s="78"/>
      <c r="CE28" s="76"/>
      <c r="CF28" s="78"/>
    </row>
    <row r="29" spans="1:84"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1"/>
        <v>0</v>
      </c>
      <c r="H29" s="69">
        <f>+VLOOKUP(C29,'PRECIOS IDU 2025'!$A$1:$E$3189,4,FALSE)</f>
        <v>166345</v>
      </c>
      <c r="I29" s="69">
        <f t="shared" si="0"/>
        <v>216249</v>
      </c>
      <c r="J29" s="69">
        <f t="shared" si="4"/>
        <v>0</v>
      </c>
      <c r="K29" s="9"/>
      <c r="L29" s="3"/>
      <c r="M29" s="76"/>
      <c r="N29" s="78"/>
      <c r="O29" s="76"/>
      <c r="P29" s="78"/>
      <c r="Q29" s="76"/>
      <c r="R29" s="78"/>
      <c r="S29" s="76"/>
      <c r="T29" s="78"/>
      <c r="U29" s="76"/>
      <c r="V29" s="78"/>
      <c r="W29" s="76"/>
      <c r="X29" s="78"/>
      <c r="Y29" s="76"/>
      <c r="Z29" s="78"/>
      <c r="AA29" s="76"/>
      <c r="AB29" s="78"/>
      <c r="AC29" s="76"/>
      <c r="AD29" s="78"/>
      <c r="AE29" s="76"/>
      <c r="AF29" s="78"/>
      <c r="AG29" s="76"/>
      <c r="AH29" s="78"/>
      <c r="AI29" s="76"/>
      <c r="AJ29" s="78"/>
      <c r="AK29" s="76"/>
      <c r="AL29" s="78"/>
      <c r="AM29" s="76"/>
      <c r="AN29" s="78"/>
      <c r="AO29" s="76"/>
      <c r="AP29" s="78"/>
      <c r="AQ29" s="76"/>
      <c r="AR29" s="78"/>
      <c r="AS29" s="76"/>
      <c r="AT29" s="78"/>
      <c r="AU29" s="76"/>
      <c r="AV29" s="78"/>
      <c r="AW29" s="76"/>
      <c r="AX29" s="78"/>
      <c r="AY29" s="76"/>
      <c r="AZ29" s="78">
        <f t="shared" ref="AZ29" si="25">+ROUND(AY29*$I29,0)</f>
        <v>0</v>
      </c>
      <c r="BA29" s="76"/>
      <c r="BB29" s="78"/>
      <c r="BC29" s="76"/>
      <c r="BD29" s="78"/>
      <c r="BE29" s="76"/>
      <c r="BF29" s="78"/>
      <c r="BG29" s="76"/>
      <c r="BH29" s="78"/>
      <c r="BI29" s="76"/>
      <c r="BJ29" s="78"/>
      <c r="BK29" s="76"/>
      <c r="BL29" s="78"/>
      <c r="BM29" s="76"/>
      <c r="BN29" s="78"/>
      <c r="BO29" s="76"/>
      <c r="BP29" s="78">
        <f t="shared" ref="BP29" si="26">+ROUND(BO29*$I29,0)</f>
        <v>0</v>
      </c>
      <c r="BQ29" s="76"/>
      <c r="BR29" s="78"/>
      <c r="BS29" s="76"/>
      <c r="BT29" s="78"/>
      <c r="BU29" s="76"/>
      <c r="BV29" s="78"/>
      <c r="BW29" s="76"/>
      <c r="BX29" s="78"/>
      <c r="BY29" s="76"/>
      <c r="BZ29" s="78"/>
      <c r="CA29" s="76"/>
      <c r="CB29" s="78"/>
      <c r="CC29" s="76"/>
      <c r="CD29" s="78"/>
      <c r="CE29" s="76"/>
      <c r="CF29" s="78"/>
    </row>
    <row r="30" spans="1:84"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1"/>
        <v>0</v>
      </c>
      <c r="H30" s="69">
        <f>+VLOOKUP(C30,'PRECIOS IDU 2025'!$A$1:$E$3189,4,FALSE)</f>
        <v>191915</v>
      </c>
      <c r="I30" s="69">
        <f t="shared" si="0"/>
        <v>249490</v>
      </c>
      <c r="J30" s="69">
        <f t="shared" si="4"/>
        <v>0</v>
      </c>
      <c r="K30" s="9"/>
      <c r="L30" s="3"/>
      <c r="M30" s="76"/>
      <c r="N30" s="78"/>
      <c r="O30" s="76"/>
      <c r="P30" s="78"/>
      <c r="Q30" s="76"/>
      <c r="R30" s="78"/>
      <c r="S30" s="76"/>
      <c r="T30" s="78"/>
      <c r="U30" s="76"/>
      <c r="V30" s="78"/>
      <c r="W30" s="76"/>
      <c r="X30" s="78"/>
      <c r="Y30" s="76"/>
      <c r="Z30" s="78"/>
      <c r="AA30" s="76"/>
      <c r="AB30" s="78"/>
      <c r="AC30" s="76"/>
      <c r="AD30" s="78"/>
      <c r="AE30" s="76"/>
      <c r="AF30" s="78"/>
      <c r="AG30" s="76"/>
      <c r="AH30" s="78"/>
      <c r="AI30" s="76"/>
      <c r="AJ30" s="78"/>
      <c r="AK30" s="76"/>
      <c r="AL30" s="78"/>
      <c r="AM30" s="76"/>
      <c r="AN30" s="78"/>
      <c r="AO30" s="76"/>
      <c r="AP30" s="78"/>
      <c r="AQ30" s="76"/>
      <c r="AR30" s="78"/>
      <c r="AS30" s="76"/>
      <c r="AT30" s="78"/>
      <c r="AU30" s="76"/>
      <c r="AV30" s="78"/>
      <c r="AW30" s="76"/>
      <c r="AX30" s="78"/>
      <c r="AY30" s="76"/>
      <c r="AZ30" s="78">
        <f t="shared" ref="AZ30" si="27">+ROUND(AY30*$I30,0)</f>
        <v>0</v>
      </c>
      <c r="BA30" s="76"/>
      <c r="BB30" s="78"/>
      <c r="BC30" s="76"/>
      <c r="BD30" s="78"/>
      <c r="BE30" s="76"/>
      <c r="BF30" s="78"/>
      <c r="BG30" s="76"/>
      <c r="BH30" s="78"/>
      <c r="BI30" s="76"/>
      <c r="BJ30" s="78"/>
      <c r="BK30" s="76"/>
      <c r="BL30" s="78"/>
      <c r="BM30" s="76"/>
      <c r="BN30" s="78"/>
      <c r="BO30" s="76"/>
      <c r="BP30" s="78">
        <f t="shared" ref="BP30" si="28">+ROUND(BO30*$I30,0)</f>
        <v>0</v>
      </c>
      <c r="BQ30" s="76"/>
      <c r="BR30" s="78"/>
      <c r="BS30" s="76"/>
      <c r="BT30" s="78"/>
      <c r="BU30" s="76"/>
      <c r="BV30" s="78"/>
      <c r="BW30" s="76"/>
      <c r="BX30" s="78"/>
      <c r="BY30" s="76"/>
      <c r="BZ30" s="78"/>
      <c r="CA30" s="76"/>
      <c r="CB30" s="78"/>
      <c r="CC30" s="76"/>
      <c r="CD30" s="78"/>
      <c r="CE30" s="76"/>
      <c r="CF30" s="78"/>
    </row>
    <row r="31" spans="1:84"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1"/>
        <v>0</v>
      </c>
      <c r="H31" s="69">
        <f>+VLOOKUP(C31,'PRECIOS IDU 2025'!$A$1:$E$3189,4,FALSE)</f>
        <v>192883</v>
      </c>
      <c r="I31" s="69">
        <f t="shared" si="0"/>
        <v>250748</v>
      </c>
      <c r="J31" s="69">
        <f t="shared" si="4"/>
        <v>0</v>
      </c>
      <c r="K31" s="9"/>
      <c r="L31" s="3"/>
      <c r="M31" s="76"/>
      <c r="N31" s="78"/>
      <c r="O31" s="76"/>
      <c r="P31" s="78"/>
      <c r="Q31" s="76"/>
      <c r="R31" s="78"/>
      <c r="S31" s="76"/>
      <c r="T31" s="78"/>
      <c r="U31" s="76"/>
      <c r="V31" s="78"/>
      <c r="W31" s="76"/>
      <c r="X31" s="78"/>
      <c r="Y31" s="76"/>
      <c r="Z31" s="78"/>
      <c r="AA31" s="76"/>
      <c r="AB31" s="78"/>
      <c r="AC31" s="76"/>
      <c r="AD31" s="78"/>
      <c r="AE31" s="76"/>
      <c r="AF31" s="78"/>
      <c r="AG31" s="76"/>
      <c r="AH31" s="78"/>
      <c r="AI31" s="76"/>
      <c r="AJ31" s="78"/>
      <c r="AK31" s="76"/>
      <c r="AL31" s="78"/>
      <c r="AM31" s="76"/>
      <c r="AN31" s="78"/>
      <c r="AO31" s="76"/>
      <c r="AP31" s="78"/>
      <c r="AQ31" s="76"/>
      <c r="AR31" s="78"/>
      <c r="AS31" s="76"/>
      <c r="AT31" s="78"/>
      <c r="AU31" s="76"/>
      <c r="AV31" s="78"/>
      <c r="AW31" s="76"/>
      <c r="AX31" s="78"/>
      <c r="AY31" s="76"/>
      <c r="AZ31" s="78">
        <f t="shared" ref="AZ31" si="29">+ROUND(AY31*$I31,0)</f>
        <v>0</v>
      </c>
      <c r="BA31" s="76"/>
      <c r="BB31" s="78"/>
      <c r="BC31" s="76"/>
      <c r="BD31" s="78"/>
      <c r="BE31" s="76"/>
      <c r="BF31" s="78"/>
      <c r="BG31" s="76"/>
      <c r="BH31" s="78"/>
      <c r="BI31" s="76"/>
      <c r="BJ31" s="78"/>
      <c r="BK31" s="76"/>
      <c r="BL31" s="78"/>
      <c r="BM31" s="76"/>
      <c r="BN31" s="78"/>
      <c r="BO31" s="76"/>
      <c r="BP31" s="78">
        <f t="shared" ref="BP31" si="30">+ROUND(BO31*$I31,0)</f>
        <v>0</v>
      </c>
      <c r="BQ31" s="76"/>
      <c r="BR31" s="78"/>
      <c r="BS31" s="76"/>
      <c r="BT31" s="78"/>
      <c r="BU31" s="76"/>
      <c r="BV31" s="78"/>
      <c r="BW31" s="76"/>
      <c r="BX31" s="78"/>
      <c r="BY31" s="76"/>
      <c r="BZ31" s="78"/>
      <c r="CA31" s="76"/>
      <c r="CB31" s="78"/>
      <c r="CC31" s="76"/>
      <c r="CD31" s="78"/>
      <c r="CE31" s="76"/>
      <c r="CF31" s="78"/>
    </row>
    <row r="32" spans="1:84"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1"/>
        <v>0</v>
      </c>
      <c r="H32" s="69">
        <f>+VLOOKUP(C32,'PRECIOS IDU 2025'!$A$1:$E$3189,4,FALSE)</f>
        <v>3189</v>
      </c>
      <c r="I32" s="69">
        <f t="shared" si="0"/>
        <v>4146</v>
      </c>
      <c r="J32" s="69">
        <f t="shared" si="4"/>
        <v>0</v>
      </c>
      <c r="K32" s="9"/>
      <c r="L32" s="3"/>
      <c r="M32" s="76"/>
      <c r="N32" s="78"/>
      <c r="O32" s="76"/>
      <c r="P32" s="78"/>
      <c r="Q32" s="76"/>
      <c r="R32" s="78"/>
      <c r="S32" s="76"/>
      <c r="T32" s="78"/>
      <c r="U32" s="76"/>
      <c r="V32" s="78"/>
      <c r="W32" s="76"/>
      <c r="X32" s="78"/>
      <c r="Y32" s="76"/>
      <c r="Z32" s="78"/>
      <c r="AA32" s="76"/>
      <c r="AB32" s="78"/>
      <c r="AC32" s="76"/>
      <c r="AD32" s="78"/>
      <c r="AE32" s="76"/>
      <c r="AF32" s="78"/>
      <c r="AG32" s="76"/>
      <c r="AH32" s="78"/>
      <c r="AI32" s="76"/>
      <c r="AJ32" s="78"/>
      <c r="AK32" s="76"/>
      <c r="AL32" s="78"/>
      <c r="AM32" s="76"/>
      <c r="AN32" s="78"/>
      <c r="AO32" s="76"/>
      <c r="AP32" s="78"/>
      <c r="AQ32" s="76"/>
      <c r="AR32" s="78"/>
      <c r="AS32" s="76"/>
      <c r="AT32" s="78"/>
      <c r="AU32" s="76"/>
      <c r="AV32" s="78"/>
      <c r="AW32" s="76"/>
      <c r="AX32" s="78"/>
      <c r="AY32" s="76"/>
      <c r="AZ32" s="78">
        <f t="shared" ref="AZ32" si="31">+ROUND(AY32*$I32,0)</f>
        <v>0</v>
      </c>
      <c r="BA32" s="76"/>
      <c r="BB32" s="78"/>
      <c r="BC32" s="76"/>
      <c r="BD32" s="78"/>
      <c r="BE32" s="76"/>
      <c r="BF32" s="78"/>
      <c r="BG32" s="76"/>
      <c r="BH32" s="78"/>
      <c r="BI32" s="76"/>
      <c r="BJ32" s="78"/>
      <c r="BK32" s="76"/>
      <c r="BL32" s="78"/>
      <c r="BM32" s="76"/>
      <c r="BN32" s="78"/>
      <c r="BO32" s="76"/>
      <c r="BP32" s="78">
        <f t="shared" ref="BP32" si="32">+ROUND(BO32*$I32,0)</f>
        <v>0</v>
      </c>
      <c r="BQ32" s="76"/>
      <c r="BR32" s="78"/>
      <c r="BS32" s="76"/>
      <c r="BT32" s="78"/>
      <c r="BU32" s="76"/>
      <c r="BV32" s="78"/>
      <c r="BW32" s="76"/>
      <c r="BX32" s="78"/>
      <c r="BY32" s="76"/>
      <c r="BZ32" s="78"/>
      <c r="CA32" s="76"/>
      <c r="CB32" s="78"/>
      <c r="CC32" s="76"/>
      <c r="CD32" s="78"/>
      <c r="CE32" s="76"/>
      <c r="CF32" s="78"/>
    </row>
    <row r="33" spans="1:84"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1"/>
        <v>0</v>
      </c>
      <c r="H33" s="69">
        <f>+VLOOKUP(C33,'PRECIOS IDU 2025'!$A$1:$E$3189,4,FALSE)</f>
        <v>3885</v>
      </c>
      <c r="I33" s="69">
        <f t="shared" si="0"/>
        <v>5051</v>
      </c>
      <c r="J33" s="69">
        <f t="shared" si="4"/>
        <v>0</v>
      </c>
      <c r="K33" s="9"/>
      <c r="L33" s="3"/>
      <c r="M33" s="76"/>
      <c r="N33" s="78"/>
      <c r="O33" s="76"/>
      <c r="P33" s="78"/>
      <c r="Q33" s="76"/>
      <c r="R33" s="78"/>
      <c r="S33" s="76"/>
      <c r="T33" s="78"/>
      <c r="U33" s="76"/>
      <c r="V33" s="78"/>
      <c r="W33" s="76"/>
      <c r="X33" s="78"/>
      <c r="Y33" s="76"/>
      <c r="Z33" s="78"/>
      <c r="AA33" s="76"/>
      <c r="AB33" s="78"/>
      <c r="AC33" s="76"/>
      <c r="AD33" s="78"/>
      <c r="AE33" s="76"/>
      <c r="AF33" s="78"/>
      <c r="AG33" s="76"/>
      <c r="AH33" s="78"/>
      <c r="AI33" s="76"/>
      <c r="AJ33" s="78"/>
      <c r="AK33" s="76"/>
      <c r="AL33" s="78"/>
      <c r="AM33" s="76"/>
      <c r="AN33" s="78"/>
      <c r="AO33" s="76"/>
      <c r="AP33" s="78"/>
      <c r="AQ33" s="76"/>
      <c r="AR33" s="78"/>
      <c r="AS33" s="76"/>
      <c r="AT33" s="78"/>
      <c r="AU33" s="76"/>
      <c r="AV33" s="78"/>
      <c r="AW33" s="76"/>
      <c r="AX33" s="78"/>
      <c r="AY33" s="76"/>
      <c r="AZ33" s="78">
        <f t="shared" ref="AZ33" si="33">+ROUND(AY33*$I33,0)</f>
        <v>0</v>
      </c>
      <c r="BA33" s="76"/>
      <c r="BB33" s="78"/>
      <c r="BC33" s="76"/>
      <c r="BD33" s="78"/>
      <c r="BE33" s="76"/>
      <c r="BF33" s="78"/>
      <c r="BG33" s="76"/>
      <c r="BH33" s="78"/>
      <c r="BI33" s="76"/>
      <c r="BJ33" s="78"/>
      <c r="BK33" s="76"/>
      <c r="BL33" s="78"/>
      <c r="BM33" s="76"/>
      <c r="BN33" s="78"/>
      <c r="BO33" s="76"/>
      <c r="BP33" s="78">
        <f t="shared" ref="BP33" si="34">+ROUND(BO33*$I33,0)</f>
        <v>0</v>
      </c>
      <c r="BQ33" s="76"/>
      <c r="BR33" s="78"/>
      <c r="BS33" s="76"/>
      <c r="BT33" s="78"/>
      <c r="BU33" s="76"/>
      <c r="BV33" s="78"/>
      <c r="BW33" s="76"/>
      <c r="BX33" s="78"/>
      <c r="BY33" s="76"/>
      <c r="BZ33" s="78"/>
      <c r="CA33" s="76"/>
      <c r="CB33" s="78"/>
      <c r="CC33" s="76"/>
      <c r="CD33" s="78"/>
      <c r="CE33" s="76"/>
      <c r="CF33" s="78"/>
    </row>
    <row r="34" spans="1:84"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1"/>
        <v>0</v>
      </c>
      <c r="H34" s="69">
        <f>+VLOOKUP(C34,'PRECIOS IDU 2025'!$A$1:$E$3189,4,FALSE)</f>
        <v>1341971</v>
      </c>
      <c r="I34" s="69">
        <f t="shared" si="0"/>
        <v>1744562</v>
      </c>
      <c r="J34" s="69">
        <f t="shared" si="4"/>
        <v>0</v>
      </c>
      <c r="K34" s="9"/>
      <c r="L34" s="3"/>
      <c r="M34" s="76"/>
      <c r="N34" s="78"/>
      <c r="O34" s="76"/>
      <c r="P34" s="78"/>
      <c r="Q34" s="76"/>
      <c r="R34" s="78"/>
      <c r="S34" s="76"/>
      <c r="T34" s="78"/>
      <c r="U34" s="76"/>
      <c r="V34" s="78"/>
      <c r="W34" s="76"/>
      <c r="X34" s="78"/>
      <c r="Y34" s="76"/>
      <c r="Z34" s="78"/>
      <c r="AA34" s="76"/>
      <c r="AB34" s="78"/>
      <c r="AC34" s="76"/>
      <c r="AD34" s="78"/>
      <c r="AE34" s="76"/>
      <c r="AF34" s="78"/>
      <c r="AG34" s="76"/>
      <c r="AH34" s="78"/>
      <c r="AI34" s="76"/>
      <c r="AJ34" s="78"/>
      <c r="AK34" s="76"/>
      <c r="AL34" s="78"/>
      <c r="AM34" s="76"/>
      <c r="AN34" s="78"/>
      <c r="AO34" s="76"/>
      <c r="AP34" s="78"/>
      <c r="AQ34" s="76"/>
      <c r="AR34" s="78"/>
      <c r="AS34" s="76"/>
      <c r="AT34" s="78"/>
      <c r="AU34" s="76"/>
      <c r="AV34" s="78"/>
      <c r="AW34" s="76"/>
      <c r="AX34" s="78"/>
      <c r="AY34" s="76"/>
      <c r="AZ34" s="78">
        <f t="shared" ref="AZ34" si="35">+ROUND(AY34*$I34,0)</f>
        <v>0</v>
      </c>
      <c r="BA34" s="76"/>
      <c r="BB34" s="78"/>
      <c r="BC34" s="76"/>
      <c r="BD34" s="78"/>
      <c r="BE34" s="76"/>
      <c r="BF34" s="78"/>
      <c r="BG34" s="76"/>
      <c r="BH34" s="78"/>
      <c r="BI34" s="76"/>
      <c r="BJ34" s="78"/>
      <c r="BK34" s="76"/>
      <c r="BL34" s="78"/>
      <c r="BM34" s="76"/>
      <c r="BN34" s="78"/>
      <c r="BO34" s="76"/>
      <c r="BP34" s="78">
        <f t="shared" ref="BP34" si="36">+ROUND(BO34*$I34,0)</f>
        <v>0</v>
      </c>
      <c r="BQ34" s="76"/>
      <c r="BR34" s="78"/>
      <c r="BS34" s="76"/>
      <c r="BT34" s="78"/>
      <c r="BU34" s="76"/>
      <c r="BV34" s="78"/>
      <c r="BW34" s="76"/>
      <c r="BX34" s="78"/>
      <c r="BY34" s="76"/>
      <c r="BZ34" s="78"/>
      <c r="CA34" s="76"/>
      <c r="CB34" s="78"/>
      <c r="CC34" s="76"/>
      <c r="CD34" s="78"/>
      <c r="CE34" s="76"/>
      <c r="CF34" s="78"/>
    </row>
    <row r="35" spans="1:84"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1"/>
        <v>0</v>
      </c>
      <c r="H35" s="69">
        <f>+VLOOKUP(C35,'PRECIOS IDU 2025'!$A$1:$E$3189,4,FALSE)</f>
        <v>1241977</v>
      </c>
      <c r="I35" s="69">
        <f t="shared" si="0"/>
        <v>1614570</v>
      </c>
      <c r="J35" s="69">
        <f t="shared" si="4"/>
        <v>0</v>
      </c>
      <c r="K35" s="9"/>
      <c r="L35" s="3"/>
      <c r="M35" s="76"/>
      <c r="N35" s="78"/>
      <c r="O35" s="76"/>
      <c r="P35" s="78"/>
      <c r="Q35" s="76"/>
      <c r="R35" s="78"/>
      <c r="S35" s="76"/>
      <c r="T35" s="78"/>
      <c r="U35" s="76"/>
      <c r="V35" s="78"/>
      <c r="W35" s="76"/>
      <c r="X35" s="78"/>
      <c r="Y35" s="76"/>
      <c r="Z35" s="78"/>
      <c r="AA35" s="76"/>
      <c r="AB35" s="78"/>
      <c r="AC35" s="76"/>
      <c r="AD35" s="78"/>
      <c r="AE35" s="76"/>
      <c r="AF35" s="78"/>
      <c r="AG35" s="76"/>
      <c r="AH35" s="78"/>
      <c r="AI35" s="76"/>
      <c r="AJ35" s="78"/>
      <c r="AK35" s="76"/>
      <c r="AL35" s="78"/>
      <c r="AM35" s="76"/>
      <c r="AN35" s="78"/>
      <c r="AO35" s="76"/>
      <c r="AP35" s="78"/>
      <c r="AQ35" s="76"/>
      <c r="AR35" s="78"/>
      <c r="AS35" s="76"/>
      <c r="AT35" s="78"/>
      <c r="AU35" s="76"/>
      <c r="AV35" s="78"/>
      <c r="AW35" s="76"/>
      <c r="AX35" s="78"/>
      <c r="AY35" s="76"/>
      <c r="AZ35" s="78">
        <f t="shared" ref="AZ35" si="37">+ROUND(AY35*$I35,0)</f>
        <v>0</v>
      </c>
      <c r="BA35" s="76"/>
      <c r="BB35" s="78"/>
      <c r="BC35" s="76"/>
      <c r="BD35" s="78"/>
      <c r="BE35" s="76"/>
      <c r="BF35" s="78"/>
      <c r="BG35" s="76"/>
      <c r="BH35" s="78"/>
      <c r="BI35" s="76"/>
      <c r="BJ35" s="78"/>
      <c r="BK35" s="76"/>
      <c r="BL35" s="78"/>
      <c r="BM35" s="76"/>
      <c r="BN35" s="78"/>
      <c r="BO35" s="76"/>
      <c r="BP35" s="78">
        <f t="shared" ref="BP35" si="38">+ROUND(BO35*$I35,0)</f>
        <v>0</v>
      </c>
      <c r="BQ35" s="76"/>
      <c r="BR35" s="78"/>
      <c r="BS35" s="76"/>
      <c r="BT35" s="78"/>
      <c r="BU35" s="76"/>
      <c r="BV35" s="78"/>
      <c r="BW35" s="76"/>
      <c r="BX35" s="78"/>
      <c r="BY35" s="76"/>
      <c r="BZ35" s="78"/>
      <c r="CA35" s="76"/>
      <c r="CB35" s="78"/>
      <c r="CC35" s="76"/>
      <c r="CD35" s="78"/>
      <c r="CE35" s="76"/>
      <c r="CF35" s="78"/>
    </row>
    <row r="36" spans="1:84"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1"/>
        <v>0</v>
      </c>
      <c r="H36" s="69">
        <f>+VLOOKUP(C36,'PRECIOS IDU 2025'!$A$1:$E$3189,4,FALSE)</f>
        <v>1556215</v>
      </c>
      <c r="I36" s="69">
        <f t="shared" ref="I36:I37" si="39">+ROUND(H36*(1+$J$192),0)</f>
        <v>2023080</v>
      </c>
      <c r="J36" s="69">
        <f t="shared" ref="J36:J37" si="40">+ROUND(I36*G36,0)</f>
        <v>0</v>
      </c>
      <c r="K36" s="9"/>
      <c r="L36" s="3"/>
      <c r="M36" s="76"/>
      <c r="N36" s="78"/>
      <c r="O36" s="76"/>
      <c r="P36" s="78"/>
      <c r="Q36" s="76"/>
      <c r="R36" s="78"/>
      <c r="S36" s="76"/>
      <c r="T36" s="78"/>
      <c r="U36" s="76"/>
      <c r="V36" s="78"/>
      <c r="W36" s="76"/>
      <c r="X36" s="78"/>
      <c r="Y36" s="76"/>
      <c r="Z36" s="78"/>
      <c r="AA36" s="76"/>
      <c r="AB36" s="78"/>
      <c r="AC36" s="76"/>
      <c r="AD36" s="78"/>
      <c r="AE36" s="76"/>
      <c r="AF36" s="78"/>
      <c r="AG36" s="76"/>
      <c r="AH36" s="78"/>
      <c r="AI36" s="76"/>
      <c r="AJ36" s="78"/>
      <c r="AK36" s="76"/>
      <c r="AL36" s="78"/>
      <c r="AM36" s="76"/>
      <c r="AN36" s="78"/>
      <c r="AO36" s="76"/>
      <c r="AP36" s="78"/>
      <c r="AQ36" s="76"/>
      <c r="AR36" s="78"/>
      <c r="AS36" s="76"/>
      <c r="AT36" s="78"/>
      <c r="AU36" s="76"/>
      <c r="AV36" s="78"/>
      <c r="AW36" s="76"/>
      <c r="AX36" s="78"/>
      <c r="AY36" s="76"/>
      <c r="AZ36" s="78"/>
      <c r="BA36" s="76"/>
      <c r="BB36" s="78"/>
      <c r="BC36" s="76"/>
      <c r="BD36" s="78"/>
      <c r="BE36" s="76"/>
      <c r="BF36" s="78"/>
      <c r="BG36" s="76"/>
      <c r="BH36" s="78"/>
      <c r="BI36" s="76"/>
      <c r="BJ36" s="78"/>
      <c r="BK36" s="76"/>
      <c r="BL36" s="78"/>
      <c r="BM36" s="76"/>
      <c r="BN36" s="78"/>
      <c r="BO36" s="76"/>
      <c r="BP36" s="78"/>
      <c r="BQ36" s="76"/>
      <c r="BR36" s="78"/>
      <c r="BS36" s="76"/>
      <c r="BT36" s="78"/>
      <c r="BU36" s="76"/>
      <c r="BV36" s="78"/>
      <c r="BW36" s="76"/>
      <c r="BX36" s="78"/>
      <c r="BY36" s="76"/>
      <c r="BZ36" s="78"/>
      <c r="CA36" s="76"/>
      <c r="CB36" s="78"/>
      <c r="CC36" s="76"/>
      <c r="CD36" s="78"/>
      <c r="CE36" s="76"/>
      <c r="CF36" s="78"/>
    </row>
    <row r="37" spans="1:84" ht="30"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1"/>
        <v>0</v>
      </c>
      <c r="H37" s="69">
        <f>+VLOOKUP(C37,'PRECIOS IDU 2025'!$A$1:$E$3189,4,FALSE)</f>
        <v>142844</v>
      </c>
      <c r="I37" s="69">
        <f t="shared" si="39"/>
        <v>185697</v>
      </c>
      <c r="J37" s="69">
        <f t="shared" si="40"/>
        <v>0</v>
      </c>
      <c r="K37" s="9"/>
      <c r="L37" s="3"/>
      <c r="M37" s="76"/>
      <c r="N37" s="78"/>
      <c r="O37" s="76"/>
      <c r="P37" s="78"/>
      <c r="Q37" s="76"/>
      <c r="R37" s="78"/>
      <c r="S37" s="76"/>
      <c r="T37" s="78"/>
      <c r="U37" s="76"/>
      <c r="V37" s="78"/>
      <c r="W37" s="76"/>
      <c r="X37" s="78"/>
      <c r="Y37" s="76"/>
      <c r="Z37" s="78"/>
      <c r="AA37" s="76"/>
      <c r="AB37" s="78"/>
      <c r="AC37" s="76"/>
      <c r="AD37" s="78"/>
      <c r="AE37" s="76"/>
      <c r="AF37" s="78"/>
      <c r="AG37" s="76"/>
      <c r="AH37" s="78"/>
      <c r="AI37" s="76"/>
      <c r="AJ37" s="78"/>
      <c r="AK37" s="76"/>
      <c r="AL37" s="78"/>
      <c r="AM37" s="76"/>
      <c r="AN37" s="78"/>
      <c r="AO37" s="76"/>
      <c r="AP37" s="78"/>
      <c r="AQ37" s="76"/>
      <c r="AR37" s="78"/>
      <c r="AS37" s="76"/>
      <c r="AT37" s="78"/>
      <c r="AU37" s="76"/>
      <c r="AV37" s="78"/>
      <c r="AW37" s="76"/>
      <c r="AX37" s="78"/>
      <c r="AY37" s="76"/>
      <c r="AZ37" s="78"/>
      <c r="BA37" s="76"/>
      <c r="BB37" s="78"/>
      <c r="BC37" s="76"/>
      <c r="BD37" s="78"/>
      <c r="BE37" s="76"/>
      <c r="BF37" s="78"/>
      <c r="BG37" s="76"/>
      <c r="BH37" s="78"/>
      <c r="BI37" s="76"/>
      <c r="BJ37" s="78"/>
      <c r="BK37" s="76"/>
      <c r="BL37" s="78"/>
      <c r="BM37" s="76"/>
      <c r="BN37" s="78"/>
      <c r="BO37" s="76"/>
      <c r="BP37" s="78"/>
      <c r="BQ37" s="76"/>
      <c r="BR37" s="78"/>
      <c r="BS37" s="76"/>
      <c r="BT37" s="78"/>
      <c r="BU37" s="76"/>
      <c r="BV37" s="78"/>
      <c r="BW37" s="76"/>
      <c r="BX37" s="78"/>
      <c r="BY37" s="76"/>
      <c r="BZ37" s="78"/>
      <c r="CA37" s="76"/>
      <c r="CB37" s="78"/>
      <c r="CC37" s="76"/>
      <c r="CD37" s="78"/>
      <c r="CE37" s="76"/>
      <c r="CF37" s="78"/>
    </row>
    <row r="38" spans="1:84"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1"/>
        <v>0</v>
      </c>
      <c r="H38" s="69">
        <f>+VLOOKUP(C38,'PRECIOS IDU 2025'!$A$1:$E$3189,4,FALSE)</f>
        <v>749962</v>
      </c>
      <c r="I38" s="69">
        <f t="shared" si="0"/>
        <v>974951</v>
      </c>
      <c r="J38" s="69">
        <f t="shared" si="4"/>
        <v>0</v>
      </c>
      <c r="K38" s="9"/>
      <c r="L38" s="3"/>
      <c r="M38" s="76"/>
      <c r="N38" s="78"/>
      <c r="O38" s="76"/>
      <c r="P38" s="78"/>
      <c r="Q38" s="76"/>
      <c r="R38" s="78"/>
      <c r="S38" s="76"/>
      <c r="T38" s="78"/>
      <c r="U38" s="76"/>
      <c r="V38" s="78"/>
      <c r="W38" s="76"/>
      <c r="X38" s="78"/>
      <c r="Y38" s="76"/>
      <c r="Z38" s="78"/>
      <c r="AA38" s="76"/>
      <c r="AB38" s="78"/>
      <c r="AC38" s="76"/>
      <c r="AD38" s="78"/>
      <c r="AE38" s="76"/>
      <c r="AF38" s="78"/>
      <c r="AG38" s="76"/>
      <c r="AH38" s="78"/>
      <c r="AI38" s="76"/>
      <c r="AJ38" s="78"/>
      <c r="AK38" s="76"/>
      <c r="AL38" s="78"/>
      <c r="AM38" s="76"/>
      <c r="AN38" s="78"/>
      <c r="AO38" s="76"/>
      <c r="AP38" s="78"/>
      <c r="AQ38" s="76"/>
      <c r="AR38" s="78"/>
      <c r="AS38" s="76"/>
      <c r="AT38" s="78"/>
      <c r="AU38" s="76"/>
      <c r="AV38" s="78"/>
      <c r="AW38" s="76"/>
      <c r="AX38" s="78"/>
      <c r="AY38" s="76"/>
      <c r="AZ38" s="78">
        <f t="shared" ref="AZ38" si="41">+ROUND(AY38*$I38,0)</f>
        <v>0</v>
      </c>
      <c r="BA38" s="76"/>
      <c r="BB38" s="78"/>
      <c r="BC38" s="76"/>
      <c r="BD38" s="78"/>
      <c r="BE38" s="76"/>
      <c r="BF38" s="78"/>
      <c r="BG38" s="76"/>
      <c r="BH38" s="78"/>
      <c r="BI38" s="76"/>
      <c r="BJ38" s="78"/>
      <c r="BK38" s="76"/>
      <c r="BL38" s="78"/>
      <c r="BM38" s="76"/>
      <c r="BN38" s="78"/>
      <c r="BO38" s="76"/>
      <c r="BP38" s="78">
        <f t="shared" ref="BP38" si="42">+ROUND(BO38*$I38,0)</f>
        <v>0</v>
      </c>
      <c r="BQ38" s="76"/>
      <c r="BR38" s="78"/>
      <c r="BS38" s="76"/>
      <c r="BT38" s="78"/>
      <c r="BU38" s="76"/>
      <c r="BV38" s="78"/>
      <c r="BW38" s="76"/>
      <c r="BX38" s="78"/>
      <c r="BY38" s="76"/>
      <c r="BZ38" s="78"/>
      <c r="CA38" s="76"/>
      <c r="CB38" s="78"/>
      <c r="CC38" s="76"/>
      <c r="CD38" s="78"/>
      <c r="CE38" s="76"/>
      <c r="CF38" s="78"/>
    </row>
    <row r="39" spans="1:84" ht="30" customHeight="1" x14ac:dyDescent="0.3">
      <c r="A39" s="3"/>
      <c r="B39" s="8"/>
      <c r="C39" s="61" t="s">
        <v>6077</v>
      </c>
      <c r="D39" s="62"/>
      <c r="E39" s="62"/>
      <c r="F39" s="62"/>
      <c r="G39" s="62"/>
      <c r="H39" s="62"/>
      <c r="I39" s="62"/>
      <c r="J39" s="63"/>
      <c r="K39" s="9"/>
      <c r="L39" s="3"/>
      <c r="M39" s="76"/>
      <c r="N39" s="78"/>
      <c r="O39" s="76"/>
      <c r="P39" s="78"/>
      <c r="Q39" s="76"/>
      <c r="R39" s="78"/>
      <c r="S39" s="76"/>
      <c r="T39" s="78"/>
      <c r="U39" s="76"/>
      <c r="V39" s="78"/>
      <c r="W39" s="76"/>
      <c r="X39" s="78"/>
      <c r="Y39" s="76"/>
      <c r="Z39" s="78"/>
      <c r="AA39" s="76"/>
      <c r="AB39" s="78"/>
      <c r="AC39" s="76"/>
      <c r="AD39" s="78"/>
      <c r="AE39" s="76"/>
      <c r="AF39" s="78"/>
      <c r="AG39" s="76"/>
      <c r="AH39" s="78"/>
      <c r="AI39" s="76"/>
      <c r="AJ39" s="78"/>
      <c r="AK39" s="76"/>
      <c r="AL39" s="78"/>
      <c r="AM39" s="76"/>
      <c r="AN39" s="78"/>
      <c r="AO39" s="76"/>
      <c r="AP39" s="78"/>
      <c r="AQ39" s="76"/>
      <c r="AR39" s="78"/>
      <c r="AS39" s="76"/>
      <c r="AT39" s="78"/>
      <c r="AU39" s="76"/>
      <c r="AV39" s="78"/>
      <c r="AW39" s="76"/>
      <c r="AX39" s="78"/>
      <c r="AY39" s="76"/>
      <c r="AZ39" s="78">
        <f t="shared" ref="AZ39" si="43">+ROUND(AY39*$I39,0)</f>
        <v>0</v>
      </c>
      <c r="BA39" s="76"/>
      <c r="BB39" s="78"/>
      <c r="BC39" s="76"/>
      <c r="BD39" s="78"/>
      <c r="BE39" s="76"/>
      <c r="BF39" s="78"/>
      <c r="BG39" s="76"/>
      <c r="BH39" s="78"/>
      <c r="BI39" s="76"/>
      <c r="BJ39" s="78"/>
      <c r="BK39" s="76"/>
      <c r="BL39" s="78"/>
      <c r="BM39" s="76"/>
      <c r="BN39" s="78"/>
      <c r="BO39" s="76"/>
      <c r="BP39" s="78">
        <f t="shared" ref="BP39" si="44">+ROUND(BO39*$I39,0)</f>
        <v>0</v>
      </c>
      <c r="BQ39" s="76"/>
      <c r="BR39" s="78"/>
      <c r="BS39" s="76"/>
      <c r="BT39" s="78"/>
      <c r="BU39" s="76"/>
      <c r="BV39" s="78"/>
      <c r="BW39" s="76"/>
      <c r="BX39" s="78"/>
      <c r="BY39" s="76"/>
      <c r="BZ39" s="78"/>
      <c r="CA39" s="76"/>
      <c r="CB39" s="78"/>
      <c r="CC39" s="76"/>
      <c r="CD39" s="78"/>
      <c r="CE39" s="76"/>
      <c r="CF39" s="78"/>
    </row>
    <row r="40" spans="1:84" ht="30" customHeight="1" x14ac:dyDescent="0.3">
      <c r="A40" s="3"/>
      <c r="B40" s="8"/>
      <c r="C40" s="60">
        <v>3007</v>
      </c>
      <c r="D40" s="60">
        <v>2001</v>
      </c>
      <c r="E40" s="60" t="str">
        <f>+VLOOKUP(C40,'PRECIOS IDU 2025'!$A$1:$E$3189,2,FALSE)</f>
        <v>REPLANTEO GENERAL</v>
      </c>
      <c r="F40" s="60" t="str">
        <f>+VLOOKUP(C40,'PRECIOS IDU 2025'!$A$1:$E$3189,3,FALSE)</f>
        <v>M2</v>
      </c>
      <c r="G40" s="108">
        <f t="shared" ref="G40:G67" si="45">+ROUND(M40+O40+Q40+S40+U40+W40+Y40+AA40+AC40+AE40+AG40+AI40+AK40+AM40+AO40+AQ40+AS40+AU40+AW40+AY40+BA40+BC40+BE40+BG40+BI40+BK40+BM40+BO40+BQ40+BS40+BU40+BW40+BY40+CA40+CC40+CE40,2)</f>
        <v>0</v>
      </c>
      <c r="H40" s="69">
        <f>+VLOOKUP(C40,'PRECIOS IDU 2025'!$A$1:$E$3189,4,FALSE)</f>
        <v>909</v>
      </c>
      <c r="I40" s="69">
        <f t="shared" ref="I40:I67" si="46">+ROUND(H40*(1+$J$192),0)</f>
        <v>1182</v>
      </c>
      <c r="J40" s="69">
        <f t="shared" ref="J40:J67" si="47">+ROUND(I40*G40,0)</f>
        <v>0</v>
      </c>
      <c r="K40" s="9"/>
      <c r="L40" s="3"/>
      <c r="M40" s="73"/>
      <c r="N40" s="78"/>
      <c r="O40" s="73"/>
      <c r="P40" s="78"/>
      <c r="Q40" s="73"/>
      <c r="R40" s="78"/>
      <c r="S40" s="73"/>
      <c r="T40" s="78"/>
      <c r="U40" s="73"/>
      <c r="V40" s="78"/>
      <c r="W40" s="73"/>
      <c r="X40" s="78"/>
      <c r="Y40" s="73"/>
      <c r="Z40" s="78"/>
      <c r="AA40" s="73"/>
      <c r="AB40" s="78"/>
      <c r="AC40" s="73"/>
      <c r="AD40" s="78"/>
      <c r="AE40" s="73"/>
      <c r="AF40" s="78"/>
      <c r="AG40" s="73"/>
      <c r="AH40" s="78"/>
      <c r="AI40" s="73"/>
      <c r="AJ40" s="78"/>
      <c r="AK40" s="73"/>
      <c r="AL40" s="78"/>
      <c r="AM40" s="73"/>
      <c r="AN40" s="78"/>
      <c r="AO40" s="73"/>
      <c r="AP40" s="78"/>
      <c r="AQ40" s="73"/>
      <c r="AR40" s="78"/>
      <c r="AS40" s="73"/>
      <c r="AT40" s="78"/>
      <c r="AU40" s="73"/>
      <c r="AV40" s="78"/>
      <c r="AW40" s="73"/>
      <c r="AX40" s="78"/>
      <c r="AY40" s="73"/>
      <c r="AZ40" s="78">
        <f t="shared" ref="AZ40" si="48">+ROUND(AY40*$I40,0)</f>
        <v>0</v>
      </c>
      <c r="BA40" s="73"/>
      <c r="BB40" s="78"/>
      <c r="BC40" s="73"/>
      <c r="BD40" s="78"/>
      <c r="BE40" s="73"/>
      <c r="BF40" s="78"/>
      <c r="BG40" s="73"/>
      <c r="BH40" s="78"/>
      <c r="BI40" s="73"/>
      <c r="BJ40" s="78"/>
      <c r="BK40" s="73"/>
      <c r="BL40" s="78"/>
      <c r="BM40" s="73"/>
      <c r="BN40" s="78"/>
      <c r="BO40" s="73"/>
      <c r="BP40" s="78">
        <f t="shared" ref="BP40" si="49">+ROUND(BO40*$I40,0)</f>
        <v>0</v>
      </c>
      <c r="BQ40" s="73"/>
      <c r="BR40" s="78"/>
      <c r="BS40" s="73"/>
      <c r="BT40" s="78"/>
      <c r="BU40" s="73"/>
      <c r="BV40" s="78"/>
      <c r="BW40" s="73"/>
      <c r="BX40" s="78"/>
      <c r="BY40" s="73"/>
      <c r="BZ40" s="78"/>
      <c r="CA40" s="73"/>
      <c r="CB40" s="78"/>
      <c r="CC40" s="73"/>
      <c r="CD40" s="78"/>
      <c r="CE40" s="73"/>
      <c r="CF40" s="78"/>
    </row>
    <row r="41" spans="1:84"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si="45"/>
        <v>0</v>
      </c>
      <c r="H41" s="69">
        <f>+VLOOKUP(C41,'PRECIOS IDU 2025'!$A$1:$E$3189,4,FALSE)</f>
        <v>2659</v>
      </c>
      <c r="I41" s="69">
        <f t="shared" si="46"/>
        <v>3457</v>
      </c>
      <c r="J41" s="69">
        <f t="shared" si="47"/>
        <v>0</v>
      </c>
      <c r="K41" s="9"/>
      <c r="L41" s="3"/>
      <c r="M41" s="73"/>
      <c r="N41" s="78"/>
      <c r="O41" s="73"/>
      <c r="P41" s="78"/>
      <c r="Q41" s="73"/>
      <c r="R41" s="78"/>
      <c r="S41" s="73"/>
      <c r="T41" s="78"/>
      <c r="U41" s="73"/>
      <c r="V41" s="78"/>
      <c r="W41" s="73"/>
      <c r="X41" s="78"/>
      <c r="Y41" s="73"/>
      <c r="Z41" s="78"/>
      <c r="AA41" s="73"/>
      <c r="AB41" s="78"/>
      <c r="AC41" s="73"/>
      <c r="AD41" s="78"/>
      <c r="AE41" s="73"/>
      <c r="AF41" s="78"/>
      <c r="AG41" s="73"/>
      <c r="AH41" s="78"/>
      <c r="AI41" s="73"/>
      <c r="AJ41" s="78"/>
      <c r="AK41" s="73"/>
      <c r="AL41" s="78"/>
      <c r="AM41" s="73"/>
      <c r="AN41" s="78"/>
      <c r="AO41" s="73"/>
      <c r="AP41" s="78"/>
      <c r="AQ41" s="73"/>
      <c r="AR41" s="78"/>
      <c r="AS41" s="73"/>
      <c r="AT41" s="78"/>
      <c r="AU41" s="73"/>
      <c r="AV41" s="78"/>
      <c r="AW41" s="73"/>
      <c r="AX41" s="78"/>
      <c r="AY41" s="73"/>
      <c r="AZ41" s="78">
        <f t="shared" ref="AZ41" si="50">+ROUND(AY41*$I41,0)</f>
        <v>0</v>
      </c>
      <c r="BA41" s="73"/>
      <c r="BB41" s="78"/>
      <c r="BC41" s="73"/>
      <c r="BD41" s="78"/>
      <c r="BE41" s="73"/>
      <c r="BF41" s="78"/>
      <c r="BG41" s="73"/>
      <c r="BH41" s="78"/>
      <c r="BI41" s="73"/>
      <c r="BJ41" s="78"/>
      <c r="BK41" s="73"/>
      <c r="BL41" s="78"/>
      <c r="BM41" s="73"/>
      <c r="BN41" s="78"/>
      <c r="BO41" s="73"/>
      <c r="BP41" s="78">
        <f t="shared" ref="BP41" si="51">+ROUND(BO41*$I41,0)</f>
        <v>0</v>
      </c>
      <c r="BQ41" s="73"/>
      <c r="BR41" s="78"/>
      <c r="BS41" s="73"/>
      <c r="BT41" s="78"/>
      <c r="BU41" s="73"/>
      <c r="BV41" s="78"/>
      <c r="BW41" s="73"/>
      <c r="BX41" s="78"/>
      <c r="BY41" s="73"/>
      <c r="BZ41" s="78"/>
      <c r="CA41" s="73"/>
      <c r="CB41" s="78"/>
      <c r="CC41" s="73"/>
      <c r="CD41" s="78"/>
      <c r="CE41" s="73"/>
      <c r="CF41" s="78"/>
    </row>
    <row r="42" spans="1:84"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45"/>
        <v>0</v>
      </c>
      <c r="H42" s="69">
        <f>+VLOOKUP(C42,'PRECIOS IDU 2025'!$A$1:$E$3189,4,FALSE)</f>
        <v>38781</v>
      </c>
      <c r="I42" s="69">
        <f t="shared" si="46"/>
        <v>50415</v>
      </c>
      <c r="J42" s="69">
        <f t="shared" si="47"/>
        <v>0</v>
      </c>
      <c r="K42" s="9"/>
      <c r="L42" s="3"/>
      <c r="M42" s="73"/>
      <c r="N42" s="78"/>
      <c r="O42" s="73"/>
      <c r="P42" s="78"/>
      <c r="Q42" s="73"/>
      <c r="R42" s="78"/>
      <c r="S42" s="73"/>
      <c r="T42" s="78"/>
      <c r="U42" s="73"/>
      <c r="V42" s="78"/>
      <c r="W42" s="73"/>
      <c r="X42" s="78"/>
      <c r="Y42" s="73"/>
      <c r="Z42" s="78"/>
      <c r="AA42" s="73"/>
      <c r="AB42" s="78"/>
      <c r="AC42" s="73"/>
      <c r="AD42" s="78"/>
      <c r="AE42" s="73"/>
      <c r="AF42" s="78"/>
      <c r="AG42" s="73"/>
      <c r="AH42" s="78"/>
      <c r="AI42" s="73"/>
      <c r="AJ42" s="78"/>
      <c r="AK42" s="73"/>
      <c r="AL42" s="78"/>
      <c r="AM42" s="73"/>
      <c r="AN42" s="78"/>
      <c r="AO42" s="73"/>
      <c r="AP42" s="78"/>
      <c r="AQ42" s="73"/>
      <c r="AR42" s="78"/>
      <c r="AS42" s="73"/>
      <c r="AT42" s="78"/>
      <c r="AU42" s="73"/>
      <c r="AV42" s="78"/>
      <c r="AW42" s="73"/>
      <c r="AX42" s="78"/>
      <c r="AY42" s="73"/>
      <c r="AZ42" s="78">
        <f t="shared" ref="AZ42" si="52">+ROUND(AY42*$I42,0)</f>
        <v>0</v>
      </c>
      <c r="BA42" s="73"/>
      <c r="BB42" s="78"/>
      <c r="BC42" s="73"/>
      <c r="BD42" s="78"/>
      <c r="BE42" s="73"/>
      <c r="BF42" s="78"/>
      <c r="BG42" s="73"/>
      <c r="BH42" s="78"/>
      <c r="BI42" s="73"/>
      <c r="BJ42" s="78"/>
      <c r="BK42" s="73"/>
      <c r="BL42" s="78"/>
      <c r="BM42" s="73"/>
      <c r="BN42" s="78"/>
      <c r="BO42" s="73"/>
      <c r="BP42" s="78">
        <f t="shared" ref="BP42" si="53">+ROUND(BO42*$I42,0)</f>
        <v>0</v>
      </c>
      <c r="BQ42" s="73"/>
      <c r="BR42" s="78"/>
      <c r="BS42" s="73"/>
      <c r="BT42" s="78"/>
      <c r="BU42" s="73"/>
      <c r="BV42" s="78"/>
      <c r="BW42" s="73"/>
      <c r="BX42" s="78"/>
      <c r="BY42" s="73"/>
      <c r="BZ42" s="78"/>
      <c r="CA42" s="73"/>
      <c r="CB42" s="78"/>
      <c r="CC42" s="73"/>
      <c r="CD42" s="78"/>
      <c r="CE42" s="73"/>
      <c r="CF42" s="78"/>
    </row>
    <row r="43" spans="1:84"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45"/>
        <v>0</v>
      </c>
      <c r="H43" s="69">
        <f>+VLOOKUP(C43,'PRECIOS IDU 2025'!$A$1:$E$3189,4,FALSE)</f>
        <v>187178</v>
      </c>
      <c r="I43" s="69">
        <f t="shared" si="46"/>
        <v>243331</v>
      </c>
      <c r="J43" s="69">
        <f t="shared" si="47"/>
        <v>0</v>
      </c>
      <c r="K43" s="9"/>
      <c r="L43" s="3"/>
      <c r="M43" s="73"/>
      <c r="N43" s="78"/>
      <c r="O43" s="73"/>
      <c r="P43" s="78"/>
      <c r="Q43" s="73"/>
      <c r="R43" s="78"/>
      <c r="S43" s="73"/>
      <c r="T43" s="78"/>
      <c r="U43" s="73"/>
      <c r="V43" s="78"/>
      <c r="W43" s="73"/>
      <c r="X43" s="78"/>
      <c r="Y43" s="73"/>
      <c r="Z43" s="78"/>
      <c r="AA43" s="73"/>
      <c r="AB43" s="78"/>
      <c r="AC43" s="73"/>
      <c r="AD43" s="78"/>
      <c r="AE43" s="73"/>
      <c r="AF43" s="78"/>
      <c r="AG43" s="73"/>
      <c r="AH43" s="78"/>
      <c r="AI43" s="73"/>
      <c r="AJ43" s="78"/>
      <c r="AK43" s="73"/>
      <c r="AL43" s="78"/>
      <c r="AM43" s="73"/>
      <c r="AN43" s="78"/>
      <c r="AO43" s="73"/>
      <c r="AP43" s="78"/>
      <c r="AQ43" s="73"/>
      <c r="AR43" s="78"/>
      <c r="AS43" s="73"/>
      <c r="AT43" s="78"/>
      <c r="AU43" s="73"/>
      <c r="AV43" s="78"/>
      <c r="AW43" s="73"/>
      <c r="AX43" s="78"/>
      <c r="AY43" s="73"/>
      <c r="AZ43" s="78">
        <f t="shared" ref="AZ43" si="54">+ROUND(AY43*$I43,0)</f>
        <v>0</v>
      </c>
      <c r="BA43" s="73"/>
      <c r="BB43" s="78"/>
      <c r="BC43" s="73"/>
      <c r="BD43" s="78"/>
      <c r="BE43" s="73"/>
      <c r="BF43" s="78"/>
      <c r="BG43" s="73"/>
      <c r="BH43" s="78"/>
      <c r="BI43" s="73"/>
      <c r="BJ43" s="78"/>
      <c r="BK43" s="73"/>
      <c r="BL43" s="78"/>
      <c r="BM43" s="73"/>
      <c r="BN43" s="78"/>
      <c r="BO43" s="73"/>
      <c r="BP43" s="78">
        <f t="shared" ref="BP43" si="55">+ROUND(BO43*$I43,0)</f>
        <v>0</v>
      </c>
      <c r="BQ43" s="73"/>
      <c r="BR43" s="78"/>
      <c r="BS43" s="73"/>
      <c r="BT43" s="78"/>
      <c r="BU43" s="73"/>
      <c r="BV43" s="78"/>
      <c r="BW43" s="73"/>
      <c r="BX43" s="78"/>
      <c r="BY43" s="73"/>
      <c r="BZ43" s="78"/>
      <c r="CA43" s="73"/>
      <c r="CB43" s="78"/>
      <c r="CC43" s="73"/>
      <c r="CD43" s="78"/>
      <c r="CE43" s="73"/>
      <c r="CF43" s="78"/>
    </row>
    <row r="44" spans="1:84"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45"/>
        <v>0</v>
      </c>
      <c r="H44" s="69">
        <f>+VLOOKUP(C44,'PRECIOS IDU 2025'!$A$1:$E$3189,4,FALSE)</f>
        <v>5741</v>
      </c>
      <c r="I44" s="69">
        <f t="shared" si="46"/>
        <v>7463</v>
      </c>
      <c r="J44" s="69">
        <f t="shared" si="47"/>
        <v>0</v>
      </c>
      <c r="K44" s="9"/>
      <c r="L44" s="3"/>
      <c r="M44" s="73"/>
      <c r="N44" s="78"/>
      <c r="O44" s="73"/>
      <c r="P44" s="78"/>
      <c r="Q44" s="73"/>
      <c r="R44" s="78"/>
      <c r="S44" s="73"/>
      <c r="T44" s="78"/>
      <c r="U44" s="73"/>
      <c r="V44" s="78"/>
      <c r="W44" s="73"/>
      <c r="X44" s="78"/>
      <c r="Y44" s="73"/>
      <c r="Z44" s="78"/>
      <c r="AA44" s="73"/>
      <c r="AB44" s="78"/>
      <c r="AC44" s="73"/>
      <c r="AD44" s="78"/>
      <c r="AE44" s="73"/>
      <c r="AF44" s="78"/>
      <c r="AG44" s="73"/>
      <c r="AH44" s="78"/>
      <c r="AI44" s="73"/>
      <c r="AJ44" s="78"/>
      <c r="AK44" s="73"/>
      <c r="AL44" s="78"/>
      <c r="AM44" s="73"/>
      <c r="AN44" s="78"/>
      <c r="AO44" s="73"/>
      <c r="AP44" s="78"/>
      <c r="AQ44" s="73"/>
      <c r="AR44" s="78"/>
      <c r="AS44" s="73"/>
      <c r="AT44" s="78"/>
      <c r="AU44" s="73"/>
      <c r="AV44" s="78"/>
      <c r="AW44" s="73"/>
      <c r="AX44" s="78"/>
      <c r="AY44" s="73"/>
      <c r="AZ44" s="78">
        <f t="shared" ref="AZ44" si="56">+ROUND(AY44*$I44,0)</f>
        <v>0</v>
      </c>
      <c r="BA44" s="73"/>
      <c r="BB44" s="78"/>
      <c r="BC44" s="73"/>
      <c r="BD44" s="78"/>
      <c r="BE44" s="73"/>
      <c r="BF44" s="78"/>
      <c r="BG44" s="73"/>
      <c r="BH44" s="78"/>
      <c r="BI44" s="73"/>
      <c r="BJ44" s="78"/>
      <c r="BK44" s="73"/>
      <c r="BL44" s="78"/>
      <c r="BM44" s="73"/>
      <c r="BN44" s="78"/>
      <c r="BO44" s="73"/>
      <c r="BP44" s="78">
        <f t="shared" ref="BP44" si="57">+ROUND(BO44*$I44,0)</f>
        <v>0</v>
      </c>
      <c r="BQ44" s="73"/>
      <c r="BR44" s="78"/>
      <c r="BS44" s="73"/>
      <c r="BT44" s="78"/>
      <c r="BU44" s="73"/>
      <c r="BV44" s="78"/>
      <c r="BW44" s="73"/>
      <c r="BX44" s="78"/>
      <c r="BY44" s="73"/>
      <c r="BZ44" s="78"/>
      <c r="CA44" s="73"/>
      <c r="CB44" s="78"/>
      <c r="CC44" s="73"/>
      <c r="CD44" s="78"/>
      <c r="CE44" s="73"/>
      <c r="CF44" s="78"/>
    </row>
    <row r="45" spans="1:84"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45"/>
        <v>0</v>
      </c>
      <c r="H45" s="69">
        <f>+VLOOKUP(C45,'PRECIOS IDU 2025'!$A$1:$E$3189,4,FALSE)</f>
        <v>46379</v>
      </c>
      <c r="I45" s="69">
        <f t="shared" si="46"/>
        <v>60293</v>
      </c>
      <c r="J45" s="69">
        <f t="shared" si="47"/>
        <v>0</v>
      </c>
      <c r="K45" s="9"/>
      <c r="L45" s="3"/>
      <c r="M45" s="73"/>
      <c r="N45" s="78"/>
      <c r="O45" s="73"/>
      <c r="P45" s="78"/>
      <c r="Q45" s="73"/>
      <c r="R45" s="78"/>
      <c r="S45" s="73"/>
      <c r="T45" s="78"/>
      <c r="U45" s="73"/>
      <c r="V45" s="78"/>
      <c r="W45" s="73"/>
      <c r="X45" s="78"/>
      <c r="Y45" s="73"/>
      <c r="Z45" s="78"/>
      <c r="AA45" s="73"/>
      <c r="AB45" s="78"/>
      <c r="AC45" s="73"/>
      <c r="AD45" s="78"/>
      <c r="AE45" s="73"/>
      <c r="AF45" s="78"/>
      <c r="AG45" s="73"/>
      <c r="AH45" s="78"/>
      <c r="AI45" s="73"/>
      <c r="AJ45" s="78"/>
      <c r="AK45" s="73"/>
      <c r="AL45" s="78"/>
      <c r="AM45" s="73"/>
      <c r="AN45" s="78"/>
      <c r="AO45" s="73"/>
      <c r="AP45" s="78"/>
      <c r="AQ45" s="73"/>
      <c r="AR45" s="78"/>
      <c r="AS45" s="73"/>
      <c r="AT45" s="78"/>
      <c r="AU45" s="73"/>
      <c r="AV45" s="78"/>
      <c r="AW45" s="73"/>
      <c r="AX45" s="78"/>
      <c r="AY45" s="73"/>
      <c r="AZ45" s="78">
        <f t="shared" ref="AZ45" si="58">+ROUND(AY45*$I45,0)</f>
        <v>0</v>
      </c>
      <c r="BA45" s="73"/>
      <c r="BB45" s="78"/>
      <c r="BC45" s="73"/>
      <c r="BD45" s="78"/>
      <c r="BE45" s="73"/>
      <c r="BF45" s="78"/>
      <c r="BG45" s="73"/>
      <c r="BH45" s="78"/>
      <c r="BI45" s="73"/>
      <c r="BJ45" s="78"/>
      <c r="BK45" s="73"/>
      <c r="BL45" s="78"/>
      <c r="BM45" s="73"/>
      <c r="BN45" s="78"/>
      <c r="BO45" s="73"/>
      <c r="BP45" s="78">
        <f t="shared" ref="BP45" si="59">+ROUND(BO45*$I45,0)</f>
        <v>0</v>
      </c>
      <c r="BQ45" s="73"/>
      <c r="BR45" s="78"/>
      <c r="BS45" s="73"/>
      <c r="BT45" s="78"/>
      <c r="BU45" s="73"/>
      <c r="BV45" s="78"/>
      <c r="BW45" s="73"/>
      <c r="BX45" s="78"/>
      <c r="BY45" s="73"/>
      <c r="BZ45" s="78"/>
      <c r="CA45" s="73"/>
      <c r="CB45" s="78"/>
      <c r="CC45" s="73"/>
      <c r="CD45" s="78"/>
      <c r="CE45" s="73"/>
      <c r="CF45" s="78"/>
    </row>
    <row r="46" spans="1:84"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45"/>
        <v>0</v>
      </c>
      <c r="H46" s="69">
        <f>+VLOOKUP(C46,'PRECIOS IDU 2025'!$A$1:$E$3189,4,FALSE)</f>
        <v>45600</v>
      </c>
      <c r="I46" s="69">
        <f t="shared" si="46"/>
        <v>59280</v>
      </c>
      <c r="J46" s="69">
        <f t="shared" si="47"/>
        <v>0</v>
      </c>
      <c r="K46" s="9"/>
      <c r="L46" s="3"/>
      <c r="M46" s="73"/>
      <c r="N46" s="78"/>
      <c r="O46" s="73"/>
      <c r="P46" s="78"/>
      <c r="Q46" s="73"/>
      <c r="R46" s="78"/>
      <c r="S46" s="73"/>
      <c r="T46" s="78"/>
      <c r="U46" s="73"/>
      <c r="V46" s="78"/>
      <c r="W46" s="73"/>
      <c r="X46" s="78"/>
      <c r="Y46" s="73"/>
      <c r="Z46" s="78"/>
      <c r="AA46" s="73"/>
      <c r="AB46" s="78"/>
      <c r="AC46" s="73"/>
      <c r="AD46" s="78"/>
      <c r="AE46" s="73"/>
      <c r="AF46" s="78"/>
      <c r="AG46" s="73"/>
      <c r="AH46" s="78"/>
      <c r="AI46" s="73"/>
      <c r="AJ46" s="78"/>
      <c r="AK46" s="73"/>
      <c r="AL46" s="78"/>
      <c r="AM46" s="73"/>
      <c r="AN46" s="78"/>
      <c r="AO46" s="73"/>
      <c r="AP46" s="78"/>
      <c r="AQ46" s="73"/>
      <c r="AR46" s="78"/>
      <c r="AS46" s="73"/>
      <c r="AT46" s="78"/>
      <c r="AU46" s="73"/>
      <c r="AV46" s="78"/>
      <c r="AW46" s="73"/>
      <c r="AX46" s="78"/>
      <c r="AY46" s="73"/>
      <c r="AZ46" s="78">
        <f t="shared" ref="AZ46" si="60">+ROUND(AY46*$I46,0)</f>
        <v>0</v>
      </c>
      <c r="BA46" s="73"/>
      <c r="BB46" s="78"/>
      <c r="BC46" s="73"/>
      <c r="BD46" s="78"/>
      <c r="BE46" s="73"/>
      <c r="BF46" s="78"/>
      <c r="BG46" s="73"/>
      <c r="BH46" s="78"/>
      <c r="BI46" s="73"/>
      <c r="BJ46" s="78"/>
      <c r="BK46" s="73"/>
      <c r="BL46" s="78"/>
      <c r="BM46" s="73"/>
      <c r="BN46" s="78"/>
      <c r="BO46" s="73"/>
      <c r="BP46" s="78">
        <f t="shared" ref="BP46" si="61">+ROUND(BO46*$I46,0)</f>
        <v>0</v>
      </c>
      <c r="BQ46" s="73"/>
      <c r="BR46" s="78"/>
      <c r="BS46" s="73"/>
      <c r="BT46" s="78"/>
      <c r="BU46" s="73"/>
      <c r="BV46" s="78"/>
      <c r="BW46" s="73"/>
      <c r="BX46" s="78"/>
      <c r="BY46" s="73"/>
      <c r="BZ46" s="78"/>
      <c r="CA46" s="73"/>
      <c r="CB46" s="78"/>
      <c r="CC46" s="73"/>
      <c r="CD46" s="78"/>
      <c r="CE46" s="73"/>
      <c r="CF46" s="78"/>
    </row>
    <row r="47" spans="1:84"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45"/>
        <v>0</v>
      </c>
      <c r="H47" s="69">
        <f>+VLOOKUP(C47,'PRECIOS IDU 2025'!$A$1:$E$3189,4,FALSE)</f>
        <v>1757</v>
      </c>
      <c r="I47" s="69">
        <f t="shared" si="46"/>
        <v>2284</v>
      </c>
      <c r="J47" s="69">
        <f t="shared" si="47"/>
        <v>0</v>
      </c>
      <c r="K47" s="9"/>
      <c r="L47" s="3"/>
      <c r="M47" s="73"/>
      <c r="N47" s="78"/>
      <c r="O47" s="73"/>
      <c r="P47" s="78"/>
      <c r="Q47" s="73"/>
      <c r="R47" s="78"/>
      <c r="S47" s="73"/>
      <c r="T47" s="78"/>
      <c r="U47" s="73"/>
      <c r="V47" s="78"/>
      <c r="W47" s="73"/>
      <c r="X47" s="78"/>
      <c r="Y47" s="73"/>
      <c r="Z47" s="78"/>
      <c r="AA47" s="73"/>
      <c r="AB47" s="78"/>
      <c r="AC47" s="73"/>
      <c r="AD47" s="78"/>
      <c r="AE47" s="73"/>
      <c r="AF47" s="78"/>
      <c r="AG47" s="73"/>
      <c r="AH47" s="78"/>
      <c r="AI47" s="73"/>
      <c r="AJ47" s="78"/>
      <c r="AK47" s="73"/>
      <c r="AL47" s="78"/>
      <c r="AM47" s="73"/>
      <c r="AN47" s="78"/>
      <c r="AO47" s="73"/>
      <c r="AP47" s="78"/>
      <c r="AQ47" s="73"/>
      <c r="AR47" s="78"/>
      <c r="AS47" s="73"/>
      <c r="AT47" s="78"/>
      <c r="AU47" s="73"/>
      <c r="AV47" s="78"/>
      <c r="AW47" s="73"/>
      <c r="AX47" s="78"/>
      <c r="AY47" s="73"/>
      <c r="AZ47" s="78">
        <f t="shared" ref="AZ47" si="62">+ROUND(AY47*$I47,0)</f>
        <v>0</v>
      </c>
      <c r="BA47" s="73"/>
      <c r="BB47" s="78"/>
      <c r="BC47" s="73"/>
      <c r="BD47" s="78"/>
      <c r="BE47" s="73"/>
      <c r="BF47" s="78"/>
      <c r="BG47" s="73"/>
      <c r="BH47" s="78"/>
      <c r="BI47" s="73"/>
      <c r="BJ47" s="78"/>
      <c r="BK47" s="73"/>
      <c r="BL47" s="78"/>
      <c r="BM47" s="73"/>
      <c r="BN47" s="78"/>
      <c r="BO47" s="73"/>
      <c r="BP47" s="78">
        <f t="shared" ref="BP47" si="63">+ROUND(BO47*$I47,0)</f>
        <v>0</v>
      </c>
      <c r="BQ47" s="73"/>
      <c r="BR47" s="78"/>
      <c r="BS47" s="73"/>
      <c r="BT47" s="78"/>
      <c r="BU47" s="73"/>
      <c r="BV47" s="78"/>
      <c r="BW47" s="73"/>
      <c r="BX47" s="78"/>
      <c r="BY47" s="73"/>
      <c r="BZ47" s="78"/>
      <c r="CA47" s="73"/>
      <c r="CB47" s="78"/>
      <c r="CC47" s="73"/>
      <c r="CD47" s="78"/>
      <c r="CE47" s="73"/>
      <c r="CF47" s="78"/>
    </row>
    <row r="48" spans="1:84"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45"/>
        <v>0</v>
      </c>
      <c r="H48" s="69">
        <f>+VLOOKUP(C48,'PRECIOS IDU 2025'!$A$1:$E$3189,4,FALSE)</f>
        <v>184030</v>
      </c>
      <c r="I48" s="69">
        <f t="shared" si="46"/>
        <v>239239</v>
      </c>
      <c r="J48" s="69">
        <f t="shared" si="47"/>
        <v>0</v>
      </c>
      <c r="K48" s="9"/>
      <c r="L48" s="3"/>
      <c r="M48" s="76"/>
      <c r="N48" s="78"/>
      <c r="O48" s="76"/>
      <c r="P48" s="78"/>
      <c r="Q48" s="76"/>
      <c r="R48" s="78"/>
      <c r="S48" s="76"/>
      <c r="T48" s="78"/>
      <c r="U48" s="76"/>
      <c r="V48" s="78"/>
      <c r="W48" s="76"/>
      <c r="X48" s="78"/>
      <c r="Y48" s="76"/>
      <c r="Z48" s="78"/>
      <c r="AA48" s="76"/>
      <c r="AB48" s="78"/>
      <c r="AC48" s="76"/>
      <c r="AD48" s="78"/>
      <c r="AE48" s="76"/>
      <c r="AF48" s="78"/>
      <c r="AG48" s="76"/>
      <c r="AH48" s="78"/>
      <c r="AI48" s="76"/>
      <c r="AJ48" s="78"/>
      <c r="AK48" s="76"/>
      <c r="AL48" s="78"/>
      <c r="AM48" s="76"/>
      <c r="AN48" s="78"/>
      <c r="AO48" s="76"/>
      <c r="AP48" s="78"/>
      <c r="AQ48" s="76"/>
      <c r="AR48" s="78"/>
      <c r="AS48" s="76"/>
      <c r="AT48" s="78"/>
      <c r="AU48" s="76"/>
      <c r="AV48" s="78"/>
      <c r="AW48" s="76"/>
      <c r="AX48" s="78"/>
      <c r="AY48" s="76"/>
      <c r="AZ48" s="78">
        <f t="shared" ref="AZ48" si="64">+ROUND(AY48*$I48,0)</f>
        <v>0</v>
      </c>
      <c r="BA48" s="76"/>
      <c r="BB48" s="78"/>
      <c r="BC48" s="76"/>
      <c r="BD48" s="78"/>
      <c r="BE48" s="76"/>
      <c r="BF48" s="78"/>
      <c r="BG48" s="76"/>
      <c r="BH48" s="78"/>
      <c r="BI48" s="76"/>
      <c r="BJ48" s="78"/>
      <c r="BK48" s="76"/>
      <c r="BL48" s="78"/>
      <c r="BM48" s="76"/>
      <c r="BN48" s="78"/>
      <c r="BO48" s="76"/>
      <c r="BP48" s="78">
        <f t="shared" ref="BP48" si="65">+ROUND(BO48*$I48,0)</f>
        <v>0</v>
      </c>
      <c r="BQ48" s="76"/>
      <c r="BR48" s="78"/>
      <c r="BS48" s="76"/>
      <c r="BT48" s="78"/>
      <c r="BU48" s="76"/>
      <c r="BV48" s="78"/>
      <c r="BW48" s="76"/>
      <c r="BX48" s="78"/>
      <c r="BY48" s="76"/>
      <c r="BZ48" s="78"/>
      <c r="CA48" s="76"/>
      <c r="CB48" s="78"/>
      <c r="CC48" s="76"/>
      <c r="CD48" s="78"/>
      <c r="CE48" s="76"/>
      <c r="CF48" s="78"/>
    </row>
    <row r="49" spans="1:84"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45"/>
        <v>0</v>
      </c>
      <c r="H49" s="69">
        <f>+VLOOKUP(C49,'PRECIOS IDU 2025'!$A$1:$E$3189,4,FALSE)</f>
        <v>73638</v>
      </c>
      <c r="I49" s="69">
        <f t="shared" si="46"/>
        <v>95729</v>
      </c>
      <c r="J49" s="69">
        <f t="shared" si="47"/>
        <v>0</v>
      </c>
      <c r="K49" s="9"/>
      <c r="L49" s="3"/>
      <c r="M49" s="76"/>
      <c r="N49" s="78"/>
      <c r="O49" s="76"/>
      <c r="P49" s="78"/>
      <c r="Q49" s="76"/>
      <c r="R49" s="78"/>
      <c r="S49" s="76"/>
      <c r="T49" s="78"/>
      <c r="U49" s="76"/>
      <c r="V49" s="78"/>
      <c r="W49" s="76"/>
      <c r="X49" s="78"/>
      <c r="Y49" s="76"/>
      <c r="Z49" s="78"/>
      <c r="AA49" s="76"/>
      <c r="AB49" s="78"/>
      <c r="AC49" s="76"/>
      <c r="AD49" s="78"/>
      <c r="AE49" s="76"/>
      <c r="AF49" s="78"/>
      <c r="AG49" s="76"/>
      <c r="AH49" s="78"/>
      <c r="AI49" s="76"/>
      <c r="AJ49" s="78"/>
      <c r="AK49" s="76"/>
      <c r="AL49" s="78"/>
      <c r="AM49" s="76"/>
      <c r="AN49" s="78"/>
      <c r="AO49" s="76"/>
      <c r="AP49" s="78"/>
      <c r="AQ49" s="76"/>
      <c r="AR49" s="78"/>
      <c r="AS49" s="76"/>
      <c r="AT49" s="78"/>
      <c r="AU49" s="76"/>
      <c r="AV49" s="78"/>
      <c r="AW49" s="76"/>
      <c r="AX49" s="78"/>
      <c r="AY49" s="76"/>
      <c r="AZ49" s="78">
        <f t="shared" ref="AZ49" si="66">+ROUND(AY49*$I49,0)</f>
        <v>0</v>
      </c>
      <c r="BA49" s="76"/>
      <c r="BB49" s="78"/>
      <c r="BC49" s="76"/>
      <c r="BD49" s="78"/>
      <c r="BE49" s="76"/>
      <c r="BF49" s="78"/>
      <c r="BG49" s="76"/>
      <c r="BH49" s="78"/>
      <c r="BI49" s="76"/>
      <c r="BJ49" s="78"/>
      <c r="BK49" s="76"/>
      <c r="BL49" s="78"/>
      <c r="BM49" s="76"/>
      <c r="BN49" s="78"/>
      <c r="BO49" s="76"/>
      <c r="BP49" s="78">
        <f t="shared" ref="BP49" si="67">+ROUND(BO49*$I49,0)</f>
        <v>0</v>
      </c>
      <c r="BQ49" s="76"/>
      <c r="BR49" s="78"/>
      <c r="BS49" s="76"/>
      <c r="BT49" s="78"/>
      <c r="BU49" s="76"/>
      <c r="BV49" s="78"/>
      <c r="BW49" s="76"/>
      <c r="BX49" s="78"/>
      <c r="BY49" s="76"/>
      <c r="BZ49" s="78"/>
      <c r="CA49" s="76"/>
      <c r="CB49" s="78"/>
      <c r="CC49" s="76"/>
      <c r="CD49" s="78"/>
      <c r="CE49" s="76"/>
      <c r="CF49" s="78"/>
    </row>
    <row r="50" spans="1:84"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45"/>
        <v>0</v>
      </c>
      <c r="H50" s="69">
        <f>+VLOOKUP(C50,'PRECIOS IDU 2025'!$A$1:$E$3189,4,FALSE)</f>
        <v>13158</v>
      </c>
      <c r="I50" s="69">
        <f t="shared" si="46"/>
        <v>17105</v>
      </c>
      <c r="J50" s="69">
        <f t="shared" si="47"/>
        <v>0</v>
      </c>
      <c r="K50" s="9"/>
      <c r="L50" s="3"/>
      <c r="M50" s="76"/>
      <c r="N50" s="78"/>
      <c r="O50" s="76"/>
      <c r="P50" s="78"/>
      <c r="Q50" s="76"/>
      <c r="R50" s="78"/>
      <c r="S50" s="76"/>
      <c r="T50" s="78"/>
      <c r="U50" s="76"/>
      <c r="V50" s="78"/>
      <c r="W50" s="76"/>
      <c r="X50" s="78"/>
      <c r="Y50" s="76"/>
      <c r="Z50" s="78"/>
      <c r="AA50" s="76"/>
      <c r="AB50" s="78"/>
      <c r="AC50" s="76"/>
      <c r="AD50" s="78"/>
      <c r="AE50" s="76"/>
      <c r="AF50" s="78"/>
      <c r="AG50" s="76"/>
      <c r="AH50" s="78"/>
      <c r="AI50" s="76"/>
      <c r="AJ50" s="78"/>
      <c r="AK50" s="76"/>
      <c r="AL50" s="78"/>
      <c r="AM50" s="76"/>
      <c r="AN50" s="78"/>
      <c r="AO50" s="76"/>
      <c r="AP50" s="78"/>
      <c r="AQ50" s="76"/>
      <c r="AR50" s="78"/>
      <c r="AS50" s="76"/>
      <c r="AT50" s="78"/>
      <c r="AU50" s="76"/>
      <c r="AV50" s="78"/>
      <c r="AW50" s="76"/>
      <c r="AX50" s="78"/>
      <c r="AY50" s="76"/>
      <c r="AZ50" s="78">
        <f t="shared" ref="AZ50" si="68">+ROUND(AY50*$I50,0)</f>
        <v>0</v>
      </c>
      <c r="BA50" s="76"/>
      <c r="BB50" s="78"/>
      <c r="BC50" s="76"/>
      <c r="BD50" s="78"/>
      <c r="BE50" s="76"/>
      <c r="BF50" s="78"/>
      <c r="BG50" s="76"/>
      <c r="BH50" s="78"/>
      <c r="BI50" s="76"/>
      <c r="BJ50" s="78"/>
      <c r="BK50" s="76"/>
      <c r="BL50" s="78"/>
      <c r="BM50" s="76"/>
      <c r="BN50" s="78"/>
      <c r="BO50" s="76"/>
      <c r="BP50" s="78">
        <f t="shared" ref="BP50" si="69">+ROUND(BO50*$I50,0)</f>
        <v>0</v>
      </c>
      <c r="BQ50" s="76"/>
      <c r="BR50" s="78"/>
      <c r="BS50" s="76"/>
      <c r="BT50" s="78"/>
      <c r="BU50" s="76"/>
      <c r="BV50" s="78"/>
      <c r="BW50" s="76"/>
      <c r="BX50" s="78"/>
      <c r="BY50" s="76"/>
      <c r="BZ50" s="78"/>
      <c r="CA50" s="76"/>
      <c r="CB50" s="78"/>
      <c r="CC50" s="76"/>
      <c r="CD50" s="78"/>
      <c r="CE50" s="76"/>
      <c r="CF50" s="78"/>
    </row>
    <row r="51" spans="1:84"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45"/>
        <v>0</v>
      </c>
      <c r="H51" s="69">
        <f>+VLOOKUP(C51,'PRECIOS IDU 2025'!$A$1:$E$3189,4,FALSE)</f>
        <v>30940</v>
      </c>
      <c r="I51" s="69">
        <f t="shared" si="46"/>
        <v>40222</v>
      </c>
      <c r="J51" s="69">
        <f t="shared" si="47"/>
        <v>0</v>
      </c>
      <c r="K51" s="9"/>
      <c r="L51" s="3"/>
      <c r="M51" s="76"/>
      <c r="N51" s="78"/>
      <c r="O51" s="76"/>
      <c r="P51" s="78"/>
      <c r="Q51" s="76"/>
      <c r="R51" s="78"/>
      <c r="S51" s="76"/>
      <c r="T51" s="78"/>
      <c r="U51" s="76"/>
      <c r="V51" s="78"/>
      <c r="W51" s="76"/>
      <c r="X51" s="78"/>
      <c r="Y51" s="76"/>
      <c r="Z51" s="78"/>
      <c r="AA51" s="76"/>
      <c r="AB51" s="78"/>
      <c r="AC51" s="76"/>
      <c r="AD51" s="78"/>
      <c r="AE51" s="76"/>
      <c r="AF51" s="78"/>
      <c r="AG51" s="76"/>
      <c r="AH51" s="78"/>
      <c r="AI51" s="76"/>
      <c r="AJ51" s="78"/>
      <c r="AK51" s="76"/>
      <c r="AL51" s="78"/>
      <c r="AM51" s="76"/>
      <c r="AN51" s="78"/>
      <c r="AO51" s="76"/>
      <c r="AP51" s="78"/>
      <c r="AQ51" s="76"/>
      <c r="AR51" s="78"/>
      <c r="AS51" s="76"/>
      <c r="AT51" s="78"/>
      <c r="AU51" s="76"/>
      <c r="AV51" s="78"/>
      <c r="AW51" s="76"/>
      <c r="AX51" s="78"/>
      <c r="AY51" s="76"/>
      <c r="AZ51" s="78">
        <f t="shared" ref="AZ51" si="70">+ROUND(AY51*$I51,0)</f>
        <v>0</v>
      </c>
      <c r="BA51" s="76"/>
      <c r="BB51" s="78"/>
      <c r="BC51" s="76"/>
      <c r="BD51" s="78"/>
      <c r="BE51" s="76"/>
      <c r="BF51" s="78"/>
      <c r="BG51" s="76"/>
      <c r="BH51" s="78"/>
      <c r="BI51" s="76"/>
      <c r="BJ51" s="78"/>
      <c r="BK51" s="76"/>
      <c r="BL51" s="78"/>
      <c r="BM51" s="76"/>
      <c r="BN51" s="78"/>
      <c r="BO51" s="76"/>
      <c r="BP51" s="78">
        <f t="shared" ref="BP51" si="71">+ROUND(BO51*$I51,0)</f>
        <v>0</v>
      </c>
      <c r="BQ51" s="76"/>
      <c r="BR51" s="78"/>
      <c r="BS51" s="76"/>
      <c r="BT51" s="78"/>
      <c r="BU51" s="76"/>
      <c r="BV51" s="78"/>
      <c r="BW51" s="76"/>
      <c r="BX51" s="78"/>
      <c r="BY51" s="76"/>
      <c r="BZ51" s="78"/>
      <c r="CA51" s="76"/>
      <c r="CB51" s="78"/>
      <c r="CC51" s="76"/>
      <c r="CD51" s="78"/>
      <c r="CE51" s="76"/>
      <c r="CF51" s="78"/>
    </row>
    <row r="52" spans="1:84"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45"/>
        <v>0</v>
      </c>
      <c r="H52" s="69">
        <f>+VLOOKUP(C52,'PRECIOS IDU 2025'!$A$1:$E$3189,4,FALSE)</f>
        <v>170143</v>
      </c>
      <c r="I52" s="69">
        <f t="shared" si="46"/>
        <v>221186</v>
      </c>
      <c r="J52" s="69">
        <f t="shared" si="47"/>
        <v>0</v>
      </c>
      <c r="K52" s="9"/>
      <c r="L52" s="3"/>
      <c r="M52" s="76"/>
      <c r="N52" s="78"/>
      <c r="O52" s="76"/>
      <c r="P52" s="78"/>
      <c r="Q52" s="76"/>
      <c r="R52" s="78"/>
      <c r="S52" s="76"/>
      <c r="T52" s="78"/>
      <c r="U52" s="76"/>
      <c r="V52" s="78"/>
      <c r="W52" s="76"/>
      <c r="X52" s="78"/>
      <c r="Y52" s="76"/>
      <c r="Z52" s="78"/>
      <c r="AA52" s="76"/>
      <c r="AB52" s="78"/>
      <c r="AC52" s="76"/>
      <c r="AD52" s="78"/>
      <c r="AE52" s="76"/>
      <c r="AF52" s="78"/>
      <c r="AG52" s="76"/>
      <c r="AH52" s="78"/>
      <c r="AI52" s="76"/>
      <c r="AJ52" s="78"/>
      <c r="AK52" s="76"/>
      <c r="AL52" s="78"/>
      <c r="AM52" s="76"/>
      <c r="AN52" s="78"/>
      <c r="AO52" s="76"/>
      <c r="AP52" s="78"/>
      <c r="AQ52" s="76"/>
      <c r="AR52" s="78"/>
      <c r="AS52" s="76"/>
      <c r="AT52" s="78"/>
      <c r="AU52" s="76"/>
      <c r="AV52" s="78"/>
      <c r="AW52" s="76"/>
      <c r="AX52" s="78"/>
      <c r="AY52" s="76"/>
      <c r="AZ52" s="78">
        <f t="shared" ref="AZ52" si="72">+ROUND(AY52*$I52,0)</f>
        <v>0</v>
      </c>
      <c r="BA52" s="76"/>
      <c r="BB52" s="78"/>
      <c r="BC52" s="76"/>
      <c r="BD52" s="78"/>
      <c r="BE52" s="76"/>
      <c r="BF52" s="78"/>
      <c r="BG52" s="76"/>
      <c r="BH52" s="78"/>
      <c r="BI52" s="76"/>
      <c r="BJ52" s="78"/>
      <c r="BK52" s="76"/>
      <c r="BL52" s="78"/>
      <c r="BM52" s="76"/>
      <c r="BN52" s="78"/>
      <c r="BO52" s="76"/>
      <c r="BP52" s="78">
        <f t="shared" ref="BP52" si="73">+ROUND(BO52*$I52,0)</f>
        <v>0</v>
      </c>
      <c r="BQ52" s="76"/>
      <c r="BR52" s="78"/>
      <c r="BS52" s="76"/>
      <c r="BT52" s="78"/>
      <c r="BU52" s="76"/>
      <c r="BV52" s="78"/>
      <c r="BW52" s="76"/>
      <c r="BX52" s="78"/>
      <c r="BY52" s="76"/>
      <c r="BZ52" s="78"/>
      <c r="CA52" s="76"/>
      <c r="CB52" s="78"/>
      <c r="CC52" s="76"/>
      <c r="CD52" s="78"/>
      <c r="CE52" s="76"/>
      <c r="CF52" s="78"/>
    </row>
    <row r="53" spans="1:84"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45"/>
        <v>0</v>
      </c>
      <c r="H53" s="69">
        <f>+VLOOKUP(C53,'PRECIOS IDU 2025'!$A$1:$E$3189,4,FALSE)</f>
        <v>163490</v>
      </c>
      <c r="I53" s="69">
        <f t="shared" si="46"/>
        <v>212537</v>
      </c>
      <c r="J53" s="69">
        <f t="shared" si="47"/>
        <v>0</v>
      </c>
      <c r="K53" s="9"/>
      <c r="L53" s="3"/>
      <c r="M53" s="76"/>
      <c r="N53" s="78"/>
      <c r="O53" s="76"/>
      <c r="P53" s="78"/>
      <c r="Q53" s="76"/>
      <c r="R53" s="78"/>
      <c r="S53" s="76"/>
      <c r="T53" s="78"/>
      <c r="U53" s="76"/>
      <c r="V53" s="78"/>
      <c r="W53" s="76"/>
      <c r="X53" s="78"/>
      <c r="Y53" s="76"/>
      <c r="Z53" s="78"/>
      <c r="AA53" s="76"/>
      <c r="AB53" s="78"/>
      <c r="AC53" s="76"/>
      <c r="AD53" s="78"/>
      <c r="AE53" s="76"/>
      <c r="AF53" s="78"/>
      <c r="AG53" s="76"/>
      <c r="AH53" s="78"/>
      <c r="AI53" s="76"/>
      <c r="AJ53" s="78"/>
      <c r="AK53" s="76"/>
      <c r="AL53" s="78"/>
      <c r="AM53" s="76"/>
      <c r="AN53" s="78"/>
      <c r="AO53" s="76"/>
      <c r="AP53" s="78"/>
      <c r="AQ53" s="76"/>
      <c r="AR53" s="78"/>
      <c r="AS53" s="76"/>
      <c r="AT53" s="78"/>
      <c r="AU53" s="76"/>
      <c r="AV53" s="78"/>
      <c r="AW53" s="76"/>
      <c r="AX53" s="78"/>
      <c r="AY53" s="76"/>
      <c r="AZ53" s="78">
        <f t="shared" ref="AZ53" si="74">+ROUND(AY53*$I53,0)</f>
        <v>0</v>
      </c>
      <c r="BA53" s="76"/>
      <c r="BB53" s="78"/>
      <c r="BC53" s="76"/>
      <c r="BD53" s="78"/>
      <c r="BE53" s="76"/>
      <c r="BF53" s="78"/>
      <c r="BG53" s="76"/>
      <c r="BH53" s="78"/>
      <c r="BI53" s="76"/>
      <c r="BJ53" s="78"/>
      <c r="BK53" s="76"/>
      <c r="BL53" s="78"/>
      <c r="BM53" s="76"/>
      <c r="BN53" s="78"/>
      <c r="BO53" s="76"/>
      <c r="BP53" s="78">
        <f t="shared" ref="BP53" si="75">+ROUND(BO53*$I53,0)</f>
        <v>0</v>
      </c>
      <c r="BQ53" s="76"/>
      <c r="BR53" s="78"/>
      <c r="BS53" s="76"/>
      <c r="BT53" s="78"/>
      <c r="BU53" s="76"/>
      <c r="BV53" s="78"/>
      <c r="BW53" s="76"/>
      <c r="BX53" s="78"/>
      <c r="BY53" s="76"/>
      <c r="BZ53" s="78"/>
      <c r="CA53" s="76"/>
      <c r="CB53" s="78"/>
      <c r="CC53" s="76"/>
      <c r="CD53" s="78"/>
      <c r="CE53" s="76"/>
      <c r="CF53" s="78"/>
    </row>
    <row r="54" spans="1:84"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45"/>
        <v>0</v>
      </c>
      <c r="H54" s="69">
        <f>+VLOOKUP(C54,'PRECIOS IDU 2025'!$A$1:$E$3189,4,FALSE)</f>
        <v>3189</v>
      </c>
      <c r="I54" s="69">
        <f t="shared" si="46"/>
        <v>4146</v>
      </c>
      <c r="J54" s="69">
        <f t="shared" si="47"/>
        <v>0</v>
      </c>
      <c r="K54" s="9"/>
      <c r="L54" s="3"/>
      <c r="M54" s="73"/>
      <c r="N54" s="78"/>
      <c r="O54" s="73"/>
      <c r="P54" s="78"/>
      <c r="Q54" s="73"/>
      <c r="R54" s="78"/>
      <c r="S54" s="73"/>
      <c r="T54" s="78"/>
      <c r="U54" s="73"/>
      <c r="V54" s="78"/>
      <c r="W54" s="73"/>
      <c r="X54" s="78"/>
      <c r="Y54" s="73"/>
      <c r="Z54" s="78"/>
      <c r="AA54" s="73"/>
      <c r="AB54" s="78"/>
      <c r="AC54" s="73"/>
      <c r="AD54" s="78"/>
      <c r="AE54" s="73"/>
      <c r="AF54" s="78"/>
      <c r="AG54" s="73"/>
      <c r="AH54" s="78"/>
      <c r="AI54" s="73"/>
      <c r="AJ54" s="78"/>
      <c r="AK54" s="73"/>
      <c r="AL54" s="78"/>
      <c r="AM54" s="73"/>
      <c r="AN54" s="78"/>
      <c r="AO54" s="73"/>
      <c r="AP54" s="78"/>
      <c r="AQ54" s="73"/>
      <c r="AR54" s="78"/>
      <c r="AS54" s="73"/>
      <c r="AT54" s="78"/>
      <c r="AU54" s="73"/>
      <c r="AV54" s="78"/>
      <c r="AW54" s="73"/>
      <c r="AX54" s="78"/>
      <c r="AY54" s="73"/>
      <c r="AZ54" s="78">
        <f t="shared" ref="AZ54" si="76">+ROUND(AY54*$I54,0)</f>
        <v>0</v>
      </c>
      <c r="BA54" s="73"/>
      <c r="BB54" s="78"/>
      <c r="BC54" s="73"/>
      <c r="BD54" s="78"/>
      <c r="BE54" s="73"/>
      <c r="BF54" s="78"/>
      <c r="BG54" s="73"/>
      <c r="BH54" s="78"/>
      <c r="BI54" s="73"/>
      <c r="BJ54" s="78"/>
      <c r="BK54" s="73"/>
      <c r="BL54" s="78"/>
      <c r="BM54" s="73"/>
      <c r="BN54" s="78"/>
      <c r="BO54" s="73"/>
      <c r="BP54" s="78">
        <f t="shared" ref="BP54" si="77">+ROUND(BO54*$I54,0)</f>
        <v>0</v>
      </c>
      <c r="BQ54" s="73"/>
      <c r="BR54" s="78"/>
      <c r="BS54" s="73"/>
      <c r="BT54" s="78"/>
      <c r="BU54" s="73"/>
      <c r="BV54" s="78"/>
      <c r="BW54" s="73"/>
      <c r="BX54" s="78"/>
      <c r="BY54" s="73"/>
      <c r="BZ54" s="78"/>
      <c r="CA54" s="73"/>
      <c r="CB54" s="78"/>
      <c r="CC54" s="73"/>
      <c r="CD54" s="78"/>
      <c r="CE54" s="73"/>
      <c r="CF54" s="78"/>
    </row>
    <row r="55" spans="1:84"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45"/>
        <v>0</v>
      </c>
      <c r="H55" s="69">
        <f>+VLOOKUP(C55,'PRECIOS IDU 2025'!$A$1:$E$3189,4,FALSE)</f>
        <v>3885</v>
      </c>
      <c r="I55" s="69">
        <f t="shared" si="46"/>
        <v>5051</v>
      </c>
      <c r="J55" s="69">
        <f t="shared" si="47"/>
        <v>0</v>
      </c>
      <c r="K55" s="9"/>
      <c r="L55" s="3"/>
      <c r="M55" s="73"/>
      <c r="N55" s="78"/>
      <c r="O55" s="73"/>
      <c r="P55" s="78"/>
      <c r="Q55" s="73"/>
      <c r="R55" s="78"/>
      <c r="S55" s="73"/>
      <c r="T55" s="78"/>
      <c r="U55" s="73"/>
      <c r="V55" s="78"/>
      <c r="W55" s="73"/>
      <c r="X55" s="78"/>
      <c r="Y55" s="73"/>
      <c r="Z55" s="78"/>
      <c r="AA55" s="73"/>
      <c r="AB55" s="78"/>
      <c r="AC55" s="73"/>
      <c r="AD55" s="78"/>
      <c r="AE55" s="73"/>
      <c r="AF55" s="78"/>
      <c r="AG55" s="73"/>
      <c r="AH55" s="78"/>
      <c r="AI55" s="73"/>
      <c r="AJ55" s="78"/>
      <c r="AK55" s="73"/>
      <c r="AL55" s="78"/>
      <c r="AM55" s="73"/>
      <c r="AN55" s="78"/>
      <c r="AO55" s="73"/>
      <c r="AP55" s="78"/>
      <c r="AQ55" s="73"/>
      <c r="AR55" s="78"/>
      <c r="AS55" s="73"/>
      <c r="AT55" s="78"/>
      <c r="AU55" s="73"/>
      <c r="AV55" s="78"/>
      <c r="AW55" s="73"/>
      <c r="AX55" s="78"/>
      <c r="AY55" s="73"/>
      <c r="AZ55" s="78">
        <f t="shared" ref="AZ55" si="78">+ROUND(AY55*$I55,0)</f>
        <v>0</v>
      </c>
      <c r="BA55" s="73"/>
      <c r="BB55" s="78"/>
      <c r="BC55" s="73"/>
      <c r="BD55" s="78"/>
      <c r="BE55" s="73"/>
      <c r="BF55" s="78"/>
      <c r="BG55" s="73"/>
      <c r="BH55" s="78"/>
      <c r="BI55" s="73"/>
      <c r="BJ55" s="78"/>
      <c r="BK55" s="73"/>
      <c r="BL55" s="78"/>
      <c r="BM55" s="73"/>
      <c r="BN55" s="78"/>
      <c r="BO55" s="73"/>
      <c r="BP55" s="78">
        <f t="shared" ref="BP55" si="79">+ROUND(BO55*$I55,0)</f>
        <v>0</v>
      </c>
      <c r="BQ55" s="73"/>
      <c r="BR55" s="78"/>
      <c r="BS55" s="73"/>
      <c r="BT55" s="78"/>
      <c r="BU55" s="73"/>
      <c r="BV55" s="78"/>
      <c r="BW55" s="73"/>
      <c r="BX55" s="78"/>
      <c r="BY55" s="73"/>
      <c r="BZ55" s="78"/>
      <c r="CA55" s="73"/>
      <c r="CB55" s="78"/>
      <c r="CC55" s="73"/>
      <c r="CD55" s="78"/>
      <c r="CE55" s="73"/>
      <c r="CF55" s="78"/>
    </row>
    <row r="56" spans="1:84"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45"/>
        <v>0</v>
      </c>
      <c r="H56" s="69">
        <f>+VLOOKUP(C56,'PRECIOS IDU 2025'!$A$1:$E$3189,4,FALSE)</f>
        <v>1341971</v>
      </c>
      <c r="I56" s="69">
        <f t="shared" si="46"/>
        <v>1744562</v>
      </c>
      <c r="J56" s="69">
        <f t="shared" si="47"/>
        <v>0</v>
      </c>
      <c r="K56" s="9"/>
      <c r="L56" s="3"/>
      <c r="M56" s="73"/>
      <c r="N56" s="78"/>
      <c r="O56" s="73"/>
      <c r="P56" s="78"/>
      <c r="Q56" s="73"/>
      <c r="R56" s="78"/>
      <c r="S56" s="73"/>
      <c r="T56" s="78"/>
      <c r="U56" s="73"/>
      <c r="V56" s="78"/>
      <c r="W56" s="73"/>
      <c r="X56" s="78"/>
      <c r="Y56" s="73"/>
      <c r="Z56" s="78"/>
      <c r="AA56" s="73"/>
      <c r="AB56" s="78"/>
      <c r="AC56" s="73"/>
      <c r="AD56" s="78"/>
      <c r="AE56" s="73"/>
      <c r="AF56" s="78"/>
      <c r="AG56" s="73"/>
      <c r="AH56" s="78"/>
      <c r="AI56" s="73"/>
      <c r="AJ56" s="78"/>
      <c r="AK56" s="73"/>
      <c r="AL56" s="78"/>
      <c r="AM56" s="73"/>
      <c r="AN56" s="78"/>
      <c r="AO56" s="73"/>
      <c r="AP56" s="78"/>
      <c r="AQ56" s="73"/>
      <c r="AR56" s="78"/>
      <c r="AS56" s="73"/>
      <c r="AT56" s="78"/>
      <c r="AU56" s="73"/>
      <c r="AV56" s="78"/>
      <c r="AW56" s="73"/>
      <c r="AX56" s="78"/>
      <c r="AY56" s="73"/>
      <c r="AZ56" s="78">
        <f t="shared" ref="AZ56" si="80">+ROUND(AY56*$I56,0)</f>
        <v>0</v>
      </c>
      <c r="BA56" s="73"/>
      <c r="BB56" s="78"/>
      <c r="BC56" s="73"/>
      <c r="BD56" s="78"/>
      <c r="BE56" s="73"/>
      <c r="BF56" s="78"/>
      <c r="BG56" s="73"/>
      <c r="BH56" s="78"/>
      <c r="BI56" s="73"/>
      <c r="BJ56" s="78"/>
      <c r="BK56" s="73"/>
      <c r="BL56" s="78"/>
      <c r="BM56" s="73"/>
      <c r="BN56" s="78"/>
      <c r="BO56" s="73"/>
      <c r="BP56" s="78">
        <f t="shared" ref="BP56" si="81">+ROUND(BO56*$I56,0)</f>
        <v>0</v>
      </c>
      <c r="BQ56" s="73"/>
      <c r="BR56" s="78"/>
      <c r="BS56" s="73"/>
      <c r="BT56" s="78"/>
      <c r="BU56" s="73"/>
      <c r="BV56" s="78"/>
      <c r="BW56" s="73"/>
      <c r="BX56" s="78"/>
      <c r="BY56" s="73"/>
      <c r="BZ56" s="78"/>
      <c r="CA56" s="73"/>
      <c r="CB56" s="78"/>
      <c r="CC56" s="73"/>
      <c r="CD56" s="78"/>
      <c r="CE56" s="73"/>
      <c r="CF56" s="78"/>
    </row>
    <row r="57" spans="1:84"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45"/>
        <v>0</v>
      </c>
      <c r="H57" s="69">
        <f>+VLOOKUP(C57,'PRECIOS IDU 2025'!$A$1:$E$3189,4,FALSE)</f>
        <v>1241977</v>
      </c>
      <c r="I57" s="69">
        <f t="shared" si="46"/>
        <v>1614570</v>
      </c>
      <c r="J57" s="69">
        <f t="shared" si="47"/>
        <v>0</v>
      </c>
      <c r="K57" s="9"/>
      <c r="L57" s="3"/>
      <c r="M57" s="73"/>
      <c r="N57" s="78"/>
      <c r="O57" s="73"/>
      <c r="P57" s="78"/>
      <c r="Q57" s="73"/>
      <c r="R57" s="78"/>
      <c r="S57" s="73"/>
      <c r="T57" s="78"/>
      <c r="U57" s="73"/>
      <c r="V57" s="78"/>
      <c r="W57" s="73"/>
      <c r="X57" s="78"/>
      <c r="Y57" s="73"/>
      <c r="Z57" s="78"/>
      <c r="AA57" s="73"/>
      <c r="AB57" s="78"/>
      <c r="AC57" s="73"/>
      <c r="AD57" s="78"/>
      <c r="AE57" s="73"/>
      <c r="AF57" s="78"/>
      <c r="AG57" s="73"/>
      <c r="AH57" s="78"/>
      <c r="AI57" s="73"/>
      <c r="AJ57" s="78"/>
      <c r="AK57" s="73"/>
      <c r="AL57" s="78"/>
      <c r="AM57" s="73"/>
      <c r="AN57" s="78"/>
      <c r="AO57" s="73"/>
      <c r="AP57" s="78"/>
      <c r="AQ57" s="73"/>
      <c r="AR57" s="78"/>
      <c r="AS57" s="73"/>
      <c r="AT57" s="78"/>
      <c r="AU57" s="73"/>
      <c r="AV57" s="78"/>
      <c r="AW57" s="73"/>
      <c r="AX57" s="78"/>
      <c r="AY57" s="73"/>
      <c r="AZ57" s="78">
        <f t="shared" ref="AZ57" si="82">+ROUND(AY57*$I57,0)</f>
        <v>0</v>
      </c>
      <c r="BA57" s="73"/>
      <c r="BB57" s="78"/>
      <c r="BC57" s="73"/>
      <c r="BD57" s="78"/>
      <c r="BE57" s="73"/>
      <c r="BF57" s="78"/>
      <c r="BG57" s="73"/>
      <c r="BH57" s="78"/>
      <c r="BI57" s="73"/>
      <c r="BJ57" s="78"/>
      <c r="BK57" s="73"/>
      <c r="BL57" s="78"/>
      <c r="BM57" s="73"/>
      <c r="BN57" s="78"/>
      <c r="BO57" s="73"/>
      <c r="BP57" s="78">
        <f t="shared" ref="BP57" si="83">+ROUND(BO57*$I57,0)</f>
        <v>0</v>
      </c>
      <c r="BQ57" s="73"/>
      <c r="BR57" s="78"/>
      <c r="BS57" s="73"/>
      <c r="BT57" s="78"/>
      <c r="BU57" s="73"/>
      <c r="BV57" s="78"/>
      <c r="BW57" s="73"/>
      <c r="BX57" s="78"/>
      <c r="BY57" s="73"/>
      <c r="BZ57" s="78"/>
      <c r="CA57" s="73"/>
      <c r="CB57" s="78"/>
      <c r="CC57" s="73"/>
      <c r="CD57" s="78"/>
      <c r="CE57" s="73"/>
      <c r="CF57" s="78"/>
    </row>
    <row r="58" spans="1:84"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45"/>
        <v>0</v>
      </c>
      <c r="H58" s="69">
        <f>+VLOOKUP(C58,'PRECIOS IDU 2025'!$A$1:$E$3189,4,FALSE)</f>
        <v>1556215</v>
      </c>
      <c r="I58" s="69">
        <f t="shared" si="46"/>
        <v>2023080</v>
      </c>
      <c r="J58" s="69">
        <f t="shared" si="47"/>
        <v>0</v>
      </c>
      <c r="K58" s="9"/>
      <c r="L58" s="3"/>
      <c r="M58" s="73"/>
      <c r="N58" s="78"/>
      <c r="O58" s="73"/>
      <c r="P58" s="78"/>
      <c r="Q58" s="73"/>
      <c r="R58" s="78"/>
      <c r="S58" s="73"/>
      <c r="T58" s="78"/>
      <c r="U58" s="73"/>
      <c r="V58" s="78"/>
      <c r="W58" s="73"/>
      <c r="X58" s="78"/>
      <c r="Y58" s="73"/>
      <c r="Z58" s="78"/>
      <c r="AA58" s="73"/>
      <c r="AB58" s="78"/>
      <c r="AC58" s="73"/>
      <c r="AD58" s="78"/>
      <c r="AE58" s="73"/>
      <c r="AF58" s="78"/>
      <c r="AG58" s="73"/>
      <c r="AH58" s="78"/>
      <c r="AI58" s="73"/>
      <c r="AJ58" s="78"/>
      <c r="AK58" s="73"/>
      <c r="AL58" s="78"/>
      <c r="AM58" s="73"/>
      <c r="AN58" s="78"/>
      <c r="AO58" s="73"/>
      <c r="AP58" s="78"/>
      <c r="AQ58" s="73"/>
      <c r="AR58" s="78"/>
      <c r="AS58" s="73"/>
      <c r="AT58" s="78"/>
      <c r="AU58" s="73"/>
      <c r="AV58" s="78"/>
      <c r="AW58" s="73"/>
      <c r="AX58" s="78"/>
      <c r="AY58" s="73"/>
      <c r="AZ58" s="78">
        <f t="shared" ref="AZ58" si="84">+ROUND(AY58*$I58,0)</f>
        <v>0</v>
      </c>
      <c r="BA58" s="73"/>
      <c r="BB58" s="78"/>
      <c r="BC58" s="73"/>
      <c r="BD58" s="78"/>
      <c r="BE58" s="73"/>
      <c r="BF58" s="78"/>
      <c r="BG58" s="73"/>
      <c r="BH58" s="78"/>
      <c r="BI58" s="73"/>
      <c r="BJ58" s="78"/>
      <c r="BK58" s="73"/>
      <c r="BL58" s="78"/>
      <c r="BM58" s="73"/>
      <c r="BN58" s="78"/>
      <c r="BO58" s="73"/>
      <c r="BP58" s="78">
        <f t="shared" ref="BP58" si="85">+ROUND(BO58*$I58,0)</f>
        <v>0</v>
      </c>
      <c r="BQ58" s="73"/>
      <c r="BR58" s="78"/>
      <c r="BS58" s="73"/>
      <c r="BT58" s="78"/>
      <c r="BU58" s="73"/>
      <c r="BV58" s="78"/>
      <c r="BW58" s="73"/>
      <c r="BX58" s="78"/>
      <c r="BY58" s="73"/>
      <c r="BZ58" s="78"/>
      <c r="CA58" s="73"/>
      <c r="CB58" s="78"/>
      <c r="CC58" s="73"/>
      <c r="CD58" s="78"/>
      <c r="CE58" s="73"/>
      <c r="CF58" s="78"/>
    </row>
    <row r="59" spans="1:84"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45"/>
        <v>0</v>
      </c>
      <c r="H59" s="69">
        <f>+VLOOKUP(C59,'PRECIOS IDU 2025'!$A$1:$E$3189,4,FALSE)</f>
        <v>5591</v>
      </c>
      <c r="I59" s="69">
        <f t="shared" si="46"/>
        <v>7268</v>
      </c>
      <c r="J59" s="69">
        <f t="shared" si="47"/>
        <v>0</v>
      </c>
      <c r="K59" s="9"/>
      <c r="L59" s="3"/>
      <c r="M59" s="73"/>
      <c r="N59" s="78"/>
      <c r="O59" s="73"/>
      <c r="P59" s="78"/>
      <c r="Q59" s="73"/>
      <c r="R59" s="78"/>
      <c r="S59" s="73"/>
      <c r="T59" s="78"/>
      <c r="U59" s="73"/>
      <c r="V59" s="78"/>
      <c r="W59" s="73"/>
      <c r="X59" s="78"/>
      <c r="Y59" s="73"/>
      <c r="Z59" s="78"/>
      <c r="AA59" s="73"/>
      <c r="AB59" s="78"/>
      <c r="AC59" s="73"/>
      <c r="AD59" s="78"/>
      <c r="AE59" s="73"/>
      <c r="AF59" s="78"/>
      <c r="AG59" s="73"/>
      <c r="AH59" s="78"/>
      <c r="AI59" s="73"/>
      <c r="AJ59" s="78"/>
      <c r="AK59" s="73"/>
      <c r="AL59" s="78"/>
      <c r="AM59" s="73"/>
      <c r="AN59" s="78"/>
      <c r="AO59" s="73"/>
      <c r="AP59" s="78"/>
      <c r="AQ59" s="73"/>
      <c r="AR59" s="78"/>
      <c r="AS59" s="73"/>
      <c r="AT59" s="78"/>
      <c r="AU59" s="73"/>
      <c r="AV59" s="78"/>
      <c r="AW59" s="73"/>
      <c r="AX59" s="78"/>
      <c r="AY59" s="73"/>
      <c r="AZ59" s="78">
        <f t="shared" ref="AZ59" si="86">+ROUND(AY59*$I59,0)</f>
        <v>0</v>
      </c>
      <c r="BA59" s="73"/>
      <c r="BB59" s="78"/>
      <c r="BC59" s="73"/>
      <c r="BD59" s="78"/>
      <c r="BE59" s="73"/>
      <c r="BF59" s="78"/>
      <c r="BG59" s="73"/>
      <c r="BH59" s="78"/>
      <c r="BI59" s="73"/>
      <c r="BJ59" s="78"/>
      <c r="BK59" s="73"/>
      <c r="BL59" s="78"/>
      <c r="BM59" s="73"/>
      <c r="BN59" s="78"/>
      <c r="BO59" s="73"/>
      <c r="BP59" s="78">
        <f t="shared" ref="BP59" si="87">+ROUND(BO59*$I59,0)</f>
        <v>0</v>
      </c>
      <c r="BQ59" s="73"/>
      <c r="BR59" s="78"/>
      <c r="BS59" s="73"/>
      <c r="BT59" s="78"/>
      <c r="BU59" s="73"/>
      <c r="BV59" s="78"/>
      <c r="BW59" s="73"/>
      <c r="BX59" s="78"/>
      <c r="BY59" s="73"/>
      <c r="BZ59" s="78"/>
      <c r="CA59" s="73"/>
      <c r="CB59" s="78"/>
      <c r="CC59" s="73"/>
      <c r="CD59" s="78"/>
      <c r="CE59" s="73"/>
      <c r="CF59" s="78"/>
    </row>
    <row r="60" spans="1:84"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45"/>
        <v>0</v>
      </c>
      <c r="H60" s="69">
        <f>+VLOOKUP(C60,'PRECIOS IDU 2025'!$A$1:$E$3189,4,FALSE)</f>
        <v>8404</v>
      </c>
      <c r="I60" s="69">
        <f t="shared" si="46"/>
        <v>10925</v>
      </c>
      <c r="J60" s="69">
        <f t="shared" si="47"/>
        <v>0</v>
      </c>
      <c r="K60" s="9"/>
      <c r="L60" s="3"/>
      <c r="M60" s="73"/>
      <c r="N60" s="78"/>
      <c r="O60" s="73"/>
      <c r="P60" s="78"/>
      <c r="Q60" s="73"/>
      <c r="R60" s="78"/>
      <c r="S60" s="73"/>
      <c r="T60" s="78"/>
      <c r="U60" s="73"/>
      <c r="V60" s="78"/>
      <c r="W60" s="73"/>
      <c r="X60" s="78"/>
      <c r="Y60" s="73"/>
      <c r="Z60" s="78"/>
      <c r="AA60" s="73"/>
      <c r="AB60" s="78"/>
      <c r="AC60" s="73"/>
      <c r="AD60" s="78"/>
      <c r="AE60" s="73"/>
      <c r="AF60" s="78"/>
      <c r="AG60" s="73"/>
      <c r="AH60" s="78"/>
      <c r="AI60" s="73"/>
      <c r="AJ60" s="78"/>
      <c r="AK60" s="73"/>
      <c r="AL60" s="78"/>
      <c r="AM60" s="73"/>
      <c r="AN60" s="78"/>
      <c r="AO60" s="73"/>
      <c r="AP60" s="78"/>
      <c r="AQ60" s="73"/>
      <c r="AR60" s="78"/>
      <c r="AS60" s="73"/>
      <c r="AT60" s="78"/>
      <c r="AU60" s="73"/>
      <c r="AV60" s="78"/>
      <c r="AW60" s="73"/>
      <c r="AX60" s="78"/>
      <c r="AY60" s="73"/>
      <c r="AZ60" s="78">
        <f t="shared" ref="AZ60" si="88">+ROUND(AY60*$I60,0)</f>
        <v>0</v>
      </c>
      <c r="BA60" s="73"/>
      <c r="BB60" s="78"/>
      <c r="BC60" s="73"/>
      <c r="BD60" s="78"/>
      <c r="BE60" s="73"/>
      <c r="BF60" s="78"/>
      <c r="BG60" s="73"/>
      <c r="BH60" s="78"/>
      <c r="BI60" s="73"/>
      <c r="BJ60" s="78"/>
      <c r="BK60" s="73"/>
      <c r="BL60" s="78"/>
      <c r="BM60" s="73"/>
      <c r="BN60" s="78"/>
      <c r="BO60" s="73"/>
      <c r="BP60" s="78">
        <f t="shared" ref="BP60" si="89">+ROUND(BO60*$I60,0)</f>
        <v>0</v>
      </c>
      <c r="BQ60" s="73"/>
      <c r="BR60" s="78"/>
      <c r="BS60" s="73"/>
      <c r="BT60" s="78"/>
      <c r="BU60" s="73"/>
      <c r="BV60" s="78"/>
      <c r="BW60" s="73"/>
      <c r="BX60" s="78"/>
      <c r="BY60" s="73"/>
      <c r="BZ60" s="78"/>
      <c r="CA60" s="73"/>
      <c r="CB60" s="78"/>
      <c r="CC60" s="73"/>
      <c r="CD60" s="78"/>
      <c r="CE60" s="73"/>
      <c r="CF60" s="78"/>
    </row>
    <row r="61" spans="1:84"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45"/>
        <v>0</v>
      </c>
      <c r="H61" s="69">
        <f>+VLOOKUP(C61,'PRECIOS IDU 2025'!$A$1:$E$3189,4,FALSE)</f>
        <v>7882</v>
      </c>
      <c r="I61" s="69">
        <f t="shared" si="46"/>
        <v>10247</v>
      </c>
      <c r="J61" s="69">
        <f t="shared" si="47"/>
        <v>0</v>
      </c>
      <c r="K61" s="9"/>
      <c r="L61" s="3"/>
      <c r="M61" s="73"/>
      <c r="N61" s="78"/>
      <c r="O61" s="73"/>
      <c r="P61" s="78"/>
      <c r="Q61" s="73"/>
      <c r="R61" s="78"/>
      <c r="S61" s="73"/>
      <c r="T61" s="78"/>
      <c r="U61" s="73"/>
      <c r="V61" s="78"/>
      <c r="W61" s="73"/>
      <c r="X61" s="78"/>
      <c r="Y61" s="73"/>
      <c r="Z61" s="78"/>
      <c r="AA61" s="73"/>
      <c r="AB61" s="78"/>
      <c r="AC61" s="73"/>
      <c r="AD61" s="78"/>
      <c r="AE61" s="73"/>
      <c r="AF61" s="78"/>
      <c r="AG61" s="73"/>
      <c r="AH61" s="78"/>
      <c r="AI61" s="73"/>
      <c r="AJ61" s="78"/>
      <c r="AK61" s="73"/>
      <c r="AL61" s="78"/>
      <c r="AM61" s="73"/>
      <c r="AN61" s="78"/>
      <c r="AO61" s="73"/>
      <c r="AP61" s="78"/>
      <c r="AQ61" s="73"/>
      <c r="AR61" s="78"/>
      <c r="AS61" s="73"/>
      <c r="AT61" s="78"/>
      <c r="AU61" s="73"/>
      <c r="AV61" s="78"/>
      <c r="AW61" s="73"/>
      <c r="AX61" s="78"/>
      <c r="AY61" s="73"/>
      <c r="AZ61" s="78">
        <f t="shared" ref="AZ61" si="90">+ROUND(AY61*$I61,0)</f>
        <v>0</v>
      </c>
      <c r="BA61" s="73"/>
      <c r="BB61" s="78"/>
      <c r="BC61" s="73"/>
      <c r="BD61" s="78"/>
      <c r="BE61" s="73"/>
      <c r="BF61" s="78"/>
      <c r="BG61" s="73"/>
      <c r="BH61" s="78"/>
      <c r="BI61" s="73"/>
      <c r="BJ61" s="78"/>
      <c r="BK61" s="73"/>
      <c r="BL61" s="78"/>
      <c r="BM61" s="73"/>
      <c r="BN61" s="78"/>
      <c r="BO61" s="73"/>
      <c r="BP61" s="78">
        <f t="shared" ref="BP61" si="91">+ROUND(BO61*$I61,0)</f>
        <v>0</v>
      </c>
      <c r="BQ61" s="73"/>
      <c r="BR61" s="78"/>
      <c r="BS61" s="73"/>
      <c r="BT61" s="78"/>
      <c r="BU61" s="73"/>
      <c r="BV61" s="78"/>
      <c r="BW61" s="73"/>
      <c r="BX61" s="78"/>
      <c r="BY61" s="73"/>
      <c r="BZ61" s="78"/>
      <c r="CA61" s="73"/>
      <c r="CB61" s="78"/>
      <c r="CC61" s="73"/>
      <c r="CD61" s="78"/>
      <c r="CE61" s="73"/>
      <c r="CF61" s="78"/>
    </row>
    <row r="62" spans="1:84"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45"/>
        <v>0</v>
      </c>
      <c r="H62" s="69">
        <f>+VLOOKUP(C62,'PRECIOS IDU 2025'!$A$1:$E$3189,4,FALSE)</f>
        <v>7882</v>
      </c>
      <c r="I62" s="69">
        <f t="shared" si="46"/>
        <v>10247</v>
      </c>
      <c r="J62" s="69">
        <f t="shared" si="47"/>
        <v>0</v>
      </c>
      <c r="K62" s="9"/>
      <c r="L62" s="3"/>
      <c r="M62" s="73"/>
      <c r="N62" s="78"/>
      <c r="O62" s="73"/>
      <c r="P62" s="78"/>
      <c r="Q62" s="73"/>
      <c r="R62" s="78"/>
      <c r="S62" s="73"/>
      <c r="T62" s="78"/>
      <c r="U62" s="73"/>
      <c r="V62" s="78"/>
      <c r="W62" s="73"/>
      <c r="X62" s="78"/>
      <c r="Y62" s="73"/>
      <c r="Z62" s="78"/>
      <c r="AA62" s="73"/>
      <c r="AB62" s="78"/>
      <c r="AC62" s="73"/>
      <c r="AD62" s="78"/>
      <c r="AE62" s="73"/>
      <c r="AF62" s="78"/>
      <c r="AG62" s="73"/>
      <c r="AH62" s="78"/>
      <c r="AI62" s="73"/>
      <c r="AJ62" s="78"/>
      <c r="AK62" s="73"/>
      <c r="AL62" s="78"/>
      <c r="AM62" s="73"/>
      <c r="AN62" s="78"/>
      <c r="AO62" s="73"/>
      <c r="AP62" s="78"/>
      <c r="AQ62" s="73"/>
      <c r="AR62" s="78"/>
      <c r="AS62" s="73"/>
      <c r="AT62" s="78"/>
      <c r="AU62" s="73"/>
      <c r="AV62" s="78"/>
      <c r="AW62" s="73"/>
      <c r="AX62" s="78"/>
      <c r="AY62" s="73"/>
      <c r="AZ62" s="78">
        <f t="shared" ref="AZ62" si="92">+ROUND(AY62*$I62,0)</f>
        <v>0</v>
      </c>
      <c r="BA62" s="73"/>
      <c r="BB62" s="78"/>
      <c r="BC62" s="73"/>
      <c r="BD62" s="78"/>
      <c r="BE62" s="73"/>
      <c r="BF62" s="78"/>
      <c r="BG62" s="73"/>
      <c r="BH62" s="78"/>
      <c r="BI62" s="73"/>
      <c r="BJ62" s="78"/>
      <c r="BK62" s="73"/>
      <c r="BL62" s="78"/>
      <c r="BM62" s="73"/>
      <c r="BN62" s="78"/>
      <c r="BO62" s="73"/>
      <c r="BP62" s="78">
        <f t="shared" ref="BP62" si="93">+ROUND(BO62*$I62,0)</f>
        <v>0</v>
      </c>
      <c r="BQ62" s="73"/>
      <c r="BR62" s="78"/>
      <c r="BS62" s="73"/>
      <c r="BT62" s="78"/>
      <c r="BU62" s="73"/>
      <c r="BV62" s="78"/>
      <c r="BW62" s="73"/>
      <c r="BX62" s="78"/>
      <c r="BY62" s="73"/>
      <c r="BZ62" s="78"/>
      <c r="CA62" s="73"/>
      <c r="CB62" s="78"/>
      <c r="CC62" s="73"/>
      <c r="CD62" s="78"/>
      <c r="CE62" s="73"/>
      <c r="CF62" s="78"/>
    </row>
    <row r="63" spans="1:84"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45"/>
        <v>0</v>
      </c>
      <c r="H63" s="69">
        <f>+VLOOKUP(C63,'PRECIOS IDU 2025'!$A$1:$E$3189,4,FALSE)</f>
        <v>875661</v>
      </c>
      <c r="I63" s="69">
        <f t="shared" si="46"/>
        <v>1138359</v>
      </c>
      <c r="J63" s="69">
        <f t="shared" si="47"/>
        <v>0</v>
      </c>
      <c r="K63" s="9"/>
      <c r="L63" s="3"/>
      <c r="M63" s="73"/>
      <c r="N63" s="78"/>
      <c r="O63" s="73"/>
      <c r="P63" s="78"/>
      <c r="Q63" s="73"/>
      <c r="R63" s="78"/>
      <c r="S63" s="73"/>
      <c r="T63" s="78"/>
      <c r="U63" s="73"/>
      <c r="V63" s="78"/>
      <c r="W63" s="73"/>
      <c r="X63" s="78"/>
      <c r="Y63" s="73"/>
      <c r="Z63" s="78"/>
      <c r="AA63" s="73"/>
      <c r="AB63" s="78"/>
      <c r="AC63" s="73"/>
      <c r="AD63" s="78"/>
      <c r="AE63" s="73"/>
      <c r="AF63" s="78"/>
      <c r="AG63" s="73"/>
      <c r="AH63" s="78"/>
      <c r="AI63" s="73"/>
      <c r="AJ63" s="78"/>
      <c r="AK63" s="73"/>
      <c r="AL63" s="78"/>
      <c r="AM63" s="73"/>
      <c r="AN63" s="78"/>
      <c r="AO63" s="73"/>
      <c r="AP63" s="78"/>
      <c r="AQ63" s="73"/>
      <c r="AR63" s="78"/>
      <c r="AS63" s="73"/>
      <c r="AT63" s="78"/>
      <c r="AU63" s="73"/>
      <c r="AV63" s="78"/>
      <c r="AW63" s="73"/>
      <c r="AX63" s="78"/>
      <c r="AY63" s="73"/>
      <c r="AZ63" s="78">
        <f t="shared" ref="AZ63" si="94">+ROUND(AY63*$I63,0)</f>
        <v>0</v>
      </c>
      <c r="BA63" s="73"/>
      <c r="BB63" s="78"/>
      <c r="BC63" s="73"/>
      <c r="BD63" s="78"/>
      <c r="BE63" s="73"/>
      <c r="BF63" s="78"/>
      <c r="BG63" s="73"/>
      <c r="BH63" s="78"/>
      <c r="BI63" s="73"/>
      <c r="BJ63" s="78"/>
      <c r="BK63" s="73"/>
      <c r="BL63" s="78"/>
      <c r="BM63" s="73"/>
      <c r="BN63" s="78"/>
      <c r="BO63" s="73"/>
      <c r="BP63" s="78">
        <f t="shared" ref="BP63" si="95">+ROUND(BO63*$I63,0)</f>
        <v>0</v>
      </c>
      <c r="BQ63" s="73"/>
      <c r="BR63" s="78"/>
      <c r="BS63" s="73"/>
      <c r="BT63" s="78"/>
      <c r="BU63" s="73"/>
      <c r="BV63" s="78"/>
      <c r="BW63" s="73"/>
      <c r="BX63" s="78"/>
      <c r="BY63" s="73"/>
      <c r="BZ63" s="78"/>
      <c r="CA63" s="73"/>
      <c r="CB63" s="78"/>
      <c r="CC63" s="73"/>
      <c r="CD63" s="78"/>
      <c r="CE63" s="73"/>
      <c r="CF63" s="78"/>
    </row>
    <row r="64" spans="1:84"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45"/>
        <v>0</v>
      </c>
      <c r="H64" s="69">
        <f>+VLOOKUP(C64,'PRECIOS IDU 2025'!$A$1:$E$3189,4,FALSE)</f>
        <v>890453</v>
      </c>
      <c r="I64" s="69">
        <f t="shared" si="46"/>
        <v>1157589</v>
      </c>
      <c r="J64" s="69">
        <f t="shared" si="47"/>
        <v>0</v>
      </c>
      <c r="K64" s="9"/>
      <c r="L64" s="3"/>
      <c r="M64" s="73"/>
      <c r="N64" s="78"/>
      <c r="O64" s="73"/>
      <c r="P64" s="78"/>
      <c r="Q64" s="73"/>
      <c r="R64" s="78"/>
      <c r="S64" s="73"/>
      <c r="T64" s="78"/>
      <c r="U64" s="73"/>
      <c r="V64" s="78"/>
      <c r="W64" s="73"/>
      <c r="X64" s="78"/>
      <c r="Y64" s="73"/>
      <c r="Z64" s="78"/>
      <c r="AA64" s="73"/>
      <c r="AB64" s="78"/>
      <c r="AC64" s="73"/>
      <c r="AD64" s="78"/>
      <c r="AE64" s="73"/>
      <c r="AF64" s="78"/>
      <c r="AG64" s="73"/>
      <c r="AH64" s="78"/>
      <c r="AI64" s="73"/>
      <c r="AJ64" s="78"/>
      <c r="AK64" s="73"/>
      <c r="AL64" s="78"/>
      <c r="AM64" s="73"/>
      <c r="AN64" s="78"/>
      <c r="AO64" s="73"/>
      <c r="AP64" s="78"/>
      <c r="AQ64" s="73"/>
      <c r="AR64" s="78"/>
      <c r="AS64" s="73"/>
      <c r="AT64" s="78"/>
      <c r="AU64" s="73"/>
      <c r="AV64" s="78"/>
      <c r="AW64" s="73"/>
      <c r="AX64" s="78"/>
      <c r="AY64" s="73"/>
      <c r="AZ64" s="78">
        <f t="shared" ref="AZ64" si="96">+ROUND(AY64*$I64,0)</f>
        <v>0</v>
      </c>
      <c r="BA64" s="73"/>
      <c r="BB64" s="78"/>
      <c r="BC64" s="73"/>
      <c r="BD64" s="78"/>
      <c r="BE64" s="73"/>
      <c r="BF64" s="78"/>
      <c r="BG64" s="73"/>
      <c r="BH64" s="78"/>
      <c r="BI64" s="73"/>
      <c r="BJ64" s="78"/>
      <c r="BK64" s="73"/>
      <c r="BL64" s="78"/>
      <c r="BM64" s="73"/>
      <c r="BN64" s="78"/>
      <c r="BO64" s="73"/>
      <c r="BP64" s="78">
        <f t="shared" ref="BP64" si="97">+ROUND(BO64*$I64,0)</f>
        <v>0</v>
      </c>
      <c r="BQ64" s="73"/>
      <c r="BR64" s="78"/>
      <c r="BS64" s="73"/>
      <c r="BT64" s="78"/>
      <c r="BU64" s="73"/>
      <c r="BV64" s="78"/>
      <c r="BW64" s="73"/>
      <c r="BX64" s="78"/>
      <c r="BY64" s="73"/>
      <c r="BZ64" s="78"/>
      <c r="CA64" s="73"/>
      <c r="CB64" s="78"/>
      <c r="CC64" s="73"/>
      <c r="CD64" s="78"/>
      <c r="CE64" s="73"/>
      <c r="CF64" s="78"/>
    </row>
    <row r="65" spans="1:84"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45"/>
        <v>0</v>
      </c>
      <c r="H65" s="69">
        <f>+VLOOKUP(C65,'PRECIOS IDU 2025'!$A$1:$E$3189,4,FALSE)</f>
        <v>2554</v>
      </c>
      <c r="I65" s="69">
        <f t="shared" si="46"/>
        <v>3320</v>
      </c>
      <c r="J65" s="69">
        <f t="shared" si="47"/>
        <v>0</v>
      </c>
      <c r="K65" s="9"/>
      <c r="L65" s="3"/>
      <c r="M65" s="73"/>
      <c r="N65" s="78"/>
      <c r="O65" s="73"/>
      <c r="P65" s="78"/>
      <c r="Q65" s="73"/>
      <c r="R65" s="78"/>
      <c r="S65" s="73"/>
      <c r="T65" s="78"/>
      <c r="U65" s="73"/>
      <c r="V65" s="78"/>
      <c r="W65" s="73"/>
      <c r="X65" s="78"/>
      <c r="Y65" s="73"/>
      <c r="Z65" s="78"/>
      <c r="AA65" s="73"/>
      <c r="AB65" s="78"/>
      <c r="AC65" s="73"/>
      <c r="AD65" s="78"/>
      <c r="AE65" s="73"/>
      <c r="AF65" s="78"/>
      <c r="AG65" s="73"/>
      <c r="AH65" s="78"/>
      <c r="AI65" s="73"/>
      <c r="AJ65" s="78"/>
      <c r="AK65" s="73"/>
      <c r="AL65" s="78"/>
      <c r="AM65" s="73"/>
      <c r="AN65" s="78"/>
      <c r="AO65" s="73"/>
      <c r="AP65" s="78"/>
      <c r="AQ65" s="73"/>
      <c r="AR65" s="78"/>
      <c r="AS65" s="73"/>
      <c r="AT65" s="78"/>
      <c r="AU65" s="73"/>
      <c r="AV65" s="78"/>
      <c r="AW65" s="73"/>
      <c r="AX65" s="78"/>
      <c r="AY65" s="73"/>
      <c r="AZ65" s="78">
        <f t="shared" ref="AZ65" si="98">+ROUND(AY65*$I65,0)</f>
        <v>0</v>
      </c>
      <c r="BA65" s="73"/>
      <c r="BB65" s="78"/>
      <c r="BC65" s="73"/>
      <c r="BD65" s="78"/>
      <c r="BE65" s="73"/>
      <c r="BF65" s="78"/>
      <c r="BG65" s="73"/>
      <c r="BH65" s="78"/>
      <c r="BI65" s="73"/>
      <c r="BJ65" s="78"/>
      <c r="BK65" s="73"/>
      <c r="BL65" s="78"/>
      <c r="BM65" s="73"/>
      <c r="BN65" s="78"/>
      <c r="BO65" s="73"/>
      <c r="BP65" s="78">
        <f t="shared" ref="BP65" si="99">+ROUND(BO65*$I65,0)</f>
        <v>0</v>
      </c>
      <c r="BQ65" s="73"/>
      <c r="BR65" s="78"/>
      <c r="BS65" s="73"/>
      <c r="BT65" s="78"/>
      <c r="BU65" s="73"/>
      <c r="BV65" s="78"/>
      <c r="BW65" s="73"/>
      <c r="BX65" s="78"/>
      <c r="BY65" s="73"/>
      <c r="BZ65" s="78"/>
      <c r="CA65" s="73"/>
      <c r="CB65" s="78"/>
      <c r="CC65" s="73"/>
      <c r="CD65" s="78"/>
      <c r="CE65" s="73"/>
      <c r="CF65" s="78"/>
    </row>
    <row r="66" spans="1:84"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45"/>
        <v>0</v>
      </c>
      <c r="H66" s="69">
        <f>+VLOOKUP(C66,'PRECIOS IDU 2025'!$A$1:$E$3189,4,FALSE)</f>
        <v>13778</v>
      </c>
      <c r="I66" s="69">
        <f t="shared" si="46"/>
        <v>17911</v>
      </c>
      <c r="J66" s="69">
        <f t="shared" si="47"/>
        <v>0</v>
      </c>
      <c r="K66" s="9"/>
      <c r="L66" s="3"/>
      <c r="M66" s="73"/>
      <c r="N66" s="78"/>
      <c r="O66" s="73"/>
      <c r="P66" s="78"/>
      <c r="Q66" s="73"/>
      <c r="R66" s="78"/>
      <c r="S66" s="73"/>
      <c r="T66" s="78"/>
      <c r="U66" s="73"/>
      <c r="V66" s="78"/>
      <c r="W66" s="73"/>
      <c r="X66" s="78"/>
      <c r="Y66" s="73"/>
      <c r="Z66" s="78"/>
      <c r="AA66" s="73"/>
      <c r="AB66" s="78"/>
      <c r="AC66" s="73"/>
      <c r="AD66" s="78"/>
      <c r="AE66" s="73"/>
      <c r="AF66" s="78"/>
      <c r="AG66" s="73"/>
      <c r="AH66" s="78"/>
      <c r="AI66" s="73"/>
      <c r="AJ66" s="78"/>
      <c r="AK66" s="73"/>
      <c r="AL66" s="78"/>
      <c r="AM66" s="73"/>
      <c r="AN66" s="78"/>
      <c r="AO66" s="73"/>
      <c r="AP66" s="78"/>
      <c r="AQ66" s="73"/>
      <c r="AR66" s="78"/>
      <c r="AS66" s="73"/>
      <c r="AT66" s="78"/>
      <c r="AU66" s="73"/>
      <c r="AV66" s="78"/>
      <c r="AW66" s="73"/>
      <c r="AX66" s="78"/>
      <c r="AY66" s="73"/>
      <c r="AZ66" s="78">
        <f t="shared" ref="AZ66" si="100">+ROUND(AY66*$I66,0)</f>
        <v>0</v>
      </c>
      <c r="BA66" s="73"/>
      <c r="BB66" s="78"/>
      <c r="BC66" s="73"/>
      <c r="BD66" s="78"/>
      <c r="BE66" s="73"/>
      <c r="BF66" s="78"/>
      <c r="BG66" s="73"/>
      <c r="BH66" s="78"/>
      <c r="BI66" s="73"/>
      <c r="BJ66" s="78"/>
      <c r="BK66" s="73"/>
      <c r="BL66" s="78"/>
      <c r="BM66" s="73"/>
      <c r="BN66" s="78"/>
      <c r="BO66" s="73"/>
      <c r="BP66" s="78">
        <f t="shared" ref="BP66" si="101">+ROUND(BO66*$I66,0)</f>
        <v>0</v>
      </c>
      <c r="BQ66" s="73"/>
      <c r="BR66" s="78"/>
      <c r="BS66" s="73"/>
      <c r="BT66" s="78"/>
      <c r="BU66" s="73"/>
      <c r="BV66" s="78"/>
      <c r="BW66" s="73"/>
      <c r="BX66" s="78"/>
      <c r="BY66" s="73"/>
      <c r="BZ66" s="78"/>
      <c r="CA66" s="73"/>
      <c r="CB66" s="78"/>
      <c r="CC66" s="73"/>
      <c r="CD66" s="78"/>
      <c r="CE66" s="73"/>
      <c r="CF66" s="78"/>
    </row>
    <row r="67" spans="1:84"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45"/>
        <v>0</v>
      </c>
      <c r="H67" s="69">
        <f>+VLOOKUP(C67,'PRECIOS IDU 2025'!$A$1:$E$3189,4,FALSE)</f>
        <v>10578</v>
      </c>
      <c r="I67" s="69">
        <f t="shared" si="46"/>
        <v>13751</v>
      </c>
      <c r="J67" s="69">
        <f t="shared" si="47"/>
        <v>0</v>
      </c>
      <c r="K67" s="9"/>
      <c r="L67" s="3"/>
      <c r="M67" s="76"/>
      <c r="N67" s="78"/>
      <c r="O67" s="76"/>
      <c r="P67" s="78"/>
      <c r="Q67" s="76"/>
      <c r="R67" s="78"/>
      <c r="S67" s="76"/>
      <c r="T67" s="78"/>
      <c r="U67" s="76"/>
      <c r="V67" s="78"/>
      <c r="W67" s="76"/>
      <c r="X67" s="78"/>
      <c r="Y67" s="76"/>
      <c r="Z67" s="78"/>
      <c r="AA67" s="76"/>
      <c r="AB67" s="78"/>
      <c r="AC67" s="76"/>
      <c r="AD67" s="78"/>
      <c r="AE67" s="76"/>
      <c r="AF67" s="78"/>
      <c r="AG67" s="76"/>
      <c r="AH67" s="78"/>
      <c r="AI67" s="76"/>
      <c r="AJ67" s="78"/>
      <c r="AK67" s="76"/>
      <c r="AL67" s="78"/>
      <c r="AM67" s="76"/>
      <c r="AN67" s="78"/>
      <c r="AO67" s="76"/>
      <c r="AP67" s="78"/>
      <c r="AQ67" s="76"/>
      <c r="AR67" s="78"/>
      <c r="AS67" s="76"/>
      <c r="AT67" s="78"/>
      <c r="AU67" s="76"/>
      <c r="AV67" s="78"/>
      <c r="AW67" s="76"/>
      <c r="AX67" s="78"/>
      <c r="AY67" s="76"/>
      <c r="AZ67" s="78">
        <f t="shared" ref="AZ67" si="102">+ROUND(AY67*$I67,0)</f>
        <v>0</v>
      </c>
      <c r="BA67" s="76"/>
      <c r="BB67" s="78"/>
      <c r="BC67" s="76"/>
      <c r="BD67" s="78"/>
      <c r="BE67" s="76"/>
      <c r="BF67" s="78"/>
      <c r="BG67" s="76"/>
      <c r="BH67" s="78"/>
      <c r="BI67" s="76"/>
      <c r="BJ67" s="78"/>
      <c r="BK67" s="76"/>
      <c r="BL67" s="78"/>
      <c r="BM67" s="76"/>
      <c r="BN67" s="78"/>
      <c r="BO67" s="76"/>
      <c r="BP67" s="78">
        <f t="shared" ref="BP67" si="103">+ROUND(BO67*$I67,0)</f>
        <v>0</v>
      </c>
      <c r="BQ67" s="76"/>
      <c r="BR67" s="78"/>
      <c r="BS67" s="76"/>
      <c r="BT67" s="78"/>
      <c r="BU67" s="76"/>
      <c r="BV67" s="78"/>
      <c r="BW67" s="76"/>
      <c r="BX67" s="78"/>
      <c r="BY67" s="76"/>
      <c r="BZ67" s="78"/>
      <c r="CA67" s="76"/>
      <c r="CB67" s="78"/>
      <c r="CC67" s="76"/>
      <c r="CD67" s="78"/>
      <c r="CE67" s="76"/>
      <c r="CF67" s="78"/>
    </row>
    <row r="68" spans="1:84" ht="30" customHeight="1" x14ac:dyDescent="0.3">
      <c r="A68" s="3"/>
      <c r="B68" s="8"/>
      <c r="C68" s="61" t="s">
        <v>6078</v>
      </c>
      <c r="D68" s="62"/>
      <c r="E68" s="62"/>
      <c r="F68" s="62"/>
      <c r="G68" s="62"/>
      <c r="H68" s="62"/>
      <c r="I68" s="62"/>
      <c r="J68" s="63"/>
      <c r="K68" s="9"/>
      <c r="L68" s="3"/>
      <c r="M68" s="76"/>
      <c r="N68" s="78"/>
      <c r="O68" s="76"/>
      <c r="P68" s="78"/>
      <c r="Q68" s="76"/>
      <c r="R68" s="78"/>
      <c r="S68" s="76"/>
      <c r="T68" s="78"/>
      <c r="U68" s="76"/>
      <c r="V68" s="78"/>
      <c r="W68" s="76"/>
      <c r="X68" s="78"/>
      <c r="Y68" s="76"/>
      <c r="Z68" s="78"/>
      <c r="AA68" s="76"/>
      <c r="AB68" s="78"/>
      <c r="AC68" s="76"/>
      <c r="AD68" s="78"/>
      <c r="AE68" s="76"/>
      <c r="AF68" s="78"/>
      <c r="AG68" s="76"/>
      <c r="AH68" s="78"/>
      <c r="AI68" s="76"/>
      <c r="AJ68" s="78"/>
      <c r="AK68" s="76"/>
      <c r="AL68" s="78"/>
      <c r="AM68" s="76"/>
      <c r="AN68" s="78"/>
      <c r="AO68" s="76"/>
      <c r="AP68" s="78"/>
      <c r="AQ68" s="76"/>
      <c r="AR68" s="78"/>
      <c r="AS68" s="76"/>
      <c r="AT68" s="78"/>
      <c r="AU68" s="76"/>
      <c r="AV68" s="78"/>
      <c r="AW68" s="76"/>
      <c r="AX68" s="78"/>
      <c r="AY68" s="76"/>
      <c r="AZ68" s="78">
        <f t="shared" ref="AZ68" si="104">+ROUND(AY68*$I68,0)</f>
        <v>0</v>
      </c>
      <c r="BA68" s="76"/>
      <c r="BB68" s="78"/>
      <c r="BC68" s="76"/>
      <c r="BD68" s="78"/>
      <c r="BE68" s="76"/>
      <c r="BF68" s="78"/>
      <c r="BG68" s="76"/>
      <c r="BH68" s="78"/>
      <c r="BI68" s="76"/>
      <c r="BJ68" s="78"/>
      <c r="BK68" s="76"/>
      <c r="BL68" s="78"/>
      <c r="BM68" s="76"/>
      <c r="BN68" s="78"/>
      <c r="BO68" s="76"/>
      <c r="BP68" s="78">
        <f t="shared" ref="BP68" si="105">+ROUND(BO68*$I68,0)</f>
        <v>0</v>
      </c>
      <c r="BQ68" s="76"/>
      <c r="BR68" s="78"/>
      <c r="BS68" s="76"/>
      <c r="BT68" s="78"/>
      <c r="BU68" s="76"/>
      <c r="BV68" s="78"/>
      <c r="BW68" s="76"/>
      <c r="BX68" s="78"/>
      <c r="BY68" s="76"/>
      <c r="BZ68" s="78"/>
      <c r="CA68" s="76"/>
      <c r="CB68" s="78"/>
      <c r="CC68" s="76"/>
      <c r="CD68" s="78"/>
      <c r="CE68" s="76"/>
      <c r="CF68" s="78"/>
    </row>
    <row r="69" spans="1:84" ht="30" customHeight="1" x14ac:dyDescent="0.3">
      <c r="A69" s="3"/>
      <c r="B69" s="8"/>
      <c r="C69" s="60">
        <v>3007</v>
      </c>
      <c r="D69" s="60">
        <v>3001</v>
      </c>
      <c r="E69" s="60" t="str">
        <f>+VLOOKUP(C69,'PRECIOS IDU 2025'!$A$1:$E$3189,2,FALSE)</f>
        <v>REPLANTEO GENERAL</v>
      </c>
      <c r="F69" s="60" t="str">
        <f>+VLOOKUP(C69,'PRECIOS IDU 2025'!$A$1:$E$3189,3,FALSE)</f>
        <v>M2</v>
      </c>
      <c r="G69" s="108">
        <f t="shared" ref="G69:G85" si="106">+ROUND(M69+O69+Q69+S69+U69+W69+Y69+AA69+AC69+AE69+AG69+AI69+AK69+AM69+AO69+AQ69+AS69+AU69+AW69+AY69+BA69+BC69+BE69+BG69+BI69+BK69+BM69+BO69+BQ69+BS69+BU69+BW69+BY69+CA69+CC69+CE69,2)</f>
        <v>0</v>
      </c>
      <c r="H69" s="69">
        <f>+VLOOKUP(C69,'PRECIOS IDU 2025'!$A$1:$E$3189,4,FALSE)</f>
        <v>909</v>
      </c>
      <c r="I69" s="69">
        <f t="shared" ref="I69:I85" si="107">+ROUND(H69*(1+$J$192),0)</f>
        <v>1182</v>
      </c>
      <c r="J69" s="69">
        <f t="shared" ref="J69:J85" si="108">+ROUND(I69*G69,0)</f>
        <v>0</v>
      </c>
      <c r="K69" s="9"/>
      <c r="L69" s="3"/>
      <c r="M69" s="76"/>
      <c r="N69" s="78"/>
      <c r="O69" s="76"/>
      <c r="P69" s="78"/>
      <c r="Q69" s="76"/>
      <c r="R69" s="78"/>
      <c r="S69" s="76"/>
      <c r="T69" s="78"/>
      <c r="U69" s="76"/>
      <c r="V69" s="78"/>
      <c r="W69" s="76"/>
      <c r="X69" s="78"/>
      <c r="Y69" s="76"/>
      <c r="Z69" s="78"/>
      <c r="AA69" s="76"/>
      <c r="AB69" s="78"/>
      <c r="AC69" s="76"/>
      <c r="AD69" s="78"/>
      <c r="AE69" s="76"/>
      <c r="AF69" s="78"/>
      <c r="AG69" s="76"/>
      <c r="AH69" s="78"/>
      <c r="AI69" s="76"/>
      <c r="AJ69" s="78"/>
      <c r="AK69" s="76"/>
      <c r="AL69" s="78"/>
      <c r="AM69" s="76"/>
      <c r="AN69" s="78"/>
      <c r="AO69" s="76"/>
      <c r="AP69" s="78"/>
      <c r="AQ69" s="76"/>
      <c r="AR69" s="78"/>
      <c r="AS69" s="76"/>
      <c r="AT69" s="78"/>
      <c r="AU69" s="76"/>
      <c r="AV69" s="78"/>
      <c r="AW69" s="76"/>
      <c r="AX69" s="78"/>
      <c r="AY69" s="76"/>
      <c r="AZ69" s="78">
        <f t="shared" ref="AZ69" si="109">+ROUND(AY69*$I69,0)</f>
        <v>0</v>
      </c>
      <c r="BA69" s="76"/>
      <c r="BB69" s="78"/>
      <c r="BC69" s="76"/>
      <c r="BD69" s="78"/>
      <c r="BE69" s="76"/>
      <c r="BF69" s="78"/>
      <c r="BG69" s="76"/>
      <c r="BH69" s="78"/>
      <c r="BI69" s="76"/>
      <c r="BJ69" s="78"/>
      <c r="BK69" s="76"/>
      <c r="BL69" s="78"/>
      <c r="BM69" s="76"/>
      <c r="BN69" s="78"/>
      <c r="BO69" s="76"/>
      <c r="BP69" s="78">
        <f t="shared" ref="BP69" si="110">+ROUND(BO69*$I69,0)</f>
        <v>0</v>
      </c>
      <c r="BQ69" s="76"/>
      <c r="BR69" s="78"/>
      <c r="BS69" s="76"/>
      <c r="BT69" s="78"/>
      <c r="BU69" s="76"/>
      <c r="BV69" s="78"/>
      <c r="BW69" s="76"/>
      <c r="BX69" s="78"/>
      <c r="BY69" s="76"/>
      <c r="BZ69" s="78"/>
      <c r="CA69" s="76"/>
      <c r="CB69" s="78"/>
      <c r="CC69" s="76"/>
      <c r="CD69" s="78"/>
      <c r="CE69" s="76"/>
      <c r="CF69" s="78"/>
    </row>
    <row r="70" spans="1:84"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106"/>
        <v>0</v>
      </c>
      <c r="H70" s="69">
        <f>+VLOOKUP(C70,'PRECIOS IDU 2025'!$A$1:$E$3189,4,FALSE)</f>
        <v>2659</v>
      </c>
      <c r="I70" s="69">
        <f t="shared" si="107"/>
        <v>3457</v>
      </c>
      <c r="J70" s="69">
        <f t="shared" si="108"/>
        <v>0</v>
      </c>
      <c r="K70" s="9"/>
      <c r="L70" s="3"/>
      <c r="M70" s="76"/>
      <c r="N70" s="78"/>
      <c r="O70" s="76"/>
      <c r="P70" s="78"/>
      <c r="Q70" s="76"/>
      <c r="R70" s="78"/>
      <c r="S70" s="76"/>
      <c r="T70" s="78"/>
      <c r="U70" s="76"/>
      <c r="V70" s="78"/>
      <c r="W70" s="76"/>
      <c r="X70" s="78"/>
      <c r="Y70" s="76"/>
      <c r="Z70" s="78"/>
      <c r="AA70" s="76"/>
      <c r="AB70" s="78"/>
      <c r="AC70" s="76"/>
      <c r="AD70" s="78"/>
      <c r="AE70" s="76"/>
      <c r="AF70" s="78"/>
      <c r="AG70" s="76"/>
      <c r="AH70" s="78"/>
      <c r="AI70" s="76"/>
      <c r="AJ70" s="78"/>
      <c r="AK70" s="76"/>
      <c r="AL70" s="78"/>
      <c r="AM70" s="76"/>
      <c r="AN70" s="78"/>
      <c r="AO70" s="76"/>
      <c r="AP70" s="78"/>
      <c r="AQ70" s="76"/>
      <c r="AR70" s="78"/>
      <c r="AS70" s="76"/>
      <c r="AT70" s="78"/>
      <c r="AU70" s="76"/>
      <c r="AV70" s="78"/>
      <c r="AW70" s="76"/>
      <c r="AX70" s="78"/>
      <c r="AY70" s="76"/>
      <c r="AZ70" s="78">
        <f t="shared" ref="AZ70" si="111">+ROUND(AY70*$I70,0)</f>
        <v>0</v>
      </c>
      <c r="BA70" s="76"/>
      <c r="BB70" s="78"/>
      <c r="BC70" s="76"/>
      <c r="BD70" s="78"/>
      <c r="BE70" s="76"/>
      <c r="BF70" s="78"/>
      <c r="BG70" s="76"/>
      <c r="BH70" s="78"/>
      <c r="BI70" s="76"/>
      <c r="BJ70" s="78"/>
      <c r="BK70" s="76"/>
      <c r="BL70" s="78"/>
      <c r="BM70" s="76"/>
      <c r="BN70" s="78"/>
      <c r="BO70" s="76"/>
      <c r="BP70" s="78">
        <f t="shared" ref="BP70" si="112">+ROUND(BO70*$I70,0)</f>
        <v>0</v>
      </c>
      <c r="BQ70" s="76"/>
      <c r="BR70" s="78"/>
      <c r="BS70" s="76"/>
      <c r="BT70" s="78"/>
      <c r="BU70" s="76"/>
      <c r="BV70" s="78"/>
      <c r="BW70" s="76"/>
      <c r="BX70" s="78"/>
      <c r="BY70" s="76"/>
      <c r="BZ70" s="78"/>
      <c r="CA70" s="76"/>
      <c r="CB70" s="78"/>
      <c r="CC70" s="76"/>
      <c r="CD70" s="78"/>
      <c r="CE70" s="76"/>
      <c r="CF70" s="78"/>
    </row>
    <row r="71" spans="1:84"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106"/>
        <v>0</v>
      </c>
      <c r="H71" s="69">
        <f>+VLOOKUP(C71,'PRECIOS IDU 2025'!$A$1:$E$3189,4,FALSE)</f>
        <v>38781</v>
      </c>
      <c r="I71" s="69">
        <f t="shared" si="107"/>
        <v>50415</v>
      </c>
      <c r="J71" s="69">
        <f t="shared" si="108"/>
        <v>0</v>
      </c>
      <c r="K71" s="9"/>
      <c r="L71" s="3"/>
      <c r="M71" s="76"/>
      <c r="N71" s="78"/>
      <c r="O71" s="76"/>
      <c r="P71" s="78"/>
      <c r="Q71" s="76"/>
      <c r="R71" s="78"/>
      <c r="S71" s="76"/>
      <c r="T71" s="78"/>
      <c r="U71" s="76"/>
      <c r="V71" s="78"/>
      <c r="W71" s="76"/>
      <c r="X71" s="78"/>
      <c r="Y71" s="76"/>
      <c r="Z71" s="78"/>
      <c r="AA71" s="76"/>
      <c r="AB71" s="78"/>
      <c r="AC71" s="76"/>
      <c r="AD71" s="78"/>
      <c r="AE71" s="76"/>
      <c r="AF71" s="78"/>
      <c r="AG71" s="76"/>
      <c r="AH71" s="78"/>
      <c r="AI71" s="76"/>
      <c r="AJ71" s="78"/>
      <c r="AK71" s="76"/>
      <c r="AL71" s="78"/>
      <c r="AM71" s="76"/>
      <c r="AN71" s="78"/>
      <c r="AO71" s="76"/>
      <c r="AP71" s="78"/>
      <c r="AQ71" s="76"/>
      <c r="AR71" s="78"/>
      <c r="AS71" s="76"/>
      <c r="AT71" s="78"/>
      <c r="AU71" s="76"/>
      <c r="AV71" s="78"/>
      <c r="AW71" s="76"/>
      <c r="AX71" s="78"/>
      <c r="AY71" s="76"/>
      <c r="AZ71" s="78">
        <f t="shared" ref="AZ71" si="113">+ROUND(AY71*$I71,0)</f>
        <v>0</v>
      </c>
      <c r="BA71" s="76"/>
      <c r="BB71" s="78"/>
      <c r="BC71" s="76"/>
      <c r="BD71" s="78"/>
      <c r="BE71" s="76"/>
      <c r="BF71" s="78"/>
      <c r="BG71" s="76"/>
      <c r="BH71" s="78"/>
      <c r="BI71" s="76"/>
      <c r="BJ71" s="78"/>
      <c r="BK71" s="76"/>
      <c r="BL71" s="78"/>
      <c r="BM71" s="76"/>
      <c r="BN71" s="78"/>
      <c r="BO71" s="76"/>
      <c r="BP71" s="78">
        <f t="shared" ref="BP71" si="114">+ROUND(BO71*$I71,0)</f>
        <v>0</v>
      </c>
      <c r="BQ71" s="76"/>
      <c r="BR71" s="78"/>
      <c r="BS71" s="76"/>
      <c r="BT71" s="78"/>
      <c r="BU71" s="76"/>
      <c r="BV71" s="78"/>
      <c r="BW71" s="76"/>
      <c r="BX71" s="78"/>
      <c r="BY71" s="76"/>
      <c r="BZ71" s="78"/>
      <c r="CA71" s="76"/>
      <c r="CB71" s="78"/>
      <c r="CC71" s="76"/>
      <c r="CD71" s="78"/>
      <c r="CE71" s="76"/>
      <c r="CF71" s="78"/>
    </row>
    <row r="72" spans="1:84"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106"/>
        <v>0</v>
      </c>
      <c r="H72" s="69">
        <f>+VLOOKUP(C72,'PRECIOS IDU 2025'!$A$1:$E$3189,4,FALSE)</f>
        <v>5741</v>
      </c>
      <c r="I72" s="69">
        <f t="shared" si="107"/>
        <v>7463</v>
      </c>
      <c r="J72" s="69">
        <f t="shared" si="108"/>
        <v>0</v>
      </c>
      <c r="K72" s="9"/>
      <c r="L72" s="3"/>
      <c r="M72" s="76"/>
      <c r="N72" s="78"/>
      <c r="O72" s="76"/>
      <c r="P72" s="78"/>
      <c r="Q72" s="76"/>
      <c r="R72" s="78"/>
      <c r="S72" s="76"/>
      <c r="T72" s="78"/>
      <c r="U72" s="76"/>
      <c r="V72" s="78"/>
      <c r="W72" s="76"/>
      <c r="X72" s="78"/>
      <c r="Y72" s="76"/>
      <c r="Z72" s="78"/>
      <c r="AA72" s="76"/>
      <c r="AB72" s="78"/>
      <c r="AC72" s="76"/>
      <c r="AD72" s="78"/>
      <c r="AE72" s="76"/>
      <c r="AF72" s="78"/>
      <c r="AG72" s="76"/>
      <c r="AH72" s="78"/>
      <c r="AI72" s="76"/>
      <c r="AJ72" s="78"/>
      <c r="AK72" s="76"/>
      <c r="AL72" s="78"/>
      <c r="AM72" s="76"/>
      <c r="AN72" s="78"/>
      <c r="AO72" s="76"/>
      <c r="AP72" s="78"/>
      <c r="AQ72" s="76"/>
      <c r="AR72" s="78"/>
      <c r="AS72" s="76"/>
      <c r="AT72" s="78"/>
      <c r="AU72" s="76"/>
      <c r="AV72" s="78"/>
      <c r="AW72" s="76"/>
      <c r="AX72" s="78"/>
      <c r="AY72" s="76"/>
      <c r="AZ72" s="78">
        <f t="shared" ref="AZ72" si="115">+ROUND(AY72*$I72,0)</f>
        <v>0</v>
      </c>
      <c r="BA72" s="76"/>
      <c r="BB72" s="78"/>
      <c r="BC72" s="76"/>
      <c r="BD72" s="78"/>
      <c r="BE72" s="76"/>
      <c r="BF72" s="78"/>
      <c r="BG72" s="76"/>
      <c r="BH72" s="78"/>
      <c r="BI72" s="76"/>
      <c r="BJ72" s="78"/>
      <c r="BK72" s="76"/>
      <c r="BL72" s="78"/>
      <c r="BM72" s="76"/>
      <c r="BN72" s="78"/>
      <c r="BO72" s="76"/>
      <c r="BP72" s="78">
        <f t="shared" ref="BP72" si="116">+ROUND(BO72*$I72,0)</f>
        <v>0</v>
      </c>
      <c r="BQ72" s="76"/>
      <c r="BR72" s="78"/>
      <c r="BS72" s="76"/>
      <c r="BT72" s="78"/>
      <c r="BU72" s="76"/>
      <c r="BV72" s="78"/>
      <c r="BW72" s="76"/>
      <c r="BX72" s="78"/>
      <c r="BY72" s="76"/>
      <c r="BZ72" s="78"/>
      <c r="CA72" s="76"/>
      <c r="CB72" s="78"/>
      <c r="CC72" s="76"/>
      <c r="CD72" s="78"/>
      <c r="CE72" s="76"/>
      <c r="CF72" s="78"/>
    </row>
    <row r="73" spans="1:84"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106"/>
        <v>0</v>
      </c>
      <c r="H73" s="69">
        <f>+VLOOKUP(C73,'PRECIOS IDU 2025'!$A$1:$E$3189,4,FALSE)</f>
        <v>46379</v>
      </c>
      <c r="I73" s="69">
        <f t="shared" si="107"/>
        <v>60293</v>
      </c>
      <c r="J73" s="69">
        <f t="shared" si="108"/>
        <v>0</v>
      </c>
      <c r="K73" s="9"/>
      <c r="L73" s="3"/>
      <c r="M73" s="76"/>
      <c r="N73" s="78"/>
      <c r="O73" s="76"/>
      <c r="P73" s="78"/>
      <c r="Q73" s="76"/>
      <c r="R73" s="78"/>
      <c r="S73" s="76"/>
      <c r="T73" s="78"/>
      <c r="U73" s="76"/>
      <c r="V73" s="78"/>
      <c r="W73" s="76"/>
      <c r="X73" s="78"/>
      <c r="Y73" s="76"/>
      <c r="Z73" s="78"/>
      <c r="AA73" s="76"/>
      <c r="AB73" s="78"/>
      <c r="AC73" s="76"/>
      <c r="AD73" s="78"/>
      <c r="AE73" s="76"/>
      <c r="AF73" s="78"/>
      <c r="AG73" s="76"/>
      <c r="AH73" s="78"/>
      <c r="AI73" s="76"/>
      <c r="AJ73" s="78"/>
      <c r="AK73" s="76"/>
      <c r="AL73" s="78"/>
      <c r="AM73" s="76"/>
      <c r="AN73" s="78"/>
      <c r="AO73" s="76"/>
      <c r="AP73" s="78"/>
      <c r="AQ73" s="76"/>
      <c r="AR73" s="78"/>
      <c r="AS73" s="76"/>
      <c r="AT73" s="78"/>
      <c r="AU73" s="76"/>
      <c r="AV73" s="78"/>
      <c r="AW73" s="76"/>
      <c r="AX73" s="78"/>
      <c r="AY73" s="76"/>
      <c r="AZ73" s="78">
        <f t="shared" ref="AZ73" si="117">+ROUND(AY73*$I73,0)</f>
        <v>0</v>
      </c>
      <c r="BA73" s="76"/>
      <c r="BB73" s="78"/>
      <c r="BC73" s="76"/>
      <c r="BD73" s="78"/>
      <c r="BE73" s="76"/>
      <c r="BF73" s="78"/>
      <c r="BG73" s="76"/>
      <c r="BH73" s="78"/>
      <c r="BI73" s="76"/>
      <c r="BJ73" s="78"/>
      <c r="BK73" s="76"/>
      <c r="BL73" s="78"/>
      <c r="BM73" s="76"/>
      <c r="BN73" s="78"/>
      <c r="BO73" s="76"/>
      <c r="BP73" s="78">
        <f t="shared" ref="BP73" si="118">+ROUND(BO73*$I73,0)</f>
        <v>0</v>
      </c>
      <c r="BQ73" s="76"/>
      <c r="BR73" s="78"/>
      <c r="BS73" s="76"/>
      <c r="BT73" s="78"/>
      <c r="BU73" s="76"/>
      <c r="BV73" s="78"/>
      <c r="BW73" s="76"/>
      <c r="BX73" s="78"/>
      <c r="BY73" s="76"/>
      <c r="BZ73" s="78"/>
      <c r="CA73" s="76"/>
      <c r="CB73" s="78"/>
      <c r="CC73" s="76"/>
      <c r="CD73" s="78"/>
      <c r="CE73" s="76"/>
      <c r="CF73" s="78"/>
    </row>
    <row r="74" spans="1:84" ht="41.4"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106"/>
        <v>0</v>
      </c>
      <c r="H74" s="69">
        <f>+VLOOKUP(C74,'PRECIOS IDU 2025'!$A$1:$E$3189,4,FALSE)</f>
        <v>45600</v>
      </c>
      <c r="I74" s="69">
        <f t="shared" si="107"/>
        <v>59280</v>
      </c>
      <c r="J74" s="69">
        <f t="shared" si="108"/>
        <v>0</v>
      </c>
      <c r="K74" s="9"/>
      <c r="L74" s="3"/>
      <c r="M74" s="76"/>
      <c r="N74" s="78"/>
      <c r="O74" s="76"/>
      <c r="P74" s="78"/>
      <c r="Q74" s="76"/>
      <c r="R74" s="78"/>
      <c r="S74" s="76"/>
      <c r="T74" s="78"/>
      <c r="U74" s="76"/>
      <c r="V74" s="78"/>
      <c r="W74" s="76"/>
      <c r="X74" s="78"/>
      <c r="Y74" s="76"/>
      <c r="Z74" s="78"/>
      <c r="AA74" s="76"/>
      <c r="AB74" s="78"/>
      <c r="AC74" s="76"/>
      <c r="AD74" s="78"/>
      <c r="AE74" s="76"/>
      <c r="AF74" s="78"/>
      <c r="AG74" s="76"/>
      <c r="AH74" s="78"/>
      <c r="AI74" s="76"/>
      <c r="AJ74" s="78"/>
      <c r="AK74" s="76"/>
      <c r="AL74" s="78"/>
      <c r="AM74" s="76"/>
      <c r="AN74" s="78"/>
      <c r="AO74" s="76"/>
      <c r="AP74" s="78"/>
      <c r="AQ74" s="76"/>
      <c r="AR74" s="78"/>
      <c r="AS74" s="76"/>
      <c r="AT74" s="78"/>
      <c r="AU74" s="76"/>
      <c r="AV74" s="78"/>
      <c r="AW74" s="76"/>
      <c r="AX74" s="78"/>
      <c r="AY74" s="76"/>
      <c r="AZ74" s="78">
        <f t="shared" ref="AZ74" si="119">+ROUND(AY74*$I74,0)</f>
        <v>0</v>
      </c>
      <c r="BA74" s="76"/>
      <c r="BB74" s="78"/>
      <c r="BC74" s="76"/>
      <c r="BD74" s="78"/>
      <c r="BE74" s="76"/>
      <c r="BF74" s="78"/>
      <c r="BG74" s="76"/>
      <c r="BH74" s="78"/>
      <c r="BI74" s="76"/>
      <c r="BJ74" s="78"/>
      <c r="BK74" s="76"/>
      <c r="BL74" s="78"/>
      <c r="BM74" s="76"/>
      <c r="BN74" s="78"/>
      <c r="BO74" s="76"/>
      <c r="BP74" s="78">
        <f t="shared" ref="BP74" si="120">+ROUND(BO74*$I74,0)</f>
        <v>0</v>
      </c>
      <c r="BQ74" s="76"/>
      <c r="BR74" s="78"/>
      <c r="BS74" s="76"/>
      <c r="BT74" s="78"/>
      <c r="BU74" s="76"/>
      <c r="BV74" s="78"/>
      <c r="BW74" s="76"/>
      <c r="BX74" s="78"/>
      <c r="BY74" s="76"/>
      <c r="BZ74" s="78"/>
      <c r="CA74" s="76"/>
      <c r="CB74" s="78"/>
      <c r="CC74" s="76"/>
      <c r="CD74" s="78"/>
      <c r="CE74" s="76"/>
      <c r="CF74" s="78"/>
    </row>
    <row r="75" spans="1:84" ht="15.6" x14ac:dyDescent="0.3">
      <c r="A75" s="3"/>
      <c r="B75" s="8"/>
      <c r="C75" s="60">
        <v>3800</v>
      </c>
      <c r="D75" s="60">
        <v>3007</v>
      </c>
      <c r="E75" s="60" t="str">
        <f>+VLOOKUP(C75,'PRECIOS IDU 2025'!$A$1:$E$3189,2,FALSE)</f>
        <v>NIVELACION Y COMPACTACIÓN DE SUBRASANTE</v>
      </c>
      <c r="F75" s="60" t="str">
        <f>+VLOOKUP(C75,'PRECIOS IDU 2025'!$A$1:$E$3189,3,FALSE)</f>
        <v>M2</v>
      </c>
      <c r="G75" s="108">
        <f t="shared" si="106"/>
        <v>0</v>
      </c>
      <c r="H75" s="69">
        <f>+VLOOKUP(C75,'PRECIOS IDU 2025'!$A$1:$E$3189,4,FALSE)</f>
        <v>1757</v>
      </c>
      <c r="I75" s="69">
        <f t="shared" si="107"/>
        <v>2284</v>
      </c>
      <c r="J75" s="69">
        <f t="shared" si="108"/>
        <v>0</v>
      </c>
      <c r="K75" s="9"/>
      <c r="L75" s="3"/>
      <c r="M75" s="76"/>
      <c r="N75" s="78"/>
      <c r="O75" s="76"/>
      <c r="P75" s="78"/>
      <c r="Q75" s="76"/>
      <c r="R75" s="78"/>
      <c r="S75" s="76"/>
      <c r="T75" s="78"/>
      <c r="U75" s="76"/>
      <c r="V75" s="78"/>
      <c r="W75" s="76"/>
      <c r="X75" s="78"/>
      <c r="Y75" s="76"/>
      <c r="Z75" s="78"/>
      <c r="AA75" s="76"/>
      <c r="AB75" s="78"/>
      <c r="AC75" s="76"/>
      <c r="AD75" s="78"/>
      <c r="AE75" s="76"/>
      <c r="AF75" s="78"/>
      <c r="AG75" s="76"/>
      <c r="AH75" s="78"/>
      <c r="AI75" s="76"/>
      <c r="AJ75" s="78"/>
      <c r="AK75" s="76"/>
      <c r="AL75" s="78"/>
      <c r="AM75" s="76"/>
      <c r="AN75" s="78"/>
      <c r="AO75" s="76"/>
      <c r="AP75" s="78"/>
      <c r="AQ75" s="76"/>
      <c r="AR75" s="78"/>
      <c r="AS75" s="76"/>
      <c r="AT75" s="78"/>
      <c r="AU75" s="76"/>
      <c r="AV75" s="78"/>
      <c r="AW75" s="76"/>
      <c r="AX75" s="78"/>
      <c r="AY75" s="76"/>
      <c r="AZ75" s="78">
        <f t="shared" ref="AZ75" si="121">+ROUND(AY75*$I75,0)</f>
        <v>0</v>
      </c>
      <c r="BA75" s="76"/>
      <c r="BB75" s="78"/>
      <c r="BC75" s="76"/>
      <c r="BD75" s="78"/>
      <c r="BE75" s="76"/>
      <c r="BF75" s="78"/>
      <c r="BG75" s="76"/>
      <c r="BH75" s="78"/>
      <c r="BI75" s="76"/>
      <c r="BJ75" s="78"/>
      <c r="BK75" s="76"/>
      <c r="BL75" s="78"/>
      <c r="BM75" s="76"/>
      <c r="BN75" s="78"/>
      <c r="BO75" s="76"/>
      <c r="BP75" s="78">
        <f t="shared" ref="BP75" si="122">+ROUND(BO75*$I75,0)</f>
        <v>0</v>
      </c>
      <c r="BQ75" s="76"/>
      <c r="BR75" s="78"/>
      <c r="BS75" s="76"/>
      <c r="BT75" s="78"/>
      <c r="BU75" s="76"/>
      <c r="BV75" s="78"/>
      <c r="BW75" s="76"/>
      <c r="BX75" s="78"/>
      <c r="BY75" s="76"/>
      <c r="BZ75" s="78"/>
      <c r="CA75" s="76"/>
      <c r="CB75" s="78"/>
      <c r="CC75" s="76"/>
      <c r="CD75" s="78"/>
      <c r="CE75" s="76"/>
      <c r="CF75" s="78"/>
    </row>
    <row r="76" spans="1:84"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106"/>
        <v>0</v>
      </c>
      <c r="H76" s="69">
        <f>+VLOOKUP(C76,'PRECIOS IDU 2025'!$A$1:$E$3189,4,FALSE)</f>
        <v>32622</v>
      </c>
      <c r="I76" s="69">
        <f t="shared" si="107"/>
        <v>42409</v>
      </c>
      <c r="J76" s="69">
        <f t="shared" si="108"/>
        <v>0</v>
      </c>
      <c r="K76" s="9"/>
      <c r="L76" s="3"/>
      <c r="M76" s="76"/>
      <c r="N76" s="78"/>
      <c r="O76" s="76"/>
      <c r="P76" s="78"/>
      <c r="Q76" s="76"/>
      <c r="R76" s="78"/>
      <c r="S76" s="76"/>
      <c r="T76" s="78"/>
      <c r="U76" s="76"/>
      <c r="V76" s="78"/>
      <c r="W76" s="76"/>
      <c r="X76" s="78"/>
      <c r="Y76" s="76"/>
      <c r="Z76" s="78"/>
      <c r="AA76" s="76"/>
      <c r="AB76" s="78"/>
      <c r="AC76" s="76"/>
      <c r="AD76" s="78"/>
      <c r="AE76" s="76"/>
      <c r="AF76" s="78"/>
      <c r="AG76" s="76"/>
      <c r="AH76" s="78"/>
      <c r="AI76" s="76"/>
      <c r="AJ76" s="78"/>
      <c r="AK76" s="76"/>
      <c r="AL76" s="78"/>
      <c r="AM76" s="76"/>
      <c r="AN76" s="78"/>
      <c r="AO76" s="76"/>
      <c r="AP76" s="78"/>
      <c r="AQ76" s="76"/>
      <c r="AR76" s="78"/>
      <c r="AS76" s="76"/>
      <c r="AT76" s="78"/>
      <c r="AU76" s="76"/>
      <c r="AV76" s="78"/>
      <c r="AW76" s="76"/>
      <c r="AX76" s="78"/>
      <c r="AY76" s="76"/>
      <c r="AZ76" s="78">
        <f t="shared" ref="AZ76" si="123">+ROUND(AY76*$I76,0)</f>
        <v>0</v>
      </c>
      <c r="BA76" s="76"/>
      <c r="BB76" s="78"/>
      <c r="BC76" s="76"/>
      <c r="BD76" s="78"/>
      <c r="BE76" s="76"/>
      <c r="BF76" s="78"/>
      <c r="BG76" s="76"/>
      <c r="BH76" s="78"/>
      <c r="BI76" s="76"/>
      <c r="BJ76" s="78"/>
      <c r="BK76" s="76"/>
      <c r="BL76" s="78"/>
      <c r="BM76" s="76"/>
      <c r="BN76" s="78"/>
      <c r="BO76" s="76"/>
      <c r="BP76" s="78">
        <f t="shared" ref="BP76" si="124">+ROUND(BO76*$I76,0)</f>
        <v>0</v>
      </c>
      <c r="BQ76" s="76"/>
      <c r="BR76" s="78"/>
      <c r="BS76" s="76"/>
      <c r="BT76" s="78"/>
      <c r="BU76" s="76"/>
      <c r="BV76" s="78"/>
      <c r="BW76" s="76"/>
      <c r="BX76" s="78"/>
      <c r="BY76" s="76"/>
      <c r="BZ76" s="78"/>
      <c r="CA76" s="76"/>
      <c r="CB76" s="78"/>
      <c r="CC76" s="76"/>
      <c r="CD76" s="78"/>
      <c r="CE76" s="76"/>
      <c r="CF76" s="78"/>
    </row>
    <row r="77" spans="1:84"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106"/>
        <v>0</v>
      </c>
      <c r="H77" s="69">
        <f>+VLOOKUP(C77,'PRECIOS IDU 2025'!$A$1:$E$3189,4,FALSE)</f>
        <v>3189</v>
      </c>
      <c r="I77" s="69">
        <f t="shared" si="107"/>
        <v>4146</v>
      </c>
      <c r="J77" s="69">
        <f t="shared" si="108"/>
        <v>0</v>
      </c>
      <c r="K77" s="9"/>
      <c r="L77" s="3"/>
      <c r="M77" s="76"/>
      <c r="N77" s="78"/>
      <c r="O77" s="76"/>
      <c r="P77" s="78"/>
      <c r="Q77" s="76"/>
      <c r="R77" s="78"/>
      <c r="S77" s="76"/>
      <c r="T77" s="78"/>
      <c r="U77" s="76"/>
      <c r="V77" s="78"/>
      <c r="W77" s="76"/>
      <c r="X77" s="78"/>
      <c r="Y77" s="76"/>
      <c r="Z77" s="78"/>
      <c r="AA77" s="76"/>
      <c r="AB77" s="78"/>
      <c r="AC77" s="76"/>
      <c r="AD77" s="78"/>
      <c r="AE77" s="76"/>
      <c r="AF77" s="78"/>
      <c r="AG77" s="76"/>
      <c r="AH77" s="78"/>
      <c r="AI77" s="76"/>
      <c r="AJ77" s="78"/>
      <c r="AK77" s="76"/>
      <c r="AL77" s="78"/>
      <c r="AM77" s="76"/>
      <c r="AN77" s="78"/>
      <c r="AO77" s="76"/>
      <c r="AP77" s="78"/>
      <c r="AQ77" s="76"/>
      <c r="AR77" s="78"/>
      <c r="AS77" s="76"/>
      <c r="AT77" s="78"/>
      <c r="AU77" s="76"/>
      <c r="AV77" s="78"/>
      <c r="AW77" s="76"/>
      <c r="AX77" s="78"/>
      <c r="AY77" s="76"/>
      <c r="AZ77" s="78">
        <f t="shared" ref="AZ77" si="125">+ROUND(AY77*$I77,0)</f>
        <v>0</v>
      </c>
      <c r="BA77" s="76"/>
      <c r="BB77" s="78"/>
      <c r="BC77" s="76"/>
      <c r="BD77" s="78"/>
      <c r="BE77" s="76"/>
      <c r="BF77" s="78"/>
      <c r="BG77" s="76"/>
      <c r="BH77" s="78"/>
      <c r="BI77" s="76"/>
      <c r="BJ77" s="78"/>
      <c r="BK77" s="76"/>
      <c r="BL77" s="78"/>
      <c r="BM77" s="76"/>
      <c r="BN77" s="78"/>
      <c r="BO77" s="76"/>
      <c r="BP77" s="78">
        <f t="shared" ref="BP77" si="126">+ROUND(BO77*$I77,0)</f>
        <v>0</v>
      </c>
      <c r="BQ77" s="76"/>
      <c r="BR77" s="78"/>
      <c r="BS77" s="76"/>
      <c r="BT77" s="78"/>
      <c r="BU77" s="76"/>
      <c r="BV77" s="78"/>
      <c r="BW77" s="76"/>
      <c r="BX77" s="78"/>
      <c r="BY77" s="76"/>
      <c r="BZ77" s="78"/>
      <c r="CA77" s="76"/>
      <c r="CB77" s="78"/>
      <c r="CC77" s="76"/>
      <c r="CD77" s="78"/>
      <c r="CE77" s="76"/>
      <c r="CF77" s="78"/>
    </row>
    <row r="78" spans="1:84"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106"/>
        <v>0</v>
      </c>
      <c r="H78" s="69">
        <f>+VLOOKUP(C78,'PRECIOS IDU 2025'!$A$1:$E$3189,4,FALSE)</f>
        <v>3885</v>
      </c>
      <c r="I78" s="69">
        <f t="shared" si="107"/>
        <v>5051</v>
      </c>
      <c r="J78" s="69">
        <f t="shared" si="108"/>
        <v>0</v>
      </c>
      <c r="K78" s="9"/>
      <c r="L78" s="3"/>
      <c r="M78" s="76"/>
      <c r="N78" s="78"/>
      <c r="O78" s="76"/>
      <c r="P78" s="78"/>
      <c r="Q78" s="76"/>
      <c r="R78" s="78"/>
      <c r="S78" s="76"/>
      <c r="T78" s="78"/>
      <c r="U78" s="76"/>
      <c r="V78" s="78"/>
      <c r="W78" s="76"/>
      <c r="X78" s="78"/>
      <c r="Y78" s="76"/>
      <c r="Z78" s="78"/>
      <c r="AA78" s="76"/>
      <c r="AB78" s="78"/>
      <c r="AC78" s="76"/>
      <c r="AD78" s="78"/>
      <c r="AE78" s="76"/>
      <c r="AF78" s="78"/>
      <c r="AG78" s="76"/>
      <c r="AH78" s="78"/>
      <c r="AI78" s="76"/>
      <c r="AJ78" s="78"/>
      <c r="AK78" s="76"/>
      <c r="AL78" s="78"/>
      <c r="AM78" s="76"/>
      <c r="AN78" s="78"/>
      <c r="AO78" s="76"/>
      <c r="AP78" s="78"/>
      <c r="AQ78" s="76"/>
      <c r="AR78" s="78"/>
      <c r="AS78" s="76"/>
      <c r="AT78" s="78"/>
      <c r="AU78" s="76"/>
      <c r="AV78" s="78"/>
      <c r="AW78" s="76"/>
      <c r="AX78" s="78"/>
      <c r="AY78" s="76"/>
      <c r="AZ78" s="78">
        <f t="shared" ref="AZ78" si="127">+ROUND(AY78*$I78,0)</f>
        <v>0</v>
      </c>
      <c r="BA78" s="76"/>
      <c r="BB78" s="78"/>
      <c r="BC78" s="76"/>
      <c r="BD78" s="78"/>
      <c r="BE78" s="76"/>
      <c r="BF78" s="78"/>
      <c r="BG78" s="76"/>
      <c r="BH78" s="78"/>
      <c r="BI78" s="76"/>
      <c r="BJ78" s="78"/>
      <c r="BK78" s="76"/>
      <c r="BL78" s="78"/>
      <c r="BM78" s="76"/>
      <c r="BN78" s="78"/>
      <c r="BO78" s="76"/>
      <c r="BP78" s="78">
        <f t="shared" ref="BP78" si="128">+ROUND(BO78*$I78,0)</f>
        <v>0</v>
      </c>
      <c r="BQ78" s="76"/>
      <c r="BR78" s="78"/>
      <c r="BS78" s="76"/>
      <c r="BT78" s="78"/>
      <c r="BU78" s="76"/>
      <c r="BV78" s="78"/>
      <c r="BW78" s="76"/>
      <c r="BX78" s="78"/>
      <c r="BY78" s="76"/>
      <c r="BZ78" s="78"/>
      <c r="CA78" s="76"/>
      <c r="CB78" s="78"/>
      <c r="CC78" s="76"/>
      <c r="CD78" s="78"/>
      <c r="CE78" s="76"/>
      <c r="CF78" s="78"/>
    </row>
    <row r="79" spans="1:84"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106"/>
        <v>0</v>
      </c>
      <c r="H79" s="69">
        <f>+VLOOKUP(C79,'PRECIOS IDU 2025'!$A$1:$E$3189,4,FALSE)</f>
        <v>1341971</v>
      </c>
      <c r="I79" s="69">
        <f t="shared" si="107"/>
        <v>1744562</v>
      </c>
      <c r="J79" s="69">
        <f t="shared" si="108"/>
        <v>0</v>
      </c>
      <c r="K79" s="9"/>
      <c r="L79" s="3"/>
      <c r="M79" s="76"/>
      <c r="N79" s="78"/>
      <c r="O79" s="76"/>
      <c r="P79" s="78"/>
      <c r="Q79" s="76"/>
      <c r="R79" s="78"/>
      <c r="S79" s="76"/>
      <c r="T79" s="78"/>
      <c r="U79" s="76"/>
      <c r="V79" s="78"/>
      <c r="W79" s="76"/>
      <c r="X79" s="78"/>
      <c r="Y79" s="76"/>
      <c r="Z79" s="78"/>
      <c r="AA79" s="76"/>
      <c r="AB79" s="78"/>
      <c r="AC79" s="76"/>
      <c r="AD79" s="78"/>
      <c r="AE79" s="76"/>
      <c r="AF79" s="78"/>
      <c r="AG79" s="76"/>
      <c r="AH79" s="78"/>
      <c r="AI79" s="76"/>
      <c r="AJ79" s="78"/>
      <c r="AK79" s="76"/>
      <c r="AL79" s="78"/>
      <c r="AM79" s="76"/>
      <c r="AN79" s="78"/>
      <c r="AO79" s="76"/>
      <c r="AP79" s="78"/>
      <c r="AQ79" s="76"/>
      <c r="AR79" s="78"/>
      <c r="AS79" s="76"/>
      <c r="AT79" s="78"/>
      <c r="AU79" s="76"/>
      <c r="AV79" s="78"/>
      <c r="AW79" s="76"/>
      <c r="AX79" s="78"/>
      <c r="AY79" s="76"/>
      <c r="AZ79" s="78">
        <f t="shared" ref="AZ79" si="129">+ROUND(AY79*$I79,0)</f>
        <v>0</v>
      </c>
      <c r="BA79" s="76"/>
      <c r="BB79" s="78"/>
      <c r="BC79" s="76"/>
      <c r="BD79" s="78"/>
      <c r="BE79" s="76"/>
      <c r="BF79" s="78"/>
      <c r="BG79" s="76"/>
      <c r="BH79" s="78"/>
      <c r="BI79" s="76"/>
      <c r="BJ79" s="78"/>
      <c r="BK79" s="76"/>
      <c r="BL79" s="78"/>
      <c r="BM79" s="76"/>
      <c r="BN79" s="78"/>
      <c r="BO79" s="76"/>
      <c r="BP79" s="78">
        <f t="shared" ref="BP79" si="130">+ROUND(BO79*$I79,0)</f>
        <v>0</v>
      </c>
      <c r="BQ79" s="76"/>
      <c r="BR79" s="78"/>
      <c r="BS79" s="76"/>
      <c r="BT79" s="78"/>
      <c r="BU79" s="76"/>
      <c r="BV79" s="78"/>
      <c r="BW79" s="76"/>
      <c r="BX79" s="78"/>
      <c r="BY79" s="76"/>
      <c r="BZ79" s="78"/>
      <c r="CA79" s="76"/>
      <c r="CB79" s="78"/>
      <c r="CC79" s="76"/>
      <c r="CD79" s="78"/>
      <c r="CE79" s="76"/>
      <c r="CF79" s="78"/>
    </row>
    <row r="80" spans="1:84"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106"/>
        <v>0</v>
      </c>
      <c r="H80" s="69">
        <f>+VLOOKUP(C80,'PRECIOS IDU 2025'!$A$1:$E$3189,4,FALSE)</f>
        <v>1241977</v>
      </c>
      <c r="I80" s="69">
        <f t="shared" si="107"/>
        <v>1614570</v>
      </c>
      <c r="J80" s="69">
        <f t="shared" si="108"/>
        <v>0</v>
      </c>
      <c r="K80" s="9"/>
      <c r="L80" s="3"/>
      <c r="M80" s="76"/>
      <c r="N80" s="78"/>
      <c r="O80" s="76"/>
      <c r="P80" s="78"/>
      <c r="Q80" s="76"/>
      <c r="R80" s="78"/>
      <c r="S80" s="76"/>
      <c r="T80" s="78"/>
      <c r="U80" s="76"/>
      <c r="V80" s="78"/>
      <c r="W80" s="76"/>
      <c r="X80" s="78"/>
      <c r="Y80" s="76"/>
      <c r="Z80" s="78"/>
      <c r="AA80" s="76"/>
      <c r="AB80" s="78"/>
      <c r="AC80" s="76"/>
      <c r="AD80" s="78"/>
      <c r="AE80" s="76"/>
      <c r="AF80" s="78"/>
      <c r="AG80" s="76"/>
      <c r="AH80" s="78"/>
      <c r="AI80" s="76"/>
      <c r="AJ80" s="78"/>
      <c r="AK80" s="76"/>
      <c r="AL80" s="78"/>
      <c r="AM80" s="76"/>
      <c r="AN80" s="78"/>
      <c r="AO80" s="76"/>
      <c r="AP80" s="78"/>
      <c r="AQ80" s="76"/>
      <c r="AR80" s="78"/>
      <c r="AS80" s="76"/>
      <c r="AT80" s="78"/>
      <c r="AU80" s="76"/>
      <c r="AV80" s="78"/>
      <c r="AW80" s="76"/>
      <c r="AX80" s="78"/>
      <c r="AY80" s="76"/>
      <c r="AZ80" s="78">
        <f t="shared" ref="AZ80" si="131">+ROUND(AY80*$I80,0)</f>
        <v>0</v>
      </c>
      <c r="BA80" s="76"/>
      <c r="BB80" s="78"/>
      <c r="BC80" s="76"/>
      <c r="BD80" s="78"/>
      <c r="BE80" s="76"/>
      <c r="BF80" s="78"/>
      <c r="BG80" s="76"/>
      <c r="BH80" s="78"/>
      <c r="BI80" s="76"/>
      <c r="BJ80" s="78"/>
      <c r="BK80" s="76"/>
      <c r="BL80" s="78"/>
      <c r="BM80" s="76"/>
      <c r="BN80" s="78"/>
      <c r="BO80" s="76"/>
      <c r="BP80" s="78">
        <f t="shared" ref="BP80" si="132">+ROUND(BO80*$I80,0)</f>
        <v>0</v>
      </c>
      <c r="BQ80" s="76"/>
      <c r="BR80" s="78"/>
      <c r="BS80" s="76"/>
      <c r="BT80" s="78"/>
      <c r="BU80" s="76"/>
      <c r="BV80" s="78"/>
      <c r="BW80" s="76"/>
      <c r="BX80" s="78"/>
      <c r="BY80" s="76"/>
      <c r="BZ80" s="78"/>
      <c r="CA80" s="76"/>
      <c r="CB80" s="78"/>
      <c r="CC80" s="76"/>
      <c r="CD80" s="78"/>
      <c r="CE80" s="76"/>
      <c r="CF80" s="78"/>
    </row>
    <row r="81" spans="1:84"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106"/>
        <v>0</v>
      </c>
      <c r="H81" s="69">
        <f>+VLOOKUP(C81,'PRECIOS IDU 2025'!$A$1:$E$3189,4,FALSE)</f>
        <v>1556215</v>
      </c>
      <c r="I81" s="69">
        <f t="shared" si="107"/>
        <v>2023080</v>
      </c>
      <c r="J81" s="69">
        <f t="shared" si="108"/>
        <v>0</v>
      </c>
      <c r="K81" s="9"/>
      <c r="L81" s="3"/>
      <c r="M81" s="76"/>
      <c r="N81" s="78"/>
      <c r="O81" s="76"/>
      <c r="P81" s="78"/>
      <c r="Q81" s="76"/>
      <c r="R81" s="78"/>
      <c r="S81" s="76"/>
      <c r="T81" s="78"/>
      <c r="U81" s="76"/>
      <c r="V81" s="78"/>
      <c r="W81" s="76"/>
      <c r="X81" s="78"/>
      <c r="Y81" s="76"/>
      <c r="Z81" s="78"/>
      <c r="AA81" s="76"/>
      <c r="AB81" s="78"/>
      <c r="AC81" s="76"/>
      <c r="AD81" s="78"/>
      <c r="AE81" s="76"/>
      <c r="AF81" s="78"/>
      <c r="AG81" s="76"/>
      <c r="AH81" s="78"/>
      <c r="AI81" s="76"/>
      <c r="AJ81" s="78"/>
      <c r="AK81" s="76"/>
      <c r="AL81" s="78"/>
      <c r="AM81" s="76"/>
      <c r="AN81" s="78"/>
      <c r="AO81" s="76"/>
      <c r="AP81" s="78"/>
      <c r="AQ81" s="76"/>
      <c r="AR81" s="78"/>
      <c r="AS81" s="76"/>
      <c r="AT81" s="78"/>
      <c r="AU81" s="76"/>
      <c r="AV81" s="78"/>
      <c r="AW81" s="76"/>
      <c r="AX81" s="78"/>
      <c r="AY81" s="76"/>
      <c r="AZ81" s="78">
        <f t="shared" ref="AZ81" si="133">+ROUND(AY81*$I81,0)</f>
        <v>0</v>
      </c>
      <c r="BA81" s="76"/>
      <c r="BB81" s="78"/>
      <c r="BC81" s="76"/>
      <c r="BD81" s="78"/>
      <c r="BE81" s="76"/>
      <c r="BF81" s="78"/>
      <c r="BG81" s="76"/>
      <c r="BH81" s="78"/>
      <c r="BI81" s="76"/>
      <c r="BJ81" s="78"/>
      <c r="BK81" s="76"/>
      <c r="BL81" s="78"/>
      <c r="BM81" s="76"/>
      <c r="BN81" s="78"/>
      <c r="BO81" s="76"/>
      <c r="BP81" s="78">
        <f t="shared" ref="BP81" si="134">+ROUND(BO81*$I81,0)</f>
        <v>0</v>
      </c>
      <c r="BQ81" s="76"/>
      <c r="BR81" s="78"/>
      <c r="BS81" s="76"/>
      <c r="BT81" s="78"/>
      <c r="BU81" s="76"/>
      <c r="BV81" s="78"/>
      <c r="BW81" s="76"/>
      <c r="BX81" s="78"/>
      <c r="BY81" s="76"/>
      <c r="BZ81" s="78"/>
      <c r="CA81" s="76"/>
      <c r="CB81" s="78"/>
      <c r="CC81" s="76"/>
      <c r="CD81" s="78"/>
      <c r="CE81" s="76"/>
      <c r="CF81" s="78"/>
    </row>
    <row r="82" spans="1:84" ht="30" customHeight="1" x14ac:dyDescent="0.3">
      <c r="A82" s="3"/>
      <c r="B82" s="8"/>
      <c r="C82" s="60">
        <v>4598</v>
      </c>
      <c r="D82" s="60">
        <v>3014</v>
      </c>
      <c r="E82" s="60" t="str">
        <f>+VLOOKUP(C82,'PRECIOS IDU 2025'!$A$1:$E$3189,2,FALSE)</f>
        <v>SELLO DE GRIETAS</v>
      </c>
      <c r="F82" s="60" t="str">
        <f>+VLOOKUP(C82,'PRECIOS IDU 2025'!$A$1:$E$3189,3,FALSE)</f>
        <v>ML</v>
      </c>
      <c r="G82" s="108">
        <f t="shared" si="106"/>
        <v>0</v>
      </c>
      <c r="H82" s="69">
        <f>+VLOOKUP(C82,'PRECIOS IDU 2025'!$A$1:$E$3189,4,FALSE)</f>
        <v>10386</v>
      </c>
      <c r="I82" s="69">
        <f t="shared" si="107"/>
        <v>13502</v>
      </c>
      <c r="J82" s="69">
        <f t="shared" si="108"/>
        <v>0</v>
      </c>
      <c r="K82" s="9"/>
      <c r="L82" s="3"/>
      <c r="M82" s="76"/>
      <c r="N82" s="78"/>
      <c r="O82" s="76"/>
      <c r="P82" s="78"/>
      <c r="Q82" s="76"/>
      <c r="R82" s="78"/>
      <c r="S82" s="76"/>
      <c r="T82" s="78"/>
      <c r="U82" s="76"/>
      <c r="V82" s="78"/>
      <c r="W82" s="76"/>
      <c r="X82" s="78"/>
      <c r="Y82" s="76"/>
      <c r="Z82" s="78"/>
      <c r="AA82" s="76"/>
      <c r="AB82" s="78"/>
      <c r="AC82" s="76"/>
      <c r="AD82" s="78"/>
      <c r="AE82" s="76"/>
      <c r="AF82" s="78"/>
      <c r="AG82" s="76"/>
      <c r="AH82" s="78"/>
      <c r="AI82" s="76"/>
      <c r="AJ82" s="78"/>
      <c r="AK82" s="76"/>
      <c r="AL82" s="78"/>
      <c r="AM82" s="76"/>
      <c r="AN82" s="78"/>
      <c r="AO82" s="76"/>
      <c r="AP82" s="78"/>
      <c r="AQ82" s="76"/>
      <c r="AR82" s="78"/>
      <c r="AS82" s="76"/>
      <c r="AT82" s="78"/>
      <c r="AU82" s="76"/>
      <c r="AV82" s="78"/>
      <c r="AW82" s="76"/>
      <c r="AX82" s="78"/>
      <c r="AY82" s="76"/>
      <c r="AZ82" s="78">
        <f t="shared" ref="AZ82" si="135">+ROUND(AY82*$I82,0)</f>
        <v>0</v>
      </c>
      <c r="BA82" s="76"/>
      <c r="BB82" s="78"/>
      <c r="BC82" s="76"/>
      <c r="BD82" s="78"/>
      <c r="BE82" s="76"/>
      <c r="BF82" s="78"/>
      <c r="BG82" s="76"/>
      <c r="BH82" s="78"/>
      <c r="BI82" s="76"/>
      <c r="BJ82" s="78"/>
      <c r="BK82" s="76"/>
      <c r="BL82" s="78"/>
      <c r="BM82" s="76"/>
      <c r="BN82" s="78"/>
      <c r="BO82" s="76"/>
      <c r="BP82" s="78">
        <f t="shared" ref="BP82" si="136">+ROUND(BO82*$I82,0)</f>
        <v>0</v>
      </c>
      <c r="BQ82" s="76"/>
      <c r="BR82" s="78"/>
      <c r="BS82" s="76"/>
      <c r="BT82" s="78"/>
      <c r="BU82" s="76"/>
      <c r="BV82" s="78"/>
      <c r="BW82" s="76"/>
      <c r="BX82" s="78"/>
      <c r="BY82" s="76"/>
      <c r="BZ82" s="78"/>
      <c r="CA82" s="76"/>
      <c r="CB82" s="78"/>
      <c r="CC82" s="76"/>
      <c r="CD82" s="78"/>
      <c r="CE82" s="76"/>
      <c r="CF82" s="78"/>
    </row>
    <row r="83" spans="1:84" ht="30" customHeight="1" x14ac:dyDescent="0.3">
      <c r="A83" s="3"/>
      <c r="B83" s="8"/>
      <c r="C83" s="60">
        <v>4758</v>
      </c>
      <c r="D83" s="60">
        <v>3015</v>
      </c>
      <c r="E83" s="60" t="str">
        <f>+VLOOKUP(C83,'PRECIOS IDU 2025'!$A$1:$E$3189,2,FALSE)</f>
        <v>SELLO DE FISURAS</v>
      </c>
      <c r="F83" s="60" t="str">
        <f>+VLOOKUP(C83,'PRECIOS IDU 2025'!$A$1:$E$3189,3,FALSE)</f>
        <v>ML</v>
      </c>
      <c r="G83" s="108">
        <f t="shared" si="106"/>
        <v>0</v>
      </c>
      <c r="H83" s="69">
        <f>+VLOOKUP(C83,'PRECIOS IDU 2025'!$A$1:$E$3189,4,FALSE)</f>
        <v>8877</v>
      </c>
      <c r="I83" s="69">
        <f t="shared" si="107"/>
        <v>11540</v>
      </c>
      <c r="J83" s="69">
        <f t="shared" si="108"/>
        <v>0</v>
      </c>
      <c r="K83" s="9"/>
      <c r="L83" s="3"/>
      <c r="M83" s="76"/>
      <c r="N83" s="78"/>
      <c r="O83" s="76"/>
      <c r="P83" s="78"/>
      <c r="Q83" s="76"/>
      <c r="R83" s="78"/>
      <c r="S83" s="76"/>
      <c r="T83" s="78"/>
      <c r="U83" s="76"/>
      <c r="V83" s="78"/>
      <c r="W83" s="76"/>
      <c r="X83" s="78"/>
      <c r="Y83" s="76"/>
      <c r="Z83" s="78"/>
      <c r="AA83" s="76"/>
      <c r="AB83" s="78"/>
      <c r="AC83" s="76"/>
      <c r="AD83" s="78"/>
      <c r="AE83" s="76"/>
      <c r="AF83" s="78"/>
      <c r="AG83" s="76"/>
      <c r="AH83" s="78"/>
      <c r="AI83" s="76"/>
      <c r="AJ83" s="78"/>
      <c r="AK83" s="76"/>
      <c r="AL83" s="78"/>
      <c r="AM83" s="76"/>
      <c r="AN83" s="78"/>
      <c r="AO83" s="76"/>
      <c r="AP83" s="78"/>
      <c r="AQ83" s="76"/>
      <c r="AR83" s="78"/>
      <c r="AS83" s="76"/>
      <c r="AT83" s="78"/>
      <c r="AU83" s="76"/>
      <c r="AV83" s="78"/>
      <c r="AW83" s="76"/>
      <c r="AX83" s="78"/>
      <c r="AY83" s="76"/>
      <c r="AZ83" s="78">
        <f t="shared" ref="AZ83" si="137">+ROUND(AY83*$I83,0)</f>
        <v>0</v>
      </c>
      <c r="BA83" s="76"/>
      <c r="BB83" s="78"/>
      <c r="BC83" s="76"/>
      <c r="BD83" s="78"/>
      <c r="BE83" s="76"/>
      <c r="BF83" s="78"/>
      <c r="BG83" s="76"/>
      <c r="BH83" s="78"/>
      <c r="BI83" s="76"/>
      <c r="BJ83" s="78"/>
      <c r="BK83" s="76"/>
      <c r="BL83" s="78"/>
      <c r="BM83" s="76"/>
      <c r="BN83" s="78"/>
      <c r="BO83" s="76"/>
      <c r="BP83" s="78">
        <f t="shared" ref="BP83" si="138">+ROUND(BO83*$I83,0)</f>
        <v>0</v>
      </c>
      <c r="BQ83" s="76"/>
      <c r="BR83" s="78"/>
      <c r="BS83" s="76"/>
      <c r="BT83" s="78"/>
      <c r="BU83" s="76"/>
      <c r="BV83" s="78"/>
      <c r="BW83" s="76"/>
      <c r="BX83" s="78"/>
      <c r="BY83" s="76"/>
      <c r="BZ83" s="78"/>
      <c r="CA83" s="76"/>
      <c r="CB83" s="78"/>
      <c r="CC83" s="76"/>
      <c r="CD83" s="78"/>
      <c r="CE83" s="76"/>
      <c r="CF83" s="78"/>
    </row>
    <row r="84" spans="1:84"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106"/>
        <v>0</v>
      </c>
      <c r="H84" s="69">
        <f>+VLOOKUP(C84,'PRECIOS IDU 2025'!$A$1:$E$3189,4,FALSE)</f>
        <v>104695</v>
      </c>
      <c r="I84" s="69">
        <f t="shared" si="107"/>
        <v>136104</v>
      </c>
      <c r="J84" s="69">
        <f t="shared" si="108"/>
        <v>0</v>
      </c>
      <c r="K84" s="9"/>
      <c r="L84" s="3"/>
      <c r="M84" s="76"/>
      <c r="N84" s="78"/>
      <c r="O84" s="76"/>
      <c r="P84" s="78"/>
      <c r="Q84" s="76"/>
      <c r="R84" s="78"/>
      <c r="S84" s="76"/>
      <c r="T84" s="78"/>
      <c r="U84" s="76"/>
      <c r="V84" s="78"/>
      <c r="W84" s="76"/>
      <c r="X84" s="78"/>
      <c r="Y84" s="76"/>
      <c r="Z84" s="78"/>
      <c r="AA84" s="76"/>
      <c r="AB84" s="78"/>
      <c r="AC84" s="76"/>
      <c r="AD84" s="78"/>
      <c r="AE84" s="76"/>
      <c r="AF84" s="78"/>
      <c r="AG84" s="76"/>
      <c r="AH84" s="78"/>
      <c r="AI84" s="76"/>
      <c r="AJ84" s="78"/>
      <c r="AK84" s="76"/>
      <c r="AL84" s="78"/>
      <c r="AM84" s="76"/>
      <c r="AN84" s="78"/>
      <c r="AO84" s="76"/>
      <c r="AP84" s="78"/>
      <c r="AQ84" s="76"/>
      <c r="AR84" s="78"/>
      <c r="AS84" s="76"/>
      <c r="AT84" s="78"/>
      <c r="AU84" s="76"/>
      <c r="AV84" s="78"/>
      <c r="AW84" s="76"/>
      <c r="AX84" s="78"/>
      <c r="AY84" s="76"/>
      <c r="AZ84" s="78">
        <f t="shared" ref="AZ84" si="139">+ROUND(AY84*$I84,0)</f>
        <v>0</v>
      </c>
      <c r="BA84" s="76"/>
      <c r="BB84" s="78"/>
      <c r="BC84" s="76"/>
      <c r="BD84" s="78"/>
      <c r="BE84" s="76"/>
      <c r="BF84" s="78"/>
      <c r="BG84" s="76"/>
      <c r="BH84" s="78"/>
      <c r="BI84" s="76"/>
      <c r="BJ84" s="78"/>
      <c r="BK84" s="76"/>
      <c r="BL84" s="78"/>
      <c r="BM84" s="76"/>
      <c r="BN84" s="78"/>
      <c r="BO84" s="76"/>
      <c r="BP84" s="78">
        <f t="shared" ref="BP84" si="140">+ROUND(BO84*$I84,0)</f>
        <v>0</v>
      </c>
      <c r="BQ84" s="76"/>
      <c r="BR84" s="78"/>
      <c r="BS84" s="76"/>
      <c r="BT84" s="78"/>
      <c r="BU84" s="76"/>
      <c r="BV84" s="78"/>
      <c r="BW84" s="76"/>
      <c r="BX84" s="78"/>
      <c r="BY84" s="76"/>
      <c r="BZ84" s="78"/>
      <c r="CA84" s="76"/>
      <c r="CB84" s="78"/>
      <c r="CC84" s="76"/>
      <c r="CD84" s="78"/>
      <c r="CE84" s="76"/>
      <c r="CF84" s="78"/>
    </row>
    <row r="85" spans="1:84"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106"/>
        <v>0</v>
      </c>
      <c r="H85" s="69">
        <f>+VLOOKUP(C85,'PRECIOS IDU 2025'!$A$1:$E$3189,4,FALSE)</f>
        <v>104695</v>
      </c>
      <c r="I85" s="69">
        <f t="shared" si="107"/>
        <v>136104</v>
      </c>
      <c r="J85" s="69">
        <f t="shared" si="108"/>
        <v>0</v>
      </c>
      <c r="K85" s="9"/>
      <c r="L85" s="3"/>
      <c r="M85" s="76"/>
      <c r="N85" s="78"/>
      <c r="O85" s="76"/>
      <c r="P85" s="78"/>
      <c r="Q85" s="76"/>
      <c r="R85" s="78"/>
      <c r="S85" s="76"/>
      <c r="T85" s="78"/>
      <c r="U85" s="76"/>
      <c r="V85" s="78"/>
      <c r="W85" s="76"/>
      <c r="X85" s="78"/>
      <c r="Y85" s="76"/>
      <c r="Z85" s="78"/>
      <c r="AA85" s="76"/>
      <c r="AB85" s="78"/>
      <c r="AC85" s="76"/>
      <c r="AD85" s="78"/>
      <c r="AE85" s="76"/>
      <c r="AF85" s="78"/>
      <c r="AG85" s="76"/>
      <c r="AH85" s="78"/>
      <c r="AI85" s="76"/>
      <c r="AJ85" s="78"/>
      <c r="AK85" s="76"/>
      <c r="AL85" s="78"/>
      <c r="AM85" s="76"/>
      <c r="AN85" s="78"/>
      <c r="AO85" s="76"/>
      <c r="AP85" s="78"/>
      <c r="AQ85" s="76"/>
      <c r="AR85" s="78"/>
      <c r="AS85" s="76"/>
      <c r="AT85" s="78"/>
      <c r="AU85" s="76"/>
      <c r="AV85" s="78"/>
      <c r="AW85" s="76"/>
      <c r="AX85" s="78"/>
      <c r="AY85" s="76"/>
      <c r="AZ85" s="78">
        <f t="shared" ref="AZ85" si="141">+ROUND(AY85*$I85,0)</f>
        <v>0</v>
      </c>
      <c r="BA85" s="76"/>
      <c r="BB85" s="78"/>
      <c r="BC85" s="76"/>
      <c r="BD85" s="78"/>
      <c r="BE85" s="76"/>
      <c r="BF85" s="78"/>
      <c r="BG85" s="76"/>
      <c r="BH85" s="78"/>
      <c r="BI85" s="76"/>
      <c r="BJ85" s="78"/>
      <c r="BK85" s="76"/>
      <c r="BL85" s="78"/>
      <c r="BM85" s="76"/>
      <c r="BN85" s="78"/>
      <c r="BO85" s="76"/>
      <c r="BP85" s="78">
        <f t="shared" ref="BP85" si="142">+ROUND(BO85*$I85,0)</f>
        <v>0</v>
      </c>
      <c r="BQ85" s="76"/>
      <c r="BR85" s="78"/>
      <c r="BS85" s="76"/>
      <c r="BT85" s="78"/>
      <c r="BU85" s="76"/>
      <c r="BV85" s="78"/>
      <c r="BW85" s="76"/>
      <c r="BX85" s="78"/>
      <c r="BY85" s="76"/>
      <c r="BZ85" s="78"/>
      <c r="CA85" s="76"/>
      <c r="CB85" s="78"/>
      <c r="CC85" s="76"/>
      <c r="CD85" s="78"/>
      <c r="CE85" s="76"/>
      <c r="CF85" s="78"/>
    </row>
    <row r="86" spans="1:84" ht="30" customHeight="1" x14ac:dyDescent="0.3">
      <c r="A86" s="3"/>
      <c r="B86" s="8"/>
      <c r="C86" s="66" t="s">
        <v>6079</v>
      </c>
      <c r="D86" s="62"/>
      <c r="E86" s="62"/>
      <c r="F86" s="62"/>
      <c r="G86" s="62"/>
      <c r="H86" s="62"/>
      <c r="I86" s="62"/>
      <c r="J86" s="63"/>
      <c r="K86" s="9"/>
      <c r="L86" s="3"/>
      <c r="M86" s="76"/>
      <c r="N86" s="78"/>
      <c r="O86" s="76"/>
      <c r="P86" s="78"/>
      <c r="Q86" s="76"/>
      <c r="R86" s="78"/>
      <c r="S86" s="76"/>
      <c r="T86" s="78"/>
      <c r="U86" s="76"/>
      <c r="V86" s="78"/>
      <c r="W86" s="76"/>
      <c r="X86" s="78"/>
      <c r="Y86" s="76"/>
      <c r="Z86" s="78"/>
      <c r="AA86" s="76"/>
      <c r="AB86" s="78"/>
      <c r="AC86" s="76"/>
      <c r="AD86" s="78"/>
      <c r="AE86" s="76"/>
      <c r="AF86" s="78"/>
      <c r="AG86" s="76"/>
      <c r="AH86" s="78"/>
      <c r="AI86" s="76"/>
      <c r="AJ86" s="78"/>
      <c r="AK86" s="76"/>
      <c r="AL86" s="78"/>
      <c r="AM86" s="76"/>
      <c r="AN86" s="78"/>
      <c r="AO86" s="76"/>
      <c r="AP86" s="78"/>
      <c r="AQ86" s="76"/>
      <c r="AR86" s="78"/>
      <c r="AS86" s="76"/>
      <c r="AT86" s="78"/>
      <c r="AU86" s="76"/>
      <c r="AV86" s="78"/>
      <c r="AW86" s="76"/>
      <c r="AX86" s="78"/>
      <c r="AY86" s="76"/>
      <c r="AZ86" s="78">
        <f t="shared" ref="AZ86" si="143">+ROUND(AY86*$I86,0)</f>
        <v>0</v>
      </c>
      <c r="BA86" s="76"/>
      <c r="BB86" s="78"/>
      <c r="BC86" s="76"/>
      <c r="BD86" s="78"/>
      <c r="BE86" s="76"/>
      <c r="BF86" s="78"/>
      <c r="BG86" s="76"/>
      <c r="BH86" s="78"/>
      <c r="BI86" s="76"/>
      <c r="BJ86" s="78"/>
      <c r="BK86" s="76"/>
      <c r="BL86" s="78"/>
      <c r="BM86" s="76"/>
      <c r="BN86" s="78"/>
      <c r="BO86" s="76"/>
      <c r="BP86" s="78">
        <f t="shared" ref="BP86" si="144">+ROUND(BO86*$I86,0)</f>
        <v>0</v>
      </c>
      <c r="BQ86" s="76"/>
      <c r="BR86" s="78"/>
      <c r="BS86" s="76"/>
      <c r="BT86" s="78"/>
      <c r="BU86" s="76"/>
      <c r="BV86" s="78"/>
      <c r="BW86" s="76"/>
      <c r="BX86" s="78"/>
      <c r="BY86" s="76"/>
      <c r="BZ86" s="78"/>
      <c r="CA86" s="76"/>
      <c r="CB86" s="78"/>
      <c r="CC86" s="76"/>
      <c r="CD86" s="78"/>
      <c r="CE86" s="76"/>
      <c r="CF86" s="78"/>
    </row>
    <row r="87" spans="1:84" ht="30" customHeight="1" x14ac:dyDescent="0.3">
      <c r="A87" s="3"/>
      <c r="B87" s="8"/>
      <c r="C87" s="60">
        <v>3007</v>
      </c>
      <c r="D87" s="60">
        <v>4001</v>
      </c>
      <c r="E87" s="60" t="str">
        <f>+VLOOKUP(C87,'PRECIOS IDU 2025'!$A$1:$E$3189,2,FALSE)</f>
        <v>REPLANTEO GENERAL</v>
      </c>
      <c r="F87" s="60" t="str">
        <f>+VLOOKUP(C87,'PRECIOS IDU 2025'!$A$1:$E$3189,3,FALSE)</f>
        <v>M2</v>
      </c>
      <c r="G87" s="108">
        <f t="shared" ref="G87:G110" si="145">+ROUND(M87+O87+Q87+S87+U87+W87+Y87+AA87+AC87+AE87+AG87+AI87+AK87+AM87+AO87+AQ87+AS87+AU87+AW87+AY87+BA87+BC87+BE87+BG87+BI87+BK87+BM87+BO87+BQ87+BS87+BU87+BW87+BY87+CA87+CC87+CE87,2)</f>
        <v>370.87</v>
      </c>
      <c r="H87" s="69">
        <f>+VLOOKUP(C87,'PRECIOS IDU 2025'!$A$1:$E$3189,4,FALSE)</f>
        <v>909</v>
      </c>
      <c r="I87" s="69">
        <f t="shared" ref="I87:I110" si="146">+ROUND(H87*(1+$J$192),0)</f>
        <v>1182</v>
      </c>
      <c r="J87" s="69">
        <f t="shared" ref="J87:J110" si="147">+ROUND(I87*G87,0)</f>
        <v>438368</v>
      </c>
      <c r="K87" s="9"/>
      <c r="L87" s="3"/>
      <c r="M87" s="76"/>
      <c r="N87" s="78"/>
      <c r="O87" s="76"/>
      <c r="P87" s="78"/>
      <c r="Q87" s="76"/>
      <c r="R87" s="78"/>
      <c r="S87" s="76"/>
      <c r="T87" s="78"/>
      <c r="U87" s="76"/>
      <c r="V87" s="78"/>
      <c r="W87" s="76"/>
      <c r="X87" s="78"/>
      <c r="Y87" s="76"/>
      <c r="Z87" s="78"/>
      <c r="AA87" s="76"/>
      <c r="AB87" s="78"/>
      <c r="AC87" s="76"/>
      <c r="AD87" s="78"/>
      <c r="AE87" s="76"/>
      <c r="AF87" s="78"/>
      <c r="AG87" s="76"/>
      <c r="AH87" s="78"/>
      <c r="AI87" s="76"/>
      <c r="AJ87" s="78"/>
      <c r="AK87" s="76"/>
      <c r="AL87" s="78"/>
      <c r="AM87" s="76"/>
      <c r="AN87" s="78"/>
      <c r="AO87" s="76"/>
      <c r="AP87" s="78"/>
      <c r="AQ87" s="76"/>
      <c r="AR87" s="78"/>
      <c r="AS87" s="76"/>
      <c r="AT87" s="78"/>
      <c r="AU87" s="76"/>
      <c r="AV87" s="78"/>
      <c r="AW87" s="76"/>
      <c r="AX87" s="78"/>
      <c r="AY87" s="76">
        <v>100.55999999999999</v>
      </c>
      <c r="AZ87" s="78">
        <f t="shared" ref="AZ87" si="148">+ROUND(AY87*$I87,0)</f>
        <v>118862</v>
      </c>
      <c r="BA87" s="76"/>
      <c r="BB87" s="78"/>
      <c r="BC87" s="76"/>
      <c r="BD87" s="78"/>
      <c r="BE87" s="76"/>
      <c r="BF87" s="78"/>
      <c r="BG87" s="76"/>
      <c r="BH87" s="78"/>
      <c r="BI87" s="76"/>
      <c r="BJ87" s="78"/>
      <c r="BK87" s="76"/>
      <c r="BL87" s="78"/>
      <c r="BM87" s="76"/>
      <c r="BN87" s="78"/>
      <c r="BO87" s="76">
        <f>+BO13</f>
        <v>270.30599999999998</v>
      </c>
      <c r="BP87" s="78">
        <f t="shared" ref="BP87" si="149">+ROUND(BO87*$I87,0)</f>
        <v>319502</v>
      </c>
      <c r="BQ87" s="76"/>
      <c r="BR87" s="78"/>
      <c r="BS87" s="76"/>
      <c r="BT87" s="78"/>
      <c r="BU87" s="76"/>
      <c r="BV87" s="78"/>
      <c r="BW87" s="76"/>
      <c r="BX87" s="78"/>
      <c r="BY87" s="76"/>
      <c r="BZ87" s="78"/>
      <c r="CA87" s="76"/>
      <c r="CB87" s="78"/>
      <c r="CC87" s="76"/>
      <c r="CD87" s="78"/>
      <c r="CE87" s="76"/>
      <c r="CF87" s="78"/>
    </row>
    <row r="88" spans="1:84"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145"/>
        <v>0</v>
      </c>
      <c r="H88" s="69">
        <f>+VLOOKUP(C88,'PRECIOS IDU 2025'!$A$1:$E$3189,4,FALSE)</f>
        <v>2659</v>
      </c>
      <c r="I88" s="69">
        <f t="shared" si="146"/>
        <v>3457</v>
      </c>
      <c r="J88" s="69">
        <f t="shared" si="147"/>
        <v>0</v>
      </c>
      <c r="K88" s="9"/>
      <c r="L88" s="3"/>
      <c r="M88" s="76"/>
      <c r="N88" s="78"/>
      <c r="O88" s="76"/>
      <c r="P88" s="78"/>
      <c r="Q88" s="76"/>
      <c r="R88" s="78"/>
      <c r="S88" s="76"/>
      <c r="T88" s="78"/>
      <c r="U88" s="76"/>
      <c r="V88" s="78"/>
      <c r="W88" s="76"/>
      <c r="X88" s="78"/>
      <c r="Y88" s="76"/>
      <c r="Z88" s="78"/>
      <c r="AA88" s="76"/>
      <c r="AB88" s="78"/>
      <c r="AC88" s="76"/>
      <c r="AD88" s="78"/>
      <c r="AE88" s="76"/>
      <c r="AF88" s="78"/>
      <c r="AG88" s="76"/>
      <c r="AH88" s="78"/>
      <c r="AI88" s="76"/>
      <c r="AJ88" s="78"/>
      <c r="AK88" s="76"/>
      <c r="AL88" s="78"/>
      <c r="AM88" s="76"/>
      <c r="AN88" s="78"/>
      <c r="AO88" s="76"/>
      <c r="AP88" s="78"/>
      <c r="AQ88" s="76"/>
      <c r="AR88" s="78"/>
      <c r="AS88" s="76"/>
      <c r="AT88" s="78"/>
      <c r="AU88" s="76"/>
      <c r="AV88" s="78"/>
      <c r="AW88" s="76"/>
      <c r="AX88" s="78"/>
      <c r="AY88" s="76">
        <v>0</v>
      </c>
      <c r="AZ88" s="78">
        <f t="shared" ref="AZ88" si="150">+ROUND(AY88*$I88,0)</f>
        <v>0</v>
      </c>
      <c r="BA88" s="76"/>
      <c r="BB88" s="78"/>
      <c r="BC88" s="76"/>
      <c r="BD88" s="78"/>
      <c r="BE88" s="76"/>
      <c r="BF88" s="78"/>
      <c r="BG88" s="76"/>
      <c r="BH88" s="78"/>
      <c r="BI88" s="76"/>
      <c r="BJ88" s="78"/>
      <c r="BK88" s="76"/>
      <c r="BL88" s="78"/>
      <c r="BM88" s="76"/>
      <c r="BN88" s="78"/>
      <c r="BO88" s="76">
        <f>+BO13*BO3</f>
        <v>0</v>
      </c>
      <c r="BP88" s="78">
        <f t="shared" ref="BP88" si="151">+ROUND(BO88*$I88,0)</f>
        <v>0</v>
      </c>
      <c r="BQ88" s="76"/>
      <c r="BR88" s="78"/>
      <c r="BS88" s="76"/>
      <c r="BT88" s="78"/>
      <c r="BU88" s="76"/>
      <c r="BV88" s="78"/>
      <c r="BW88" s="76"/>
      <c r="BX88" s="78"/>
      <c r="BY88" s="76"/>
      <c r="BZ88" s="78"/>
      <c r="CA88" s="76"/>
      <c r="CB88" s="78"/>
      <c r="CC88" s="76"/>
      <c r="CD88" s="78"/>
      <c r="CE88" s="76"/>
      <c r="CF88" s="78"/>
    </row>
    <row r="89" spans="1:84"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145"/>
        <v>20.69</v>
      </c>
      <c r="H89" s="69">
        <f>+VLOOKUP(C89,'PRECIOS IDU 2025'!$A$1:$E$3189,4,FALSE)</f>
        <v>38781</v>
      </c>
      <c r="I89" s="69">
        <f t="shared" si="146"/>
        <v>50415</v>
      </c>
      <c r="J89" s="69">
        <f t="shared" si="147"/>
        <v>1043086</v>
      </c>
      <c r="K89" s="9"/>
      <c r="L89" s="3"/>
      <c r="M89" s="76"/>
      <c r="N89" s="78"/>
      <c r="O89" s="76"/>
      <c r="P89" s="78"/>
      <c r="Q89" s="76"/>
      <c r="R89" s="78"/>
      <c r="S89" s="76"/>
      <c r="T89" s="78"/>
      <c r="U89" s="76"/>
      <c r="V89" s="78"/>
      <c r="W89" s="76"/>
      <c r="X89" s="78"/>
      <c r="Y89" s="76"/>
      <c r="Z89" s="78"/>
      <c r="AA89" s="76"/>
      <c r="AB89" s="78"/>
      <c r="AC89" s="76"/>
      <c r="AD89" s="78"/>
      <c r="AE89" s="76"/>
      <c r="AF89" s="78"/>
      <c r="AG89" s="76"/>
      <c r="AH89" s="78"/>
      <c r="AI89" s="76"/>
      <c r="AJ89" s="78"/>
      <c r="AK89" s="76"/>
      <c r="AL89" s="78"/>
      <c r="AM89" s="76"/>
      <c r="AN89" s="78"/>
      <c r="AO89" s="76"/>
      <c r="AP89" s="78"/>
      <c r="AQ89" s="76"/>
      <c r="AR89" s="78"/>
      <c r="AS89" s="76"/>
      <c r="AT89" s="78"/>
      <c r="AU89" s="76"/>
      <c r="AV89" s="78"/>
      <c r="AW89" s="76"/>
      <c r="AX89" s="78"/>
      <c r="AY89" s="76">
        <v>8.7520000000000007</v>
      </c>
      <c r="AZ89" s="78">
        <f t="shared" ref="AZ89" si="152">+ROUND(AY89*$I89,0)</f>
        <v>441232</v>
      </c>
      <c r="BA89" s="76"/>
      <c r="BB89" s="78"/>
      <c r="BC89" s="76"/>
      <c r="BD89" s="78"/>
      <c r="BE89" s="76"/>
      <c r="BF89" s="78"/>
      <c r="BG89" s="76"/>
      <c r="BH89" s="78"/>
      <c r="BI89" s="76"/>
      <c r="BJ89" s="78"/>
      <c r="BK89" s="76"/>
      <c r="BL89" s="78"/>
      <c r="BM89" s="76"/>
      <c r="BN89" s="78"/>
      <c r="BO89" s="76">
        <f>+BO11*2*0.05</f>
        <v>11.934000000000001</v>
      </c>
      <c r="BP89" s="78">
        <f t="shared" ref="BP89" si="153">+ROUND(BO89*$I89,0)</f>
        <v>601653</v>
      </c>
      <c r="BQ89" s="76"/>
      <c r="BR89" s="78"/>
      <c r="BS89" s="76"/>
      <c r="BT89" s="78"/>
      <c r="BU89" s="76"/>
      <c r="BV89" s="78"/>
      <c r="BW89" s="76"/>
      <c r="BX89" s="78"/>
      <c r="BY89" s="76"/>
      <c r="BZ89" s="78"/>
      <c r="CA89" s="76"/>
      <c r="CB89" s="78"/>
      <c r="CC89" s="76"/>
      <c r="CD89" s="78"/>
      <c r="CE89" s="76"/>
      <c r="CF89" s="78"/>
    </row>
    <row r="90" spans="1:84"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145"/>
        <v>413.72</v>
      </c>
      <c r="H90" s="69">
        <f>+VLOOKUP(C90,'PRECIOS IDU 2025'!$A$1:$E$3189,4,FALSE)</f>
        <v>187178</v>
      </c>
      <c r="I90" s="69">
        <f t="shared" si="146"/>
        <v>243331</v>
      </c>
      <c r="J90" s="69">
        <f t="shared" si="147"/>
        <v>100670901</v>
      </c>
      <c r="K90" s="9"/>
      <c r="L90" s="3"/>
      <c r="M90" s="76"/>
      <c r="N90" s="78"/>
      <c r="O90" s="76"/>
      <c r="P90" s="78"/>
      <c r="Q90" s="76"/>
      <c r="R90" s="78"/>
      <c r="S90" s="76"/>
      <c r="T90" s="78"/>
      <c r="U90" s="76"/>
      <c r="V90" s="78"/>
      <c r="W90" s="76"/>
      <c r="X90" s="78"/>
      <c r="Y90" s="76"/>
      <c r="Z90" s="78"/>
      <c r="AA90" s="76"/>
      <c r="AB90" s="78"/>
      <c r="AC90" s="76"/>
      <c r="AD90" s="78"/>
      <c r="AE90" s="76"/>
      <c r="AF90" s="78"/>
      <c r="AG90" s="76"/>
      <c r="AH90" s="78"/>
      <c r="AI90" s="76"/>
      <c r="AJ90" s="78"/>
      <c r="AK90" s="76"/>
      <c r="AL90" s="78"/>
      <c r="AM90" s="76"/>
      <c r="AN90" s="78"/>
      <c r="AO90" s="76"/>
      <c r="AP90" s="78"/>
      <c r="AQ90" s="76"/>
      <c r="AR90" s="78"/>
      <c r="AS90" s="76"/>
      <c r="AT90" s="78"/>
      <c r="AU90" s="76"/>
      <c r="AV90" s="78"/>
      <c r="AW90" s="76"/>
      <c r="AX90" s="78"/>
      <c r="AY90" s="76">
        <v>175.04</v>
      </c>
      <c r="AZ90" s="78">
        <f t="shared" ref="AZ90" si="154">+ROUND(AY90*$I90,0)</f>
        <v>42592658</v>
      </c>
      <c r="BA90" s="76"/>
      <c r="BB90" s="78"/>
      <c r="BC90" s="76"/>
      <c r="BD90" s="78"/>
      <c r="BE90" s="76"/>
      <c r="BF90" s="78"/>
      <c r="BG90" s="76"/>
      <c r="BH90" s="78"/>
      <c r="BI90" s="76"/>
      <c r="BJ90" s="78"/>
      <c r="BK90" s="76"/>
      <c r="BL90" s="78"/>
      <c r="BM90" s="76"/>
      <c r="BN90" s="78"/>
      <c r="BO90" s="76">
        <f>+BO11*2</f>
        <v>238.68</v>
      </c>
      <c r="BP90" s="78">
        <f t="shared" ref="BP90" si="155">+ROUND(BO90*$I90,0)</f>
        <v>58078243</v>
      </c>
      <c r="BQ90" s="76"/>
      <c r="BR90" s="78"/>
      <c r="BS90" s="76"/>
      <c r="BT90" s="78"/>
      <c r="BU90" s="76"/>
      <c r="BV90" s="78"/>
      <c r="BW90" s="76"/>
      <c r="BX90" s="78"/>
      <c r="BY90" s="76"/>
      <c r="BZ90" s="78"/>
      <c r="CA90" s="76"/>
      <c r="CB90" s="78"/>
      <c r="CC90" s="76"/>
      <c r="CD90" s="78"/>
      <c r="CE90" s="76"/>
      <c r="CF90" s="78"/>
    </row>
    <row r="91" spans="1:84"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145"/>
        <v>0</v>
      </c>
      <c r="H91" s="69">
        <f>+VLOOKUP(C91,'PRECIOS IDU 2025'!$A$1:$E$3189,4,FALSE)</f>
        <v>5741</v>
      </c>
      <c r="I91" s="69">
        <f t="shared" si="146"/>
        <v>7463</v>
      </c>
      <c r="J91" s="69">
        <f t="shared" si="147"/>
        <v>0</v>
      </c>
      <c r="K91" s="9"/>
      <c r="L91" s="3"/>
      <c r="M91" s="76"/>
      <c r="N91" s="78"/>
      <c r="O91" s="76"/>
      <c r="P91" s="78"/>
      <c r="Q91" s="76"/>
      <c r="R91" s="78"/>
      <c r="S91" s="76"/>
      <c r="T91" s="78"/>
      <c r="U91" s="76"/>
      <c r="V91" s="78"/>
      <c r="W91" s="76"/>
      <c r="X91" s="78"/>
      <c r="Y91" s="76"/>
      <c r="Z91" s="78"/>
      <c r="AA91" s="76"/>
      <c r="AB91" s="78"/>
      <c r="AC91" s="76"/>
      <c r="AD91" s="78"/>
      <c r="AE91" s="76"/>
      <c r="AF91" s="78"/>
      <c r="AG91" s="76"/>
      <c r="AH91" s="78"/>
      <c r="AI91" s="76"/>
      <c r="AJ91" s="78"/>
      <c r="AK91" s="76"/>
      <c r="AL91" s="78"/>
      <c r="AM91" s="76"/>
      <c r="AN91" s="78"/>
      <c r="AO91" s="76"/>
      <c r="AP91" s="78"/>
      <c r="AQ91" s="76"/>
      <c r="AR91" s="78"/>
      <c r="AS91" s="76"/>
      <c r="AT91" s="78"/>
      <c r="AU91" s="76"/>
      <c r="AV91" s="78"/>
      <c r="AW91" s="76"/>
      <c r="AX91" s="78"/>
      <c r="AY91" s="76">
        <v>0</v>
      </c>
      <c r="AZ91" s="78">
        <f t="shared" ref="AZ91" si="156">+ROUND(AY91*$I91,0)</f>
        <v>0</v>
      </c>
      <c r="BA91" s="76"/>
      <c r="BB91" s="78"/>
      <c r="BC91" s="76"/>
      <c r="BD91" s="78"/>
      <c r="BE91" s="76"/>
      <c r="BF91" s="78"/>
      <c r="BG91" s="76"/>
      <c r="BH91" s="78"/>
      <c r="BI91" s="76"/>
      <c r="BJ91" s="78"/>
      <c r="BK91" s="76"/>
      <c r="BL91" s="78"/>
      <c r="BM91" s="76"/>
      <c r="BN91" s="78"/>
      <c r="BO91" s="76">
        <f>+BO13*SUM(BO3:BR3)</f>
        <v>0</v>
      </c>
      <c r="BP91" s="78">
        <f t="shared" ref="BP91" si="157">+ROUND(BO91*$I91,0)</f>
        <v>0</v>
      </c>
      <c r="BQ91" s="76"/>
      <c r="BR91" s="78"/>
      <c r="BS91" s="76"/>
      <c r="BT91" s="78"/>
      <c r="BU91" s="76"/>
      <c r="BV91" s="78"/>
      <c r="BW91" s="76"/>
      <c r="BX91" s="78"/>
      <c r="BY91" s="76"/>
      <c r="BZ91" s="78"/>
      <c r="CA91" s="76"/>
      <c r="CB91" s="78"/>
      <c r="CC91" s="76"/>
      <c r="CD91" s="78"/>
      <c r="CE91" s="76"/>
      <c r="CF91" s="78"/>
    </row>
    <row r="92" spans="1:84"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145"/>
        <v>0</v>
      </c>
      <c r="H92" s="69">
        <f>+VLOOKUP(C92,'PRECIOS IDU 2025'!$A$1:$E$3189,4,FALSE)</f>
        <v>46379</v>
      </c>
      <c r="I92" s="69">
        <f t="shared" si="146"/>
        <v>60293</v>
      </c>
      <c r="J92" s="69">
        <f t="shared" si="147"/>
        <v>0</v>
      </c>
      <c r="K92" s="9"/>
      <c r="L92" s="3"/>
      <c r="M92" s="76"/>
      <c r="N92" s="78"/>
      <c r="O92" s="76"/>
      <c r="P92" s="78"/>
      <c r="Q92" s="76"/>
      <c r="R92" s="78"/>
      <c r="S92" s="76"/>
      <c r="T92" s="78"/>
      <c r="U92" s="76"/>
      <c r="V92" s="78"/>
      <c r="W92" s="76"/>
      <c r="X92" s="78"/>
      <c r="Y92" s="76"/>
      <c r="Z92" s="78"/>
      <c r="AA92" s="76"/>
      <c r="AB92" s="78"/>
      <c r="AC92" s="76"/>
      <c r="AD92" s="78"/>
      <c r="AE92" s="76"/>
      <c r="AF92" s="78"/>
      <c r="AG92" s="76"/>
      <c r="AH92" s="78"/>
      <c r="AI92" s="76"/>
      <c r="AJ92" s="78"/>
      <c r="AK92" s="76"/>
      <c r="AL92" s="78"/>
      <c r="AM92" s="76"/>
      <c r="AN92" s="78"/>
      <c r="AO92" s="76"/>
      <c r="AP92" s="78"/>
      <c r="AQ92" s="76"/>
      <c r="AR92" s="78"/>
      <c r="AS92" s="76"/>
      <c r="AT92" s="78"/>
      <c r="AU92" s="76"/>
      <c r="AV92" s="78"/>
      <c r="AW92" s="76"/>
      <c r="AX92" s="78"/>
      <c r="AY92" s="76">
        <v>0</v>
      </c>
      <c r="AZ92" s="78">
        <f t="shared" ref="AZ92" si="158">+ROUND(AY92*$I92,0)</f>
        <v>0</v>
      </c>
      <c r="BA92" s="76"/>
      <c r="BB92" s="78"/>
      <c r="BC92" s="76"/>
      <c r="BD92" s="78"/>
      <c r="BE92" s="76"/>
      <c r="BF92" s="78"/>
      <c r="BG92" s="76"/>
      <c r="BH92" s="78"/>
      <c r="BI92" s="76"/>
      <c r="BJ92" s="78"/>
      <c r="BK92" s="76"/>
      <c r="BL92" s="78"/>
      <c r="BM92" s="76"/>
      <c r="BN92" s="78"/>
      <c r="BO92" s="76">
        <f>+BO91*0.05</f>
        <v>0</v>
      </c>
      <c r="BP92" s="78">
        <f t="shared" ref="BP92" si="159">+ROUND(BO92*$I92,0)</f>
        <v>0</v>
      </c>
      <c r="BQ92" s="76"/>
      <c r="BR92" s="78"/>
      <c r="BS92" s="76"/>
      <c r="BT92" s="78"/>
      <c r="BU92" s="76"/>
      <c r="BV92" s="78"/>
      <c r="BW92" s="76"/>
      <c r="BX92" s="78"/>
      <c r="BY92" s="76"/>
      <c r="BZ92" s="78"/>
      <c r="CA92" s="76"/>
      <c r="CB92" s="78"/>
      <c r="CC92" s="76"/>
      <c r="CD92" s="78"/>
      <c r="CE92" s="76"/>
      <c r="CF92" s="78"/>
    </row>
    <row r="93" spans="1:84"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145"/>
        <v>564.73</v>
      </c>
      <c r="H93" s="69">
        <f>+VLOOKUP(C93,'PRECIOS IDU 2025'!$A$1:$E$3189,4,FALSE)</f>
        <v>45600</v>
      </c>
      <c r="I93" s="69">
        <f t="shared" si="146"/>
        <v>59280</v>
      </c>
      <c r="J93" s="69">
        <f t="shared" si="147"/>
        <v>33477194</v>
      </c>
      <c r="K93" s="9"/>
      <c r="L93" s="3"/>
      <c r="M93" s="76"/>
      <c r="N93" s="78"/>
      <c r="O93" s="76"/>
      <c r="P93" s="78"/>
      <c r="Q93" s="76"/>
      <c r="R93" s="78"/>
      <c r="S93" s="76"/>
      <c r="T93" s="78"/>
      <c r="U93" s="76"/>
      <c r="V93" s="78"/>
      <c r="W93" s="76"/>
      <c r="X93" s="78"/>
      <c r="Y93" s="76"/>
      <c r="Z93" s="78"/>
      <c r="AA93" s="76"/>
      <c r="AB93" s="78"/>
      <c r="AC93" s="76"/>
      <c r="AD93" s="78"/>
      <c r="AE93" s="76"/>
      <c r="AF93" s="78"/>
      <c r="AG93" s="76"/>
      <c r="AH93" s="78"/>
      <c r="AI93" s="76"/>
      <c r="AJ93" s="78"/>
      <c r="AK93" s="76"/>
      <c r="AL93" s="78"/>
      <c r="AM93" s="76"/>
      <c r="AN93" s="78"/>
      <c r="AO93" s="76"/>
      <c r="AP93" s="78"/>
      <c r="AQ93" s="76"/>
      <c r="AR93" s="78"/>
      <c r="AS93" s="76"/>
      <c r="AT93" s="78"/>
      <c r="AU93" s="76"/>
      <c r="AV93" s="78"/>
      <c r="AW93" s="76"/>
      <c r="AX93" s="78"/>
      <c r="AY93" s="76">
        <v>238.92960000000002</v>
      </c>
      <c r="AZ93" s="78">
        <f t="shared" ref="AZ93" si="160">+ROUND(AY93*$I93,0)</f>
        <v>14163747</v>
      </c>
      <c r="BA93" s="76"/>
      <c r="BB93" s="78"/>
      <c r="BC93" s="76"/>
      <c r="BD93" s="78"/>
      <c r="BE93" s="76"/>
      <c r="BF93" s="78"/>
      <c r="BG93" s="76"/>
      <c r="BH93" s="78"/>
      <c r="BI93" s="76"/>
      <c r="BJ93" s="78"/>
      <c r="BK93" s="76"/>
      <c r="BL93" s="78"/>
      <c r="BM93" s="76"/>
      <c r="BN93" s="78"/>
      <c r="BO93" s="76">
        <f>++SUM(BO89:BO92)*1.3</f>
        <v>325.79820000000001</v>
      </c>
      <c r="BP93" s="78">
        <f t="shared" ref="BP93" si="161">+ROUND(BO93*$I93,0)</f>
        <v>19313317</v>
      </c>
      <c r="BQ93" s="76"/>
      <c r="BR93" s="78"/>
      <c r="BS93" s="76"/>
      <c r="BT93" s="78"/>
      <c r="BU93" s="76"/>
      <c r="BV93" s="78"/>
      <c r="BW93" s="76"/>
      <c r="BX93" s="78"/>
      <c r="BY93" s="76"/>
      <c r="BZ93" s="78"/>
      <c r="CA93" s="76"/>
      <c r="CB93" s="78"/>
      <c r="CC93" s="76"/>
      <c r="CD93" s="78"/>
      <c r="CE93" s="76"/>
      <c r="CF93" s="78"/>
    </row>
    <row r="94" spans="1:84"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145"/>
        <v>370.87</v>
      </c>
      <c r="H94" s="69">
        <f>+VLOOKUP(C94,'PRECIOS IDU 2025'!$A$1:$E$3189,4,FALSE)</f>
        <v>1757</v>
      </c>
      <c r="I94" s="69">
        <f t="shared" si="146"/>
        <v>2284</v>
      </c>
      <c r="J94" s="69">
        <f t="shared" si="147"/>
        <v>847067</v>
      </c>
      <c r="K94" s="9"/>
      <c r="L94" s="3"/>
      <c r="M94" s="76"/>
      <c r="N94" s="78"/>
      <c r="O94" s="76"/>
      <c r="P94" s="78"/>
      <c r="Q94" s="76"/>
      <c r="R94" s="78"/>
      <c r="S94" s="76"/>
      <c r="T94" s="78"/>
      <c r="U94" s="76"/>
      <c r="V94" s="78"/>
      <c r="W94" s="76"/>
      <c r="X94" s="78"/>
      <c r="Y94" s="76"/>
      <c r="Z94" s="78"/>
      <c r="AA94" s="76"/>
      <c r="AB94" s="78"/>
      <c r="AC94" s="76"/>
      <c r="AD94" s="78"/>
      <c r="AE94" s="76"/>
      <c r="AF94" s="78"/>
      <c r="AG94" s="76"/>
      <c r="AH94" s="78"/>
      <c r="AI94" s="76"/>
      <c r="AJ94" s="78"/>
      <c r="AK94" s="76"/>
      <c r="AL94" s="78"/>
      <c r="AM94" s="76"/>
      <c r="AN94" s="78"/>
      <c r="AO94" s="76"/>
      <c r="AP94" s="78"/>
      <c r="AQ94" s="76"/>
      <c r="AR94" s="78"/>
      <c r="AS94" s="76"/>
      <c r="AT94" s="78"/>
      <c r="AU94" s="76"/>
      <c r="AV94" s="78"/>
      <c r="AW94" s="76"/>
      <c r="AX94" s="78"/>
      <c r="AY94" s="76">
        <v>100.55999999999999</v>
      </c>
      <c r="AZ94" s="78">
        <f t="shared" ref="AZ94" si="162">+ROUND(AY94*$I94,0)</f>
        <v>229679</v>
      </c>
      <c r="BA94" s="76"/>
      <c r="BB94" s="78"/>
      <c r="BC94" s="76"/>
      <c r="BD94" s="78"/>
      <c r="BE94" s="76"/>
      <c r="BF94" s="78"/>
      <c r="BG94" s="76"/>
      <c r="BH94" s="78"/>
      <c r="BI94" s="76"/>
      <c r="BJ94" s="78"/>
      <c r="BK94" s="76"/>
      <c r="BL94" s="78"/>
      <c r="BM94" s="76"/>
      <c r="BN94" s="78"/>
      <c r="BO94" s="76">
        <f>+BO13</f>
        <v>270.30599999999998</v>
      </c>
      <c r="BP94" s="78">
        <f t="shared" ref="BP94" si="163">+ROUND(BO94*$I94,0)</f>
        <v>617379</v>
      </c>
      <c r="BQ94" s="76"/>
      <c r="BR94" s="78"/>
      <c r="BS94" s="76"/>
      <c r="BT94" s="78"/>
      <c r="BU94" s="76"/>
      <c r="BV94" s="78"/>
      <c r="BW94" s="76"/>
      <c r="BX94" s="78"/>
      <c r="BY94" s="76"/>
      <c r="BZ94" s="78"/>
      <c r="CA94" s="76"/>
      <c r="CB94" s="78"/>
      <c r="CC94" s="76"/>
      <c r="CD94" s="78"/>
      <c r="CE94" s="76"/>
      <c r="CF94" s="78"/>
    </row>
    <row r="95" spans="1:84"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145"/>
        <v>370.87</v>
      </c>
      <c r="H95" s="69">
        <f>+VLOOKUP(C95,'PRECIOS IDU 2025'!$A$1:$E$3189,4,FALSE)</f>
        <v>3189</v>
      </c>
      <c r="I95" s="69">
        <f t="shared" si="146"/>
        <v>4146</v>
      </c>
      <c r="J95" s="69">
        <f t="shared" si="147"/>
        <v>1537627</v>
      </c>
      <c r="K95" s="9"/>
      <c r="L95" s="3"/>
      <c r="M95" s="76"/>
      <c r="N95" s="78"/>
      <c r="O95" s="76"/>
      <c r="P95" s="78"/>
      <c r="Q95" s="76"/>
      <c r="R95" s="78"/>
      <c r="S95" s="76"/>
      <c r="T95" s="78"/>
      <c r="U95" s="76"/>
      <c r="V95" s="78"/>
      <c r="W95" s="76"/>
      <c r="X95" s="78"/>
      <c r="Y95" s="76"/>
      <c r="Z95" s="78"/>
      <c r="AA95" s="76"/>
      <c r="AB95" s="78"/>
      <c r="AC95" s="76"/>
      <c r="AD95" s="78"/>
      <c r="AE95" s="76"/>
      <c r="AF95" s="78"/>
      <c r="AG95" s="76"/>
      <c r="AH95" s="78"/>
      <c r="AI95" s="76"/>
      <c r="AJ95" s="78"/>
      <c r="AK95" s="76"/>
      <c r="AL95" s="78"/>
      <c r="AM95" s="76"/>
      <c r="AN95" s="78"/>
      <c r="AO95" s="76"/>
      <c r="AP95" s="78"/>
      <c r="AQ95" s="76"/>
      <c r="AR95" s="78"/>
      <c r="AS95" s="76"/>
      <c r="AT95" s="78"/>
      <c r="AU95" s="76"/>
      <c r="AV95" s="78"/>
      <c r="AW95" s="76"/>
      <c r="AX95" s="78"/>
      <c r="AY95" s="76">
        <v>100.55999999999999</v>
      </c>
      <c r="AZ95" s="78">
        <f t="shared" ref="AZ95" si="164">+ROUND(AY95*$I95,0)</f>
        <v>416922</v>
      </c>
      <c r="BA95" s="76"/>
      <c r="BB95" s="78"/>
      <c r="BC95" s="76"/>
      <c r="BD95" s="78"/>
      <c r="BE95" s="76"/>
      <c r="BF95" s="78"/>
      <c r="BG95" s="76"/>
      <c r="BH95" s="78"/>
      <c r="BI95" s="76"/>
      <c r="BJ95" s="78"/>
      <c r="BK95" s="76"/>
      <c r="BL95" s="78"/>
      <c r="BM95" s="76"/>
      <c r="BN95" s="78"/>
      <c r="BO95" s="76">
        <f>+BO13</f>
        <v>270.30599999999998</v>
      </c>
      <c r="BP95" s="78">
        <f t="shared" ref="BP95" si="165">+ROUND(BO95*$I95,0)</f>
        <v>1120689</v>
      </c>
      <c r="BQ95" s="76"/>
      <c r="BR95" s="78"/>
      <c r="BS95" s="76"/>
      <c r="BT95" s="78"/>
      <c r="BU95" s="76"/>
      <c r="BV95" s="78"/>
      <c r="BW95" s="76"/>
      <c r="BX95" s="78"/>
      <c r="BY95" s="76"/>
      <c r="BZ95" s="78"/>
      <c r="CA95" s="76"/>
      <c r="CB95" s="78"/>
      <c r="CC95" s="76"/>
      <c r="CD95" s="78"/>
      <c r="CE95" s="76"/>
      <c r="CF95" s="78"/>
    </row>
    <row r="96" spans="1:84"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145"/>
        <v>18.54</v>
      </c>
      <c r="H96" s="69">
        <f>+VLOOKUP(C96,'PRECIOS IDU 2025'!$A$1:$E$3189,4,FALSE)</f>
        <v>3885</v>
      </c>
      <c r="I96" s="69">
        <f t="shared" si="146"/>
        <v>5051</v>
      </c>
      <c r="J96" s="69">
        <f t="shared" si="147"/>
        <v>93646</v>
      </c>
      <c r="K96" s="9"/>
      <c r="L96" s="3"/>
      <c r="M96" s="76"/>
      <c r="N96" s="78"/>
      <c r="O96" s="76"/>
      <c r="P96" s="78"/>
      <c r="Q96" s="76"/>
      <c r="R96" s="78"/>
      <c r="S96" s="76"/>
      <c r="T96" s="78"/>
      <c r="U96" s="76"/>
      <c r="V96" s="78"/>
      <c r="W96" s="76"/>
      <c r="X96" s="78"/>
      <c r="Y96" s="76"/>
      <c r="Z96" s="78"/>
      <c r="AA96" s="76"/>
      <c r="AB96" s="78"/>
      <c r="AC96" s="76"/>
      <c r="AD96" s="78"/>
      <c r="AE96" s="76"/>
      <c r="AF96" s="78"/>
      <c r="AG96" s="76"/>
      <c r="AH96" s="78"/>
      <c r="AI96" s="76"/>
      <c r="AJ96" s="78"/>
      <c r="AK96" s="76"/>
      <c r="AL96" s="78"/>
      <c r="AM96" s="76"/>
      <c r="AN96" s="78"/>
      <c r="AO96" s="76"/>
      <c r="AP96" s="78"/>
      <c r="AQ96" s="76"/>
      <c r="AR96" s="78"/>
      <c r="AS96" s="76"/>
      <c r="AT96" s="78"/>
      <c r="AU96" s="76"/>
      <c r="AV96" s="78"/>
      <c r="AW96" s="76"/>
      <c r="AX96" s="78"/>
      <c r="AY96" s="76">
        <v>5.0279999999999996</v>
      </c>
      <c r="AZ96" s="78">
        <f t="shared" ref="AZ96" si="166">+ROUND(AY96*$I96,0)</f>
        <v>25396</v>
      </c>
      <c r="BA96" s="76"/>
      <c r="BB96" s="78"/>
      <c r="BC96" s="76"/>
      <c r="BD96" s="78"/>
      <c r="BE96" s="76"/>
      <c r="BF96" s="78"/>
      <c r="BG96" s="76"/>
      <c r="BH96" s="78"/>
      <c r="BI96" s="76"/>
      <c r="BJ96" s="78"/>
      <c r="BK96" s="76"/>
      <c r="BL96" s="78"/>
      <c r="BM96" s="76"/>
      <c r="BN96" s="78"/>
      <c r="BO96" s="76">
        <f>+BO95*0.05</f>
        <v>13.5153</v>
      </c>
      <c r="BP96" s="78">
        <f t="shared" ref="BP96" si="167">+ROUND(BO96*$I96,0)</f>
        <v>68266</v>
      </c>
      <c r="BQ96" s="76"/>
      <c r="BR96" s="78"/>
      <c r="BS96" s="76"/>
      <c r="BT96" s="78"/>
      <c r="BU96" s="76"/>
      <c r="BV96" s="78"/>
      <c r="BW96" s="76"/>
      <c r="BX96" s="78"/>
      <c r="BY96" s="76"/>
      <c r="BZ96" s="78"/>
      <c r="CA96" s="76"/>
      <c r="CB96" s="78"/>
      <c r="CC96" s="76"/>
      <c r="CD96" s="78"/>
      <c r="CE96" s="76"/>
      <c r="CF96" s="78"/>
    </row>
    <row r="97" spans="1:84"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145"/>
        <v>0</v>
      </c>
      <c r="H97" s="69">
        <f>+VLOOKUP(C97,'PRECIOS IDU 2025'!$A$1:$E$3189,4,FALSE)</f>
        <v>1341971</v>
      </c>
      <c r="I97" s="69">
        <f t="shared" si="146"/>
        <v>1744562</v>
      </c>
      <c r="J97" s="69">
        <f t="shared" si="147"/>
        <v>0</v>
      </c>
      <c r="K97" s="9"/>
      <c r="L97" s="3"/>
      <c r="M97" s="73"/>
      <c r="N97" s="78"/>
      <c r="O97" s="73"/>
      <c r="P97" s="78"/>
      <c r="Q97" s="73"/>
      <c r="R97" s="78"/>
      <c r="S97" s="73"/>
      <c r="T97" s="78"/>
      <c r="U97" s="73"/>
      <c r="V97" s="78"/>
      <c r="W97" s="73"/>
      <c r="X97" s="78"/>
      <c r="Y97" s="73"/>
      <c r="Z97" s="78"/>
      <c r="AA97" s="73"/>
      <c r="AB97" s="78"/>
      <c r="AC97" s="73"/>
      <c r="AD97" s="78"/>
      <c r="AE97" s="73"/>
      <c r="AF97" s="78"/>
      <c r="AG97" s="73"/>
      <c r="AH97" s="78"/>
      <c r="AI97" s="73"/>
      <c r="AJ97" s="78"/>
      <c r="AK97" s="73"/>
      <c r="AL97" s="78"/>
      <c r="AM97" s="73"/>
      <c r="AN97" s="78"/>
      <c r="AO97" s="73"/>
      <c r="AP97" s="78"/>
      <c r="AQ97" s="73"/>
      <c r="AR97" s="78"/>
      <c r="AS97" s="73"/>
      <c r="AT97" s="78"/>
      <c r="AU97" s="73"/>
      <c r="AV97" s="78"/>
      <c r="AW97" s="73"/>
      <c r="AX97" s="78"/>
      <c r="AY97" s="73"/>
      <c r="AZ97" s="78">
        <f t="shared" ref="AZ97" si="168">+ROUND(AY97*$I97,0)</f>
        <v>0</v>
      </c>
      <c r="BA97" s="73"/>
      <c r="BB97" s="78"/>
      <c r="BC97" s="73"/>
      <c r="BD97" s="78"/>
      <c r="BE97" s="73"/>
      <c r="BF97" s="78"/>
      <c r="BG97" s="73"/>
      <c r="BH97" s="78"/>
      <c r="BI97" s="73"/>
      <c r="BJ97" s="78"/>
      <c r="BK97" s="73"/>
      <c r="BL97" s="78"/>
      <c r="BM97" s="73"/>
      <c r="BN97" s="78"/>
      <c r="BO97" s="73"/>
      <c r="BP97" s="78">
        <f t="shared" ref="BP97" si="169">+ROUND(BO97*$I97,0)</f>
        <v>0</v>
      </c>
      <c r="BQ97" s="73"/>
      <c r="BR97" s="78"/>
      <c r="BS97" s="73"/>
      <c r="BT97" s="78"/>
      <c r="BU97" s="73"/>
      <c r="BV97" s="78"/>
      <c r="BW97" s="73"/>
      <c r="BX97" s="78"/>
      <c r="BY97" s="73"/>
      <c r="BZ97" s="78"/>
      <c r="CA97" s="73"/>
      <c r="CB97" s="78"/>
      <c r="CC97" s="73"/>
      <c r="CD97" s="78"/>
      <c r="CE97" s="73"/>
      <c r="CF97" s="78"/>
    </row>
    <row r="98" spans="1:84"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145"/>
        <v>12.98</v>
      </c>
      <c r="H98" s="69">
        <f>+VLOOKUP(C98,'PRECIOS IDU 2025'!$A$1:$E$3189,4,FALSE)</f>
        <v>1241977</v>
      </c>
      <c r="I98" s="69">
        <f t="shared" si="146"/>
        <v>1614570</v>
      </c>
      <c r="J98" s="69">
        <f t="shared" si="147"/>
        <v>20957119</v>
      </c>
      <c r="K98" s="9"/>
      <c r="L98" s="3"/>
      <c r="M98" s="76"/>
      <c r="N98" s="78"/>
      <c r="O98" s="76"/>
      <c r="P98" s="78"/>
      <c r="Q98" s="76"/>
      <c r="R98" s="78"/>
      <c r="S98" s="76"/>
      <c r="T98" s="78"/>
      <c r="U98" s="76"/>
      <c r="V98" s="78"/>
      <c r="W98" s="76"/>
      <c r="X98" s="78"/>
      <c r="Y98" s="76"/>
      <c r="Z98" s="78"/>
      <c r="AA98" s="76"/>
      <c r="AB98" s="78"/>
      <c r="AC98" s="76"/>
      <c r="AD98" s="78"/>
      <c r="AE98" s="76"/>
      <c r="AF98" s="78"/>
      <c r="AG98" s="76"/>
      <c r="AH98" s="78"/>
      <c r="AI98" s="76"/>
      <c r="AJ98" s="78"/>
      <c r="AK98" s="76"/>
      <c r="AL98" s="78"/>
      <c r="AM98" s="76"/>
      <c r="AN98" s="78"/>
      <c r="AO98" s="76"/>
      <c r="AP98" s="78"/>
      <c r="AQ98" s="76"/>
      <c r="AR98" s="78"/>
      <c r="AS98" s="76"/>
      <c r="AT98" s="78"/>
      <c r="AU98" s="76"/>
      <c r="AV98" s="78"/>
      <c r="AW98" s="76"/>
      <c r="AX98" s="78"/>
      <c r="AY98" s="76">
        <v>3.5195999999999996</v>
      </c>
      <c r="AZ98" s="78">
        <f t="shared" ref="AZ98" si="170">+ROUND(AY98*$I98,0)</f>
        <v>5682641</v>
      </c>
      <c r="BA98" s="76"/>
      <c r="BB98" s="78"/>
      <c r="BC98" s="76"/>
      <c r="BD98" s="78"/>
      <c r="BE98" s="76"/>
      <c r="BF98" s="78"/>
      <c r="BG98" s="76"/>
      <c r="BH98" s="78"/>
      <c r="BI98" s="76"/>
      <c r="BJ98" s="78"/>
      <c r="BK98" s="76"/>
      <c r="BL98" s="78"/>
      <c r="BM98" s="76"/>
      <c r="BN98" s="78"/>
      <c r="BO98" s="76">
        <f>+BO13*$N$3*0.7</f>
        <v>9.4607099999999988</v>
      </c>
      <c r="BP98" s="78">
        <f t="shared" ref="BP98" si="171">+ROUND(BO98*$I98,0)</f>
        <v>15274979</v>
      </c>
      <c r="BQ98" s="76"/>
      <c r="BR98" s="78"/>
      <c r="BS98" s="76"/>
      <c r="BT98" s="78"/>
      <c r="BU98" s="76"/>
      <c r="BV98" s="78"/>
      <c r="BW98" s="76"/>
      <c r="BX98" s="78"/>
      <c r="BY98" s="76"/>
      <c r="BZ98" s="78"/>
      <c r="CA98" s="76"/>
      <c r="CB98" s="78"/>
      <c r="CC98" s="76"/>
      <c r="CD98" s="78"/>
      <c r="CE98" s="76"/>
      <c r="CF98" s="78"/>
    </row>
    <row r="99" spans="1:84"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145"/>
        <v>5.56</v>
      </c>
      <c r="H99" s="69">
        <f>+VLOOKUP(C99,'PRECIOS IDU 2025'!$A$1:$E$3189,4,FALSE)</f>
        <v>1556215</v>
      </c>
      <c r="I99" s="69">
        <f t="shared" si="146"/>
        <v>2023080</v>
      </c>
      <c r="J99" s="69">
        <f t="shared" si="147"/>
        <v>11248325</v>
      </c>
      <c r="K99" s="9"/>
      <c r="L99" s="3"/>
      <c r="M99" s="76"/>
      <c r="N99" s="78"/>
      <c r="O99" s="76"/>
      <c r="P99" s="78"/>
      <c r="Q99" s="76"/>
      <c r="R99" s="78"/>
      <c r="S99" s="76"/>
      <c r="T99" s="78"/>
      <c r="U99" s="76"/>
      <c r="V99" s="78"/>
      <c r="W99" s="76"/>
      <c r="X99" s="78"/>
      <c r="Y99" s="76"/>
      <c r="Z99" s="78"/>
      <c r="AA99" s="76"/>
      <c r="AB99" s="78"/>
      <c r="AC99" s="76"/>
      <c r="AD99" s="78"/>
      <c r="AE99" s="76"/>
      <c r="AF99" s="78"/>
      <c r="AG99" s="76"/>
      <c r="AH99" s="78"/>
      <c r="AI99" s="76"/>
      <c r="AJ99" s="78"/>
      <c r="AK99" s="76"/>
      <c r="AL99" s="78"/>
      <c r="AM99" s="76"/>
      <c r="AN99" s="78"/>
      <c r="AO99" s="76"/>
      <c r="AP99" s="78"/>
      <c r="AQ99" s="76"/>
      <c r="AR99" s="78"/>
      <c r="AS99" s="76"/>
      <c r="AT99" s="78"/>
      <c r="AU99" s="76"/>
      <c r="AV99" s="78"/>
      <c r="AW99" s="76"/>
      <c r="AX99" s="78"/>
      <c r="AY99" s="76">
        <v>1.5083999999999997</v>
      </c>
      <c r="AZ99" s="78">
        <f t="shared" ref="AZ99" si="172">+ROUND(AY99*$I99,0)</f>
        <v>3051614</v>
      </c>
      <c r="BA99" s="76"/>
      <c r="BB99" s="78"/>
      <c r="BC99" s="76"/>
      <c r="BD99" s="78"/>
      <c r="BE99" s="76"/>
      <c r="BF99" s="78"/>
      <c r="BG99" s="76"/>
      <c r="BH99" s="78"/>
      <c r="BI99" s="76"/>
      <c r="BJ99" s="78"/>
      <c r="BK99" s="76"/>
      <c r="BL99" s="78"/>
      <c r="BM99" s="76"/>
      <c r="BN99" s="78"/>
      <c r="BO99" s="76">
        <f>+BO13*$N$3*0.3</f>
        <v>4.0545900000000001</v>
      </c>
      <c r="BP99" s="78">
        <f t="shared" ref="BP99" si="173">+ROUND(BO99*$I99,0)</f>
        <v>8202760</v>
      </c>
      <c r="BQ99" s="76"/>
      <c r="BR99" s="78"/>
      <c r="BS99" s="76"/>
      <c r="BT99" s="78"/>
      <c r="BU99" s="76"/>
      <c r="BV99" s="78"/>
      <c r="BW99" s="76"/>
      <c r="BX99" s="78"/>
      <c r="BY99" s="76"/>
      <c r="BZ99" s="78"/>
      <c r="CA99" s="76"/>
      <c r="CB99" s="78"/>
      <c r="CC99" s="76"/>
      <c r="CD99" s="78"/>
      <c r="CE99" s="76"/>
      <c r="CF99" s="78"/>
    </row>
    <row r="100" spans="1:84"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145"/>
        <v>3708.66</v>
      </c>
      <c r="H100" s="69">
        <f>+VLOOKUP(C100,'PRECIOS IDU 2025'!$A$1:$E$3189,4,FALSE)</f>
        <v>5591</v>
      </c>
      <c r="I100" s="69">
        <f t="shared" si="146"/>
        <v>7268</v>
      </c>
      <c r="J100" s="69">
        <f t="shared" ref="J100" si="174">+ROUND(I100*G100,0)</f>
        <v>26954541</v>
      </c>
      <c r="K100" s="9"/>
      <c r="L100" s="3"/>
      <c r="M100" s="76"/>
      <c r="N100" s="78"/>
      <c r="O100" s="76"/>
      <c r="P100" s="78"/>
      <c r="Q100" s="76"/>
      <c r="R100" s="78"/>
      <c r="S100" s="76"/>
      <c r="T100" s="78"/>
      <c r="U100" s="76"/>
      <c r="V100" s="78"/>
      <c r="W100" s="76"/>
      <c r="X100" s="78"/>
      <c r="Y100" s="76"/>
      <c r="Z100" s="78"/>
      <c r="AA100" s="76"/>
      <c r="AB100" s="78"/>
      <c r="AC100" s="76"/>
      <c r="AD100" s="78"/>
      <c r="AE100" s="76"/>
      <c r="AF100" s="78"/>
      <c r="AG100" s="76"/>
      <c r="AH100" s="78"/>
      <c r="AI100" s="76"/>
      <c r="AJ100" s="78"/>
      <c r="AK100" s="76"/>
      <c r="AL100" s="78"/>
      <c r="AM100" s="76"/>
      <c r="AN100" s="78"/>
      <c r="AO100" s="76"/>
      <c r="AP100" s="78"/>
      <c r="AQ100" s="76"/>
      <c r="AR100" s="78"/>
      <c r="AS100" s="76"/>
      <c r="AT100" s="78"/>
      <c r="AU100" s="76"/>
      <c r="AV100" s="78"/>
      <c r="AW100" s="76"/>
      <c r="AX100" s="78"/>
      <c r="AY100" s="76">
        <v>1005.5999999999999</v>
      </c>
      <c r="AZ100" s="78">
        <f t="shared" ref="AZ100" si="175">+ROUND(AY100*$I100,0)</f>
        <v>7308701</v>
      </c>
      <c r="BA100" s="76"/>
      <c r="BB100" s="78"/>
      <c r="BC100" s="76"/>
      <c r="BD100" s="78"/>
      <c r="BE100" s="76"/>
      <c r="BF100" s="78"/>
      <c r="BG100" s="76"/>
      <c r="BH100" s="78"/>
      <c r="BI100" s="76"/>
      <c r="BJ100" s="78"/>
      <c r="BK100" s="76"/>
      <c r="BL100" s="78"/>
      <c r="BM100" s="76"/>
      <c r="BN100" s="78"/>
      <c r="BO100" s="76">
        <f>10*BO13</f>
        <v>2703.06</v>
      </c>
      <c r="BP100" s="78">
        <f t="shared" ref="BP100" si="176">+ROUND(BO100*$I100,0)</f>
        <v>19645840</v>
      </c>
      <c r="BQ100" s="76"/>
      <c r="BR100" s="78"/>
      <c r="BS100" s="76"/>
      <c r="BT100" s="78"/>
      <c r="BU100" s="76"/>
      <c r="BV100" s="78"/>
      <c r="BW100" s="76"/>
      <c r="BX100" s="78"/>
      <c r="BY100" s="76"/>
      <c r="BZ100" s="78"/>
      <c r="CA100" s="76"/>
      <c r="CB100" s="78"/>
      <c r="CC100" s="76"/>
      <c r="CD100" s="78"/>
      <c r="CE100" s="76"/>
      <c r="CF100" s="78"/>
    </row>
    <row r="101" spans="1:84"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145"/>
        <v>536.64</v>
      </c>
      <c r="H101" s="69">
        <f>+VLOOKUP(C101,'PRECIOS IDU 2025'!$A$1:$E$3189,4,FALSE)</f>
        <v>8404</v>
      </c>
      <c r="I101" s="69">
        <f t="shared" si="146"/>
        <v>10925</v>
      </c>
      <c r="J101" s="69">
        <f t="shared" si="147"/>
        <v>5862792</v>
      </c>
      <c r="K101" s="9"/>
      <c r="L101" s="3"/>
      <c r="M101" s="76"/>
      <c r="N101" s="78"/>
      <c r="O101" s="76"/>
      <c r="P101" s="78"/>
      <c r="Q101" s="76"/>
      <c r="R101" s="78"/>
      <c r="S101" s="76"/>
      <c r="T101" s="78"/>
      <c r="U101" s="76"/>
      <c r="V101" s="78"/>
      <c r="W101" s="76"/>
      <c r="X101" s="78"/>
      <c r="Y101" s="76"/>
      <c r="Z101" s="78"/>
      <c r="AA101" s="76"/>
      <c r="AB101" s="78"/>
      <c r="AC101" s="76"/>
      <c r="AD101" s="78"/>
      <c r="AE101" s="76"/>
      <c r="AF101" s="78"/>
      <c r="AG101" s="76"/>
      <c r="AH101" s="78"/>
      <c r="AI101" s="76"/>
      <c r="AJ101" s="78"/>
      <c r="AK101" s="76"/>
      <c r="AL101" s="78"/>
      <c r="AM101" s="76"/>
      <c r="AN101" s="78"/>
      <c r="AO101" s="76"/>
      <c r="AP101" s="78"/>
      <c r="AQ101" s="76"/>
      <c r="AR101" s="78"/>
      <c r="AS101" s="76"/>
      <c r="AT101" s="78"/>
      <c r="AU101" s="76"/>
      <c r="AV101" s="78"/>
      <c r="AW101" s="76"/>
      <c r="AX101" s="78"/>
      <c r="AY101" s="76">
        <v>145.51031999999998</v>
      </c>
      <c r="AZ101" s="78">
        <f t="shared" ref="AZ101" si="177">+ROUND(AY101*$I101,0)</f>
        <v>1589700</v>
      </c>
      <c r="BA101" s="76"/>
      <c r="BB101" s="78"/>
      <c r="BC101" s="76"/>
      <c r="BD101" s="78"/>
      <c r="BE101" s="76"/>
      <c r="BF101" s="78"/>
      <c r="BG101" s="76"/>
      <c r="BH101" s="78"/>
      <c r="BI101" s="76"/>
      <c r="BJ101" s="78"/>
      <c r="BK101" s="76"/>
      <c r="BL101" s="78"/>
      <c r="BM101" s="76"/>
      <c r="BN101" s="78"/>
      <c r="BO101" s="76">
        <f>14.47*BO13*0.1</f>
        <v>391.13278200000002</v>
      </c>
      <c r="BP101" s="78">
        <f t="shared" ref="BP101" si="178">+ROUND(BO101*$I101,0)</f>
        <v>4273126</v>
      </c>
      <c r="BQ101" s="76"/>
      <c r="BR101" s="78"/>
      <c r="BS101" s="76"/>
      <c r="BT101" s="78"/>
      <c r="BU101" s="76"/>
      <c r="BV101" s="78"/>
      <c r="BW101" s="76"/>
      <c r="BX101" s="78"/>
      <c r="BY101" s="76"/>
      <c r="BZ101" s="78"/>
      <c r="CA101" s="76"/>
      <c r="CB101" s="78"/>
      <c r="CC101" s="76"/>
      <c r="CD101" s="78"/>
      <c r="CE101" s="76"/>
      <c r="CF101" s="78"/>
    </row>
    <row r="102" spans="1:84"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145"/>
        <v>536.64</v>
      </c>
      <c r="H102" s="69">
        <f>+VLOOKUP(C102,'PRECIOS IDU 2025'!$A$1:$E$3189,4,FALSE)</f>
        <v>7882</v>
      </c>
      <c r="I102" s="69">
        <f t="shared" si="146"/>
        <v>10247</v>
      </c>
      <c r="J102" s="69">
        <f t="shared" si="147"/>
        <v>5498950</v>
      </c>
      <c r="K102" s="9"/>
      <c r="L102" s="3"/>
      <c r="M102" s="76"/>
      <c r="N102" s="78"/>
      <c r="O102" s="76"/>
      <c r="P102" s="78"/>
      <c r="Q102" s="76"/>
      <c r="R102" s="78"/>
      <c r="S102" s="76"/>
      <c r="T102" s="78"/>
      <c r="U102" s="76"/>
      <c r="V102" s="78"/>
      <c r="W102" s="76"/>
      <c r="X102" s="78"/>
      <c r="Y102" s="76"/>
      <c r="Z102" s="78"/>
      <c r="AA102" s="76"/>
      <c r="AB102" s="78"/>
      <c r="AC102" s="76"/>
      <c r="AD102" s="78"/>
      <c r="AE102" s="76"/>
      <c r="AF102" s="78"/>
      <c r="AG102" s="76"/>
      <c r="AH102" s="78"/>
      <c r="AI102" s="76"/>
      <c r="AJ102" s="78"/>
      <c r="AK102" s="76"/>
      <c r="AL102" s="78"/>
      <c r="AM102" s="76"/>
      <c r="AN102" s="78"/>
      <c r="AO102" s="76"/>
      <c r="AP102" s="78"/>
      <c r="AQ102" s="76"/>
      <c r="AR102" s="78"/>
      <c r="AS102" s="76"/>
      <c r="AT102" s="78"/>
      <c r="AU102" s="76"/>
      <c r="AV102" s="78"/>
      <c r="AW102" s="76"/>
      <c r="AX102" s="78"/>
      <c r="AY102" s="76">
        <v>145.51031999999998</v>
      </c>
      <c r="AZ102" s="78">
        <f t="shared" ref="AZ102" si="179">+ROUND(AY102*$I102,0)</f>
        <v>1491044</v>
      </c>
      <c r="BA102" s="76"/>
      <c r="BB102" s="78"/>
      <c r="BC102" s="76"/>
      <c r="BD102" s="78"/>
      <c r="BE102" s="76"/>
      <c r="BF102" s="78"/>
      <c r="BG102" s="76"/>
      <c r="BH102" s="78"/>
      <c r="BI102" s="76"/>
      <c r="BJ102" s="78"/>
      <c r="BK102" s="76"/>
      <c r="BL102" s="78"/>
      <c r="BM102" s="76"/>
      <c r="BN102" s="78"/>
      <c r="BO102" s="76">
        <f>14.47*BO13*0.1</f>
        <v>391.13278200000002</v>
      </c>
      <c r="BP102" s="78">
        <f t="shared" ref="BP102" si="180">+ROUND(BO102*$I102,0)</f>
        <v>4007938</v>
      </c>
      <c r="BQ102" s="76"/>
      <c r="BR102" s="78"/>
      <c r="BS102" s="76"/>
      <c r="BT102" s="78"/>
      <c r="BU102" s="76"/>
      <c r="BV102" s="78"/>
      <c r="BW102" s="76"/>
      <c r="BX102" s="78"/>
      <c r="BY102" s="76"/>
      <c r="BZ102" s="78"/>
      <c r="CA102" s="76"/>
      <c r="CB102" s="78"/>
      <c r="CC102" s="76"/>
      <c r="CD102" s="78"/>
      <c r="CE102" s="76"/>
      <c r="CF102" s="78"/>
    </row>
    <row r="103" spans="1:84"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145"/>
        <v>4293.1400000000003</v>
      </c>
      <c r="H103" s="69">
        <f>+VLOOKUP(C103,'PRECIOS IDU 2025'!$A$1:$E$3189,4,FALSE)</f>
        <v>7882</v>
      </c>
      <c r="I103" s="69">
        <f t="shared" si="146"/>
        <v>10247</v>
      </c>
      <c r="J103" s="69">
        <f t="shared" si="147"/>
        <v>43991806</v>
      </c>
      <c r="K103" s="9"/>
      <c r="L103" s="3"/>
      <c r="M103" s="76"/>
      <c r="N103" s="78"/>
      <c r="O103" s="76"/>
      <c r="P103" s="78"/>
      <c r="Q103" s="76"/>
      <c r="R103" s="78"/>
      <c r="S103" s="76"/>
      <c r="T103" s="78"/>
      <c r="U103" s="76"/>
      <c r="V103" s="78"/>
      <c r="W103" s="76"/>
      <c r="X103" s="78"/>
      <c r="Y103" s="76"/>
      <c r="Z103" s="78"/>
      <c r="AA103" s="76"/>
      <c r="AB103" s="78"/>
      <c r="AC103" s="76"/>
      <c r="AD103" s="78"/>
      <c r="AE103" s="76"/>
      <c r="AF103" s="78"/>
      <c r="AG103" s="76"/>
      <c r="AH103" s="78"/>
      <c r="AI103" s="76"/>
      <c r="AJ103" s="78"/>
      <c r="AK103" s="76"/>
      <c r="AL103" s="78"/>
      <c r="AM103" s="76"/>
      <c r="AN103" s="78"/>
      <c r="AO103" s="76"/>
      <c r="AP103" s="78"/>
      <c r="AQ103" s="76"/>
      <c r="AR103" s="78"/>
      <c r="AS103" s="76"/>
      <c r="AT103" s="78"/>
      <c r="AU103" s="76"/>
      <c r="AV103" s="78"/>
      <c r="AW103" s="76"/>
      <c r="AX103" s="78"/>
      <c r="AY103" s="76">
        <v>1164.0825599999998</v>
      </c>
      <c r="AZ103" s="78">
        <f t="shared" ref="AZ103" si="181">+ROUND(AY103*$I103,0)</f>
        <v>11928354</v>
      </c>
      <c r="BA103" s="76"/>
      <c r="BB103" s="78"/>
      <c r="BC103" s="76"/>
      <c r="BD103" s="78"/>
      <c r="BE103" s="76"/>
      <c r="BF103" s="78"/>
      <c r="BG103" s="76"/>
      <c r="BH103" s="78"/>
      <c r="BI103" s="76"/>
      <c r="BJ103" s="78"/>
      <c r="BK103" s="76"/>
      <c r="BL103" s="78"/>
      <c r="BM103" s="76"/>
      <c r="BN103" s="78"/>
      <c r="BO103" s="76">
        <f>14.47*BO13*0.8</f>
        <v>3129.0622560000002</v>
      </c>
      <c r="BP103" s="78">
        <f t="shared" ref="BP103" si="182">+ROUND(BO103*$I103,0)</f>
        <v>32063501</v>
      </c>
      <c r="BQ103" s="76"/>
      <c r="BR103" s="78"/>
      <c r="BS103" s="76"/>
      <c r="BT103" s="78"/>
      <c r="BU103" s="76"/>
      <c r="BV103" s="78"/>
      <c r="BW103" s="76"/>
      <c r="BX103" s="78"/>
      <c r="BY103" s="76"/>
      <c r="BZ103" s="78"/>
      <c r="CA103" s="76"/>
      <c r="CB103" s="78"/>
      <c r="CC103" s="76"/>
      <c r="CD103" s="78"/>
      <c r="CE103" s="76"/>
      <c r="CF103" s="78"/>
    </row>
    <row r="104" spans="1:84"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145"/>
        <v>0</v>
      </c>
      <c r="H104" s="69">
        <f>+VLOOKUP(C104,'PRECIOS IDU 2025'!$A$1:$E$3189,4,FALSE)</f>
        <v>875661</v>
      </c>
      <c r="I104" s="69">
        <f t="shared" si="146"/>
        <v>1138359</v>
      </c>
      <c r="J104" s="69">
        <f t="shared" si="147"/>
        <v>0</v>
      </c>
      <c r="K104" s="9"/>
      <c r="L104" s="3"/>
      <c r="M104" s="73"/>
      <c r="N104" s="78"/>
      <c r="O104" s="73"/>
      <c r="P104" s="78"/>
      <c r="Q104" s="73"/>
      <c r="R104" s="78"/>
      <c r="S104" s="73"/>
      <c r="T104" s="78"/>
      <c r="U104" s="73"/>
      <c r="V104" s="78"/>
      <c r="W104" s="73"/>
      <c r="X104" s="78"/>
      <c r="Y104" s="73"/>
      <c r="Z104" s="78"/>
      <c r="AA104" s="73"/>
      <c r="AB104" s="78"/>
      <c r="AC104" s="73"/>
      <c r="AD104" s="78"/>
      <c r="AE104" s="73"/>
      <c r="AF104" s="78"/>
      <c r="AG104" s="73"/>
      <c r="AH104" s="78"/>
      <c r="AI104" s="73"/>
      <c r="AJ104" s="78"/>
      <c r="AK104" s="73"/>
      <c r="AL104" s="78"/>
      <c r="AM104" s="73"/>
      <c r="AN104" s="78"/>
      <c r="AO104" s="73"/>
      <c r="AP104" s="78"/>
      <c r="AQ104" s="73"/>
      <c r="AR104" s="78"/>
      <c r="AS104" s="73"/>
      <c r="AT104" s="78"/>
      <c r="AU104" s="73"/>
      <c r="AV104" s="78"/>
      <c r="AW104" s="73"/>
      <c r="AX104" s="78"/>
      <c r="AY104" s="73"/>
      <c r="AZ104" s="78">
        <f t="shared" ref="AZ104" si="183">+ROUND(AY104*$I104,0)</f>
        <v>0</v>
      </c>
      <c r="BA104" s="73"/>
      <c r="BB104" s="78"/>
      <c r="BC104" s="73"/>
      <c r="BD104" s="78"/>
      <c r="BE104" s="73"/>
      <c r="BF104" s="78"/>
      <c r="BG104" s="73"/>
      <c r="BH104" s="78"/>
      <c r="BI104" s="73"/>
      <c r="BJ104" s="78"/>
      <c r="BK104" s="73"/>
      <c r="BL104" s="78"/>
      <c r="BM104" s="73"/>
      <c r="BN104" s="78"/>
      <c r="BO104" s="73"/>
      <c r="BP104" s="78">
        <f t="shared" ref="BP104" si="184">+ROUND(BO104*$I104,0)</f>
        <v>0</v>
      </c>
      <c r="BQ104" s="73"/>
      <c r="BR104" s="78"/>
      <c r="BS104" s="73"/>
      <c r="BT104" s="78"/>
      <c r="BU104" s="73"/>
      <c r="BV104" s="78"/>
      <c r="BW104" s="73"/>
      <c r="BX104" s="78"/>
      <c r="BY104" s="73"/>
      <c r="BZ104" s="78"/>
      <c r="CA104" s="73"/>
      <c r="CB104" s="78"/>
      <c r="CC104" s="73"/>
      <c r="CD104" s="78"/>
      <c r="CE104" s="73"/>
      <c r="CF104" s="78"/>
    </row>
    <row r="105" spans="1:84"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145"/>
        <v>74.17</v>
      </c>
      <c r="H105" s="69">
        <f>+VLOOKUP(C105,'PRECIOS IDU 2025'!$A$1:$E$3189,4,FALSE)</f>
        <v>890453</v>
      </c>
      <c r="I105" s="69">
        <f t="shared" si="146"/>
        <v>1157589</v>
      </c>
      <c r="J105" s="69">
        <f t="shared" si="147"/>
        <v>85858376</v>
      </c>
      <c r="K105" s="9"/>
      <c r="L105" s="3"/>
      <c r="M105" s="76"/>
      <c r="N105" s="78"/>
      <c r="O105" s="76"/>
      <c r="P105" s="78"/>
      <c r="Q105" s="76"/>
      <c r="R105" s="78"/>
      <c r="S105" s="76"/>
      <c r="T105" s="78"/>
      <c r="U105" s="76"/>
      <c r="V105" s="78"/>
      <c r="W105" s="76"/>
      <c r="X105" s="78"/>
      <c r="Y105" s="76"/>
      <c r="Z105" s="78"/>
      <c r="AA105" s="76"/>
      <c r="AB105" s="78"/>
      <c r="AC105" s="76"/>
      <c r="AD105" s="78"/>
      <c r="AE105" s="76"/>
      <c r="AF105" s="78"/>
      <c r="AG105" s="76"/>
      <c r="AH105" s="78"/>
      <c r="AI105" s="76"/>
      <c r="AJ105" s="78"/>
      <c r="AK105" s="76"/>
      <c r="AL105" s="78"/>
      <c r="AM105" s="76"/>
      <c r="AN105" s="78"/>
      <c r="AO105" s="76"/>
      <c r="AP105" s="78"/>
      <c r="AQ105" s="76"/>
      <c r="AR105" s="78"/>
      <c r="AS105" s="76"/>
      <c r="AT105" s="78"/>
      <c r="AU105" s="76"/>
      <c r="AV105" s="78"/>
      <c r="AW105" s="76"/>
      <c r="AX105" s="78"/>
      <c r="AY105" s="76">
        <v>20.111999999999998</v>
      </c>
      <c r="AZ105" s="78">
        <f t="shared" ref="AZ105" si="185">+ROUND(AY105*$I105,0)</f>
        <v>23281430</v>
      </c>
      <c r="BA105" s="76"/>
      <c r="BB105" s="78"/>
      <c r="BC105" s="76"/>
      <c r="BD105" s="78"/>
      <c r="BE105" s="76"/>
      <c r="BF105" s="78"/>
      <c r="BG105" s="76"/>
      <c r="BH105" s="78"/>
      <c r="BI105" s="76"/>
      <c r="BJ105" s="78"/>
      <c r="BK105" s="76"/>
      <c r="BL105" s="78"/>
      <c r="BM105" s="76"/>
      <c r="BN105" s="78"/>
      <c r="BO105" s="76">
        <f>+BO13*$M$3</f>
        <v>54.061199999999999</v>
      </c>
      <c r="BP105" s="78">
        <f t="shared" ref="BP105" si="186">+ROUND(BO105*$I105,0)</f>
        <v>62580650</v>
      </c>
      <c r="BQ105" s="76"/>
      <c r="BR105" s="78"/>
      <c r="BS105" s="76"/>
      <c r="BT105" s="78"/>
      <c r="BU105" s="76"/>
      <c r="BV105" s="78"/>
      <c r="BW105" s="76"/>
      <c r="BX105" s="78"/>
      <c r="BY105" s="76"/>
      <c r="BZ105" s="78"/>
      <c r="CA105" s="76"/>
      <c r="CB105" s="78"/>
      <c r="CC105" s="76"/>
      <c r="CD105" s="78"/>
      <c r="CE105" s="76"/>
      <c r="CF105" s="78"/>
    </row>
    <row r="106" spans="1:84"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145"/>
        <v>370.87</v>
      </c>
      <c r="H106" s="69">
        <f>+VLOOKUP(C106,'PRECIOS IDU 2025'!$A$1:$E$3189,4,FALSE)</f>
        <v>2554</v>
      </c>
      <c r="I106" s="69">
        <f t="shared" si="146"/>
        <v>3320</v>
      </c>
      <c r="J106" s="69">
        <f t="shared" si="147"/>
        <v>1231288</v>
      </c>
      <c r="K106" s="9"/>
      <c r="L106" s="3"/>
      <c r="M106" s="76"/>
      <c r="N106" s="78"/>
      <c r="O106" s="76"/>
      <c r="P106" s="78"/>
      <c r="Q106" s="76"/>
      <c r="R106" s="78"/>
      <c r="S106" s="76"/>
      <c r="T106" s="78"/>
      <c r="U106" s="76"/>
      <c r="V106" s="78"/>
      <c r="W106" s="76"/>
      <c r="X106" s="78"/>
      <c r="Y106" s="76"/>
      <c r="Z106" s="78"/>
      <c r="AA106" s="76"/>
      <c r="AB106" s="78"/>
      <c r="AC106" s="76"/>
      <c r="AD106" s="78"/>
      <c r="AE106" s="76"/>
      <c r="AF106" s="78"/>
      <c r="AG106" s="76"/>
      <c r="AH106" s="78"/>
      <c r="AI106" s="76"/>
      <c r="AJ106" s="78"/>
      <c r="AK106" s="76"/>
      <c r="AL106" s="78"/>
      <c r="AM106" s="76"/>
      <c r="AN106" s="78"/>
      <c r="AO106" s="76"/>
      <c r="AP106" s="78"/>
      <c r="AQ106" s="76"/>
      <c r="AR106" s="78"/>
      <c r="AS106" s="76"/>
      <c r="AT106" s="78"/>
      <c r="AU106" s="76"/>
      <c r="AV106" s="78"/>
      <c r="AW106" s="76"/>
      <c r="AX106" s="78"/>
      <c r="AY106" s="76">
        <v>100.55999999999999</v>
      </c>
      <c r="AZ106" s="78">
        <f t="shared" ref="AZ106" si="187">+ROUND(AY106*$I106,0)</f>
        <v>333859</v>
      </c>
      <c r="BA106" s="76"/>
      <c r="BB106" s="78"/>
      <c r="BC106" s="76"/>
      <c r="BD106" s="78"/>
      <c r="BE106" s="76"/>
      <c r="BF106" s="78"/>
      <c r="BG106" s="76"/>
      <c r="BH106" s="78"/>
      <c r="BI106" s="76"/>
      <c r="BJ106" s="78"/>
      <c r="BK106" s="76"/>
      <c r="BL106" s="78"/>
      <c r="BM106" s="76"/>
      <c r="BN106" s="78"/>
      <c r="BO106" s="76">
        <f>+BO13</f>
        <v>270.30599999999998</v>
      </c>
      <c r="BP106" s="78">
        <f t="shared" ref="BP106" si="188">+ROUND(BO106*$I106,0)</f>
        <v>897416</v>
      </c>
      <c r="BQ106" s="76"/>
      <c r="BR106" s="78"/>
      <c r="BS106" s="76"/>
      <c r="BT106" s="78"/>
      <c r="BU106" s="76"/>
      <c r="BV106" s="78"/>
      <c r="BW106" s="76"/>
      <c r="BX106" s="78"/>
      <c r="BY106" s="76"/>
      <c r="BZ106" s="78"/>
      <c r="CA106" s="76"/>
      <c r="CB106" s="78"/>
      <c r="CC106" s="76"/>
      <c r="CD106" s="78"/>
      <c r="CE106" s="76"/>
      <c r="CF106" s="78"/>
    </row>
    <row r="107" spans="1:84"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145"/>
        <v>481.58</v>
      </c>
      <c r="H107" s="69">
        <f>+VLOOKUP(C107,'PRECIOS IDU 2025'!$A$1:$E$3189,4,FALSE)</f>
        <v>13778</v>
      </c>
      <c r="I107" s="69">
        <f t="shared" si="146"/>
        <v>17911</v>
      </c>
      <c r="J107" s="69">
        <f t="shared" si="147"/>
        <v>8625579</v>
      </c>
      <c r="K107" s="9"/>
      <c r="L107" s="3"/>
      <c r="M107" s="76"/>
      <c r="N107" s="78"/>
      <c r="O107" s="76"/>
      <c r="P107" s="78"/>
      <c r="Q107" s="76"/>
      <c r="R107" s="78"/>
      <c r="S107" s="76"/>
      <c r="T107" s="78"/>
      <c r="U107" s="76"/>
      <c r="V107" s="78"/>
      <c r="W107" s="76"/>
      <c r="X107" s="78"/>
      <c r="Y107" s="76"/>
      <c r="Z107" s="78"/>
      <c r="AA107" s="76"/>
      <c r="AB107" s="78"/>
      <c r="AC107" s="76"/>
      <c r="AD107" s="78"/>
      <c r="AE107" s="76"/>
      <c r="AF107" s="78"/>
      <c r="AG107" s="76"/>
      <c r="AH107" s="78"/>
      <c r="AI107" s="76"/>
      <c r="AJ107" s="78"/>
      <c r="AK107" s="76"/>
      <c r="AL107" s="78"/>
      <c r="AM107" s="76"/>
      <c r="AN107" s="78"/>
      <c r="AO107" s="76"/>
      <c r="AP107" s="78"/>
      <c r="AQ107" s="76"/>
      <c r="AR107" s="78"/>
      <c r="AS107" s="76"/>
      <c r="AT107" s="78"/>
      <c r="AU107" s="76"/>
      <c r="AV107" s="78"/>
      <c r="AW107" s="76"/>
      <c r="AX107" s="78"/>
      <c r="AY107" s="76">
        <v>162.00924444444445</v>
      </c>
      <c r="AZ107" s="78">
        <f t="shared" ref="AZ107" si="189">+ROUND(AY107*$I107,0)</f>
        <v>2901748</v>
      </c>
      <c r="BA107" s="76"/>
      <c r="BB107" s="78"/>
      <c r="BC107" s="76"/>
      <c r="BD107" s="78"/>
      <c r="BE107" s="76"/>
      <c r="BF107" s="78"/>
      <c r="BG107" s="76"/>
      <c r="BH107" s="78"/>
      <c r="BI107" s="76"/>
      <c r="BJ107" s="78"/>
      <c r="BK107" s="76"/>
      <c r="BL107" s="78"/>
      <c r="BM107" s="76"/>
      <c r="BN107" s="78"/>
      <c r="BO107" s="76">
        <f>+BO11+BO12*BO11/4.5</f>
        <v>319.56600000000003</v>
      </c>
      <c r="BP107" s="78">
        <f t="shared" ref="BP107" si="190">+ROUND(BO107*$I107,0)</f>
        <v>5723747</v>
      </c>
      <c r="BQ107" s="76"/>
      <c r="BR107" s="78"/>
      <c r="BS107" s="76"/>
      <c r="BT107" s="78"/>
      <c r="BU107" s="76"/>
      <c r="BV107" s="78"/>
      <c r="BW107" s="76"/>
      <c r="BX107" s="78"/>
      <c r="BY107" s="76"/>
      <c r="BZ107" s="78"/>
      <c r="CA107" s="76"/>
      <c r="CB107" s="78"/>
      <c r="CC107" s="76"/>
      <c r="CD107" s="78"/>
      <c r="CE107" s="76"/>
      <c r="CF107" s="78"/>
    </row>
    <row r="108" spans="1:84"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145"/>
        <v>111.26</v>
      </c>
      <c r="H108" s="69">
        <f>+VLOOKUP(C108,'PRECIOS IDU 2025'!$A$1:$E$3189,4,FALSE)</f>
        <v>10578</v>
      </c>
      <c r="I108" s="69">
        <f t="shared" si="146"/>
        <v>13751</v>
      </c>
      <c r="J108" s="69">
        <f t="shared" si="147"/>
        <v>1529936</v>
      </c>
      <c r="K108" s="9"/>
      <c r="L108" s="3"/>
      <c r="M108" s="76"/>
      <c r="N108" s="78"/>
      <c r="O108" s="76"/>
      <c r="P108" s="78"/>
      <c r="Q108" s="76"/>
      <c r="R108" s="78"/>
      <c r="S108" s="76"/>
      <c r="T108" s="78"/>
      <c r="U108" s="76"/>
      <c r="V108" s="78"/>
      <c r="W108" s="76"/>
      <c r="X108" s="78"/>
      <c r="Y108" s="76"/>
      <c r="Z108" s="78"/>
      <c r="AA108" s="76"/>
      <c r="AB108" s="78"/>
      <c r="AC108" s="76"/>
      <c r="AD108" s="78"/>
      <c r="AE108" s="76"/>
      <c r="AF108" s="78"/>
      <c r="AG108" s="76"/>
      <c r="AH108" s="78"/>
      <c r="AI108" s="76"/>
      <c r="AJ108" s="78"/>
      <c r="AK108" s="76"/>
      <c r="AL108" s="78"/>
      <c r="AM108" s="76"/>
      <c r="AN108" s="78"/>
      <c r="AO108" s="76"/>
      <c r="AP108" s="78"/>
      <c r="AQ108" s="76"/>
      <c r="AR108" s="78"/>
      <c r="AS108" s="76"/>
      <c r="AT108" s="78"/>
      <c r="AU108" s="76"/>
      <c r="AV108" s="78"/>
      <c r="AW108" s="76"/>
      <c r="AX108" s="78"/>
      <c r="AY108" s="76">
        <v>30.167999999999996</v>
      </c>
      <c r="AZ108" s="78">
        <f t="shared" ref="AZ108" si="191">+ROUND(AY108*$I108,0)</f>
        <v>414840</v>
      </c>
      <c r="BA108" s="76"/>
      <c r="BB108" s="78"/>
      <c r="BC108" s="76"/>
      <c r="BD108" s="78"/>
      <c r="BE108" s="76"/>
      <c r="BF108" s="78"/>
      <c r="BG108" s="76"/>
      <c r="BH108" s="78"/>
      <c r="BI108" s="76"/>
      <c r="BJ108" s="78"/>
      <c r="BK108" s="76"/>
      <c r="BL108" s="78"/>
      <c r="BM108" s="76"/>
      <c r="BN108" s="78"/>
      <c r="BO108" s="76">
        <f>0.3*BO13</f>
        <v>81.091799999999992</v>
      </c>
      <c r="BP108" s="78">
        <f t="shared" ref="BP108" si="192">+ROUND(BO108*$I108,0)</f>
        <v>1115093</v>
      </c>
      <c r="BQ108" s="76"/>
      <c r="BR108" s="78"/>
      <c r="BS108" s="76"/>
      <c r="BT108" s="78"/>
      <c r="BU108" s="76"/>
      <c r="BV108" s="78"/>
      <c r="BW108" s="76"/>
      <c r="BX108" s="78"/>
      <c r="BY108" s="76"/>
      <c r="BZ108" s="78"/>
      <c r="CA108" s="76"/>
      <c r="CB108" s="78"/>
      <c r="CC108" s="76"/>
      <c r="CD108" s="78"/>
      <c r="CE108" s="76"/>
      <c r="CF108" s="78"/>
    </row>
    <row r="109" spans="1:84"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145"/>
        <v>2</v>
      </c>
      <c r="H109" s="69">
        <f>+VLOOKUP(C109,'PRECIOS IDU 2025'!$A$1:$E$3189,4,FALSE)</f>
        <v>104695</v>
      </c>
      <c r="I109" s="69">
        <f t="shared" si="146"/>
        <v>136104</v>
      </c>
      <c r="J109" s="69">
        <f t="shared" si="147"/>
        <v>272208</v>
      </c>
      <c r="K109" s="9"/>
      <c r="L109" s="3"/>
      <c r="M109" s="76"/>
      <c r="N109" s="78"/>
      <c r="O109" s="76"/>
      <c r="P109" s="78"/>
      <c r="Q109" s="76"/>
      <c r="R109" s="78"/>
      <c r="S109" s="76"/>
      <c r="T109" s="78"/>
      <c r="U109" s="76"/>
      <c r="V109" s="78"/>
      <c r="W109" s="76"/>
      <c r="X109" s="78"/>
      <c r="Y109" s="76"/>
      <c r="Z109" s="78"/>
      <c r="AA109" s="76"/>
      <c r="AB109" s="78"/>
      <c r="AC109" s="76"/>
      <c r="AD109" s="78"/>
      <c r="AE109" s="76"/>
      <c r="AF109" s="78"/>
      <c r="AG109" s="76"/>
      <c r="AH109" s="78"/>
      <c r="AI109" s="76"/>
      <c r="AJ109" s="78"/>
      <c r="AK109" s="76"/>
      <c r="AL109" s="78"/>
      <c r="AM109" s="76"/>
      <c r="AN109" s="78"/>
      <c r="AO109" s="76"/>
      <c r="AP109" s="78"/>
      <c r="AQ109" s="76"/>
      <c r="AR109" s="78"/>
      <c r="AS109" s="76"/>
      <c r="AT109" s="78"/>
      <c r="AU109" s="76"/>
      <c r="AV109" s="78"/>
      <c r="AW109" s="76"/>
      <c r="AX109" s="78"/>
      <c r="AY109" s="76">
        <v>1</v>
      </c>
      <c r="AZ109" s="78">
        <f t="shared" ref="AZ109" si="193">+ROUND(AY109*$I109,0)</f>
        <v>136104</v>
      </c>
      <c r="BA109" s="76"/>
      <c r="BB109" s="78"/>
      <c r="BC109" s="76"/>
      <c r="BD109" s="78"/>
      <c r="BE109" s="76"/>
      <c r="BF109" s="78"/>
      <c r="BG109" s="76"/>
      <c r="BH109" s="78"/>
      <c r="BI109" s="76"/>
      <c r="BJ109" s="78"/>
      <c r="BK109" s="76"/>
      <c r="BL109" s="78"/>
      <c r="BM109" s="76"/>
      <c r="BN109" s="78"/>
      <c r="BO109" s="76">
        <v>1</v>
      </c>
      <c r="BP109" s="78">
        <f t="shared" ref="BP109" si="194">+ROUND(BO109*$I109,0)</f>
        <v>136104</v>
      </c>
      <c r="BQ109" s="76"/>
      <c r="BR109" s="78"/>
      <c r="BS109" s="76"/>
      <c r="BT109" s="78"/>
      <c r="BU109" s="76"/>
      <c r="BV109" s="78"/>
      <c r="BW109" s="76"/>
      <c r="BX109" s="78"/>
      <c r="BY109" s="76"/>
      <c r="BZ109" s="78"/>
      <c r="CA109" s="76"/>
      <c r="CB109" s="78"/>
      <c r="CC109" s="76"/>
      <c r="CD109" s="78"/>
      <c r="CE109" s="76"/>
      <c r="CF109" s="78"/>
    </row>
    <row r="110" spans="1:84"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145"/>
        <v>2</v>
      </c>
      <c r="H110" s="69">
        <f>+VLOOKUP(C110,'PRECIOS IDU 2025'!$A$1:$E$3189,4,FALSE)</f>
        <v>104695</v>
      </c>
      <c r="I110" s="69">
        <f t="shared" si="146"/>
        <v>136104</v>
      </c>
      <c r="J110" s="69">
        <f t="shared" si="147"/>
        <v>272208</v>
      </c>
      <c r="K110" s="9"/>
      <c r="L110" s="3"/>
      <c r="M110" s="76"/>
      <c r="N110" s="78"/>
      <c r="O110" s="76"/>
      <c r="P110" s="78"/>
      <c r="Q110" s="76"/>
      <c r="R110" s="78"/>
      <c r="S110" s="76"/>
      <c r="T110" s="78"/>
      <c r="U110" s="76"/>
      <c r="V110" s="78"/>
      <c r="W110" s="76"/>
      <c r="X110" s="78"/>
      <c r="Y110" s="76"/>
      <c r="Z110" s="78"/>
      <c r="AA110" s="76"/>
      <c r="AB110" s="78"/>
      <c r="AC110" s="76"/>
      <c r="AD110" s="78"/>
      <c r="AE110" s="76"/>
      <c r="AF110" s="78"/>
      <c r="AG110" s="76"/>
      <c r="AH110" s="78"/>
      <c r="AI110" s="76"/>
      <c r="AJ110" s="78"/>
      <c r="AK110" s="76"/>
      <c r="AL110" s="78"/>
      <c r="AM110" s="76"/>
      <c r="AN110" s="78"/>
      <c r="AO110" s="76"/>
      <c r="AP110" s="78"/>
      <c r="AQ110" s="76"/>
      <c r="AR110" s="78"/>
      <c r="AS110" s="76"/>
      <c r="AT110" s="78"/>
      <c r="AU110" s="76"/>
      <c r="AV110" s="78"/>
      <c r="AW110" s="76"/>
      <c r="AX110" s="78"/>
      <c r="AY110" s="76">
        <v>1</v>
      </c>
      <c r="AZ110" s="78">
        <f t="shared" ref="AZ110" si="195">+ROUND(AY110*$I110,0)</f>
        <v>136104</v>
      </c>
      <c r="BA110" s="76"/>
      <c r="BB110" s="78"/>
      <c r="BC110" s="76"/>
      <c r="BD110" s="78"/>
      <c r="BE110" s="76"/>
      <c r="BF110" s="78"/>
      <c r="BG110" s="76"/>
      <c r="BH110" s="78"/>
      <c r="BI110" s="76"/>
      <c r="BJ110" s="78"/>
      <c r="BK110" s="76"/>
      <c r="BL110" s="78"/>
      <c r="BM110" s="76"/>
      <c r="BN110" s="78"/>
      <c r="BO110" s="76">
        <v>1</v>
      </c>
      <c r="BP110" s="78">
        <f t="shared" ref="BP110" si="196">+ROUND(BO110*$I110,0)</f>
        <v>136104</v>
      </c>
      <c r="BQ110" s="76"/>
      <c r="BR110" s="78"/>
      <c r="BS110" s="76"/>
      <c r="BT110" s="78"/>
      <c r="BU110" s="76"/>
      <c r="BV110" s="78"/>
      <c r="BW110" s="76"/>
      <c r="BX110" s="78"/>
      <c r="BY110" s="76"/>
      <c r="BZ110" s="78"/>
      <c r="CA110" s="76"/>
      <c r="CB110" s="78"/>
      <c r="CC110" s="76"/>
      <c r="CD110" s="78"/>
      <c r="CE110" s="76"/>
      <c r="CF110" s="78"/>
    </row>
    <row r="111" spans="1:84" ht="30" customHeight="1" x14ac:dyDescent="0.3">
      <c r="A111" s="3"/>
      <c r="B111" s="8"/>
      <c r="C111" s="66" t="s">
        <v>6080</v>
      </c>
      <c r="D111" s="67"/>
      <c r="E111" s="67"/>
      <c r="F111" s="67"/>
      <c r="G111" s="67"/>
      <c r="H111" s="67"/>
      <c r="I111" s="67"/>
      <c r="J111" s="68"/>
      <c r="K111" s="9"/>
      <c r="L111" s="3"/>
      <c r="M111" s="76"/>
      <c r="N111" s="78"/>
      <c r="O111" s="76"/>
      <c r="P111" s="78"/>
      <c r="Q111" s="76"/>
      <c r="R111" s="78"/>
      <c r="S111" s="76"/>
      <c r="T111" s="78"/>
      <c r="U111" s="76"/>
      <c r="V111" s="78"/>
      <c r="W111" s="76"/>
      <c r="X111" s="78"/>
      <c r="Y111" s="76"/>
      <c r="Z111" s="78"/>
      <c r="AA111" s="76"/>
      <c r="AB111" s="78"/>
      <c r="AC111" s="76"/>
      <c r="AD111" s="78"/>
      <c r="AE111" s="76"/>
      <c r="AF111" s="78"/>
      <c r="AG111" s="76"/>
      <c r="AH111" s="78"/>
      <c r="AI111" s="76"/>
      <c r="AJ111" s="78"/>
      <c r="AK111" s="76"/>
      <c r="AL111" s="78"/>
      <c r="AM111" s="76"/>
      <c r="AN111" s="78"/>
      <c r="AO111" s="76"/>
      <c r="AP111" s="78"/>
      <c r="AQ111" s="76"/>
      <c r="AR111" s="78"/>
      <c r="AS111" s="76"/>
      <c r="AT111" s="78"/>
      <c r="AU111" s="76"/>
      <c r="AV111" s="78"/>
      <c r="AW111" s="76"/>
      <c r="AX111" s="78"/>
      <c r="AY111" s="76"/>
      <c r="AZ111" s="78">
        <f t="shared" ref="AZ111" si="197">+ROUND(AY111*$I111,0)</f>
        <v>0</v>
      </c>
      <c r="BA111" s="76"/>
      <c r="BB111" s="78"/>
      <c r="BC111" s="76"/>
      <c r="BD111" s="78"/>
      <c r="BE111" s="76"/>
      <c r="BF111" s="78"/>
      <c r="BG111" s="76"/>
      <c r="BH111" s="78"/>
      <c r="BI111" s="76"/>
      <c r="BJ111" s="78"/>
      <c r="BK111" s="76"/>
      <c r="BL111" s="78"/>
      <c r="BM111" s="76"/>
      <c r="BN111" s="78"/>
      <c r="BO111" s="76"/>
      <c r="BP111" s="78">
        <f t="shared" ref="BP111" si="198">+ROUND(BO111*$I111,0)</f>
        <v>0</v>
      </c>
      <c r="BQ111" s="76"/>
      <c r="BR111" s="78"/>
      <c r="BS111" s="76"/>
      <c r="BT111" s="78"/>
      <c r="BU111" s="76"/>
      <c r="BV111" s="78"/>
      <c r="BW111" s="76"/>
      <c r="BX111" s="78"/>
      <c r="BY111" s="76"/>
      <c r="BZ111" s="78"/>
      <c r="CA111" s="76"/>
      <c r="CB111" s="78"/>
      <c r="CC111" s="76"/>
      <c r="CD111" s="78"/>
      <c r="CE111" s="76"/>
      <c r="CF111" s="78"/>
    </row>
    <row r="112" spans="1:84"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199">+ROUND(M112+O112+Q112+S112+U112+W112+Y112+AA112+AC112+AE112+AG112+AI112+AK112+AM112+AO112+AQ112+AS112+AU112+AW112+AY112+BA112+BC112+BE112+BG112+BI112+BK112+BM112+BO112+BQ112+BS112+BU112+BW112+BY112+CA112+CC112+CE112,2)</f>
        <v>0</v>
      </c>
      <c r="H112" s="69">
        <f>+VLOOKUP(C112,'PRECIOS IDU 2025'!$A$1:$E$3189,4,FALSE)</f>
        <v>8262</v>
      </c>
      <c r="I112" s="69">
        <f t="shared" ref="I112:I128" si="200">+ROUND(H112*(1+$J$192),0)</f>
        <v>10741</v>
      </c>
      <c r="J112" s="69">
        <f t="shared" ref="J112:J128" si="201">+ROUND(I112*G112,0)</f>
        <v>0</v>
      </c>
      <c r="K112" s="9"/>
      <c r="L112" s="3"/>
      <c r="M112" s="76"/>
      <c r="N112" s="78"/>
      <c r="O112" s="76"/>
      <c r="P112" s="78"/>
      <c r="Q112" s="76"/>
      <c r="R112" s="78"/>
      <c r="S112" s="76"/>
      <c r="T112" s="78"/>
      <c r="U112" s="76"/>
      <c r="V112" s="78"/>
      <c r="W112" s="76"/>
      <c r="X112" s="78"/>
      <c r="Y112" s="76"/>
      <c r="Z112" s="78"/>
      <c r="AA112" s="76"/>
      <c r="AB112" s="78"/>
      <c r="AC112" s="76"/>
      <c r="AD112" s="78"/>
      <c r="AE112" s="76"/>
      <c r="AF112" s="78"/>
      <c r="AG112" s="76"/>
      <c r="AH112" s="78"/>
      <c r="AI112" s="76"/>
      <c r="AJ112" s="78"/>
      <c r="AK112" s="76"/>
      <c r="AL112" s="78"/>
      <c r="AM112" s="76"/>
      <c r="AN112" s="78"/>
      <c r="AO112" s="76"/>
      <c r="AP112" s="78"/>
      <c r="AQ112" s="76"/>
      <c r="AR112" s="78"/>
      <c r="AS112" s="76"/>
      <c r="AT112" s="78"/>
      <c r="AU112" s="76"/>
      <c r="AV112" s="78"/>
      <c r="AW112" s="76"/>
      <c r="AX112" s="78"/>
      <c r="AY112" s="76"/>
      <c r="AZ112" s="78"/>
      <c r="BA112" s="76"/>
      <c r="BB112" s="78"/>
      <c r="BC112" s="76"/>
      <c r="BD112" s="78"/>
      <c r="BE112" s="76"/>
      <c r="BF112" s="78"/>
      <c r="BG112" s="76"/>
      <c r="BH112" s="78"/>
      <c r="BI112" s="76"/>
      <c r="BJ112" s="78"/>
      <c r="BK112" s="76"/>
      <c r="BL112" s="78"/>
      <c r="BM112" s="76"/>
      <c r="BN112" s="78"/>
      <c r="BO112" s="76"/>
      <c r="BP112" s="78"/>
      <c r="BQ112" s="76"/>
      <c r="BR112" s="78"/>
      <c r="BS112" s="76"/>
      <c r="BT112" s="78"/>
      <c r="BU112" s="76"/>
      <c r="BV112" s="78"/>
      <c r="BW112" s="76"/>
      <c r="BX112" s="78"/>
      <c r="BY112" s="76"/>
      <c r="BZ112" s="78"/>
      <c r="CA112" s="76"/>
      <c r="CB112" s="78"/>
      <c r="CC112" s="76"/>
      <c r="CD112" s="78"/>
      <c r="CE112" s="76"/>
      <c r="CF112" s="78"/>
    </row>
    <row r="113" spans="1:84"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199"/>
        <v>0</v>
      </c>
      <c r="H113" s="69">
        <f>+VLOOKUP(C113,'PRECIOS IDU 2025'!$A$1:$E$3189,4,FALSE)</f>
        <v>6417</v>
      </c>
      <c r="I113" s="69">
        <f t="shared" si="200"/>
        <v>8342</v>
      </c>
      <c r="J113" s="69">
        <f t="shared" si="201"/>
        <v>0</v>
      </c>
      <c r="K113" s="9"/>
      <c r="L113" s="3"/>
      <c r="M113" s="76"/>
      <c r="N113" s="78"/>
      <c r="O113" s="76"/>
      <c r="P113" s="78"/>
      <c r="Q113" s="76"/>
      <c r="R113" s="78"/>
      <c r="S113" s="76"/>
      <c r="T113" s="78"/>
      <c r="U113" s="76"/>
      <c r="V113" s="78"/>
      <c r="W113" s="76"/>
      <c r="X113" s="78"/>
      <c r="Y113" s="76"/>
      <c r="Z113" s="78"/>
      <c r="AA113" s="76"/>
      <c r="AB113" s="78"/>
      <c r="AC113" s="76"/>
      <c r="AD113" s="78"/>
      <c r="AE113" s="76"/>
      <c r="AF113" s="78"/>
      <c r="AG113" s="76"/>
      <c r="AH113" s="78"/>
      <c r="AI113" s="76"/>
      <c r="AJ113" s="78"/>
      <c r="AK113" s="76"/>
      <c r="AL113" s="78"/>
      <c r="AM113" s="76"/>
      <c r="AN113" s="78"/>
      <c r="AO113" s="76"/>
      <c r="AP113" s="78"/>
      <c r="AQ113" s="76"/>
      <c r="AR113" s="78"/>
      <c r="AS113" s="76"/>
      <c r="AT113" s="78"/>
      <c r="AU113" s="76"/>
      <c r="AV113" s="78"/>
      <c r="AW113" s="76"/>
      <c r="AX113" s="78"/>
      <c r="AY113" s="76"/>
      <c r="AZ113" s="78"/>
      <c r="BA113" s="76"/>
      <c r="BB113" s="78"/>
      <c r="BC113" s="76"/>
      <c r="BD113" s="78"/>
      <c r="BE113" s="76"/>
      <c r="BF113" s="78"/>
      <c r="BG113" s="76"/>
      <c r="BH113" s="78"/>
      <c r="BI113" s="76"/>
      <c r="BJ113" s="78"/>
      <c r="BK113" s="76"/>
      <c r="BL113" s="78"/>
      <c r="BM113" s="76"/>
      <c r="BN113" s="78"/>
      <c r="BO113" s="76"/>
      <c r="BP113" s="78"/>
      <c r="BQ113" s="76"/>
      <c r="BR113" s="78"/>
      <c r="BS113" s="76"/>
      <c r="BT113" s="78"/>
      <c r="BU113" s="76"/>
      <c r="BV113" s="78"/>
      <c r="BW113" s="76"/>
      <c r="BX113" s="78"/>
      <c r="BY113" s="76"/>
      <c r="BZ113" s="78"/>
      <c r="CA113" s="76"/>
      <c r="CB113" s="78"/>
      <c r="CC113" s="76"/>
      <c r="CD113" s="78"/>
      <c r="CE113" s="76"/>
      <c r="CF113" s="78"/>
    </row>
    <row r="114" spans="1:84"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199"/>
        <v>0</v>
      </c>
      <c r="H114" s="69">
        <f>+VLOOKUP(C114,'PRECIOS IDU 2025'!$A$1:$E$3189,4,FALSE)</f>
        <v>46379</v>
      </c>
      <c r="I114" s="69">
        <f t="shared" si="200"/>
        <v>60293</v>
      </c>
      <c r="J114" s="69">
        <f t="shared" si="201"/>
        <v>0</v>
      </c>
      <c r="K114" s="9"/>
      <c r="L114" s="3"/>
      <c r="M114" s="76"/>
      <c r="N114" s="78"/>
      <c r="O114" s="76"/>
      <c r="P114" s="78"/>
      <c r="Q114" s="76"/>
      <c r="R114" s="78"/>
      <c r="S114" s="76"/>
      <c r="T114" s="78"/>
      <c r="U114" s="76"/>
      <c r="V114" s="78"/>
      <c r="W114" s="76"/>
      <c r="X114" s="78"/>
      <c r="Y114" s="76"/>
      <c r="Z114" s="78"/>
      <c r="AA114" s="76"/>
      <c r="AB114" s="78"/>
      <c r="AC114" s="76"/>
      <c r="AD114" s="78"/>
      <c r="AE114" s="76"/>
      <c r="AF114" s="78"/>
      <c r="AG114" s="76"/>
      <c r="AH114" s="78"/>
      <c r="AI114" s="76"/>
      <c r="AJ114" s="78"/>
      <c r="AK114" s="76"/>
      <c r="AL114" s="78"/>
      <c r="AM114" s="76"/>
      <c r="AN114" s="78"/>
      <c r="AO114" s="76"/>
      <c r="AP114" s="78"/>
      <c r="AQ114" s="76"/>
      <c r="AR114" s="78"/>
      <c r="AS114" s="76"/>
      <c r="AT114" s="78"/>
      <c r="AU114" s="76"/>
      <c r="AV114" s="78"/>
      <c r="AW114" s="76"/>
      <c r="AX114" s="78"/>
      <c r="AY114" s="76"/>
      <c r="AZ114" s="78"/>
      <c r="BA114" s="76"/>
      <c r="BB114" s="78"/>
      <c r="BC114" s="76"/>
      <c r="BD114" s="78"/>
      <c r="BE114" s="76"/>
      <c r="BF114" s="78"/>
      <c r="BG114" s="76"/>
      <c r="BH114" s="78"/>
      <c r="BI114" s="76"/>
      <c r="BJ114" s="78"/>
      <c r="BK114" s="76"/>
      <c r="BL114" s="78"/>
      <c r="BM114" s="76"/>
      <c r="BN114" s="78"/>
      <c r="BO114" s="76"/>
      <c r="BP114" s="78"/>
      <c r="BQ114" s="76"/>
      <c r="BR114" s="78"/>
      <c r="BS114" s="76"/>
      <c r="BT114" s="78"/>
      <c r="BU114" s="76"/>
      <c r="BV114" s="78"/>
      <c r="BW114" s="76"/>
      <c r="BX114" s="78"/>
      <c r="BY114" s="76"/>
      <c r="BZ114" s="78"/>
      <c r="CA114" s="76"/>
      <c r="CB114" s="78"/>
      <c r="CC114" s="76"/>
      <c r="CD114" s="78"/>
      <c r="CE114" s="76"/>
      <c r="CF114" s="78"/>
    </row>
    <row r="115" spans="1:84"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199"/>
        <v>0</v>
      </c>
      <c r="H115" s="69">
        <f>+VLOOKUP(C115,'PRECIOS IDU 2025'!$A$1:$E$3189,4,FALSE)</f>
        <v>45600</v>
      </c>
      <c r="I115" s="69">
        <f t="shared" si="200"/>
        <v>59280</v>
      </c>
      <c r="J115" s="69">
        <f t="shared" si="201"/>
        <v>0</v>
      </c>
      <c r="K115" s="9"/>
      <c r="L115" s="3"/>
      <c r="M115" s="76"/>
      <c r="N115" s="78"/>
      <c r="O115" s="76"/>
      <c r="P115" s="78"/>
      <c r="Q115" s="76"/>
      <c r="R115" s="78"/>
      <c r="S115" s="76"/>
      <c r="T115" s="78"/>
      <c r="U115" s="76"/>
      <c r="V115" s="78"/>
      <c r="W115" s="76"/>
      <c r="X115" s="78"/>
      <c r="Y115" s="76"/>
      <c r="Z115" s="78"/>
      <c r="AA115" s="76"/>
      <c r="AB115" s="78"/>
      <c r="AC115" s="76"/>
      <c r="AD115" s="78"/>
      <c r="AE115" s="76"/>
      <c r="AF115" s="78"/>
      <c r="AG115" s="76"/>
      <c r="AH115" s="78"/>
      <c r="AI115" s="76"/>
      <c r="AJ115" s="78"/>
      <c r="AK115" s="76"/>
      <c r="AL115" s="78"/>
      <c r="AM115" s="76"/>
      <c r="AN115" s="78"/>
      <c r="AO115" s="76"/>
      <c r="AP115" s="78"/>
      <c r="AQ115" s="76"/>
      <c r="AR115" s="78"/>
      <c r="AS115" s="76"/>
      <c r="AT115" s="78"/>
      <c r="AU115" s="76"/>
      <c r="AV115" s="78"/>
      <c r="AW115" s="76"/>
      <c r="AX115" s="78"/>
      <c r="AY115" s="76"/>
      <c r="AZ115" s="78"/>
      <c r="BA115" s="76"/>
      <c r="BB115" s="78"/>
      <c r="BC115" s="76"/>
      <c r="BD115" s="78"/>
      <c r="BE115" s="76"/>
      <c r="BF115" s="78"/>
      <c r="BG115" s="76"/>
      <c r="BH115" s="78"/>
      <c r="BI115" s="76"/>
      <c r="BJ115" s="78"/>
      <c r="BK115" s="76"/>
      <c r="BL115" s="78"/>
      <c r="BM115" s="76"/>
      <c r="BN115" s="78"/>
      <c r="BO115" s="76"/>
      <c r="BP115" s="78"/>
      <c r="BQ115" s="76"/>
      <c r="BR115" s="78"/>
      <c r="BS115" s="76"/>
      <c r="BT115" s="78"/>
      <c r="BU115" s="76"/>
      <c r="BV115" s="78"/>
      <c r="BW115" s="76"/>
      <c r="BX115" s="78"/>
      <c r="BY115" s="76"/>
      <c r="BZ115" s="78"/>
      <c r="CA115" s="76"/>
      <c r="CB115" s="78"/>
      <c r="CC115" s="76"/>
      <c r="CD115" s="78"/>
      <c r="CE115" s="76"/>
      <c r="CF115" s="78"/>
    </row>
    <row r="116" spans="1:84"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199"/>
        <v>0</v>
      </c>
      <c r="H116" s="69">
        <f>+VLOOKUP(C116,'PRECIOS IDU 2025'!$A$1:$E$3189,4,FALSE)</f>
        <v>167049</v>
      </c>
      <c r="I116" s="69">
        <f t="shared" si="200"/>
        <v>217164</v>
      </c>
      <c r="J116" s="69">
        <f t="shared" si="201"/>
        <v>0</v>
      </c>
      <c r="K116" s="9"/>
      <c r="L116" s="3"/>
      <c r="M116" s="76"/>
      <c r="N116" s="78"/>
      <c r="O116" s="76"/>
      <c r="P116" s="78"/>
      <c r="Q116" s="76"/>
      <c r="R116" s="78"/>
      <c r="S116" s="76"/>
      <c r="T116" s="78"/>
      <c r="U116" s="76"/>
      <c r="V116" s="78"/>
      <c r="W116" s="76"/>
      <c r="X116" s="78"/>
      <c r="Y116" s="76"/>
      <c r="Z116" s="78"/>
      <c r="AA116" s="76"/>
      <c r="AB116" s="78"/>
      <c r="AC116" s="76"/>
      <c r="AD116" s="78"/>
      <c r="AE116" s="76"/>
      <c r="AF116" s="78"/>
      <c r="AG116" s="76"/>
      <c r="AH116" s="78"/>
      <c r="AI116" s="76"/>
      <c r="AJ116" s="78"/>
      <c r="AK116" s="76"/>
      <c r="AL116" s="78"/>
      <c r="AM116" s="76"/>
      <c r="AN116" s="78"/>
      <c r="AO116" s="76"/>
      <c r="AP116" s="78"/>
      <c r="AQ116" s="76"/>
      <c r="AR116" s="78"/>
      <c r="AS116" s="76"/>
      <c r="AT116" s="78"/>
      <c r="AU116" s="76"/>
      <c r="AV116" s="78"/>
      <c r="AW116" s="76"/>
      <c r="AX116" s="78"/>
      <c r="AY116" s="76"/>
      <c r="AZ116" s="78"/>
      <c r="BA116" s="76"/>
      <c r="BB116" s="78"/>
      <c r="BC116" s="76"/>
      <c r="BD116" s="78"/>
      <c r="BE116" s="76"/>
      <c r="BF116" s="78"/>
      <c r="BG116" s="76"/>
      <c r="BH116" s="78"/>
      <c r="BI116" s="76"/>
      <c r="BJ116" s="78"/>
      <c r="BK116" s="76"/>
      <c r="BL116" s="78"/>
      <c r="BM116" s="76"/>
      <c r="BN116" s="78"/>
      <c r="BO116" s="76"/>
      <c r="BP116" s="78"/>
      <c r="BQ116" s="76"/>
      <c r="BR116" s="78"/>
      <c r="BS116" s="76"/>
      <c r="BT116" s="78"/>
      <c r="BU116" s="76"/>
      <c r="BV116" s="78"/>
      <c r="BW116" s="76"/>
      <c r="BX116" s="78"/>
      <c r="BY116" s="76"/>
      <c r="BZ116" s="78"/>
      <c r="CA116" s="76"/>
      <c r="CB116" s="78"/>
      <c r="CC116" s="76"/>
      <c r="CD116" s="78"/>
      <c r="CE116" s="76"/>
      <c r="CF116" s="78"/>
    </row>
    <row r="117" spans="1:84"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199"/>
        <v>0</v>
      </c>
      <c r="H117" s="69">
        <f>+VLOOKUP(C117,'PRECIOS IDU 2025'!$A$1:$E$3189,4,FALSE)</f>
        <v>162047</v>
      </c>
      <c r="I117" s="69">
        <f t="shared" si="200"/>
        <v>210661</v>
      </c>
      <c r="J117" s="69">
        <f t="shared" si="201"/>
        <v>0</v>
      </c>
      <c r="K117" s="9"/>
      <c r="L117" s="3"/>
      <c r="M117" s="76"/>
      <c r="N117" s="78"/>
      <c r="O117" s="76"/>
      <c r="P117" s="78"/>
      <c r="Q117" s="76"/>
      <c r="R117" s="78"/>
      <c r="S117" s="76"/>
      <c r="T117" s="78"/>
      <c r="U117" s="76"/>
      <c r="V117" s="78"/>
      <c r="W117" s="76"/>
      <c r="X117" s="78"/>
      <c r="Y117" s="76"/>
      <c r="Z117" s="78"/>
      <c r="AA117" s="76"/>
      <c r="AB117" s="78"/>
      <c r="AC117" s="76"/>
      <c r="AD117" s="78"/>
      <c r="AE117" s="76"/>
      <c r="AF117" s="78"/>
      <c r="AG117" s="76"/>
      <c r="AH117" s="78"/>
      <c r="AI117" s="76"/>
      <c r="AJ117" s="78"/>
      <c r="AK117" s="76"/>
      <c r="AL117" s="78"/>
      <c r="AM117" s="76"/>
      <c r="AN117" s="78"/>
      <c r="AO117" s="76"/>
      <c r="AP117" s="78"/>
      <c r="AQ117" s="76"/>
      <c r="AR117" s="78"/>
      <c r="AS117" s="76"/>
      <c r="AT117" s="78"/>
      <c r="AU117" s="76"/>
      <c r="AV117" s="78"/>
      <c r="AW117" s="76"/>
      <c r="AX117" s="78"/>
      <c r="AY117" s="76"/>
      <c r="AZ117" s="78"/>
      <c r="BA117" s="76"/>
      <c r="BB117" s="78"/>
      <c r="BC117" s="76"/>
      <c r="BD117" s="78"/>
      <c r="BE117" s="76"/>
      <c r="BF117" s="78"/>
      <c r="BG117" s="76"/>
      <c r="BH117" s="78"/>
      <c r="BI117" s="76"/>
      <c r="BJ117" s="78"/>
      <c r="BK117" s="76"/>
      <c r="BL117" s="78"/>
      <c r="BM117" s="76"/>
      <c r="BN117" s="78"/>
      <c r="BO117" s="76"/>
      <c r="BP117" s="78"/>
      <c r="BQ117" s="76"/>
      <c r="BR117" s="78"/>
      <c r="BS117" s="76"/>
      <c r="BT117" s="78"/>
      <c r="BU117" s="76"/>
      <c r="BV117" s="78"/>
      <c r="BW117" s="76"/>
      <c r="BX117" s="78"/>
      <c r="BY117" s="76"/>
      <c r="BZ117" s="78"/>
      <c r="CA117" s="76"/>
      <c r="CB117" s="78"/>
      <c r="CC117" s="76"/>
      <c r="CD117" s="78"/>
      <c r="CE117" s="76"/>
      <c r="CF117" s="78"/>
    </row>
    <row r="118" spans="1:84"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199"/>
        <v>0</v>
      </c>
      <c r="H118" s="69">
        <f>+VLOOKUP(C118,'PRECIOS IDU 2025'!$A$1:$E$3189,4,FALSE)</f>
        <v>83828</v>
      </c>
      <c r="I118" s="69">
        <f t="shared" si="200"/>
        <v>108976</v>
      </c>
      <c r="J118" s="69">
        <f t="shared" si="201"/>
        <v>0</v>
      </c>
      <c r="K118" s="9"/>
      <c r="L118" s="3"/>
      <c r="M118" s="76"/>
      <c r="N118" s="78"/>
      <c r="O118" s="76"/>
      <c r="P118" s="78"/>
      <c r="Q118" s="76"/>
      <c r="R118" s="78"/>
      <c r="S118" s="76"/>
      <c r="T118" s="78"/>
      <c r="U118" s="76"/>
      <c r="V118" s="78"/>
      <c r="W118" s="76"/>
      <c r="X118" s="78"/>
      <c r="Y118" s="76"/>
      <c r="Z118" s="78"/>
      <c r="AA118" s="76"/>
      <c r="AB118" s="78"/>
      <c r="AC118" s="76"/>
      <c r="AD118" s="78"/>
      <c r="AE118" s="76"/>
      <c r="AF118" s="78"/>
      <c r="AG118" s="76"/>
      <c r="AH118" s="78"/>
      <c r="AI118" s="76"/>
      <c r="AJ118" s="78"/>
      <c r="AK118" s="76"/>
      <c r="AL118" s="78"/>
      <c r="AM118" s="76"/>
      <c r="AN118" s="78"/>
      <c r="AO118" s="76"/>
      <c r="AP118" s="78"/>
      <c r="AQ118" s="76"/>
      <c r="AR118" s="78"/>
      <c r="AS118" s="76"/>
      <c r="AT118" s="78"/>
      <c r="AU118" s="76"/>
      <c r="AV118" s="78"/>
      <c r="AW118" s="76"/>
      <c r="AX118" s="78"/>
      <c r="AY118" s="76"/>
      <c r="AZ118" s="78"/>
      <c r="BA118" s="76"/>
      <c r="BB118" s="78"/>
      <c r="BC118" s="76"/>
      <c r="BD118" s="78"/>
      <c r="BE118" s="76"/>
      <c r="BF118" s="78"/>
      <c r="BG118" s="76"/>
      <c r="BH118" s="78"/>
      <c r="BI118" s="76"/>
      <c r="BJ118" s="78"/>
      <c r="BK118" s="76"/>
      <c r="BL118" s="78"/>
      <c r="BM118" s="76"/>
      <c r="BN118" s="78"/>
      <c r="BO118" s="76"/>
      <c r="BP118" s="78"/>
      <c r="BQ118" s="76"/>
      <c r="BR118" s="78"/>
      <c r="BS118" s="76"/>
      <c r="BT118" s="78"/>
      <c r="BU118" s="76"/>
      <c r="BV118" s="78"/>
      <c r="BW118" s="76"/>
      <c r="BX118" s="78"/>
      <c r="BY118" s="76"/>
      <c r="BZ118" s="78"/>
      <c r="CA118" s="76"/>
      <c r="CB118" s="78"/>
      <c r="CC118" s="76"/>
      <c r="CD118" s="78"/>
      <c r="CE118" s="76"/>
      <c r="CF118" s="78"/>
    </row>
    <row r="119" spans="1:84"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199"/>
        <v>0</v>
      </c>
      <c r="H119" s="69">
        <f>+VLOOKUP(C119,'PRECIOS IDU 2025'!$A$1:$E$3189,4,FALSE)</f>
        <v>7346</v>
      </c>
      <c r="I119" s="69">
        <f t="shared" si="200"/>
        <v>9550</v>
      </c>
      <c r="J119" s="69">
        <f t="shared" si="201"/>
        <v>0</v>
      </c>
      <c r="K119" s="9"/>
      <c r="L119" s="3"/>
      <c r="M119" s="76"/>
      <c r="N119" s="78"/>
      <c r="O119" s="76"/>
      <c r="P119" s="78"/>
      <c r="Q119" s="76"/>
      <c r="R119" s="78"/>
      <c r="S119" s="76"/>
      <c r="T119" s="78"/>
      <c r="U119" s="76"/>
      <c r="V119" s="78"/>
      <c r="W119" s="76"/>
      <c r="X119" s="78"/>
      <c r="Y119" s="76"/>
      <c r="Z119" s="78"/>
      <c r="AA119" s="76"/>
      <c r="AB119" s="78"/>
      <c r="AC119" s="76"/>
      <c r="AD119" s="78"/>
      <c r="AE119" s="76"/>
      <c r="AF119" s="78"/>
      <c r="AG119" s="76"/>
      <c r="AH119" s="78"/>
      <c r="AI119" s="76"/>
      <c r="AJ119" s="78"/>
      <c r="AK119" s="76"/>
      <c r="AL119" s="78"/>
      <c r="AM119" s="76"/>
      <c r="AN119" s="78"/>
      <c r="AO119" s="76"/>
      <c r="AP119" s="78"/>
      <c r="AQ119" s="76"/>
      <c r="AR119" s="78"/>
      <c r="AS119" s="76"/>
      <c r="AT119" s="78"/>
      <c r="AU119" s="76"/>
      <c r="AV119" s="78"/>
      <c r="AW119" s="76"/>
      <c r="AX119" s="78"/>
      <c r="AY119" s="76"/>
      <c r="AZ119" s="78"/>
      <c r="BA119" s="76"/>
      <c r="BB119" s="78"/>
      <c r="BC119" s="76"/>
      <c r="BD119" s="78"/>
      <c r="BE119" s="76"/>
      <c r="BF119" s="78"/>
      <c r="BG119" s="76"/>
      <c r="BH119" s="78"/>
      <c r="BI119" s="76"/>
      <c r="BJ119" s="78"/>
      <c r="BK119" s="76"/>
      <c r="BL119" s="78"/>
      <c r="BM119" s="76"/>
      <c r="BN119" s="78"/>
      <c r="BO119" s="76"/>
      <c r="BP119" s="78"/>
      <c r="BQ119" s="76"/>
      <c r="BR119" s="78"/>
      <c r="BS119" s="76"/>
      <c r="BT119" s="78"/>
      <c r="BU119" s="76"/>
      <c r="BV119" s="78"/>
      <c r="BW119" s="76"/>
      <c r="BX119" s="78"/>
      <c r="BY119" s="76"/>
      <c r="BZ119" s="78"/>
      <c r="CA119" s="76"/>
      <c r="CB119" s="78"/>
      <c r="CC119" s="76"/>
      <c r="CD119" s="78"/>
      <c r="CE119" s="76"/>
      <c r="CF119" s="78"/>
    </row>
    <row r="120" spans="1:84"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199"/>
        <v>0</v>
      </c>
      <c r="H120" s="69">
        <f>+VLOOKUP(C120,'PRECIOS IDU 2025'!$A$1:$E$3189,4,FALSE)</f>
        <v>184030</v>
      </c>
      <c r="I120" s="69">
        <f t="shared" si="200"/>
        <v>239239</v>
      </c>
      <c r="J120" s="69">
        <f t="shared" si="201"/>
        <v>0</v>
      </c>
      <c r="K120" s="9"/>
      <c r="L120" s="3"/>
      <c r="M120" s="76"/>
      <c r="N120" s="78"/>
      <c r="O120" s="76"/>
      <c r="P120" s="78"/>
      <c r="Q120" s="76"/>
      <c r="R120" s="78"/>
      <c r="S120" s="76"/>
      <c r="T120" s="78"/>
      <c r="U120" s="76"/>
      <c r="V120" s="78"/>
      <c r="W120" s="76"/>
      <c r="X120" s="78"/>
      <c r="Y120" s="76"/>
      <c r="Z120" s="78"/>
      <c r="AA120" s="76"/>
      <c r="AB120" s="78"/>
      <c r="AC120" s="76"/>
      <c r="AD120" s="78"/>
      <c r="AE120" s="76"/>
      <c r="AF120" s="78"/>
      <c r="AG120" s="76"/>
      <c r="AH120" s="78"/>
      <c r="AI120" s="76"/>
      <c r="AJ120" s="78"/>
      <c r="AK120" s="76"/>
      <c r="AL120" s="78"/>
      <c r="AM120" s="76"/>
      <c r="AN120" s="78"/>
      <c r="AO120" s="76"/>
      <c r="AP120" s="78"/>
      <c r="AQ120" s="76"/>
      <c r="AR120" s="78"/>
      <c r="AS120" s="76"/>
      <c r="AT120" s="78"/>
      <c r="AU120" s="76"/>
      <c r="AV120" s="78"/>
      <c r="AW120" s="76"/>
      <c r="AX120" s="78"/>
      <c r="AY120" s="76"/>
      <c r="AZ120" s="78"/>
      <c r="BA120" s="76"/>
      <c r="BB120" s="78"/>
      <c r="BC120" s="76"/>
      <c r="BD120" s="78"/>
      <c r="BE120" s="76"/>
      <c r="BF120" s="78"/>
      <c r="BG120" s="76"/>
      <c r="BH120" s="78"/>
      <c r="BI120" s="76"/>
      <c r="BJ120" s="78"/>
      <c r="BK120" s="76"/>
      <c r="BL120" s="78"/>
      <c r="BM120" s="76"/>
      <c r="BN120" s="78"/>
      <c r="BO120" s="76"/>
      <c r="BP120" s="78"/>
      <c r="BQ120" s="76"/>
      <c r="BR120" s="78"/>
      <c r="BS120" s="76"/>
      <c r="BT120" s="78"/>
      <c r="BU120" s="76"/>
      <c r="BV120" s="78"/>
      <c r="BW120" s="76"/>
      <c r="BX120" s="78"/>
      <c r="BY120" s="76"/>
      <c r="BZ120" s="78"/>
      <c r="CA120" s="76"/>
      <c r="CB120" s="78"/>
      <c r="CC120" s="76"/>
      <c r="CD120" s="78"/>
      <c r="CE120" s="76"/>
      <c r="CF120" s="78"/>
    </row>
    <row r="121" spans="1:84"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199"/>
        <v>0</v>
      </c>
      <c r="H121" s="69">
        <f>+VLOOKUP(C121,'PRECIOS IDU 2025'!$A$1:$E$3189,4,FALSE)</f>
        <v>966133</v>
      </c>
      <c r="I121" s="69">
        <f t="shared" si="200"/>
        <v>1255973</v>
      </c>
      <c r="J121" s="69">
        <f t="shared" si="201"/>
        <v>0</v>
      </c>
      <c r="K121" s="9"/>
      <c r="L121" s="3"/>
      <c r="M121" s="76"/>
      <c r="N121" s="78"/>
      <c r="O121" s="76"/>
      <c r="P121" s="78"/>
      <c r="Q121" s="76"/>
      <c r="R121" s="78"/>
      <c r="S121" s="76"/>
      <c r="T121" s="78"/>
      <c r="U121" s="76"/>
      <c r="V121" s="78"/>
      <c r="W121" s="76"/>
      <c r="X121" s="78"/>
      <c r="Y121" s="76"/>
      <c r="Z121" s="78"/>
      <c r="AA121" s="76"/>
      <c r="AB121" s="78"/>
      <c r="AC121" s="76"/>
      <c r="AD121" s="78"/>
      <c r="AE121" s="76"/>
      <c r="AF121" s="78"/>
      <c r="AG121" s="76"/>
      <c r="AH121" s="78"/>
      <c r="AI121" s="76"/>
      <c r="AJ121" s="78"/>
      <c r="AK121" s="76"/>
      <c r="AL121" s="78"/>
      <c r="AM121" s="76"/>
      <c r="AN121" s="78"/>
      <c r="AO121" s="76"/>
      <c r="AP121" s="78"/>
      <c r="AQ121" s="76"/>
      <c r="AR121" s="78"/>
      <c r="AS121" s="76"/>
      <c r="AT121" s="78"/>
      <c r="AU121" s="76"/>
      <c r="AV121" s="78"/>
      <c r="AW121" s="76"/>
      <c r="AX121" s="78"/>
      <c r="AY121" s="76"/>
      <c r="AZ121" s="78"/>
      <c r="BA121" s="76"/>
      <c r="BB121" s="78"/>
      <c r="BC121" s="76"/>
      <c r="BD121" s="78"/>
      <c r="BE121" s="76"/>
      <c r="BF121" s="78"/>
      <c r="BG121" s="76"/>
      <c r="BH121" s="78"/>
      <c r="BI121" s="76"/>
      <c r="BJ121" s="78"/>
      <c r="BK121" s="76"/>
      <c r="BL121" s="78"/>
      <c r="BM121" s="76"/>
      <c r="BN121" s="78"/>
      <c r="BO121" s="76"/>
      <c r="BP121" s="78"/>
      <c r="BQ121" s="76"/>
      <c r="BR121" s="78"/>
      <c r="BS121" s="76"/>
      <c r="BT121" s="78"/>
      <c r="BU121" s="76"/>
      <c r="BV121" s="78"/>
      <c r="BW121" s="76"/>
      <c r="BX121" s="78"/>
      <c r="BY121" s="76"/>
      <c r="BZ121" s="78"/>
      <c r="CA121" s="76"/>
      <c r="CB121" s="78"/>
      <c r="CC121" s="76"/>
      <c r="CD121" s="78"/>
      <c r="CE121" s="76"/>
      <c r="CF121" s="78"/>
    </row>
    <row r="122" spans="1:84"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199"/>
        <v>0</v>
      </c>
      <c r="H122" s="69">
        <f>+VLOOKUP(C122,'PRECIOS IDU 2025'!$A$1:$E$3189,4,FALSE)</f>
        <v>62386</v>
      </c>
      <c r="I122" s="69">
        <f t="shared" si="200"/>
        <v>81102</v>
      </c>
      <c r="J122" s="69">
        <f t="shared" si="201"/>
        <v>0</v>
      </c>
      <c r="K122" s="9"/>
      <c r="L122" s="3"/>
      <c r="M122" s="76"/>
      <c r="N122" s="78"/>
      <c r="O122" s="76"/>
      <c r="P122" s="78"/>
      <c r="Q122" s="76"/>
      <c r="R122" s="78"/>
      <c r="S122" s="76"/>
      <c r="T122" s="78"/>
      <c r="U122" s="76"/>
      <c r="V122" s="78"/>
      <c r="W122" s="76"/>
      <c r="X122" s="78"/>
      <c r="Y122" s="76"/>
      <c r="Z122" s="78"/>
      <c r="AA122" s="76"/>
      <c r="AB122" s="78"/>
      <c r="AC122" s="76"/>
      <c r="AD122" s="78"/>
      <c r="AE122" s="76"/>
      <c r="AF122" s="78"/>
      <c r="AG122" s="76"/>
      <c r="AH122" s="78"/>
      <c r="AI122" s="76"/>
      <c r="AJ122" s="78"/>
      <c r="AK122" s="76"/>
      <c r="AL122" s="78"/>
      <c r="AM122" s="76"/>
      <c r="AN122" s="78"/>
      <c r="AO122" s="76"/>
      <c r="AP122" s="78"/>
      <c r="AQ122" s="76"/>
      <c r="AR122" s="78"/>
      <c r="AS122" s="76"/>
      <c r="AT122" s="78"/>
      <c r="AU122" s="76"/>
      <c r="AV122" s="78"/>
      <c r="AW122" s="76"/>
      <c r="AX122" s="78"/>
      <c r="AY122" s="76"/>
      <c r="AZ122" s="78"/>
      <c r="BA122" s="76"/>
      <c r="BB122" s="78"/>
      <c r="BC122" s="76"/>
      <c r="BD122" s="78"/>
      <c r="BE122" s="76"/>
      <c r="BF122" s="78"/>
      <c r="BG122" s="76"/>
      <c r="BH122" s="78"/>
      <c r="BI122" s="76"/>
      <c r="BJ122" s="78"/>
      <c r="BK122" s="76"/>
      <c r="BL122" s="78"/>
      <c r="BM122" s="76"/>
      <c r="BN122" s="78"/>
      <c r="BO122" s="76"/>
      <c r="BP122" s="78"/>
      <c r="BQ122" s="76"/>
      <c r="BR122" s="78"/>
      <c r="BS122" s="76"/>
      <c r="BT122" s="78"/>
      <c r="BU122" s="76"/>
      <c r="BV122" s="78"/>
      <c r="BW122" s="76"/>
      <c r="BX122" s="78"/>
      <c r="BY122" s="76"/>
      <c r="BZ122" s="78"/>
      <c r="CA122" s="76"/>
      <c r="CB122" s="78"/>
      <c r="CC122" s="76"/>
      <c r="CD122" s="78"/>
      <c r="CE122" s="76"/>
      <c r="CF122" s="78"/>
    </row>
    <row r="123" spans="1:84"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199"/>
        <v>0</v>
      </c>
      <c r="H123" s="69">
        <f>+VLOOKUP(C123,'PRECIOS IDU 2025'!$A$1:$E$3189,4,FALSE)</f>
        <v>82015</v>
      </c>
      <c r="I123" s="69">
        <f t="shared" si="200"/>
        <v>106620</v>
      </c>
      <c r="J123" s="69">
        <f t="shared" si="201"/>
        <v>0</v>
      </c>
      <c r="K123" s="9"/>
      <c r="L123" s="3"/>
      <c r="M123" s="76"/>
      <c r="N123" s="78"/>
      <c r="O123" s="76"/>
      <c r="P123" s="78"/>
      <c r="Q123" s="76"/>
      <c r="R123" s="78"/>
      <c r="S123" s="76"/>
      <c r="T123" s="78"/>
      <c r="U123" s="76"/>
      <c r="V123" s="78"/>
      <c r="W123" s="76"/>
      <c r="X123" s="78"/>
      <c r="Y123" s="76"/>
      <c r="Z123" s="78"/>
      <c r="AA123" s="76"/>
      <c r="AB123" s="78"/>
      <c r="AC123" s="76"/>
      <c r="AD123" s="78"/>
      <c r="AE123" s="76"/>
      <c r="AF123" s="78"/>
      <c r="AG123" s="76"/>
      <c r="AH123" s="78"/>
      <c r="AI123" s="76"/>
      <c r="AJ123" s="78"/>
      <c r="AK123" s="76"/>
      <c r="AL123" s="78"/>
      <c r="AM123" s="76"/>
      <c r="AN123" s="78"/>
      <c r="AO123" s="76"/>
      <c r="AP123" s="78"/>
      <c r="AQ123" s="76"/>
      <c r="AR123" s="78"/>
      <c r="AS123" s="76"/>
      <c r="AT123" s="78"/>
      <c r="AU123" s="76"/>
      <c r="AV123" s="78"/>
      <c r="AW123" s="76"/>
      <c r="AX123" s="78"/>
      <c r="AY123" s="76"/>
      <c r="AZ123" s="78"/>
      <c r="BA123" s="76"/>
      <c r="BB123" s="78"/>
      <c r="BC123" s="76"/>
      <c r="BD123" s="78"/>
      <c r="BE123" s="76"/>
      <c r="BF123" s="78"/>
      <c r="BG123" s="76"/>
      <c r="BH123" s="78"/>
      <c r="BI123" s="76"/>
      <c r="BJ123" s="78"/>
      <c r="BK123" s="76"/>
      <c r="BL123" s="78"/>
      <c r="BM123" s="76"/>
      <c r="BN123" s="78"/>
      <c r="BO123" s="76"/>
      <c r="BP123" s="78"/>
      <c r="BQ123" s="76"/>
      <c r="BR123" s="78"/>
      <c r="BS123" s="76"/>
      <c r="BT123" s="78"/>
      <c r="BU123" s="76"/>
      <c r="BV123" s="78"/>
      <c r="BW123" s="76"/>
      <c r="BX123" s="78"/>
      <c r="BY123" s="76"/>
      <c r="BZ123" s="78"/>
      <c r="CA123" s="76"/>
      <c r="CB123" s="78"/>
      <c r="CC123" s="76"/>
      <c r="CD123" s="78"/>
      <c r="CE123" s="76"/>
      <c r="CF123" s="78"/>
    </row>
    <row r="124" spans="1:84"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199"/>
        <v>0</v>
      </c>
      <c r="H124" s="69">
        <f>+VLOOKUP(C124,'PRECIOS IDU 2025'!$A$1:$E$3189,4,FALSE)</f>
        <v>69041</v>
      </c>
      <c r="I124" s="69">
        <f t="shared" si="200"/>
        <v>89753</v>
      </c>
      <c r="J124" s="69">
        <f t="shared" si="201"/>
        <v>0</v>
      </c>
      <c r="K124" s="9"/>
      <c r="L124" s="3"/>
      <c r="M124" s="76"/>
      <c r="N124" s="78"/>
      <c r="O124" s="76"/>
      <c r="P124" s="78"/>
      <c r="Q124" s="76"/>
      <c r="R124" s="78"/>
      <c r="S124" s="76"/>
      <c r="T124" s="78"/>
      <c r="U124" s="76"/>
      <c r="V124" s="78"/>
      <c r="W124" s="76"/>
      <c r="X124" s="78"/>
      <c r="Y124" s="76"/>
      <c r="Z124" s="78"/>
      <c r="AA124" s="76"/>
      <c r="AB124" s="78"/>
      <c r="AC124" s="76"/>
      <c r="AD124" s="78"/>
      <c r="AE124" s="76"/>
      <c r="AF124" s="78"/>
      <c r="AG124" s="76"/>
      <c r="AH124" s="78"/>
      <c r="AI124" s="76"/>
      <c r="AJ124" s="78"/>
      <c r="AK124" s="76"/>
      <c r="AL124" s="78"/>
      <c r="AM124" s="76"/>
      <c r="AN124" s="78"/>
      <c r="AO124" s="76"/>
      <c r="AP124" s="78"/>
      <c r="AQ124" s="76"/>
      <c r="AR124" s="78"/>
      <c r="AS124" s="76"/>
      <c r="AT124" s="78"/>
      <c r="AU124" s="76"/>
      <c r="AV124" s="78"/>
      <c r="AW124" s="76"/>
      <c r="AX124" s="78"/>
      <c r="AY124" s="76"/>
      <c r="AZ124" s="78"/>
      <c r="BA124" s="76"/>
      <c r="BB124" s="78"/>
      <c r="BC124" s="76"/>
      <c r="BD124" s="78"/>
      <c r="BE124" s="76"/>
      <c r="BF124" s="78"/>
      <c r="BG124" s="76"/>
      <c r="BH124" s="78"/>
      <c r="BI124" s="76"/>
      <c r="BJ124" s="78"/>
      <c r="BK124" s="76"/>
      <c r="BL124" s="78"/>
      <c r="BM124" s="76"/>
      <c r="BN124" s="78"/>
      <c r="BO124" s="76"/>
      <c r="BP124" s="78"/>
      <c r="BQ124" s="76"/>
      <c r="BR124" s="78"/>
      <c r="BS124" s="76"/>
      <c r="BT124" s="78"/>
      <c r="BU124" s="76"/>
      <c r="BV124" s="78"/>
      <c r="BW124" s="76"/>
      <c r="BX124" s="78"/>
      <c r="BY124" s="76"/>
      <c r="BZ124" s="78"/>
      <c r="CA124" s="76"/>
      <c r="CB124" s="78"/>
      <c r="CC124" s="76"/>
      <c r="CD124" s="78"/>
      <c r="CE124" s="76"/>
      <c r="CF124" s="78"/>
    </row>
    <row r="125" spans="1:84"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199"/>
        <v>0</v>
      </c>
      <c r="H125" s="69">
        <f>+VLOOKUP(C125,'PRECIOS IDU 2025'!$A$1:$E$3189,4,FALSE)</f>
        <v>2560</v>
      </c>
      <c r="I125" s="69">
        <f t="shared" si="200"/>
        <v>3328</v>
      </c>
      <c r="J125" s="69">
        <f t="shared" si="201"/>
        <v>0</v>
      </c>
      <c r="K125" s="9"/>
      <c r="L125" s="3"/>
      <c r="M125" s="76"/>
      <c r="N125" s="78"/>
      <c r="O125" s="76"/>
      <c r="P125" s="78"/>
      <c r="Q125" s="76"/>
      <c r="R125" s="78"/>
      <c r="S125" s="76"/>
      <c r="T125" s="78"/>
      <c r="U125" s="76"/>
      <c r="V125" s="78"/>
      <c r="W125" s="76"/>
      <c r="X125" s="78"/>
      <c r="Y125" s="76"/>
      <c r="Z125" s="78"/>
      <c r="AA125" s="76"/>
      <c r="AB125" s="78"/>
      <c r="AC125" s="76"/>
      <c r="AD125" s="78"/>
      <c r="AE125" s="76"/>
      <c r="AF125" s="78"/>
      <c r="AG125" s="76"/>
      <c r="AH125" s="78"/>
      <c r="AI125" s="76"/>
      <c r="AJ125" s="78"/>
      <c r="AK125" s="76"/>
      <c r="AL125" s="78"/>
      <c r="AM125" s="76"/>
      <c r="AN125" s="78"/>
      <c r="AO125" s="76"/>
      <c r="AP125" s="78"/>
      <c r="AQ125" s="76"/>
      <c r="AR125" s="78"/>
      <c r="AS125" s="76"/>
      <c r="AT125" s="78"/>
      <c r="AU125" s="76"/>
      <c r="AV125" s="78"/>
      <c r="AW125" s="76"/>
      <c r="AX125" s="78"/>
      <c r="AY125" s="76"/>
      <c r="AZ125" s="78"/>
      <c r="BA125" s="76"/>
      <c r="BB125" s="78"/>
      <c r="BC125" s="76"/>
      <c r="BD125" s="78"/>
      <c r="BE125" s="76"/>
      <c r="BF125" s="78"/>
      <c r="BG125" s="76"/>
      <c r="BH125" s="78"/>
      <c r="BI125" s="76"/>
      <c r="BJ125" s="78"/>
      <c r="BK125" s="76"/>
      <c r="BL125" s="78"/>
      <c r="BM125" s="76"/>
      <c r="BN125" s="78"/>
      <c r="BO125" s="76"/>
      <c r="BP125" s="78"/>
      <c r="BQ125" s="76"/>
      <c r="BR125" s="78"/>
      <c r="BS125" s="76"/>
      <c r="BT125" s="78"/>
      <c r="BU125" s="76"/>
      <c r="BV125" s="78"/>
      <c r="BW125" s="76"/>
      <c r="BX125" s="78"/>
      <c r="BY125" s="76"/>
      <c r="BZ125" s="78"/>
      <c r="CA125" s="76"/>
      <c r="CB125" s="78"/>
      <c r="CC125" s="76"/>
      <c r="CD125" s="78"/>
      <c r="CE125" s="76"/>
      <c r="CF125" s="78"/>
    </row>
    <row r="126" spans="1:84"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199"/>
        <v>0</v>
      </c>
      <c r="H126" s="69">
        <f>+VLOOKUP(C126,'PRECIOS IDU 2025'!$A$1:$E$3189,4,FALSE)</f>
        <v>738210</v>
      </c>
      <c r="I126" s="69">
        <f t="shared" si="200"/>
        <v>959673</v>
      </c>
      <c r="J126" s="69">
        <f t="shared" si="201"/>
        <v>0</v>
      </c>
      <c r="K126" s="9"/>
      <c r="L126" s="3"/>
      <c r="M126" s="76"/>
      <c r="N126" s="78"/>
      <c r="O126" s="76"/>
      <c r="P126" s="78"/>
      <c r="Q126" s="76"/>
      <c r="R126" s="78"/>
      <c r="S126" s="76"/>
      <c r="T126" s="78"/>
      <c r="U126" s="76"/>
      <c r="V126" s="78"/>
      <c r="W126" s="76"/>
      <c r="X126" s="78"/>
      <c r="Y126" s="76"/>
      <c r="Z126" s="78"/>
      <c r="AA126" s="76"/>
      <c r="AB126" s="78"/>
      <c r="AC126" s="76"/>
      <c r="AD126" s="78"/>
      <c r="AE126" s="76"/>
      <c r="AF126" s="78"/>
      <c r="AG126" s="76"/>
      <c r="AH126" s="78"/>
      <c r="AI126" s="76"/>
      <c r="AJ126" s="78"/>
      <c r="AK126" s="76"/>
      <c r="AL126" s="78"/>
      <c r="AM126" s="76"/>
      <c r="AN126" s="78"/>
      <c r="AO126" s="76"/>
      <c r="AP126" s="78"/>
      <c r="AQ126" s="76"/>
      <c r="AR126" s="78"/>
      <c r="AS126" s="76"/>
      <c r="AT126" s="78"/>
      <c r="AU126" s="76"/>
      <c r="AV126" s="78"/>
      <c r="AW126" s="76"/>
      <c r="AX126" s="78"/>
      <c r="AY126" s="76"/>
      <c r="AZ126" s="78"/>
      <c r="BA126" s="76"/>
      <c r="BB126" s="78"/>
      <c r="BC126" s="76"/>
      <c r="BD126" s="78"/>
      <c r="BE126" s="76"/>
      <c r="BF126" s="78"/>
      <c r="BG126" s="76"/>
      <c r="BH126" s="78"/>
      <c r="BI126" s="76"/>
      <c r="BJ126" s="78"/>
      <c r="BK126" s="76"/>
      <c r="BL126" s="78"/>
      <c r="BM126" s="76"/>
      <c r="BN126" s="78"/>
      <c r="BO126" s="76"/>
      <c r="BP126" s="78"/>
      <c r="BQ126" s="76"/>
      <c r="BR126" s="78"/>
      <c r="BS126" s="76"/>
      <c r="BT126" s="78"/>
      <c r="BU126" s="76"/>
      <c r="BV126" s="78"/>
      <c r="BW126" s="76"/>
      <c r="BX126" s="78"/>
      <c r="BY126" s="76"/>
      <c r="BZ126" s="78"/>
      <c r="CA126" s="76"/>
      <c r="CB126" s="78"/>
      <c r="CC126" s="76"/>
      <c r="CD126" s="78"/>
      <c r="CE126" s="76"/>
      <c r="CF126" s="78"/>
    </row>
    <row r="127" spans="1:84"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199"/>
        <v>0</v>
      </c>
      <c r="H127" s="69">
        <f>+VLOOKUP(C127,'PRECIOS IDU 2025'!$A$1:$E$3189,4,FALSE)</f>
        <v>63798</v>
      </c>
      <c r="I127" s="69">
        <f t="shared" si="200"/>
        <v>82937</v>
      </c>
      <c r="J127" s="69">
        <f t="shared" si="201"/>
        <v>0</v>
      </c>
      <c r="K127" s="9"/>
      <c r="L127" s="3"/>
      <c r="M127" s="76"/>
      <c r="N127" s="78"/>
      <c r="O127" s="76"/>
      <c r="P127" s="78"/>
      <c r="Q127" s="76"/>
      <c r="R127" s="78"/>
      <c r="S127" s="76"/>
      <c r="T127" s="78"/>
      <c r="U127" s="76"/>
      <c r="V127" s="78"/>
      <c r="W127" s="76"/>
      <c r="X127" s="78"/>
      <c r="Y127" s="76"/>
      <c r="Z127" s="78"/>
      <c r="AA127" s="76"/>
      <c r="AB127" s="78"/>
      <c r="AC127" s="76"/>
      <c r="AD127" s="78"/>
      <c r="AE127" s="76"/>
      <c r="AF127" s="78"/>
      <c r="AG127" s="76"/>
      <c r="AH127" s="78"/>
      <c r="AI127" s="76"/>
      <c r="AJ127" s="78"/>
      <c r="AK127" s="76"/>
      <c r="AL127" s="78"/>
      <c r="AM127" s="76"/>
      <c r="AN127" s="78"/>
      <c r="AO127" s="76"/>
      <c r="AP127" s="78"/>
      <c r="AQ127" s="76"/>
      <c r="AR127" s="78"/>
      <c r="AS127" s="76"/>
      <c r="AT127" s="78"/>
      <c r="AU127" s="76"/>
      <c r="AV127" s="78"/>
      <c r="AW127" s="76"/>
      <c r="AX127" s="78"/>
      <c r="AY127" s="76"/>
      <c r="AZ127" s="78"/>
      <c r="BA127" s="76"/>
      <c r="BB127" s="78"/>
      <c r="BC127" s="76"/>
      <c r="BD127" s="78"/>
      <c r="BE127" s="76"/>
      <c r="BF127" s="78"/>
      <c r="BG127" s="76"/>
      <c r="BH127" s="78"/>
      <c r="BI127" s="76"/>
      <c r="BJ127" s="78"/>
      <c r="BK127" s="76"/>
      <c r="BL127" s="78"/>
      <c r="BM127" s="76"/>
      <c r="BN127" s="78"/>
      <c r="BO127" s="76"/>
      <c r="BP127" s="78"/>
      <c r="BQ127" s="76"/>
      <c r="BR127" s="78"/>
      <c r="BS127" s="76"/>
      <c r="BT127" s="78"/>
      <c r="BU127" s="76"/>
      <c r="BV127" s="78"/>
      <c r="BW127" s="76"/>
      <c r="BX127" s="78"/>
      <c r="BY127" s="76"/>
      <c r="BZ127" s="78"/>
      <c r="CA127" s="76"/>
      <c r="CB127" s="78"/>
      <c r="CC127" s="76"/>
      <c r="CD127" s="78"/>
      <c r="CE127" s="76"/>
      <c r="CF127" s="78"/>
    </row>
    <row r="128" spans="1:84"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199"/>
        <v>0</v>
      </c>
      <c r="H128" s="69">
        <f>+VLOOKUP(C128,'PRECIOS IDU 2025'!$A$1:$E$3189,4,FALSE)</f>
        <v>112423</v>
      </c>
      <c r="I128" s="69">
        <f t="shared" si="200"/>
        <v>146150</v>
      </c>
      <c r="J128" s="69">
        <f t="shared" si="201"/>
        <v>0</v>
      </c>
      <c r="K128" s="9"/>
      <c r="L128" s="3"/>
      <c r="M128" s="76"/>
      <c r="N128" s="78"/>
      <c r="O128" s="76"/>
      <c r="P128" s="78"/>
      <c r="Q128" s="76"/>
      <c r="R128" s="78"/>
      <c r="S128" s="76"/>
      <c r="T128" s="78"/>
      <c r="U128" s="76"/>
      <c r="V128" s="78"/>
      <c r="W128" s="76"/>
      <c r="X128" s="78"/>
      <c r="Y128" s="76"/>
      <c r="Z128" s="78"/>
      <c r="AA128" s="76"/>
      <c r="AB128" s="78"/>
      <c r="AC128" s="76"/>
      <c r="AD128" s="78"/>
      <c r="AE128" s="76"/>
      <c r="AF128" s="78"/>
      <c r="AG128" s="76"/>
      <c r="AH128" s="78"/>
      <c r="AI128" s="76"/>
      <c r="AJ128" s="78"/>
      <c r="AK128" s="76"/>
      <c r="AL128" s="78"/>
      <c r="AM128" s="76"/>
      <c r="AN128" s="78"/>
      <c r="AO128" s="76"/>
      <c r="AP128" s="78"/>
      <c r="AQ128" s="76"/>
      <c r="AR128" s="78"/>
      <c r="AS128" s="76"/>
      <c r="AT128" s="78"/>
      <c r="AU128" s="76"/>
      <c r="AV128" s="78"/>
      <c r="AW128" s="76"/>
      <c r="AX128" s="78"/>
      <c r="AY128" s="76"/>
      <c r="AZ128" s="78"/>
      <c r="BA128" s="76"/>
      <c r="BB128" s="78"/>
      <c r="BC128" s="76"/>
      <c r="BD128" s="78"/>
      <c r="BE128" s="76"/>
      <c r="BF128" s="78"/>
      <c r="BG128" s="76"/>
      <c r="BH128" s="78"/>
      <c r="BI128" s="76"/>
      <c r="BJ128" s="78"/>
      <c r="BK128" s="76"/>
      <c r="BL128" s="78"/>
      <c r="BM128" s="76"/>
      <c r="BN128" s="78"/>
      <c r="BO128" s="76"/>
      <c r="BP128" s="78"/>
      <c r="BQ128" s="76"/>
      <c r="BR128" s="78"/>
      <c r="BS128" s="76"/>
      <c r="BT128" s="78"/>
      <c r="BU128" s="76"/>
      <c r="BV128" s="78"/>
      <c r="BW128" s="76"/>
      <c r="BX128" s="78"/>
      <c r="BY128" s="76"/>
      <c r="BZ128" s="78"/>
      <c r="CA128" s="76"/>
      <c r="CB128" s="78"/>
      <c r="CC128" s="76"/>
      <c r="CD128" s="78"/>
      <c r="CE128" s="76"/>
      <c r="CF128" s="78"/>
    </row>
    <row r="129" spans="1:84" ht="30" customHeight="1" x14ac:dyDescent="0.3">
      <c r="A129" s="3"/>
      <c r="B129" s="8"/>
      <c r="C129" s="66" t="s">
        <v>6081</v>
      </c>
      <c r="D129" s="67"/>
      <c r="E129" s="67"/>
      <c r="F129" s="67"/>
      <c r="G129" s="67"/>
      <c r="H129" s="67"/>
      <c r="I129" s="67"/>
      <c r="J129" s="68"/>
      <c r="K129" s="9"/>
      <c r="L129" s="3"/>
      <c r="M129" s="76"/>
      <c r="N129" s="78"/>
      <c r="O129" s="76"/>
      <c r="P129" s="78"/>
      <c r="Q129" s="76"/>
      <c r="R129" s="78"/>
      <c r="S129" s="76"/>
      <c r="T129" s="78"/>
      <c r="U129" s="76"/>
      <c r="V129" s="78"/>
      <c r="W129" s="76"/>
      <c r="X129" s="78"/>
      <c r="Y129" s="76"/>
      <c r="Z129" s="78"/>
      <c r="AA129" s="76"/>
      <c r="AB129" s="78"/>
      <c r="AC129" s="76"/>
      <c r="AD129" s="78"/>
      <c r="AE129" s="76"/>
      <c r="AF129" s="78"/>
      <c r="AG129" s="76"/>
      <c r="AH129" s="78"/>
      <c r="AI129" s="76"/>
      <c r="AJ129" s="78"/>
      <c r="AK129" s="76"/>
      <c r="AL129" s="78"/>
      <c r="AM129" s="76"/>
      <c r="AN129" s="78"/>
      <c r="AO129" s="76"/>
      <c r="AP129" s="78"/>
      <c r="AQ129" s="76"/>
      <c r="AR129" s="78"/>
      <c r="AS129" s="76"/>
      <c r="AT129" s="78"/>
      <c r="AU129" s="76"/>
      <c r="AV129" s="78"/>
      <c r="AW129" s="76"/>
      <c r="AX129" s="78"/>
      <c r="AY129" s="76"/>
      <c r="AZ129" s="78">
        <f t="shared" ref="AZ129" si="202">+ROUND(AY129*$I129,0)</f>
        <v>0</v>
      </c>
      <c r="BA129" s="76"/>
      <c r="BB129" s="78"/>
      <c r="BC129" s="76"/>
      <c r="BD129" s="78"/>
      <c r="BE129" s="76"/>
      <c r="BF129" s="78"/>
      <c r="BG129" s="76"/>
      <c r="BH129" s="78"/>
      <c r="BI129" s="76"/>
      <c r="BJ129" s="78"/>
      <c r="BK129" s="76"/>
      <c r="BL129" s="78"/>
      <c r="BM129" s="76"/>
      <c r="BN129" s="78"/>
      <c r="BO129" s="76"/>
      <c r="BP129" s="78">
        <f t="shared" ref="BP129" si="203">+ROUND(BO129*$I129,0)</f>
        <v>0</v>
      </c>
      <c r="BQ129" s="76"/>
      <c r="BR129" s="78"/>
      <c r="BS129" s="76"/>
      <c r="BT129" s="78"/>
      <c r="BU129" s="76"/>
      <c r="BV129" s="78"/>
      <c r="BW129" s="76"/>
      <c r="BX129" s="78"/>
      <c r="BY129" s="76"/>
      <c r="BZ129" s="78"/>
      <c r="CA129" s="76"/>
      <c r="CB129" s="78"/>
      <c r="CC129" s="76"/>
      <c r="CD129" s="78"/>
      <c r="CE129" s="76"/>
      <c r="CF129" s="78"/>
    </row>
    <row r="130" spans="1:84"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204">+ROUND(M130+O130+Q130+S130+U130+W130+Y130+AA130+AC130+AE130+AG130+AI130+AK130+AM130+AO130+AQ130+AS130+AU130+AW130+AY130+BA130+BC130+BE130+BG130+BI130+BK130+BM130+BO130+BQ130+BS130+BU130+BW130+BY130+CA130+CC130+CE130,2)</f>
        <v>0</v>
      </c>
      <c r="H130" s="69">
        <f>+VLOOKUP(C130,'PRECIOS IDU 2025'!$A$1:$E$3189,4,FALSE)</f>
        <v>46379</v>
      </c>
      <c r="I130" s="69">
        <f t="shared" ref="I130:I163" si="205">+ROUND(H130*(1+$J$192),0)</f>
        <v>60293</v>
      </c>
      <c r="J130" s="69">
        <f t="shared" ref="J130:J163" si="206">+ROUND(I130*G130,0)</f>
        <v>0</v>
      </c>
      <c r="K130" s="9"/>
      <c r="L130" s="3"/>
      <c r="M130" s="76"/>
      <c r="N130" s="78"/>
      <c r="O130" s="76"/>
      <c r="P130" s="78"/>
      <c r="Q130" s="76"/>
      <c r="R130" s="78"/>
      <c r="S130" s="76"/>
      <c r="T130" s="78"/>
      <c r="U130" s="76"/>
      <c r="V130" s="78"/>
      <c r="W130" s="76"/>
      <c r="X130" s="78"/>
      <c r="Y130" s="76"/>
      <c r="Z130" s="78"/>
      <c r="AA130" s="76"/>
      <c r="AB130" s="78"/>
      <c r="AC130" s="76"/>
      <c r="AD130" s="78"/>
      <c r="AE130" s="76"/>
      <c r="AF130" s="78"/>
      <c r="AG130" s="76"/>
      <c r="AH130" s="78"/>
      <c r="AI130" s="76"/>
      <c r="AJ130" s="78"/>
      <c r="AK130" s="76"/>
      <c r="AL130" s="78"/>
      <c r="AM130" s="76"/>
      <c r="AN130" s="78"/>
      <c r="AO130" s="76"/>
      <c r="AP130" s="78"/>
      <c r="AQ130" s="76"/>
      <c r="AR130" s="78"/>
      <c r="AS130" s="76"/>
      <c r="AT130" s="78"/>
      <c r="AU130" s="76"/>
      <c r="AV130" s="78"/>
      <c r="AW130" s="76"/>
      <c r="AX130" s="78"/>
      <c r="AY130" s="76"/>
      <c r="AZ130" s="78">
        <f t="shared" ref="AZ130" si="207">+ROUND(AY130*$I130,0)</f>
        <v>0</v>
      </c>
      <c r="BA130" s="76"/>
      <c r="BB130" s="78"/>
      <c r="BC130" s="76"/>
      <c r="BD130" s="78"/>
      <c r="BE130" s="76"/>
      <c r="BF130" s="78"/>
      <c r="BG130" s="76"/>
      <c r="BH130" s="78"/>
      <c r="BI130" s="76"/>
      <c r="BJ130" s="78"/>
      <c r="BK130" s="76"/>
      <c r="BL130" s="78"/>
      <c r="BM130" s="76"/>
      <c r="BN130" s="78"/>
      <c r="BO130" s="76"/>
      <c r="BP130" s="78">
        <f t="shared" ref="BP130" si="208">+ROUND(BO130*$I130,0)</f>
        <v>0</v>
      </c>
      <c r="BQ130" s="76"/>
      <c r="BR130" s="78"/>
      <c r="BS130" s="76"/>
      <c r="BT130" s="78"/>
      <c r="BU130" s="76"/>
      <c r="BV130" s="78"/>
      <c r="BW130" s="76"/>
      <c r="BX130" s="78"/>
      <c r="BY130" s="76"/>
      <c r="BZ130" s="78"/>
      <c r="CA130" s="76"/>
      <c r="CB130" s="78"/>
      <c r="CC130" s="76"/>
      <c r="CD130" s="78"/>
      <c r="CE130" s="76"/>
      <c r="CF130" s="78"/>
    </row>
    <row r="131" spans="1:84"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204"/>
        <v>0</v>
      </c>
      <c r="H131" s="69">
        <f>+VLOOKUP(C131,'PRECIOS IDU 2025'!$A$1:$E$3189,4,FALSE)</f>
        <v>268852</v>
      </c>
      <c r="I131" s="69">
        <f t="shared" si="205"/>
        <v>349508</v>
      </c>
      <c r="J131" s="69">
        <f t="shared" si="206"/>
        <v>0</v>
      </c>
      <c r="K131" s="9"/>
      <c r="L131" s="3"/>
      <c r="M131" s="76"/>
      <c r="N131" s="78"/>
      <c r="O131" s="76"/>
      <c r="P131" s="78"/>
      <c r="Q131" s="76"/>
      <c r="R131" s="78"/>
      <c r="S131" s="76"/>
      <c r="T131" s="78"/>
      <c r="U131" s="76"/>
      <c r="V131" s="78"/>
      <c r="W131" s="76"/>
      <c r="X131" s="78"/>
      <c r="Y131" s="76"/>
      <c r="Z131" s="78"/>
      <c r="AA131" s="76"/>
      <c r="AB131" s="78"/>
      <c r="AC131" s="76"/>
      <c r="AD131" s="78"/>
      <c r="AE131" s="76"/>
      <c r="AF131" s="78"/>
      <c r="AG131" s="76"/>
      <c r="AH131" s="78"/>
      <c r="AI131" s="76"/>
      <c r="AJ131" s="78"/>
      <c r="AK131" s="76"/>
      <c r="AL131" s="78"/>
      <c r="AM131" s="76"/>
      <c r="AN131" s="78"/>
      <c r="AO131" s="76"/>
      <c r="AP131" s="78"/>
      <c r="AQ131" s="76"/>
      <c r="AR131" s="78"/>
      <c r="AS131" s="76"/>
      <c r="AT131" s="78"/>
      <c r="AU131" s="76"/>
      <c r="AV131" s="78"/>
      <c r="AW131" s="76"/>
      <c r="AX131" s="78"/>
      <c r="AY131" s="76"/>
      <c r="AZ131" s="78">
        <f t="shared" ref="AZ131" si="209">+ROUND(AY131*$I131,0)</f>
        <v>0</v>
      </c>
      <c r="BA131" s="76"/>
      <c r="BB131" s="78"/>
      <c r="BC131" s="76"/>
      <c r="BD131" s="78"/>
      <c r="BE131" s="76"/>
      <c r="BF131" s="78"/>
      <c r="BG131" s="76"/>
      <c r="BH131" s="78"/>
      <c r="BI131" s="76"/>
      <c r="BJ131" s="78"/>
      <c r="BK131" s="76"/>
      <c r="BL131" s="78"/>
      <c r="BM131" s="76"/>
      <c r="BN131" s="78"/>
      <c r="BO131" s="76"/>
      <c r="BP131" s="78">
        <f t="shared" ref="BP131" si="210">+ROUND(BO131*$I131,0)</f>
        <v>0</v>
      </c>
      <c r="BQ131" s="76"/>
      <c r="BR131" s="78"/>
      <c r="BS131" s="76"/>
      <c r="BT131" s="78"/>
      <c r="BU131" s="76"/>
      <c r="BV131" s="78"/>
      <c r="BW131" s="76"/>
      <c r="BX131" s="78"/>
      <c r="BY131" s="76"/>
      <c r="BZ131" s="78"/>
      <c r="CA131" s="76"/>
      <c r="CB131" s="78"/>
      <c r="CC131" s="76"/>
      <c r="CD131" s="78"/>
      <c r="CE131" s="76"/>
      <c r="CF131" s="78"/>
    </row>
    <row r="132" spans="1:84"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204"/>
        <v>0</v>
      </c>
      <c r="H132" s="69">
        <f>+VLOOKUP(C132,'PRECIOS IDU 2025'!$A$1:$E$3189,4,FALSE)</f>
        <v>10836</v>
      </c>
      <c r="I132" s="69">
        <f t="shared" si="205"/>
        <v>14087</v>
      </c>
      <c r="J132" s="69">
        <f t="shared" si="206"/>
        <v>0</v>
      </c>
      <c r="K132" s="9"/>
      <c r="L132" s="3"/>
      <c r="M132" s="76"/>
      <c r="N132" s="78"/>
      <c r="O132" s="76"/>
      <c r="P132" s="78"/>
      <c r="Q132" s="76"/>
      <c r="R132" s="78"/>
      <c r="S132" s="76"/>
      <c r="T132" s="78"/>
      <c r="U132" s="76"/>
      <c r="V132" s="78"/>
      <c r="W132" s="76"/>
      <c r="X132" s="78"/>
      <c r="Y132" s="76"/>
      <c r="Z132" s="78"/>
      <c r="AA132" s="76"/>
      <c r="AB132" s="78"/>
      <c r="AC132" s="76"/>
      <c r="AD132" s="78"/>
      <c r="AE132" s="76"/>
      <c r="AF132" s="78"/>
      <c r="AG132" s="76"/>
      <c r="AH132" s="78"/>
      <c r="AI132" s="76"/>
      <c r="AJ132" s="78"/>
      <c r="AK132" s="76"/>
      <c r="AL132" s="78"/>
      <c r="AM132" s="76"/>
      <c r="AN132" s="78"/>
      <c r="AO132" s="76"/>
      <c r="AP132" s="78"/>
      <c r="AQ132" s="76"/>
      <c r="AR132" s="78"/>
      <c r="AS132" s="76"/>
      <c r="AT132" s="78"/>
      <c r="AU132" s="76"/>
      <c r="AV132" s="78"/>
      <c r="AW132" s="76"/>
      <c r="AX132" s="78"/>
      <c r="AY132" s="76"/>
      <c r="AZ132" s="78">
        <f t="shared" ref="AZ132" si="211">+ROUND(AY132*$I132,0)</f>
        <v>0</v>
      </c>
      <c r="BA132" s="76"/>
      <c r="BB132" s="78"/>
      <c r="BC132" s="76"/>
      <c r="BD132" s="78"/>
      <c r="BE132" s="76"/>
      <c r="BF132" s="78"/>
      <c r="BG132" s="76"/>
      <c r="BH132" s="78"/>
      <c r="BI132" s="76"/>
      <c r="BJ132" s="78"/>
      <c r="BK132" s="76"/>
      <c r="BL132" s="78"/>
      <c r="BM132" s="76"/>
      <c r="BN132" s="78"/>
      <c r="BO132" s="76"/>
      <c r="BP132" s="78">
        <f t="shared" ref="BP132" si="212">+ROUND(BO132*$I132,0)</f>
        <v>0</v>
      </c>
      <c r="BQ132" s="76"/>
      <c r="BR132" s="78"/>
      <c r="BS132" s="76"/>
      <c r="BT132" s="78"/>
      <c r="BU132" s="76"/>
      <c r="BV132" s="78"/>
      <c r="BW132" s="76"/>
      <c r="BX132" s="78"/>
      <c r="BY132" s="76"/>
      <c r="BZ132" s="78"/>
      <c r="CA132" s="76"/>
      <c r="CB132" s="78"/>
      <c r="CC132" s="76"/>
      <c r="CD132" s="78"/>
      <c r="CE132" s="76"/>
      <c r="CF132" s="78"/>
    </row>
    <row r="133" spans="1:84"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204"/>
        <v>0</v>
      </c>
      <c r="H133" s="69">
        <f>+VLOOKUP(C133,'PRECIOS IDU 2025'!$A$1:$E$3189,4,FALSE)</f>
        <v>189054</v>
      </c>
      <c r="I133" s="69">
        <f t="shared" si="205"/>
        <v>245770</v>
      </c>
      <c r="J133" s="69">
        <f t="shared" si="206"/>
        <v>0</v>
      </c>
      <c r="K133" s="9"/>
      <c r="L133" s="3"/>
      <c r="M133" s="76"/>
      <c r="N133" s="78"/>
      <c r="O133" s="76"/>
      <c r="P133" s="78"/>
      <c r="Q133" s="76"/>
      <c r="R133" s="78"/>
      <c r="S133" s="76"/>
      <c r="T133" s="78"/>
      <c r="U133" s="76"/>
      <c r="V133" s="78"/>
      <c r="W133" s="76"/>
      <c r="X133" s="78"/>
      <c r="Y133" s="76"/>
      <c r="Z133" s="78"/>
      <c r="AA133" s="76"/>
      <c r="AB133" s="78"/>
      <c r="AC133" s="76"/>
      <c r="AD133" s="78"/>
      <c r="AE133" s="76"/>
      <c r="AF133" s="78"/>
      <c r="AG133" s="76"/>
      <c r="AH133" s="78"/>
      <c r="AI133" s="76"/>
      <c r="AJ133" s="78"/>
      <c r="AK133" s="76"/>
      <c r="AL133" s="78"/>
      <c r="AM133" s="76"/>
      <c r="AN133" s="78"/>
      <c r="AO133" s="76"/>
      <c r="AP133" s="78"/>
      <c r="AQ133" s="76"/>
      <c r="AR133" s="78"/>
      <c r="AS133" s="76"/>
      <c r="AT133" s="78"/>
      <c r="AU133" s="76"/>
      <c r="AV133" s="78"/>
      <c r="AW133" s="76"/>
      <c r="AX133" s="78"/>
      <c r="AY133" s="76"/>
      <c r="AZ133" s="78">
        <f t="shared" ref="AZ133" si="213">+ROUND(AY133*$I133,0)</f>
        <v>0</v>
      </c>
      <c r="BA133" s="76"/>
      <c r="BB133" s="78"/>
      <c r="BC133" s="76"/>
      <c r="BD133" s="78"/>
      <c r="BE133" s="76"/>
      <c r="BF133" s="78"/>
      <c r="BG133" s="76"/>
      <c r="BH133" s="78"/>
      <c r="BI133" s="76"/>
      <c r="BJ133" s="78"/>
      <c r="BK133" s="76"/>
      <c r="BL133" s="78"/>
      <c r="BM133" s="76"/>
      <c r="BN133" s="78"/>
      <c r="BO133" s="76"/>
      <c r="BP133" s="78">
        <f t="shared" ref="BP133" si="214">+ROUND(BO133*$I133,0)</f>
        <v>0</v>
      </c>
      <c r="BQ133" s="76"/>
      <c r="BR133" s="78"/>
      <c r="BS133" s="76"/>
      <c r="BT133" s="78"/>
      <c r="BU133" s="76"/>
      <c r="BV133" s="78"/>
      <c r="BW133" s="76"/>
      <c r="BX133" s="78"/>
      <c r="BY133" s="76"/>
      <c r="BZ133" s="78"/>
      <c r="CA133" s="76"/>
      <c r="CB133" s="78"/>
      <c r="CC133" s="76"/>
      <c r="CD133" s="78"/>
      <c r="CE133" s="76"/>
      <c r="CF133" s="78"/>
    </row>
    <row r="134" spans="1:84"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204"/>
        <v>0</v>
      </c>
      <c r="H134" s="69">
        <f>+VLOOKUP(C134,'PRECIOS IDU 2025'!$A$1:$E$3189,4,FALSE)</f>
        <v>45600</v>
      </c>
      <c r="I134" s="69">
        <f t="shared" si="205"/>
        <v>59280</v>
      </c>
      <c r="J134" s="69">
        <f t="shared" si="206"/>
        <v>0</v>
      </c>
      <c r="K134" s="9"/>
      <c r="L134" s="3"/>
      <c r="M134" s="76"/>
      <c r="N134" s="78"/>
      <c r="O134" s="76"/>
      <c r="P134" s="78"/>
      <c r="Q134" s="76"/>
      <c r="R134" s="78"/>
      <c r="S134" s="76"/>
      <c r="T134" s="78"/>
      <c r="U134" s="76"/>
      <c r="V134" s="78"/>
      <c r="W134" s="76"/>
      <c r="X134" s="78"/>
      <c r="Y134" s="76"/>
      <c r="Z134" s="78"/>
      <c r="AA134" s="76"/>
      <c r="AB134" s="78"/>
      <c r="AC134" s="76"/>
      <c r="AD134" s="78"/>
      <c r="AE134" s="76"/>
      <c r="AF134" s="78"/>
      <c r="AG134" s="76"/>
      <c r="AH134" s="78"/>
      <c r="AI134" s="76"/>
      <c r="AJ134" s="78"/>
      <c r="AK134" s="76"/>
      <c r="AL134" s="78"/>
      <c r="AM134" s="76"/>
      <c r="AN134" s="78"/>
      <c r="AO134" s="76"/>
      <c r="AP134" s="78"/>
      <c r="AQ134" s="76"/>
      <c r="AR134" s="78"/>
      <c r="AS134" s="76"/>
      <c r="AT134" s="78"/>
      <c r="AU134" s="76"/>
      <c r="AV134" s="78"/>
      <c r="AW134" s="76"/>
      <c r="AX134" s="78"/>
      <c r="AY134" s="76"/>
      <c r="AZ134" s="78">
        <f t="shared" ref="AZ134" si="215">+ROUND(AY134*$I134,0)</f>
        <v>0</v>
      </c>
      <c r="BA134" s="76"/>
      <c r="BB134" s="78"/>
      <c r="BC134" s="76"/>
      <c r="BD134" s="78"/>
      <c r="BE134" s="76"/>
      <c r="BF134" s="78"/>
      <c r="BG134" s="76"/>
      <c r="BH134" s="78"/>
      <c r="BI134" s="76"/>
      <c r="BJ134" s="78"/>
      <c r="BK134" s="76"/>
      <c r="BL134" s="78"/>
      <c r="BM134" s="76"/>
      <c r="BN134" s="78"/>
      <c r="BO134" s="76"/>
      <c r="BP134" s="78">
        <f t="shared" ref="BP134" si="216">+ROUND(BO134*$I134,0)</f>
        <v>0</v>
      </c>
      <c r="BQ134" s="76"/>
      <c r="BR134" s="78"/>
      <c r="BS134" s="76"/>
      <c r="BT134" s="78"/>
      <c r="BU134" s="76"/>
      <c r="BV134" s="78"/>
      <c r="BW134" s="76"/>
      <c r="BX134" s="78"/>
      <c r="BY134" s="76"/>
      <c r="BZ134" s="78"/>
      <c r="CA134" s="76"/>
      <c r="CB134" s="78"/>
      <c r="CC134" s="76"/>
      <c r="CD134" s="78"/>
      <c r="CE134" s="76"/>
      <c r="CF134" s="78"/>
    </row>
    <row r="135" spans="1:84"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204"/>
        <v>0</v>
      </c>
      <c r="H135" s="69">
        <f>+VLOOKUP(C135,'PRECIOS IDU 2025'!$A$1:$E$3189,4,FALSE)</f>
        <v>58200</v>
      </c>
      <c r="I135" s="69">
        <f t="shared" si="205"/>
        <v>75660</v>
      </c>
      <c r="J135" s="69">
        <f t="shared" si="206"/>
        <v>0</v>
      </c>
      <c r="K135" s="9"/>
      <c r="L135" s="3"/>
      <c r="M135" s="76"/>
      <c r="N135" s="78"/>
      <c r="O135" s="76"/>
      <c r="P135" s="78"/>
      <c r="Q135" s="76"/>
      <c r="R135" s="78"/>
      <c r="S135" s="76"/>
      <c r="T135" s="78"/>
      <c r="U135" s="76"/>
      <c r="V135" s="78"/>
      <c r="W135" s="76"/>
      <c r="X135" s="78"/>
      <c r="Y135" s="76"/>
      <c r="Z135" s="78"/>
      <c r="AA135" s="76"/>
      <c r="AB135" s="78"/>
      <c r="AC135" s="76"/>
      <c r="AD135" s="78"/>
      <c r="AE135" s="76"/>
      <c r="AF135" s="78"/>
      <c r="AG135" s="76"/>
      <c r="AH135" s="78"/>
      <c r="AI135" s="76"/>
      <c r="AJ135" s="78"/>
      <c r="AK135" s="76"/>
      <c r="AL135" s="78"/>
      <c r="AM135" s="76"/>
      <c r="AN135" s="78"/>
      <c r="AO135" s="76"/>
      <c r="AP135" s="78"/>
      <c r="AQ135" s="76"/>
      <c r="AR135" s="78"/>
      <c r="AS135" s="76"/>
      <c r="AT135" s="78"/>
      <c r="AU135" s="76"/>
      <c r="AV135" s="78"/>
      <c r="AW135" s="76"/>
      <c r="AX135" s="78"/>
      <c r="AY135" s="76"/>
      <c r="AZ135" s="78">
        <f t="shared" ref="AZ135" si="217">+ROUND(AY135*$I135,0)</f>
        <v>0</v>
      </c>
      <c r="BA135" s="76"/>
      <c r="BB135" s="78"/>
      <c r="BC135" s="76"/>
      <c r="BD135" s="78"/>
      <c r="BE135" s="76"/>
      <c r="BF135" s="78"/>
      <c r="BG135" s="76"/>
      <c r="BH135" s="78"/>
      <c r="BI135" s="76"/>
      <c r="BJ135" s="78"/>
      <c r="BK135" s="76"/>
      <c r="BL135" s="78"/>
      <c r="BM135" s="76"/>
      <c r="BN135" s="78"/>
      <c r="BO135" s="76"/>
      <c r="BP135" s="78">
        <f t="shared" ref="BP135" si="218">+ROUND(BO135*$I135,0)</f>
        <v>0</v>
      </c>
      <c r="BQ135" s="76"/>
      <c r="BR135" s="78"/>
      <c r="BS135" s="76"/>
      <c r="BT135" s="78"/>
      <c r="BU135" s="76"/>
      <c r="BV135" s="78"/>
      <c r="BW135" s="76"/>
      <c r="BX135" s="78"/>
      <c r="BY135" s="76"/>
      <c r="BZ135" s="78"/>
      <c r="CA135" s="76"/>
      <c r="CB135" s="78"/>
      <c r="CC135" s="76"/>
      <c r="CD135" s="78"/>
      <c r="CE135" s="76"/>
      <c r="CF135" s="78"/>
    </row>
    <row r="136" spans="1:84"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204"/>
        <v>0</v>
      </c>
      <c r="H136" s="69">
        <f>+VLOOKUP(C136,'PRECIOS IDU 2025'!$A$1:$E$3189,4,FALSE)</f>
        <v>39211</v>
      </c>
      <c r="I136" s="69">
        <f t="shared" si="205"/>
        <v>50974</v>
      </c>
      <c r="J136" s="69">
        <f t="shared" si="206"/>
        <v>0</v>
      </c>
      <c r="K136" s="9"/>
      <c r="L136" s="3"/>
      <c r="M136" s="76"/>
      <c r="N136" s="78"/>
      <c r="O136" s="76"/>
      <c r="P136" s="78"/>
      <c r="Q136" s="76"/>
      <c r="R136" s="78"/>
      <c r="S136" s="76"/>
      <c r="T136" s="78"/>
      <c r="U136" s="76"/>
      <c r="V136" s="78"/>
      <c r="W136" s="76"/>
      <c r="X136" s="78"/>
      <c r="Y136" s="76"/>
      <c r="Z136" s="78"/>
      <c r="AA136" s="76"/>
      <c r="AB136" s="78"/>
      <c r="AC136" s="76"/>
      <c r="AD136" s="78"/>
      <c r="AE136" s="76"/>
      <c r="AF136" s="78"/>
      <c r="AG136" s="76"/>
      <c r="AH136" s="78"/>
      <c r="AI136" s="76"/>
      <c r="AJ136" s="78"/>
      <c r="AK136" s="76"/>
      <c r="AL136" s="78"/>
      <c r="AM136" s="76"/>
      <c r="AN136" s="78"/>
      <c r="AO136" s="76"/>
      <c r="AP136" s="78"/>
      <c r="AQ136" s="76"/>
      <c r="AR136" s="78"/>
      <c r="AS136" s="76"/>
      <c r="AT136" s="78"/>
      <c r="AU136" s="76"/>
      <c r="AV136" s="78"/>
      <c r="AW136" s="76"/>
      <c r="AX136" s="78"/>
      <c r="AY136" s="76"/>
      <c r="AZ136" s="78">
        <f t="shared" ref="AZ136" si="219">+ROUND(AY136*$I136,0)</f>
        <v>0</v>
      </c>
      <c r="BA136" s="76"/>
      <c r="BB136" s="78"/>
      <c r="BC136" s="76"/>
      <c r="BD136" s="78"/>
      <c r="BE136" s="76"/>
      <c r="BF136" s="78"/>
      <c r="BG136" s="76"/>
      <c r="BH136" s="78"/>
      <c r="BI136" s="76"/>
      <c r="BJ136" s="78"/>
      <c r="BK136" s="76"/>
      <c r="BL136" s="78"/>
      <c r="BM136" s="76"/>
      <c r="BN136" s="78"/>
      <c r="BO136" s="76"/>
      <c r="BP136" s="78">
        <f t="shared" ref="BP136" si="220">+ROUND(BO136*$I136,0)</f>
        <v>0</v>
      </c>
      <c r="BQ136" s="76"/>
      <c r="BR136" s="78"/>
      <c r="BS136" s="76"/>
      <c r="BT136" s="78"/>
      <c r="BU136" s="76"/>
      <c r="BV136" s="78"/>
      <c r="BW136" s="76"/>
      <c r="BX136" s="78"/>
      <c r="BY136" s="76"/>
      <c r="BZ136" s="78"/>
      <c r="CA136" s="76"/>
      <c r="CB136" s="78"/>
      <c r="CC136" s="76"/>
      <c r="CD136" s="78"/>
      <c r="CE136" s="76"/>
      <c r="CF136" s="78"/>
    </row>
    <row r="137" spans="1:84"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204"/>
        <v>0</v>
      </c>
      <c r="H137" s="69">
        <f>+VLOOKUP(C137,'PRECIOS IDU 2025'!$A$1:$E$3189,4,FALSE)</f>
        <v>167159</v>
      </c>
      <c r="I137" s="69">
        <f t="shared" si="205"/>
        <v>217307</v>
      </c>
      <c r="J137" s="69">
        <f t="shared" si="206"/>
        <v>0</v>
      </c>
      <c r="K137" s="9"/>
      <c r="L137" s="3"/>
      <c r="M137" s="76"/>
      <c r="N137" s="78"/>
      <c r="O137" s="76"/>
      <c r="P137" s="78"/>
      <c r="Q137" s="76"/>
      <c r="R137" s="78"/>
      <c r="S137" s="76"/>
      <c r="T137" s="78"/>
      <c r="U137" s="76"/>
      <c r="V137" s="78"/>
      <c r="W137" s="76"/>
      <c r="X137" s="78"/>
      <c r="Y137" s="76"/>
      <c r="Z137" s="78"/>
      <c r="AA137" s="76"/>
      <c r="AB137" s="78"/>
      <c r="AC137" s="76"/>
      <c r="AD137" s="78"/>
      <c r="AE137" s="76"/>
      <c r="AF137" s="78"/>
      <c r="AG137" s="76"/>
      <c r="AH137" s="78"/>
      <c r="AI137" s="76"/>
      <c r="AJ137" s="78"/>
      <c r="AK137" s="76"/>
      <c r="AL137" s="78"/>
      <c r="AM137" s="76"/>
      <c r="AN137" s="78"/>
      <c r="AO137" s="76"/>
      <c r="AP137" s="78"/>
      <c r="AQ137" s="76"/>
      <c r="AR137" s="78"/>
      <c r="AS137" s="76"/>
      <c r="AT137" s="78"/>
      <c r="AU137" s="76"/>
      <c r="AV137" s="78"/>
      <c r="AW137" s="76"/>
      <c r="AX137" s="78"/>
      <c r="AY137" s="76"/>
      <c r="AZ137" s="78">
        <f t="shared" ref="AZ137" si="221">+ROUND(AY137*$I137,0)</f>
        <v>0</v>
      </c>
      <c r="BA137" s="76"/>
      <c r="BB137" s="78"/>
      <c r="BC137" s="76"/>
      <c r="BD137" s="78"/>
      <c r="BE137" s="76"/>
      <c r="BF137" s="78"/>
      <c r="BG137" s="76"/>
      <c r="BH137" s="78"/>
      <c r="BI137" s="76"/>
      <c r="BJ137" s="78"/>
      <c r="BK137" s="76"/>
      <c r="BL137" s="78"/>
      <c r="BM137" s="76"/>
      <c r="BN137" s="78"/>
      <c r="BO137" s="76"/>
      <c r="BP137" s="78">
        <f t="shared" ref="BP137" si="222">+ROUND(BO137*$I137,0)</f>
        <v>0</v>
      </c>
      <c r="BQ137" s="76"/>
      <c r="BR137" s="78"/>
      <c r="BS137" s="76"/>
      <c r="BT137" s="78"/>
      <c r="BU137" s="76"/>
      <c r="BV137" s="78"/>
      <c r="BW137" s="76"/>
      <c r="BX137" s="78"/>
      <c r="BY137" s="76"/>
      <c r="BZ137" s="78"/>
      <c r="CA137" s="76"/>
      <c r="CB137" s="78"/>
      <c r="CC137" s="76"/>
      <c r="CD137" s="78"/>
      <c r="CE137" s="76"/>
      <c r="CF137" s="78"/>
    </row>
    <row r="138" spans="1:84"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204"/>
        <v>0</v>
      </c>
      <c r="H138" s="69">
        <f>+VLOOKUP(C138,'PRECIOS IDU 2025'!$A$1:$E$3189,4,FALSE)</f>
        <v>100367</v>
      </c>
      <c r="I138" s="69">
        <f t="shared" si="205"/>
        <v>130477</v>
      </c>
      <c r="J138" s="69">
        <f t="shared" si="206"/>
        <v>0</v>
      </c>
      <c r="K138" s="9"/>
      <c r="L138" s="3"/>
      <c r="M138" s="76"/>
      <c r="N138" s="78"/>
      <c r="O138" s="76"/>
      <c r="P138" s="78"/>
      <c r="Q138" s="76"/>
      <c r="R138" s="78"/>
      <c r="S138" s="76"/>
      <c r="T138" s="78"/>
      <c r="U138" s="76"/>
      <c r="V138" s="78"/>
      <c r="W138" s="76"/>
      <c r="X138" s="78"/>
      <c r="Y138" s="76"/>
      <c r="Z138" s="78"/>
      <c r="AA138" s="76"/>
      <c r="AB138" s="78"/>
      <c r="AC138" s="76"/>
      <c r="AD138" s="78"/>
      <c r="AE138" s="76"/>
      <c r="AF138" s="78"/>
      <c r="AG138" s="76"/>
      <c r="AH138" s="78"/>
      <c r="AI138" s="76"/>
      <c r="AJ138" s="78"/>
      <c r="AK138" s="76"/>
      <c r="AL138" s="78"/>
      <c r="AM138" s="76"/>
      <c r="AN138" s="78"/>
      <c r="AO138" s="76"/>
      <c r="AP138" s="78"/>
      <c r="AQ138" s="76"/>
      <c r="AR138" s="78"/>
      <c r="AS138" s="76"/>
      <c r="AT138" s="78"/>
      <c r="AU138" s="76"/>
      <c r="AV138" s="78"/>
      <c r="AW138" s="76"/>
      <c r="AX138" s="78"/>
      <c r="AY138" s="76"/>
      <c r="AZ138" s="78">
        <f t="shared" ref="AZ138" si="223">+ROUND(AY138*$I138,0)</f>
        <v>0</v>
      </c>
      <c r="BA138" s="76"/>
      <c r="BB138" s="78"/>
      <c r="BC138" s="76"/>
      <c r="BD138" s="78"/>
      <c r="BE138" s="76"/>
      <c r="BF138" s="78"/>
      <c r="BG138" s="76"/>
      <c r="BH138" s="78"/>
      <c r="BI138" s="76"/>
      <c r="BJ138" s="78"/>
      <c r="BK138" s="76"/>
      <c r="BL138" s="78"/>
      <c r="BM138" s="76"/>
      <c r="BN138" s="78"/>
      <c r="BO138" s="76"/>
      <c r="BP138" s="78">
        <f t="shared" ref="BP138" si="224">+ROUND(BO138*$I138,0)</f>
        <v>0</v>
      </c>
      <c r="BQ138" s="76"/>
      <c r="BR138" s="78"/>
      <c r="BS138" s="76"/>
      <c r="BT138" s="78"/>
      <c r="BU138" s="76"/>
      <c r="BV138" s="78"/>
      <c r="BW138" s="76"/>
      <c r="BX138" s="78"/>
      <c r="BY138" s="76"/>
      <c r="BZ138" s="78"/>
      <c r="CA138" s="76"/>
      <c r="CB138" s="78"/>
      <c r="CC138" s="76"/>
      <c r="CD138" s="78"/>
      <c r="CE138" s="76"/>
      <c r="CF138" s="78"/>
    </row>
    <row r="139" spans="1:84"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204"/>
        <v>0</v>
      </c>
      <c r="H139" s="69">
        <f>+VLOOKUP(C139,'PRECIOS IDU 2025'!$A$1:$E$3189,4,FALSE)</f>
        <v>214107</v>
      </c>
      <c r="I139" s="69">
        <f t="shared" si="205"/>
        <v>278339</v>
      </c>
      <c r="J139" s="69">
        <f t="shared" si="206"/>
        <v>0</v>
      </c>
      <c r="K139" s="9"/>
      <c r="L139" s="3"/>
      <c r="M139" s="76"/>
      <c r="N139" s="78"/>
      <c r="O139" s="76"/>
      <c r="P139" s="78"/>
      <c r="Q139" s="76"/>
      <c r="R139" s="78"/>
      <c r="S139" s="76"/>
      <c r="T139" s="78"/>
      <c r="U139" s="76"/>
      <c r="V139" s="78"/>
      <c r="W139" s="76"/>
      <c r="X139" s="78"/>
      <c r="Y139" s="76"/>
      <c r="Z139" s="78"/>
      <c r="AA139" s="76"/>
      <c r="AB139" s="78"/>
      <c r="AC139" s="76"/>
      <c r="AD139" s="78"/>
      <c r="AE139" s="76"/>
      <c r="AF139" s="78"/>
      <c r="AG139" s="76"/>
      <c r="AH139" s="78"/>
      <c r="AI139" s="76"/>
      <c r="AJ139" s="78"/>
      <c r="AK139" s="76"/>
      <c r="AL139" s="78"/>
      <c r="AM139" s="76"/>
      <c r="AN139" s="78"/>
      <c r="AO139" s="76"/>
      <c r="AP139" s="78"/>
      <c r="AQ139" s="76"/>
      <c r="AR139" s="78"/>
      <c r="AS139" s="76"/>
      <c r="AT139" s="78"/>
      <c r="AU139" s="76"/>
      <c r="AV139" s="78"/>
      <c r="AW139" s="76"/>
      <c r="AX139" s="78"/>
      <c r="AY139" s="76"/>
      <c r="AZ139" s="78">
        <f t="shared" ref="AZ139" si="225">+ROUND(AY139*$I139,0)</f>
        <v>0</v>
      </c>
      <c r="BA139" s="76"/>
      <c r="BB139" s="78"/>
      <c r="BC139" s="76"/>
      <c r="BD139" s="78"/>
      <c r="BE139" s="76"/>
      <c r="BF139" s="78"/>
      <c r="BG139" s="76"/>
      <c r="BH139" s="78"/>
      <c r="BI139" s="76"/>
      <c r="BJ139" s="78"/>
      <c r="BK139" s="76"/>
      <c r="BL139" s="78"/>
      <c r="BM139" s="76"/>
      <c r="BN139" s="78"/>
      <c r="BO139" s="76"/>
      <c r="BP139" s="78">
        <f t="shared" ref="BP139" si="226">+ROUND(BO139*$I139,0)</f>
        <v>0</v>
      </c>
      <c r="BQ139" s="76"/>
      <c r="BR139" s="78"/>
      <c r="BS139" s="76"/>
      <c r="BT139" s="78"/>
      <c r="BU139" s="76"/>
      <c r="BV139" s="78"/>
      <c r="BW139" s="76"/>
      <c r="BX139" s="78"/>
      <c r="BY139" s="76"/>
      <c r="BZ139" s="78"/>
      <c r="CA139" s="76"/>
      <c r="CB139" s="78"/>
      <c r="CC139" s="76"/>
      <c r="CD139" s="78"/>
      <c r="CE139" s="76"/>
      <c r="CF139" s="78"/>
    </row>
    <row r="140" spans="1:84"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204"/>
        <v>0</v>
      </c>
      <c r="H140" s="69">
        <f>+VLOOKUP(C140,'PRECIOS IDU 2025'!$A$1:$E$3189,4,FALSE)</f>
        <v>155503</v>
      </c>
      <c r="I140" s="69">
        <f t="shared" si="205"/>
        <v>202154</v>
      </c>
      <c r="J140" s="69">
        <f t="shared" si="206"/>
        <v>0</v>
      </c>
      <c r="K140" s="9"/>
      <c r="L140" s="3"/>
      <c r="M140" s="76"/>
      <c r="N140" s="78"/>
      <c r="O140" s="76"/>
      <c r="P140" s="78"/>
      <c r="Q140" s="76"/>
      <c r="R140" s="78"/>
      <c r="S140" s="76"/>
      <c r="T140" s="78"/>
      <c r="U140" s="76"/>
      <c r="V140" s="78"/>
      <c r="W140" s="76"/>
      <c r="X140" s="78"/>
      <c r="Y140" s="76"/>
      <c r="Z140" s="78"/>
      <c r="AA140" s="76"/>
      <c r="AB140" s="78"/>
      <c r="AC140" s="76"/>
      <c r="AD140" s="78"/>
      <c r="AE140" s="76"/>
      <c r="AF140" s="78"/>
      <c r="AG140" s="76"/>
      <c r="AH140" s="78"/>
      <c r="AI140" s="76"/>
      <c r="AJ140" s="78"/>
      <c r="AK140" s="76"/>
      <c r="AL140" s="78"/>
      <c r="AM140" s="76"/>
      <c r="AN140" s="78"/>
      <c r="AO140" s="76"/>
      <c r="AP140" s="78"/>
      <c r="AQ140" s="76"/>
      <c r="AR140" s="78"/>
      <c r="AS140" s="76"/>
      <c r="AT140" s="78"/>
      <c r="AU140" s="76"/>
      <c r="AV140" s="78"/>
      <c r="AW140" s="76"/>
      <c r="AX140" s="78"/>
      <c r="AY140" s="76"/>
      <c r="AZ140" s="78">
        <f t="shared" ref="AZ140" si="227">+ROUND(AY140*$I140,0)</f>
        <v>0</v>
      </c>
      <c r="BA140" s="76"/>
      <c r="BB140" s="78"/>
      <c r="BC140" s="76"/>
      <c r="BD140" s="78"/>
      <c r="BE140" s="76"/>
      <c r="BF140" s="78"/>
      <c r="BG140" s="76"/>
      <c r="BH140" s="78"/>
      <c r="BI140" s="76"/>
      <c r="BJ140" s="78"/>
      <c r="BK140" s="76"/>
      <c r="BL140" s="78"/>
      <c r="BM140" s="76"/>
      <c r="BN140" s="78"/>
      <c r="BO140" s="76"/>
      <c r="BP140" s="78">
        <f t="shared" ref="BP140" si="228">+ROUND(BO140*$I140,0)</f>
        <v>0</v>
      </c>
      <c r="BQ140" s="76"/>
      <c r="BR140" s="78"/>
      <c r="BS140" s="76"/>
      <c r="BT140" s="78"/>
      <c r="BU140" s="76"/>
      <c r="BV140" s="78"/>
      <c r="BW140" s="76"/>
      <c r="BX140" s="78"/>
      <c r="BY140" s="76"/>
      <c r="BZ140" s="78"/>
      <c r="CA140" s="76"/>
      <c r="CB140" s="78"/>
      <c r="CC140" s="76"/>
      <c r="CD140" s="78"/>
      <c r="CE140" s="76"/>
      <c r="CF140" s="78"/>
    </row>
    <row r="141" spans="1:84"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204"/>
        <v>0</v>
      </c>
      <c r="H141" s="69">
        <f>+VLOOKUP(C141,'PRECIOS IDU 2025'!$A$1:$E$3189,4,FALSE)</f>
        <v>1895915</v>
      </c>
      <c r="I141" s="69">
        <f t="shared" si="205"/>
        <v>2464690</v>
      </c>
      <c r="J141" s="69">
        <f t="shared" si="206"/>
        <v>0</v>
      </c>
      <c r="K141" s="9"/>
      <c r="L141" s="3"/>
      <c r="M141" s="76"/>
      <c r="N141" s="78"/>
      <c r="O141" s="76"/>
      <c r="P141" s="78"/>
      <c r="Q141" s="76"/>
      <c r="R141" s="78"/>
      <c r="S141" s="76"/>
      <c r="T141" s="78"/>
      <c r="U141" s="76"/>
      <c r="V141" s="78"/>
      <c r="W141" s="76"/>
      <c r="X141" s="78"/>
      <c r="Y141" s="76"/>
      <c r="Z141" s="78"/>
      <c r="AA141" s="76"/>
      <c r="AB141" s="78"/>
      <c r="AC141" s="76"/>
      <c r="AD141" s="78"/>
      <c r="AE141" s="76"/>
      <c r="AF141" s="78"/>
      <c r="AG141" s="76"/>
      <c r="AH141" s="78"/>
      <c r="AI141" s="76"/>
      <c r="AJ141" s="78"/>
      <c r="AK141" s="76"/>
      <c r="AL141" s="78"/>
      <c r="AM141" s="76"/>
      <c r="AN141" s="78"/>
      <c r="AO141" s="76"/>
      <c r="AP141" s="78"/>
      <c r="AQ141" s="76"/>
      <c r="AR141" s="78"/>
      <c r="AS141" s="76"/>
      <c r="AT141" s="78"/>
      <c r="AU141" s="76"/>
      <c r="AV141" s="78"/>
      <c r="AW141" s="76"/>
      <c r="AX141" s="78"/>
      <c r="AY141" s="76"/>
      <c r="AZ141" s="78">
        <f t="shared" ref="AZ141" si="229">+ROUND(AY141*$I141,0)</f>
        <v>0</v>
      </c>
      <c r="BA141" s="76"/>
      <c r="BB141" s="78"/>
      <c r="BC141" s="76"/>
      <c r="BD141" s="78"/>
      <c r="BE141" s="76"/>
      <c r="BF141" s="78"/>
      <c r="BG141" s="76"/>
      <c r="BH141" s="78"/>
      <c r="BI141" s="76"/>
      <c r="BJ141" s="78"/>
      <c r="BK141" s="76"/>
      <c r="BL141" s="78"/>
      <c r="BM141" s="76"/>
      <c r="BN141" s="78"/>
      <c r="BO141" s="76"/>
      <c r="BP141" s="78">
        <f t="shared" ref="BP141" si="230">+ROUND(BO141*$I141,0)</f>
        <v>0</v>
      </c>
      <c r="BQ141" s="76"/>
      <c r="BR141" s="78"/>
      <c r="BS141" s="76"/>
      <c r="BT141" s="78"/>
      <c r="BU141" s="76"/>
      <c r="BV141" s="78"/>
      <c r="BW141" s="76"/>
      <c r="BX141" s="78"/>
      <c r="BY141" s="76"/>
      <c r="BZ141" s="78"/>
      <c r="CA141" s="76"/>
      <c r="CB141" s="78"/>
      <c r="CC141" s="76"/>
      <c r="CD141" s="78"/>
      <c r="CE141" s="76"/>
      <c r="CF141" s="78"/>
    </row>
    <row r="142" spans="1:84"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204"/>
        <v>0</v>
      </c>
      <c r="H142" s="69">
        <f>+VLOOKUP(C142,'PRECIOS IDU 2025'!$A$1:$E$3189,4,FALSE)</f>
        <v>739808</v>
      </c>
      <c r="I142" s="69">
        <f t="shared" si="205"/>
        <v>961750</v>
      </c>
      <c r="J142" s="69">
        <f t="shared" si="206"/>
        <v>0</v>
      </c>
      <c r="K142" s="9"/>
      <c r="L142" s="3"/>
      <c r="M142" s="76"/>
      <c r="N142" s="78"/>
      <c r="O142" s="76"/>
      <c r="P142" s="78"/>
      <c r="Q142" s="76"/>
      <c r="R142" s="78"/>
      <c r="S142" s="76"/>
      <c r="T142" s="78"/>
      <c r="U142" s="76"/>
      <c r="V142" s="78"/>
      <c r="W142" s="76"/>
      <c r="X142" s="78"/>
      <c r="Y142" s="76"/>
      <c r="Z142" s="78"/>
      <c r="AA142" s="76"/>
      <c r="AB142" s="78"/>
      <c r="AC142" s="76"/>
      <c r="AD142" s="78"/>
      <c r="AE142" s="76"/>
      <c r="AF142" s="78"/>
      <c r="AG142" s="76"/>
      <c r="AH142" s="78"/>
      <c r="AI142" s="76"/>
      <c r="AJ142" s="78"/>
      <c r="AK142" s="76"/>
      <c r="AL142" s="78"/>
      <c r="AM142" s="76"/>
      <c r="AN142" s="78"/>
      <c r="AO142" s="76"/>
      <c r="AP142" s="78"/>
      <c r="AQ142" s="76"/>
      <c r="AR142" s="78"/>
      <c r="AS142" s="76"/>
      <c r="AT142" s="78"/>
      <c r="AU142" s="76"/>
      <c r="AV142" s="78"/>
      <c r="AW142" s="76"/>
      <c r="AX142" s="78"/>
      <c r="AY142" s="76"/>
      <c r="AZ142" s="78">
        <f t="shared" ref="AZ142" si="231">+ROUND(AY142*$I142,0)</f>
        <v>0</v>
      </c>
      <c r="BA142" s="76"/>
      <c r="BB142" s="78"/>
      <c r="BC142" s="76"/>
      <c r="BD142" s="78"/>
      <c r="BE142" s="76"/>
      <c r="BF142" s="78"/>
      <c r="BG142" s="76"/>
      <c r="BH142" s="78"/>
      <c r="BI142" s="76"/>
      <c r="BJ142" s="78"/>
      <c r="BK142" s="76"/>
      <c r="BL142" s="78"/>
      <c r="BM142" s="76"/>
      <c r="BN142" s="78"/>
      <c r="BO142" s="76"/>
      <c r="BP142" s="78">
        <f t="shared" ref="BP142" si="232">+ROUND(BO142*$I142,0)</f>
        <v>0</v>
      </c>
      <c r="BQ142" s="76"/>
      <c r="BR142" s="78"/>
      <c r="BS142" s="76"/>
      <c r="BT142" s="78"/>
      <c r="BU142" s="76"/>
      <c r="BV142" s="78"/>
      <c r="BW142" s="76"/>
      <c r="BX142" s="78"/>
      <c r="BY142" s="76"/>
      <c r="BZ142" s="78"/>
      <c r="CA142" s="76"/>
      <c r="CB142" s="78"/>
      <c r="CC142" s="76"/>
      <c r="CD142" s="78"/>
      <c r="CE142" s="76"/>
      <c r="CF142" s="78"/>
    </row>
    <row r="143" spans="1:84"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204"/>
        <v>0</v>
      </c>
      <c r="H143" s="69">
        <f>+VLOOKUP(C143,'PRECIOS IDU 2025'!$A$1:$E$3189,4,FALSE)</f>
        <v>135984</v>
      </c>
      <c r="I143" s="69">
        <f t="shared" si="205"/>
        <v>176779</v>
      </c>
      <c r="J143" s="69">
        <f t="shared" si="206"/>
        <v>0</v>
      </c>
      <c r="K143" s="9"/>
      <c r="L143" s="3"/>
      <c r="M143" s="76"/>
      <c r="N143" s="78"/>
      <c r="O143" s="76"/>
      <c r="P143" s="78"/>
      <c r="Q143" s="76"/>
      <c r="R143" s="78"/>
      <c r="S143" s="76"/>
      <c r="T143" s="78"/>
      <c r="U143" s="76"/>
      <c r="V143" s="78"/>
      <c r="W143" s="76"/>
      <c r="X143" s="78"/>
      <c r="Y143" s="76"/>
      <c r="Z143" s="78"/>
      <c r="AA143" s="76"/>
      <c r="AB143" s="78"/>
      <c r="AC143" s="76"/>
      <c r="AD143" s="78"/>
      <c r="AE143" s="76"/>
      <c r="AF143" s="78"/>
      <c r="AG143" s="76"/>
      <c r="AH143" s="78"/>
      <c r="AI143" s="76"/>
      <c r="AJ143" s="78"/>
      <c r="AK143" s="76"/>
      <c r="AL143" s="78"/>
      <c r="AM143" s="76"/>
      <c r="AN143" s="78"/>
      <c r="AO143" s="76"/>
      <c r="AP143" s="78"/>
      <c r="AQ143" s="76"/>
      <c r="AR143" s="78"/>
      <c r="AS143" s="76"/>
      <c r="AT143" s="78"/>
      <c r="AU143" s="76"/>
      <c r="AV143" s="78"/>
      <c r="AW143" s="76"/>
      <c r="AX143" s="78"/>
      <c r="AY143" s="76"/>
      <c r="AZ143" s="78">
        <f t="shared" ref="AZ143" si="233">+ROUND(AY143*$I143,0)</f>
        <v>0</v>
      </c>
      <c r="BA143" s="76"/>
      <c r="BB143" s="78"/>
      <c r="BC143" s="76"/>
      <c r="BD143" s="78"/>
      <c r="BE143" s="76"/>
      <c r="BF143" s="78"/>
      <c r="BG143" s="76"/>
      <c r="BH143" s="78"/>
      <c r="BI143" s="76"/>
      <c r="BJ143" s="78"/>
      <c r="BK143" s="76"/>
      <c r="BL143" s="78"/>
      <c r="BM143" s="76"/>
      <c r="BN143" s="78"/>
      <c r="BO143" s="76"/>
      <c r="BP143" s="78">
        <f t="shared" ref="BP143" si="234">+ROUND(BO143*$I143,0)</f>
        <v>0</v>
      </c>
      <c r="BQ143" s="76"/>
      <c r="BR143" s="78"/>
      <c r="BS143" s="76"/>
      <c r="BT143" s="78"/>
      <c r="BU143" s="76"/>
      <c r="BV143" s="78"/>
      <c r="BW143" s="76"/>
      <c r="BX143" s="78"/>
      <c r="BY143" s="76"/>
      <c r="BZ143" s="78"/>
      <c r="CA143" s="76"/>
      <c r="CB143" s="78"/>
      <c r="CC143" s="76"/>
      <c r="CD143" s="78"/>
      <c r="CE143" s="76"/>
      <c r="CF143" s="78"/>
    </row>
    <row r="144" spans="1:84"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204"/>
        <v>0</v>
      </c>
      <c r="H144" s="69">
        <f>+VLOOKUP(C144,'PRECIOS IDU 2025'!$A$1:$E$3189,4,FALSE)</f>
        <v>37349</v>
      </c>
      <c r="I144" s="69">
        <f t="shared" si="205"/>
        <v>48554</v>
      </c>
      <c r="J144" s="69">
        <f t="shared" si="206"/>
        <v>0</v>
      </c>
      <c r="K144" s="9"/>
      <c r="L144" s="3"/>
      <c r="M144" s="76"/>
      <c r="N144" s="78"/>
      <c r="O144" s="76"/>
      <c r="P144" s="78"/>
      <c r="Q144" s="76"/>
      <c r="R144" s="78"/>
      <c r="S144" s="76"/>
      <c r="T144" s="78"/>
      <c r="U144" s="76"/>
      <c r="V144" s="78"/>
      <c r="W144" s="76"/>
      <c r="X144" s="78"/>
      <c r="Y144" s="76"/>
      <c r="Z144" s="78"/>
      <c r="AA144" s="76"/>
      <c r="AB144" s="78"/>
      <c r="AC144" s="76"/>
      <c r="AD144" s="78"/>
      <c r="AE144" s="76"/>
      <c r="AF144" s="78"/>
      <c r="AG144" s="76"/>
      <c r="AH144" s="78"/>
      <c r="AI144" s="76"/>
      <c r="AJ144" s="78"/>
      <c r="AK144" s="76"/>
      <c r="AL144" s="78"/>
      <c r="AM144" s="76"/>
      <c r="AN144" s="78"/>
      <c r="AO144" s="76"/>
      <c r="AP144" s="78"/>
      <c r="AQ144" s="76"/>
      <c r="AR144" s="78"/>
      <c r="AS144" s="76"/>
      <c r="AT144" s="78"/>
      <c r="AU144" s="76"/>
      <c r="AV144" s="78"/>
      <c r="AW144" s="76"/>
      <c r="AX144" s="78"/>
      <c r="AY144" s="76"/>
      <c r="AZ144" s="78">
        <f t="shared" ref="AZ144" si="235">+ROUND(AY144*$I144,0)</f>
        <v>0</v>
      </c>
      <c r="BA144" s="76"/>
      <c r="BB144" s="78"/>
      <c r="BC144" s="76"/>
      <c r="BD144" s="78"/>
      <c r="BE144" s="76"/>
      <c r="BF144" s="78"/>
      <c r="BG144" s="76"/>
      <c r="BH144" s="78"/>
      <c r="BI144" s="76"/>
      <c r="BJ144" s="78"/>
      <c r="BK144" s="76"/>
      <c r="BL144" s="78"/>
      <c r="BM144" s="76"/>
      <c r="BN144" s="78"/>
      <c r="BO144" s="76"/>
      <c r="BP144" s="78">
        <f t="shared" ref="BP144" si="236">+ROUND(BO144*$I144,0)</f>
        <v>0</v>
      </c>
      <c r="BQ144" s="76"/>
      <c r="BR144" s="78"/>
      <c r="BS144" s="76"/>
      <c r="BT144" s="78"/>
      <c r="BU144" s="76"/>
      <c r="BV144" s="78"/>
      <c r="BW144" s="76"/>
      <c r="BX144" s="78"/>
      <c r="BY144" s="76"/>
      <c r="BZ144" s="78"/>
      <c r="CA144" s="76"/>
      <c r="CB144" s="78"/>
      <c r="CC144" s="76"/>
      <c r="CD144" s="78"/>
      <c r="CE144" s="76"/>
      <c r="CF144" s="78"/>
    </row>
    <row r="145" spans="1:84"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204"/>
        <v>0</v>
      </c>
      <c r="H145" s="69">
        <f>+VLOOKUP(C145,'PRECIOS IDU 2025'!$A$1:$E$3189,4,FALSE)</f>
        <v>63957</v>
      </c>
      <c r="I145" s="69">
        <f t="shared" si="205"/>
        <v>83144</v>
      </c>
      <c r="J145" s="69">
        <f t="shared" si="206"/>
        <v>0</v>
      </c>
      <c r="K145" s="9"/>
      <c r="L145" s="3"/>
      <c r="M145" s="76"/>
      <c r="N145" s="78"/>
      <c r="O145" s="76"/>
      <c r="P145" s="78"/>
      <c r="Q145" s="76"/>
      <c r="R145" s="78"/>
      <c r="S145" s="76"/>
      <c r="T145" s="78"/>
      <c r="U145" s="76"/>
      <c r="V145" s="78"/>
      <c r="W145" s="76"/>
      <c r="X145" s="78"/>
      <c r="Y145" s="76"/>
      <c r="Z145" s="78"/>
      <c r="AA145" s="76"/>
      <c r="AB145" s="78"/>
      <c r="AC145" s="76"/>
      <c r="AD145" s="78"/>
      <c r="AE145" s="76"/>
      <c r="AF145" s="78"/>
      <c r="AG145" s="76"/>
      <c r="AH145" s="78"/>
      <c r="AI145" s="76"/>
      <c r="AJ145" s="78"/>
      <c r="AK145" s="76"/>
      <c r="AL145" s="78"/>
      <c r="AM145" s="76"/>
      <c r="AN145" s="78"/>
      <c r="AO145" s="76"/>
      <c r="AP145" s="78"/>
      <c r="AQ145" s="76"/>
      <c r="AR145" s="78"/>
      <c r="AS145" s="76"/>
      <c r="AT145" s="78"/>
      <c r="AU145" s="76"/>
      <c r="AV145" s="78"/>
      <c r="AW145" s="76"/>
      <c r="AX145" s="78"/>
      <c r="AY145" s="76"/>
      <c r="AZ145" s="78">
        <f t="shared" ref="AZ145" si="237">+ROUND(AY145*$I145,0)</f>
        <v>0</v>
      </c>
      <c r="BA145" s="76"/>
      <c r="BB145" s="78"/>
      <c r="BC145" s="76"/>
      <c r="BD145" s="78"/>
      <c r="BE145" s="76"/>
      <c r="BF145" s="78"/>
      <c r="BG145" s="76"/>
      <c r="BH145" s="78"/>
      <c r="BI145" s="76"/>
      <c r="BJ145" s="78"/>
      <c r="BK145" s="76"/>
      <c r="BL145" s="78"/>
      <c r="BM145" s="76"/>
      <c r="BN145" s="78"/>
      <c r="BO145" s="76"/>
      <c r="BP145" s="78">
        <f t="shared" ref="BP145" si="238">+ROUND(BO145*$I145,0)</f>
        <v>0</v>
      </c>
      <c r="BQ145" s="76"/>
      <c r="BR145" s="78"/>
      <c r="BS145" s="76"/>
      <c r="BT145" s="78"/>
      <c r="BU145" s="76"/>
      <c r="BV145" s="78"/>
      <c r="BW145" s="76"/>
      <c r="BX145" s="78"/>
      <c r="BY145" s="76"/>
      <c r="BZ145" s="78"/>
      <c r="CA145" s="76"/>
      <c r="CB145" s="78"/>
      <c r="CC145" s="76"/>
      <c r="CD145" s="78"/>
      <c r="CE145" s="76"/>
      <c r="CF145" s="78"/>
    </row>
    <row r="146" spans="1:84"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204"/>
        <v>0</v>
      </c>
      <c r="H146" s="69">
        <f>+VLOOKUP(C146,'PRECIOS IDU 2025'!$A$1:$E$3189,4,FALSE)</f>
        <v>88930</v>
      </c>
      <c r="I146" s="69">
        <f t="shared" si="205"/>
        <v>115609</v>
      </c>
      <c r="J146" s="69">
        <f t="shared" si="206"/>
        <v>0</v>
      </c>
      <c r="K146" s="9"/>
      <c r="L146" s="3"/>
      <c r="M146" s="76"/>
      <c r="N146" s="78"/>
      <c r="O146" s="76"/>
      <c r="P146" s="78"/>
      <c r="Q146" s="76"/>
      <c r="R146" s="78"/>
      <c r="S146" s="76"/>
      <c r="T146" s="78"/>
      <c r="U146" s="76"/>
      <c r="V146" s="78"/>
      <c r="W146" s="76"/>
      <c r="X146" s="78"/>
      <c r="Y146" s="76"/>
      <c r="Z146" s="78"/>
      <c r="AA146" s="76"/>
      <c r="AB146" s="78"/>
      <c r="AC146" s="76"/>
      <c r="AD146" s="78"/>
      <c r="AE146" s="76"/>
      <c r="AF146" s="78"/>
      <c r="AG146" s="76"/>
      <c r="AH146" s="78"/>
      <c r="AI146" s="76"/>
      <c r="AJ146" s="78"/>
      <c r="AK146" s="76"/>
      <c r="AL146" s="78"/>
      <c r="AM146" s="76"/>
      <c r="AN146" s="78"/>
      <c r="AO146" s="76"/>
      <c r="AP146" s="78"/>
      <c r="AQ146" s="76"/>
      <c r="AR146" s="78"/>
      <c r="AS146" s="76"/>
      <c r="AT146" s="78"/>
      <c r="AU146" s="76"/>
      <c r="AV146" s="78"/>
      <c r="AW146" s="76"/>
      <c r="AX146" s="78"/>
      <c r="AY146" s="76"/>
      <c r="AZ146" s="78">
        <f t="shared" ref="AZ146" si="239">+ROUND(AY146*$I146,0)</f>
        <v>0</v>
      </c>
      <c r="BA146" s="76"/>
      <c r="BB146" s="78"/>
      <c r="BC146" s="76"/>
      <c r="BD146" s="78"/>
      <c r="BE146" s="76"/>
      <c r="BF146" s="78"/>
      <c r="BG146" s="76"/>
      <c r="BH146" s="78"/>
      <c r="BI146" s="76"/>
      <c r="BJ146" s="78"/>
      <c r="BK146" s="76"/>
      <c r="BL146" s="78"/>
      <c r="BM146" s="76"/>
      <c r="BN146" s="78"/>
      <c r="BO146" s="76"/>
      <c r="BP146" s="78">
        <f t="shared" ref="BP146" si="240">+ROUND(BO146*$I146,0)</f>
        <v>0</v>
      </c>
      <c r="BQ146" s="76"/>
      <c r="BR146" s="78"/>
      <c r="BS146" s="76"/>
      <c r="BT146" s="78"/>
      <c r="BU146" s="76"/>
      <c r="BV146" s="78"/>
      <c r="BW146" s="76"/>
      <c r="BX146" s="78"/>
      <c r="BY146" s="76"/>
      <c r="BZ146" s="78"/>
      <c r="CA146" s="76"/>
      <c r="CB146" s="78"/>
      <c r="CC146" s="76"/>
      <c r="CD146" s="78"/>
      <c r="CE146" s="76"/>
      <c r="CF146" s="78"/>
    </row>
    <row r="147" spans="1:84"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204"/>
        <v>0</v>
      </c>
      <c r="H147" s="69">
        <f>+VLOOKUP(C147,'PRECIOS IDU 2025'!$A$1:$E$3189,4,FALSE)</f>
        <v>125950</v>
      </c>
      <c r="I147" s="69">
        <f t="shared" si="205"/>
        <v>163735</v>
      </c>
      <c r="J147" s="69">
        <f t="shared" si="206"/>
        <v>0</v>
      </c>
      <c r="K147" s="9"/>
      <c r="L147" s="3"/>
      <c r="M147" s="76"/>
      <c r="N147" s="78"/>
      <c r="O147" s="76"/>
      <c r="P147" s="78"/>
      <c r="Q147" s="76"/>
      <c r="R147" s="78"/>
      <c r="S147" s="76"/>
      <c r="T147" s="78"/>
      <c r="U147" s="76"/>
      <c r="V147" s="78"/>
      <c r="W147" s="76"/>
      <c r="X147" s="78"/>
      <c r="Y147" s="76"/>
      <c r="Z147" s="78"/>
      <c r="AA147" s="76"/>
      <c r="AB147" s="78"/>
      <c r="AC147" s="76"/>
      <c r="AD147" s="78"/>
      <c r="AE147" s="76"/>
      <c r="AF147" s="78"/>
      <c r="AG147" s="76"/>
      <c r="AH147" s="78"/>
      <c r="AI147" s="76"/>
      <c r="AJ147" s="78"/>
      <c r="AK147" s="76"/>
      <c r="AL147" s="78"/>
      <c r="AM147" s="76"/>
      <c r="AN147" s="78"/>
      <c r="AO147" s="76"/>
      <c r="AP147" s="78"/>
      <c r="AQ147" s="76"/>
      <c r="AR147" s="78"/>
      <c r="AS147" s="76"/>
      <c r="AT147" s="78"/>
      <c r="AU147" s="76"/>
      <c r="AV147" s="78"/>
      <c r="AW147" s="76"/>
      <c r="AX147" s="78"/>
      <c r="AY147" s="76"/>
      <c r="AZ147" s="78">
        <f t="shared" ref="AZ147" si="241">+ROUND(AY147*$I147,0)</f>
        <v>0</v>
      </c>
      <c r="BA147" s="76"/>
      <c r="BB147" s="78"/>
      <c r="BC147" s="76"/>
      <c r="BD147" s="78"/>
      <c r="BE147" s="76"/>
      <c r="BF147" s="78"/>
      <c r="BG147" s="76"/>
      <c r="BH147" s="78"/>
      <c r="BI147" s="76"/>
      <c r="BJ147" s="78"/>
      <c r="BK147" s="76"/>
      <c r="BL147" s="78"/>
      <c r="BM147" s="76"/>
      <c r="BN147" s="78"/>
      <c r="BO147" s="76"/>
      <c r="BP147" s="78">
        <f t="shared" ref="BP147" si="242">+ROUND(BO147*$I147,0)</f>
        <v>0</v>
      </c>
      <c r="BQ147" s="76"/>
      <c r="BR147" s="78"/>
      <c r="BS147" s="76"/>
      <c r="BT147" s="78"/>
      <c r="BU147" s="76"/>
      <c r="BV147" s="78"/>
      <c r="BW147" s="76"/>
      <c r="BX147" s="78"/>
      <c r="BY147" s="76"/>
      <c r="BZ147" s="78"/>
      <c r="CA147" s="76"/>
      <c r="CB147" s="78"/>
      <c r="CC147" s="76"/>
      <c r="CD147" s="78"/>
      <c r="CE147" s="76"/>
      <c r="CF147" s="78"/>
    </row>
    <row r="148" spans="1:84"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204"/>
        <v>0</v>
      </c>
      <c r="H148" s="69">
        <f>+VLOOKUP(C148,'PRECIOS IDU 2025'!$A$1:$E$3189,4,FALSE)</f>
        <v>176674</v>
      </c>
      <c r="I148" s="69">
        <f t="shared" si="205"/>
        <v>229676</v>
      </c>
      <c r="J148" s="69">
        <f t="shared" si="206"/>
        <v>0</v>
      </c>
      <c r="K148" s="9"/>
      <c r="L148" s="3"/>
      <c r="M148" s="76"/>
      <c r="N148" s="78"/>
      <c r="O148" s="76"/>
      <c r="P148" s="78"/>
      <c r="Q148" s="76"/>
      <c r="R148" s="78"/>
      <c r="S148" s="76"/>
      <c r="T148" s="78"/>
      <c r="U148" s="76"/>
      <c r="V148" s="78"/>
      <c r="W148" s="76"/>
      <c r="X148" s="78"/>
      <c r="Y148" s="76"/>
      <c r="Z148" s="78"/>
      <c r="AA148" s="76"/>
      <c r="AB148" s="78"/>
      <c r="AC148" s="76"/>
      <c r="AD148" s="78"/>
      <c r="AE148" s="76"/>
      <c r="AF148" s="78"/>
      <c r="AG148" s="76"/>
      <c r="AH148" s="78"/>
      <c r="AI148" s="76"/>
      <c r="AJ148" s="78"/>
      <c r="AK148" s="76"/>
      <c r="AL148" s="78"/>
      <c r="AM148" s="76"/>
      <c r="AN148" s="78"/>
      <c r="AO148" s="76"/>
      <c r="AP148" s="78"/>
      <c r="AQ148" s="76"/>
      <c r="AR148" s="78"/>
      <c r="AS148" s="76"/>
      <c r="AT148" s="78"/>
      <c r="AU148" s="76"/>
      <c r="AV148" s="78"/>
      <c r="AW148" s="76"/>
      <c r="AX148" s="78"/>
      <c r="AY148" s="76"/>
      <c r="AZ148" s="78">
        <f t="shared" ref="AZ148" si="243">+ROUND(AY148*$I148,0)</f>
        <v>0</v>
      </c>
      <c r="BA148" s="76"/>
      <c r="BB148" s="78"/>
      <c r="BC148" s="76"/>
      <c r="BD148" s="78"/>
      <c r="BE148" s="76"/>
      <c r="BF148" s="78"/>
      <c r="BG148" s="76"/>
      <c r="BH148" s="78"/>
      <c r="BI148" s="76"/>
      <c r="BJ148" s="78"/>
      <c r="BK148" s="76"/>
      <c r="BL148" s="78"/>
      <c r="BM148" s="76"/>
      <c r="BN148" s="78"/>
      <c r="BO148" s="76"/>
      <c r="BP148" s="78">
        <f t="shared" ref="BP148" si="244">+ROUND(BO148*$I148,0)</f>
        <v>0</v>
      </c>
      <c r="BQ148" s="76"/>
      <c r="BR148" s="78"/>
      <c r="BS148" s="76"/>
      <c r="BT148" s="78"/>
      <c r="BU148" s="76"/>
      <c r="BV148" s="78"/>
      <c r="BW148" s="76"/>
      <c r="BX148" s="78"/>
      <c r="BY148" s="76"/>
      <c r="BZ148" s="78"/>
      <c r="CA148" s="76"/>
      <c r="CB148" s="78"/>
      <c r="CC148" s="76"/>
      <c r="CD148" s="78"/>
      <c r="CE148" s="76"/>
      <c r="CF148" s="78"/>
    </row>
    <row r="149" spans="1:84"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204"/>
        <v>0</v>
      </c>
      <c r="H149" s="69">
        <f>+VLOOKUP(C149,'PRECIOS IDU 2025'!$A$1:$E$3189,4,FALSE)</f>
        <v>314109</v>
      </c>
      <c r="I149" s="69">
        <f t="shared" si="205"/>
        <v>408342</v>
      </c>
      <c r="J149" s="69">
        <f t="shared" si="206"/>
        <v>0</v>
      </c>
      <c r="K149" s="9"/>
      <c r="L149" s="3"/>
      <c r="M149" s="76"/>
      <c r="N149" s="78"/>
      <c r="O149" s="76"/>
      <c r="P149" s="78"/>
      <c r="Q149" s="76"/>
      <c r="R149" s="78"/>
      <c r="S149" s="76"/>
      <c r="T149" s="78"/>
      <c r="U149" s="76"/>
      <c r="V149" s="78"/>
      <c r="W149" s="76"/>
      <c r="X149" s="78"/>
      <c r="Y149" s="76"/>
      <c r="Z149" s="78"/>
      <c r="AA149" s="76"/>
      <c r="AB149" s="78"/>
      <c r="AC149" s="76"/>
      <c r="AD149" s="78"/>
      <c r="AE149" s="76"/>
      <c r="AF149" s="78"/>
      <c r="AG149" s="76"/>
      <c r="AH149" s="78"/>
      <c r="AI149" s="76"/>
      <c r="AJ149" s="78"/>
      <c r="AK149" s="76"/>
      <c r="AL149" s="78"/>
      <c r="AM149" s="76"/>
      <c r="AN149" s="78"/>
      <c r="AO149" s="76"/>
      <c r="AP149" s="78"/>
      <c r="AQ149" s="76"/>
      <c r="AR149" s="78"/>
      <c r="AS149" s="76"/>
      <c r="AT149" s="78"/>
      <c r="AU149" s="76"/>
      <c r="AV149" s="78"/>
      <c r="AW149" s="76"/>
      <c r="AX149" s="78"/>
      <c r="AY149" s="76"/>
      <c r="AZ149" s="78">
        <f t="shared" ref="AZ149" si="245">+ROUND(AY149*$I149,0)</f>
        <v>0</v>
      </c>
      <c r="BA149" s="76"/>
      <c r="BB149" s="78"/>
      <c r="BC149" s="76"/>
      <c r="BD149" s="78"/>
      <c r="BE149" s="76"/>
      <c r="BF149" s="78"/>
      <c r="BG149" s="76"/>
      <c r="BH149" s="78"/>
      <c r="BI149" s="76"/>
      <c r="BJ149" s="78"/>
      <c r="BK149" s="76"/>
      <c r="BL149" s="78"/>
      <c r="BM149" s="76"/>
      <c r="BN149" s="78"/>
      <c r="BO149" s="76"/>
      <c r="BP149" s="78">
        <f t="shared" ref="BP149" si="246">+ROUND(BO149*$I149,0)</f>
        <v>0</v>
      </c>
      <c r="BQ149" s="76"/>
      <c r="BR149" s="78"/>
      <c r="BS149" s="76"/>
      <c r="BT149" s="78"/>
      <c r="BU149" s="76"/>
      <c r="BV149" s="78"/>
      <c r="BW149" s="76"/>
      <c r="BX149" s="78"/>
      <c r="BY149" s="76"/>
      <c r="BZ149" s="78"/>
      <c r="CA149" s="76"/>
      <c r="CB149" s="78"/>
      <c r="CC149" s="76"/>
      <c r="CD149" s="78"/>
      <c r="CE149" s="76"/>
      <c r="CF149" s="78"/>
    </row>
    <row r="150" spans="1:84"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204"/>
        <v>0</v>
      </c>
      <c r="H150" s="69">
        <f>+VLOOKUP(C150,'PRECIOS IDU 2025'!$A$1:$E$3189,4,FALSE)</f>
        <v>426915</v>
      </c>
      <c r="I150" s="69">
        <f t="shared" si="205"/>
        <v>554990</v>
      </c>
      <c r="J150" s="69">
        <f t="shared" si="206"/>
        <v>0</v>
      </c>
      <c r="K150" s="9"/>
      <c r="L150" s="3"/>
      <c r="M150" s="76"/>
      <c r="N150" s="78"/>
      <c r="O150" s="76"/>
      <c r="P150" s="78"/>
      <c r="Q150" s="76"/>
      <c r="R150" s="78"/>
      <c r="S150" s="76"/>
      <c r="T150" s="78"/>
      <c r="U150" s="76"/>
      <c r="V150" s="78"/>
      <c r="W150" s="76"/>
      <c r="X150" s="78"/>
      <c r="Y150" s="76"/>
      <c r="Z150" s="78"/>
      <c r="AA150" s="76"/>
      <c r="AB150" s="78"/>
      <c r="AC150" s="76"/>
      <c r="AD150" s="78"/>
      <c r="AE150" s="76"/>
      <c r="AF150" s="78"/>
      <c r="AG150" s="76"/>
      <c r="AH150" s="78"/>
      <c r="AI150" s="76"/>
      <c r="AJ150" s="78"/>
      <c r="AK150" s="76"/>
      <c r="AL150" s="78"/>
      <c r="AM150" s="76"/>
      <c r="AN150" s="78"/>
      <c r="AO150" s="76"/>
      <c r="AP150" s="78"/>
      <c r="AQ150" s="76"/>
      <c r="AR150" s="78"/>
      <c r="AS150" s="76"/>
      <c r="AT150" s="78"/>
      <c r="AU150" s="76"/>
      <c r="AV150" s="78"/>
      <c r="AW150" s="76"/>
      <c r="AX150" s="78"/>
      <c r="AY150" s="76"/>
      <c r="AZ150" s="78">
        <f t="shared" ref="AZ150" si="247">+ROUND(AY150*$I150,0)</f>
        <v>0</v>
      </c>
      <c r="BA150" s="76"/>
      <c r="BB150" s="78"/>
      <c r="BC150" s="76"/>
      <c r="BD150" s="78"/>
      <c r="BE150" s="76"/>
      <c r="BF150" s="78"/>
      <c r="BG150" s="76"/>
      <c r="BH150" s="78"/>
      <c r="BI150" s="76"/>
      <c r="BJ150" s="78"/>
      <c r="BK150" s="76"/>
      <c r="BL150" s="78"/>
      <c r="BM150" s="76"/>
      <c r="BN150" s="78"/>
      <c r="BO150" s="76"/>
      <c r="BP150" s="78">
        <f t="shared" ref="BP150" si="248">+ROUND(BO150*$I150,0)</f>
        <v>0</v>
      </c>
      <c r="BQ150" s="76"/>
      <c r="BR150" s="78"/>
      <c r="BS150" s="76"/>
      <c r="BT150" s="78"/>
      <c r="BU150" s="76"/>
      <c r="BV150" s="78"/>
      <c r="BW150" s="76"/>
      <c r="BX150" s="78"/>
      <c r="BY150" s="76"/>
      <c r="BZ150" s="78"/>
      <c r="CA150" s="76"/>
      <c r="CB150" s="78"/>
      <c r="CC150" s="76"/>
      <c r="CD150" s="78"/>
      <c r="CE150" s="76"/>
      <c r="CF150" s="78"/>
    </row>
    <row r="151" spans="1:84"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204"/>
        <v>0</v>
      </c>
      <c r="H151" s="69">
        <f>+VLOOKUP(C151,'PRECIOS IDU 2025'!$A$1:$E$3189,4,FALSE)</f>
        <v>520777</v>
      </c>
      <c r="I151" s="69">
        <f t="shared" si="205"/>
        <v>677010</v>
      </c>
      <c r="J151" s="69">
        <f t="shared" si="206"/>
        <v>0</v>
      </c>
      <c r="K151" s="9"/>
      <c r="L151" s="3"/>
      <c r="M151" s="76"/>
      <c r="N151" s="78"/>
      <c r="O151" s="76"/>
      <c r="P151" s="78"/>
      <c r="Q151" s="76"/>
      <c r="R151" s="78"/>
      <c r="S151" s="76"/>
      <c r="T151" s="78"/>
      <c r="U151" s="76"/>
      <c r="V151" s="78"/>
      <c r="W151" s="76"/>
      <c r="X151" s="78"/>
      <c r="Y151" s="76"/>
      <c r="Z151" s="78"/>
      <c r="AA151" s="76"/>
      <c r="AB151" s="78"/>
      <c r="AC151" s="76"/>
      <c r="AD151" s="78"/>
      <c r="AE151" s="76"/>
      <c r="AF151" s="78"/>
      <c r="AG151" s="76"/>
      <c r="AH151" s="78"/>
      <c r="AI151" s="76"/>
      <c r="AJ151" s="78"/>
      <c r="AK151" s="76"/>
      <c r="AL151" s="78"/>
      <c r="AM151" s="76"/>
      <c r="AN151" s="78"/>
      <c r="AO151" s="76"/>
      <c r="AP151" s="78"/>
      <c r="AQ151" s="76"/>
      <c r="AR151" s="78"/>
      <c r="AS151" s="76"/>
      <c r="AT151" s="78"/>
      <c r="AU151" s="76"/>
      <c r="AV151" s="78"/>
      <c r="AW151" s="76"/>
      <c r="AX151" s="78"/>
      <c r="AY151" s="76"/>
      <c r="AZ151" s="78">
        <f t="shared" ref="AZ151" si="249">+ROUND(AY151*$I151,0)</f>
        <v>0</v>
      </c>
      <c r="BA151" s="76"/>
      <c r="BB151" s="78"/>
      <c r="BC151" s="76"/>
      <c r="BD151" s="78"/>
      <c r="BE151" s="76"/>
      <c r="BF151" s="78"/>
      <c r="BG151" s="76"/>
      <c r="BH151" s="78"/>
      <c r="BI151" s="76"/>
      <c r="BJ151" s="78"/>
      <c r="BK151" s="76"/>
      <c r="BL151" s="78"/>
      <c r="BM151" s="76"/>
      <c r="BN151" s="78"/>
      <c r="BO151" s="76"/>
      <c r="BP151" s="78">
        <f t="shared" ref="BP151" si="250">+ROUND(BO151*$I151,0)</f>
        <v>0</v>
      </c>
      <c r="BQ151" s="76"/>
      <c r="BR151" s="78"/>
      <c r="BS151" s="76"/>
      <c r="BT151" s="78"/>
      <c r="BU151" s="76"/>
      <c r="BV151" s="78"/>
      <c r="BW151" s="76"/>
      <c r="BX151" s="78"/>
      <c r="BY151" s="76"/>
      <c r="BZ151" s="78"/>
      <c r="CA151" s="76"/>
      <c r="CB151" s="78"/>
      <c r="CC151" s="76"/>
      <c r="CD151" s="78"/>
      <c r="CE151" s="76"/>
      <c r="CF151" s="78"/>
    </row>
    <row r="152" spans="1:84"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204"/>
        <v>0</v>
      </c>
      <c r="H152" s="69">
        <f>+VLOOKUP(C152,'PRECIOS IDU 2025'!$A$1:$E$3189,4,FALSE)</f>
        <v>235700</v>
      </c>
      <c r="I152" s="69">
        <f t="shared" si="205"/>
        <v>306410</v>
      </c>
      <c r="J152" s="69">
        <f t="shared" si="206"/>
        <v>0</v>
      </c>
      <c r="K152" s="9"/>
      <c r="L152" s="3"/>
      <c r="M152" s="76"/>
      <c r="N152" s="78"/>
      <c r="O152" s="76"/>
      <c r="P152" s="78"/>
      <c r="Q152" s="76"/>
      <c r="R152" s="78"/>
      <c r="S152" s="76"/>
      <c r="T152" s="78"/>
      <c r="U152" s="76"/>
      <c r="V152" s="78"/>
      <c r="W152" s="76"/>
      <c r="X152" s="78"/>
      <c r="Y152" s="76"/>
      <c r="Z152" s="78"/>
      <c r="AA152" s="76"/>
      <c r="AB152" s="78"/>
      <c r="AC152" s="76"/>
      <c r="AD152" s="78"/>
      <c r="AE152" s="76"/>
      <c r="AF152" s="78"/>
      <c r="AG152" s="76"/>
      <c r="AH152" s="78"/>
      <c r="AI152" s="76"/>
      <c r="AJ152" s="78"/>
      <c r="AK152" s="76"/>
      <c r="AL152" s="78"/>
      <c r="AM152" s="76"/>
      <c r="AN152" s="78"/>
      <c r="AO152" s="76"/>
      <c r="AP152" s="78"/>
      <c r="AQ152" s="76"/>
      <c r="AR152" s="78"/>
      <c r="AS152" s="76"/>
      <c r="AT152" s="78"/>
      <c r="AU152" s="76"/>
      <c r="AV152" s="78"/>
      <c r="AW152" s="76"/>
      <c r="AX152" s="78"/>
      <c r="AY152" s="76"/>
      <c r="AZ152" s="78">
        <f t="shared" ref="AZ152" si="251">+ROUND(AY152*$I152,0)</f>
        <v>0</v>
      </c>
      <c r="BA152" s="76"/>
      <c r="BB152" s="78"/>
      <c r="BC152" s="76"/>
      <c r="BD152" s="78"/>
      <c r="BE152" s="76"/>
      <c r="BF152" s="78"/>
      <c r="BG152" s="76"/>
      <c r="BH152" s="78"/>
      <c r="BI152" s="76"/>
      <c r="BJ152" s="78"/>
      <c r="BK152" s="76"/>
      <c r="BL152" s="78"/>
      <c r="BM152" s="76"/>
      <c r="BN152" s="78"/>
      <c r="BO152" s="76"/>
      <c r="BP152" s="78">
        <f t="shared" ref="BP152" si="252">+ROUND(BO152*$I152,0)</f>
        <v>0</v>
      </c>
      <c r="BQ152" s="76"/>
      <c r="BR152" s="78"/>
      <c r="BS152" s="76"/>
      <c r="BT152" s="78"/>
      <c r="BU152" s="76"/>
      <c r="BV152" s="78"/>
      <c r="BW152" s="76"/>
      <c r="BX152" s="78"/>
      <c r="BY152" s="76"/>
      <c r="BZ152" s="78"/>
      <c r="CA152" s="76"/>
      <c r="CB152" s="78"/>
      <c r="CC152" s="76"/>
      <c r="CD152" s="78"/>
      <c r="CE152" s="76"/>
      <c r="CF152" s="78"/>
    </row>
    <row r="153" spans="1:84"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204"/>
        <v>0</v>
      </c>
      <c r="H153" s="69">
        <f>+VLOOKUP(C153,'PRECIOS IDU 2025'!$A$1:$E$3189,4,FALSE)</f>
        <v>235700</v>
      </c>
      <c r="I153" s="69">
        <f t="shared" si="205"/>
        <v>306410</v>
      </c>
      <c r="J153" s="69">
        <f t="shared" si="206"/>
        <v>0</v>
      </c>
      <c r="K153" s="9"/>
      <c r="L153" s="3"/>
      <c r="M153" s="76"/>
      <c r="N153" s="78"/>
      <c r="O153" s="76"/>
      <c r="P153" s="78"/>
      <c r="Q153" s="76"/>
      <c r="R153" s="78"/>
      <c r="S153" s="76"/>
      <c r="T153" s="78"/>
      <c r="U153" s="76"/>
      <c r="V153" s="78"/>
      <c r="W153" s="76"/>
      <c r="X153" s="78"/>
      <c r="Y153" s="76"/>
      <c r="Z153" s="78"/>
      <c r="AA153" s="76"/>
      <c r="AB153" s="78"/>
      <c r="AC153" s="76"/>
      <c r="AD153" s="78"/>
      <c r="AE153" s="76"/>
      <c r="AF153" s="78"/>
      <c r="AG153" s="76"/>
      <c r="AH153" s="78"/>
      <c r="AI153" s="76"/>
      <c r="AJ153" s="78"/>
      <c r="AK153" s="76"/>
      <c r="AL153" s="78"/>
      <c r="AM153" s="76"/>
      <c r="AN153" s="78"/>
      <c r="AO153" s="76"/>
      <c r="AP153" s="78"/>
      <c r="AQ153" s="76"/>
      <c r="AR153" s="78"/>
      <c r="AS153" s="76"/>
      <c r="AT153" s="78"/>
      <c r="AU153" s="76"/>
      <c r="AV153" s="78"/>
      <c r="AW153" s="76"/>
      <c r="AX153" s="78"/>
      <c r="AY153" s="76"/>
      <c r="AZ153" s="78">
        <f t="shared" ref="AZ153" si="253">+ROUND(AY153*$I153,0)</f>
        <v>0</v>
      </c>
      <c r="BA153" s="76"/>
      <c r="BB153" s="78"/>
      <c r="BC153" s="76"/>
      <c r="BD153" s="78"/>
      <c r="BE153" s="76"/>
      <c r="BF153" s="78"/>
      <c r="BG153" s="76"/>
      <c r="BH153" s="78"/>
      <c r="BI153" s="76"/>
      <c r="BJ153" s="78"/>
      <c r="BK153" s="76"/>
      <c r="BL153" s="78"/>
      <c r="BM153" s="76"/>
      <c r="BN153" s="78"/>
      <c r="BO153" s="76"/>
      <c r="BP153" s="78">
        <f t="shared" ref="BP153" si="254">+ROUND(BO153*$I153,0)</f>
        <v>0</v>
      </c>
      <c r="BQ153" s="76"/>
      <c r="BR153" s="78"/>
      <c r="BS153" s="76"/>
      <c r="BT153" s="78"/>
      <c r="BU153" s="76"/>
      <c r="BV153" s="78"/>
      <c r="BW153" s="76"/>
      <c r="BX153" s="78"/>
      <c r="BY153" s="76"/>
      <c r="BZ153" s="78"/>
      <c r="CA153" s="76"/>
      <c r="CB153" s="78"/>
      <c r="CC153" s="76"/>
      <c r="CD153" s="78"/>
      <c r="CE153" s="76"/>
      <c r="CF153" s="78"/>
    </row>
    <row r="154" spans="1:84"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204"/>
        <v>0</v>
      </c>
      <c r="H154" s="69">
        <f>+VLOOKUP(C154,'PRECIOS IDU 2025'!$A$1:$E$3189,4,FALSE)</f>
        <v>238084</v>
      </c>
      <c r="I154" s="69">
        <f t="shared" si="205"/>
        <v>309509</v>
      </c>
      <c r="J154" s="69">
        <f t="shared" si="206"/>
        <v>0</v>
      </c>
      <c r="K154" s="9"/>
      <c r="L154" s="3"/>
      <c r="M154" s="76"/>
      <c r="N154" s="78"/>
      <c r="O154" s="76"/>
      <c r="P154" s="78"/>
      <c r="Q154" s="76"/>
      <c r="R154" s="78"/>
      <c r="S154" s="76"/>
      <c r="T154" s="78"/>
      <c r="U154" s="76"/>
      <c r="V154" s="78"/>
      <c r="W154" s="76"/>
      <c r="X154" s="78"/>
      <c r="Y154" s="76"/>
      <c r="Z154" s="78"/>
      <c r="AA154" s="76"/>
      <c r="AB154" s="78"/>
      <c r="AC154" s="76"/>
      <c r="AD154" s="78"/>
      <c r="AE154" s="76"/>
      <c r="AF154" s="78"/>
      <c r="AG154" s="76"/>
      <c r="AH154" s="78"/>
      <c r="AI154" s="76"/>
      <c r="AJ154" s="78"/>
      <c r="AK154" s="76"/>
      <c r="AL154" s="78"/>
      <c r="AM154" s="76"/>
      <c r="AN154" s="78"/>
      <c r="AO154" s="76"/>
      <c r="AP154" s="78"/>
      <c r="AQ154" s="76"/>
      <c r="AR154" s="78"/>
      <c r="AS154" s="76"/>
      <c r="AT154" s="78"/>
      <c r="AU154" s="76"/>
      <c r="AV154" s="78"/>
      <c r="AW154" s="76"/>
      <c r="AX154" s="78"/>
      <c r="AY154" s="76"/>
      <c r="AZ154" s="78">
        <f t="shared" ref="AZ154" si="255">+ROUND(AY154*$I154,0)</f>
        <v>0</v>
      </c>
      <c r="BA154" s="76"/>
      <c r="BB154" s="78"/>
      <c r="BC154" s="76"/>
      <c r="BD154" s="78"/>
      <c r="BE154" s="76"/>
      <c r="BF154" s="78"/>
      <c r="BG154" s="76"/>
      <c r="BH154" s="78"/>
      <c r="BI154" s="76"/>
      <c r="BJ154" s="78"/>
      <c r="BK154" s="76"/>
      <c r="BL154" s="78"/>
      <c r="BM154" s="76"/>
      <c r="BN154" s="78"/>
      <c r="BO154" s="76"/>
      <c r="BP154" s="78">
        <f t="shared" ref="BP154" si="256">+ROUND(BO154*$I154,0)</f>
        <v>0</v>
      </c>
      <c r="BQ154" s="76"/>
      <c r="BR154" s="78"/>
      <c r="BS154" s="76"/>
      <c r="BT154" s="78"/>
      <c r="BU154" s="76"/>
      <c r="BV154" s="78"/>
      <c r="BW154" s="76"/>
      <c r="BX154" s="78"/>
      <c r="BY154" s="76"/>
      <c r="BZ154" s="78"/>
      <c r="CA154" s="76"/>
      <c r="CB154" s="78"/>
      <c r="CC154" s="76"/>
      <c r="CD154" s="78"/>
      <c r="CE154" s="76"/>
      <c r="CF154" s="78"/>
    </row>
    <row r="155" spans="1:84"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204"/>
        <v>0</v>
      </c>
      <c r="H155" s="69">
        <f>+VLOOKUP(C155,'PRECIOS IDU 2025'!$A$1:$E$3189,4,FALSE)</f>
        <v>298533</v>
      </c>
      <c r="I155" s="69">
        <f t="shared" si="205"/>
        <v>388093</v>
      </c>
      <c r="J155" s="69">
        <f t="shared" si="206"/>
        <v>0</v>
      </c>
      <c r="K155" s="9"/>
      <c r="L155" s="3"/>
      <c r="M155" s="76"/>
      <c r="N155" s="78"/>
      <c r="O155" s="76"/>
      <c r="P155" s="78"/>
      <c r="Q155" s="76"/>
      <c r="R155" s="78"/>
      <c r="S155" s="76"/>
      <c r="T155" s="78"/>
      <c r="U155" s="76"/>
      <c r="V155" s="78"/>
      <c r="W155" s="76"/>
      <c r="X155" s="78"/>
      <c r="Y155" s="76"/>
      <c r="Z155" s="78"/>
      <c r="AA155" s="76"/>
      <c r="AB155" s="78"/>
      <c r="AC155" s="76"/>
      <c r="AD155" s="78"/>
      <c r="AE155" s="76"/>
      <c r="AF155" s="78"/>
      <c r="AG155" s="76"/>
      <c r="AH155" s="78"/>
      <c r="AI155" s="76"/>
      <c r="AJ155" s="78"/>
      <c r="AK155" s="76"/>
      <c r="AL155" s="78"/>
      <c r="AM155" s="76"/>
      <c r="AN155" s="78"/>
      <c r="AO155" s="76"/>
      <c r="AP155" s="78"/>
      <c r="AQ155" s="76"/>
      <c r="AR155" s="78"/>
      <c r="AS155" s="76"/>
      <c r="AT155" s="78"/>
      <c r="AU155" s="76"/>
      <c r="AV155" s="78"/>
      <c r="AW155" s="76"/>
      <c r="AX155" s="78"/>
      <c r="AY155" s="76"/>
      <c r="AZ155" s="78">
        <f t="shared" ref="AZ155" si="257">+ROUND(AY155*$I155,0)</f>
        <v>0</v>
      </c>
      <c r="BA155" s="76"/>
      <c r="BB155" s="78"/>
      <c r="BC155" s="76"/>
      <c r="BD155" s="78"/>
      <c r="BE155" s="76"/>
      <c r="BF155" s="78"/>
      <c r="BG155" s="76"/>
      <c r="BH155" s="78"/>
      <c r="BI155" s="76"/>
      <c r="BJ155" s="78"/>
      <c r="BK155" s="76"/>
      <c r="BL155" s="78"/>
      <c r="BM155" s="76"/>
      <c r="BN155" s="78"/>
      <c r="BO155" s="76"/>
      <c r="BP155" s="78">
        <f t="shared" ref="BP155" si="258">+ROUND(BO155*$I155,0)</f>
        <v>0</v>
      </c>
      <c r="BQ155" s="76"/>
      <c r="BR155" s="78"/>
      <c r="BS155" s="76"/>
      <c r="BT155" s="78"/>
      <c r="BU155" s="76"/>
      <c r="BV155" s="78"/>
      <c r="BW155" s="76"/>
      <c r="BX155" s="78"/>
      <c r="BY155" s="76"/>
      <c r="BZ155" s="78"/>
      <c r="CA155" s="76"/>
      <c r="CB155" s="78"/>
      <c r="CC155" s="76"/>
      <c r="CD155" s="78"/>
      <c r="CE155" s="76"/>
      <c r="CF155" s="78"/>
    </row>
    <row r="156" spans="1:84"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204"/>
        <v>0</v>
      </c>
      <c r="H156" s="69">
        <f>+VLOOKUP(C156,'PRECIOS IDU 2025'!$A$1:$E$3189,4,FALSE)</f>
        <v>298533</v>
      </c>
      <c r="I156" s="69">
        <f t="shared" si="205"/>
        <v>388093</v>
      </c>
      <c r="J156" s="69">
        <f t="shared" si="206"/>
        <v>0</v>
      </c>
      <c r="K156" s="9"/>
      <c r="L156" s="3"/>
      <c r="M156" s="76"/>
      <c r="N156" s="78"/>
      <c r="O156" s="76"/>
      <c r="P156" s="78"/>
      <c r="Q156" s="76"/>
      <c r="R156" s="78"/>
      <c r="S156" s="76"/>
      <c r="T156" s="78"/>
      <c r="U156" s="76"/>
      <c r="V156" s="78"/>
      <c r="W156" s="76"/>
      <c r="X156" s="78"/>
      <c r="Y156" s="76"/>
      <c r="Z156" s="78"/>
      <c r="AA156" s="76"/>
      <c r="AB156" s="78"/>
      <c r="AC156" s="76"/>
      <c r="AD156" s="78"/>
      <c r="AE156" s="76"/>
      <c r="AF156" s="78"/>
      <c r="AG156" s="76"/>
      <c r="AH156" s="78"/>
      <c r="AI156" s="76"/>
      <c r="AJ156" s="78"/>
      <c r="AK156" s="76"/>
      <c r="AL156" s="78"/>
      <c r="AM156" s="76"/>
      <c r="AN156" s="78"/>
      <c r="AO156" s="76"/>
      <c r="AP156" s="78"/>
      <c r="AQ156" s="76"/>
      <c r="AR156" s="78"/>
      <c r="AS156" s="76"/>
      <c r="AT156" s="78"/>
      <c r="AU156" s="76"/>
      <c r="AV156" s="78"/>
      <c r="AW156" s="76"/>
      <c r="AX156" s="78"/>
      <c r="AY156" s="76"/>
      <c r="AZ156" s="78">
        <f t="shared" ref="AZ156" si="259">+ROUND(AY156*$I156,0)</f>
        <v>0</v>
      </c>
      <c r="BA156" s="76"/>
      <c r="BB156" s="78"/>
      <c r="BC156" s="76"/>
      <c r="BD156" s="78"/>
      <c r="BE156" s="76"/>
      <c r="BF156" s="78"/>
      <c r="BG156" s="76"/>
      <c r="BH156" s="78"/>
      <c r="BI156" s="76"/>
      <c r="BJ156" s="78"/>
      <c r="BK156" s="76"/>
      <c r="BL156" s="78"/>
      <c r="BM156" s="76"/>
      <c r="BN156" s="78"/>
      <c r="BO156" s="76"/>
      <c r="BP156" s="78">
        <f t="shared" ref="BP156" si="260">+ROUND(BO156*$I156,0)</f>
        <v>0</v>
      </c>
      <c r="BQ156" s="76"/>
      <c r="BR156" s="78"/>
      <c r="BS156" s="76"/>
      <c r="BT156" s="78"/>
      <c r="BU156" s="76"/>
      <c r="BV156" s="78"/>
      <c r="BW156" s="76"/>
      <c r="BX156" s="78"/>
      <c r="BY156" s="76"/>
      <c r="BZ156" s="78"/>
      <c r="CA156" s="76"/>
      <c r="CB156" s="78"/>
      <c r="CC156" s="76"/>
      <c r="CD156" s="78"/>
      <c r="CE156" s="76"/>
      <c r="CF156" s="78"/>
    </row>
    <row r="157" spans="1:84"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204"/>
        <v>0</v>
      </c>
      <c r="H157" s="69">
        <f>+VLOOKUP(C157,'PRECIOS IDU 2025'!$A$1:$E$3189,4,FALSE)</f>
        <v>309435</v>
      </c>
      <c r="I157" s="69">
        <f t="shared" si="205"/>
        <v>402266</v>
      </c>
      <c r="J157" s="69">
        <f t="shared" si="206"/>
        <v>0</v>
      </c>
      <c r="K157" s="9"/>
      <c r="L157" s="3"/>
      <c r="M157" s="76"/>
      <c r="N157" s="78"/>
      <c r="O157" s="76"/>
      <c r="P157" s="78"/>
      <c r="Q157" s="76"/>
      <c r="R157" s="78"/>
      <c r="S157" s="76"/>
      <c r="T157" s="78"/>
      <c r="U157" s="76"/>
      <c r="V157" s="78"/>
      <c r="W157" s="76"/>
      <c r="X157" s="78"/>
      <c r="Y157" s="76"/>
      <c r="Z157" s="78"/>
      <c r="AA157" s="76"/>
      <c r="AB157" s="78"/>
      <c r="AC157" s="76"/>
      <c r="AD157" s="78"/>
      <c r="AE157" s="76"/>
      <c r="AF157" s="78"/>
      <c r="AG157" s="76"/>
      <c r="AH157" s="78"/>
      <c r="AI157" s="76"/>
      <c r="AJ157" s="78"/>
      <c r="AK157" s="76"/>
      <c r="AL157" s="78"/>
      <c r="AM157" s="76"/>
      <c r="AN157" s="78"/>
      <c r="AO157" s="76"/>
      <c r="AP157" s="78"/>
      <c r="AQ157" s="76"/>
      <c r="AR157" s="78"/>
      <c r="AS157" s="76"/>
      <c r="AT157" s="78"/>
      <c r="AU157" s="76"/>
      <c r="AV157" s="78"/>
      <c r="AW157" s="76"/>
      <c r="AX157" s="78"/>
      <c r="AY157" s="76"/>
      <c r="AZ157" s="78">
        <f t="shared" ref="AZ157" si="261">+ROUND(AY157*$I157,0)</f>
        <v>0</v>
      </c>
      <c r="BA157" s="76"/>
      <c r="BB157" s="78"/>
      <c r="BC157" s="76"/>
      <c r="BD157" s="78"/>
      <c r="BE157" s="76"/>
      <c r="BF157" s="78"/>
      <c r="BG157" s="76"/>
      <c r="BH157" s="78"/>
      <c r="BI157" s="76"/>
      <c r="BJ157" s="78"/>
      <c r="BK157" s="76"/>
      <c r="BL157" s="78"/>
      <c r="BM157" s="76"/>
      <c r="BN157" s="78"/>
      <c r="BO157" s="76"/>
      <c r="BP157" s="78">
        <f t="shared" ref="BP157" si="262">+ROUND(BO157*$I157,0)</f>
        <v>0</v>
      </c>
      <c r="BQ157" s="76"/>
      <c r="BR157" s="78"/>
      <c r="BS157" s="76"/>
      <c r="BT157" s="78"/>
      <c r="BU157" s="76"/>
      <c r="BV157" s="78"/>
      <c r="BW157" s="76"/>
      <c r="BX157" s="78"/>
      <c r="BY157" s="76"/>
      <c r="BZ157" s="78"/>
      <c r="CA157" s="76"/>
      <c r="CB157" s="78"/>
      <c r="CC157" s="76"/>
      <c r="CD157" s="78"/>
      <c r="CE157" s="76"/>
      <c r="CF157" s="78"/>
    </row>
    <row r="158" spans="1:84"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204"/>
        <v>0</v>
      </c>
      <c r="H158" s="69">
        <f>+VLOOKUP(C158,'PRECIOS IDU 2025'!$A$1:$E$3189,4,FALSE)</f>
        <v>191968</v>
      </c>
      <c r="I158" s="69">
        <f t="shared" si="205"/>
        <v>249558</v>
      </c>
      <c r="J158" s="69">
        <f t="shared" si="206"/>
        <v>0</v>
      </c>
      <c r="K158" s="9"/>
      <c r="L158" s="3"/>
      <c r="M158" s="76"/>
      <c r="N158" s="78"/>
      <c r="O158" s="76"/>
      <c r="P158" s="78"/>
      <c r="Q158" s="76"/>
      <c r="R158" s="78"/>
      <c r="S158" s="76"/>
      <c r="T158" s="78"/>
      <c r="U158" s="76"/>
      <c r="V158" s="78"/>
      <c r="W158" s="76"/>
      <c r="X158" s="78"/>
      <c r="Y158" s="76"/>
      <c r="Z158" s="78"/>
      <c r="AA158" s="76"/>
      <c r="AB158" s="78"/>
      <c r="AC158" s="76"/>
      <c r="AD158" s="78"/>
      <c r="AE158" s="76"/>
      <c r="AF158" s="78"/>
      <c r="AG158" s="76"/>
      <c r="AH158" s="78"/>
      <c r="AI158" s="76"/>
      <c r="AJ158" s="78"/>
      <c r="AK158" s="76"/>
      <c r="AL158" s="78"/>
      <c r="AM158" s="76"/>
      <c r="AN158" s="78"/>
      <c r="AO158" s="76"/>
      <c r="AP158" s="78"/>
      <c r="AQ158" s="76"/>
      <c r="AR158" s="78"/>
      <c r="AS158" s="76"/>
      <c r="AT158" s="78"/>
      <c r="AU158" s="76"/>
      <c r="AV158" s="78"/>
      <c r="AW158" s="76"/>
      <c r="AX158" s="78"/>
      <c r="AY158" s="76"/>
      <c r="AZ158" s="78">
        <f t="shared" ref="AZ158" si="263">+ROUND(AY158*$I158,0)</f>
        <v>0</v>
      </c>
      <c r="BA158" s="76"/>
      <c r="BB158" s="78"/>
      <c r="BC158" s="76"/>
      <c r="BD158" s="78"/>
      <c r="BE158" s="76"/>
      <c r="BF158" s="78"/>
      <c r="BG158" s="76"/>
      <c r="BH158" s="78"/>
      <c r="BI158" s="76"/>
      <c r="BJ158" s="78"/>
      <c r="BK158" s="76"/>
      <c r="BL158" s="78"/>
      <c r="BM158" s="76"/>
      <c r="BN158" s="78"/>
      <c r="BO158" s="76"/>
      <c r="BP158" s="78">
        <f t="shared" ref="BP158" si="264">+ROUND(BO158*$I158,0)</f>
        <v>0</v>
      </c>
      <c r="BQ158" s="76"/>
      <c r="BR158" s="78"/>
      <c r="BS158" s="76"/>
      <c r="BT158" s="78"/>
      <c r="BU158" s="76"/>
      <c r="BV158" s="78"/>
      <c r="BW158" s="76"/>
      <c r="BX158" s="78"/>
      <c r="BY158" s="76"/>
      <c r="BZ158" s="78"/>
      <c r="CA158" s="76"/>
      <c r="CB158" s="78"/>
      <c r="CC158" s="76"/>
      <c r="CD158" s="78"/>
      <c r="CE158" s="76"/>
      <c r="CF158" s="78"/>
    </row>
    <row r="159" spans="1:84"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204"/>
        <v>0</v>
      </c>
      <c r="H159" s="69">
        <f>+VLOOKUP(C159,'PRECIOS IDU 2025'!$A$1:$E$3189,4,FALSE)</f>
        <v>622071</v>
      </c>
      <c r="I159" s="69">
        <f t="shared" si="205"/>
        <v>808692</v>
      </c>
      <c r="J159" s="69">
        <f t="shared" si="206"/>
        <v>0</v>
      </c>
      <c r="K159" s="9"/>
      <c r="L159" s="3"/>
      <c r="M159" s="76"/>
      <c r="N159" s="78"/>
      <c r="O159" s="76"/>
      <c r="P159" s="78"/>
      <c r="Q159" s="76"/>
      <c r="R159" s="78"/>
      <c r="S159" s="76"/>
      <c r="T159" s="78"/>
      <c r="U159" s="76"/>
      <c r="V159" s="78"/>
      <c r="W159" s="76"/>
      <c r="X159" s="78"/>
      <c r="Y159" s="76"/>
      <c r="Z159" s="78"/>
      <c r="AA159" s="76"/>
      <c r="AB159" s="78"/>
      <c r="AC159" s="76"/>
      <c r="AD159" s="78"/>
      <c r="AE159" s="76"/>
      <c r="AF159" s="78"/>
      <c r="AG159" s="76"/>
      <c r="AH159" s="78"/>
      <c r="AI159" s="76"/>
      <c r="AJ159" s="78"/>
      <c r="AK159" s="76"/>
      <c r="AL159" s="78"/>
      <c r="AM159" s="76"/>
      <c r="AN159" s="78"/>
      <c r="AO159" s="76"/>
      <c r="AP159" s="78"/>
      <c r="AQ159" s="76"/>
      <c r="AR159" s="78"/>
      <c r="AS159" s="76"/>
      <c r="AT159" s="78"/>
      <c r="AU159" s="76"/>
      <c r="AV159" s="78"/>
      <c r="AW159" s="76"/>
      <c r="AX159" s="78"/>
      <c r="AY159" s="76"/>
      <c r="AZ159" s="78">
        <f t="shared" ref="AZ159" si="265">+ROUND(AY159*$I159,0)</f>
        <v>0</v>
      </c>
      <c r="BA159" s="76"/>
      <c r="BB159" s="78"/>
      <c r="BC159" s="76"/>
      <c r="BD159" s="78"/>
      <c r="BE159" s="76"/>
      <c r="BF159" s="78"/>
      <c r="BG159" s="76"/>
      <c r="BH159" s="78"/>
      <c r="BI159" s="76"/>
      <c r="BJ159" s="78"/>
      <c r="BK159" s="76"/>
      <c r="BL159" s="78"/>
      <c r="BM159" s="76"/>
      <c r="BN159" s="78"/>
      <c r="BO159" s="76"/>
      <c r="BP159" s="78">
        <f t="shared" ref="BP159" si="266">+ROUND(BO159*$I159,0)</f>
        <v>0</v>
      </c>
      <c r="BQ159" s="76"/>
      <c r="BR159" s="78"/>
      <c r="BS159" s="76"/>
      <c r="BT159" s="78"/>
      <c r="BU159" s="76"/>
      <c r="BV159" s="78"/>
      <c r="BW159" s="76"/>
      <c r="BX159" s="78"/>
      <c r="BY159" s="76"/>
      <c r="BZ159" s="78"/>
      <c r="CA159" s="76"/>
      <c r="CB159" s="78"/>
      <c r="CC159" s="76"/>
      <c r="CD159" s="78"/>
      <c r="CE159" s="76"/>
      <c r="CF159" s="78"/>
    </row>
    <row r="160" spans="1:84" ht="30" customHeight="1" x14ac:dyDescent="0.3">
      <c r="A160" s="3"/>
      <c r="B160" s="8"/>
      <c r="C160" s="60">
        <v>7830</v>
      </c>
      <c r="D160" s="60">
        <v>6031</v>
      </c>
      <c r="E160" s="60" t="e">
        <f>+VLOOKUP(C160,'PRECIOS IDU 2025'!$A$1:$E$3189,2,FALSE)</f>
        <v>#N/A</v>
      </c>
      <c r="F160" s="60" t="e">
        <f>+VLOOKUP(C160,'PRECIOS IDU 2025'!$A$1:$E$3189,3,FALSE)</f>
        <v>#N/A</v>
      </c>
      <c r="G160" s="108">
        <f t="shared" si="204"/>
        <v>0</v>
      </c>
      <c r="H160" s="69" t="e">
        <f>+VLOOKUP(C160,'PRECIOS IDU 2025'!$A$1:$E$3189,4,FALSE)</f>
        <v>#N/A</v>
      </c>
      <c r="I160" s="69" t="e">
        <f t="shared" si="205"/>
        <v>#N/A</v>
      </c>
      <c r="J160" s="69" t="e">
        <f t="shared" si="206"/>
        <v>#N/A</v>
      </c>
      <c r="K160" s="9"/>
      <c r="L160" s="3"/>
      <c r="M160" s="76"/>
      <c r="N160" s="78"/>
      <c r="O160" s="76"/>
      <c r="P160" s="78"/>
      <c r="Q160" s="76"/>
      <c r="R160" s="78"/>
      <c r="S160" s="76"/>
      <c r="T160" s="78"/>
      <c r="U160" s="76"/>
      <c r="V160" s="78"/>
      <c r="W160" s="76"/>
      <c r="X160" s="78"/>
      <c r="Y160" s="76"/>
      <c r="Z160" s="78"/>
      <c r="AA160" s="76"/>
      <c r="AB160" s="78"/>
      <c r="AC160" s="76"/>
      <c r="AD160" s="78"/>
      <c r="AE160" s="76"/>
      <c r="AF160" s="78"/>
      <c r="AG160" s="76"/>
      <c r="AH160" s="78"/>
      <c r="AI160" s="76"/>
      <c r="AJ160" s="78"/>
      <c r="AK160" s="76"/>
      <c r="AL160" s="78"/>
      <c r="AM160" s="76"/>
      <c r="AN160" s="78"/>
      <c r="AO160" s="76"/>
      <c r="AP160" s="78"/>
      <c r="AQ160" s="76"/>
      <c r="AR160" s="78"/>
      <c r="AS160" s="76"/>
      <c r="AT160" s="78"/>
      <c r="AU160" s="76"/>
      <c r="AV160" s="78"/>
      <c r="AW160" s="76"/>
      <c r="AX160" s="78"/>
      <c r="AY160" s="76"/>
      <c r="AZ160" s="78" t="e">
        <f t="shared" ref="AZ160" si="267">+ROUND(AY160*$I160,0)</f>
        <v>#N/A</v>
      </c>
      <c r="BA160" s="76"/>
      <c r="BB160" s="78"/>
      <c r="BC160" s="76"/>
      <c r="BD160" s="78"/>
      <c r="BE160" s="76"/>
      <c r="BF160" s="78"/>
      <c r="BG160" s="76"/>
      <c r="BH160" s="78"/>
      <c r="BI160" s="76"/>
      <c r="BJ160" s="78"/>
      <c r="BK160" s="76"/>
      <c r="BL160" s="78"/>
      <c r="BM160" s="76"/>
      <c r="BN160" s="78"/>
      <c r="BO160" s="76"/>
      <c r="BP160" s="78" t="e">
        <f t="shared" ref="BP160" si="268">+ROUND(BO160*$I160,0)</f>
        <v>#N/A</v>
      </c>
      <c r="BQ160" s="76"/>
      <c r="BR160" s="78"/>
      <c r="BS160" s="76"/>
      <c r="BT160" s="78"/>
      <c r="BU160" s="76"/>
      <c r="BV160" s="78"/>
      <c r="BW160" s="76"/>
      <c r="BX160" s="78"/>
      <c r="BY160" s="76"/>
      <c r="BZ160" s="78"/>
      <c r="CA160" s="76"/>
      <c r="CB160" s="78"/>
      <c r="CC160" s="76"/>
      <c r="CD160" s="78"/>
      <c r="CE160" s="76"/>
      <c r="CF160" s="78"/>
    </row>
    <row r="161" spans="1:84" ht="30" customHeight="1" x14ac:dyDescent="0.3">
      <c r="A161" s="3"/>
      <c r="B161" s="8"/>
      <c r="C161" s="60">
        <v>7831</v>
      </c>
      <c r="D161" s="60">
        <v>6032</v>
      </c>
      <c r="E161" s="60" t="e">
        <f>+VLOOKUP(C161,'PRECIOS IDU 2025'!$A$1:$E$3189,2,FALSE)</f>
        <v>#N/A</v>
      </c>
      <c r="F161" s="60" t="e">
        <f>+VLOOKUP(C161,'PRECIOS IDU 2025'!$A$1:$E$3189,3,FALSE)</f>
        <v>#N/A</v>
      </c>
      <c r="G161" s="108">
        <f t="shared" si="204"/>
        <v>0</v>
      </c>
      <c r="H161" s="69" t="e">
        <f>+VLOOKUP(C161,'PRECIOS IDU 2025'!$A$1:$E$3189,4,FALSE)</f>
        <v>#N/A</v>
      </c>
      <c r="I161" s="69" t="e">
        <f t="shared" si="205"/>
        <v>#N/A</v>
      </c>
      <c r="J161" s="69" t="e">
        <f t="shared" si="206"/>
        <v>#N/A</v>
      </c>
      <c r="K161" s="9"/>
      <c r="L161" s="3"/>
      <c r="M161" s="76"/>
      <c r="N161" s="78"/>
      <c r="O161" s="76"/>
      <c r="P161" s="78"/>
      <c r="Q161" s="76"/>
      <c r="R161" s="78"/>
      <c r="S161" s="76"/>
      <c r="T161" s="78"/>
      <c r="U161" s="76"/>
      <c r="V161" s="78"/>
      <c r="W161" s="76"/>
      <c r="X161" s="78"/>
      <c r="Y161" s="76"/>
      <c r="Z161" s="78"/>
      <c r="AA161" s="76"/>
      <c r="AB161" s="78"/>
      <c r="AC161" s="76"/>
      <c r="AD161" s="78"/>
      <c r="AE161" s="76"/>
      <c r="AF161" s="78"/>
      <c r="AG161" s="76"/>
      <c r="AH161" s="78"/>
      <c r="AI161" s="76"/>
      <c r="AJ161" s="78"/>
      <c r="AK161" s="76"/>
      <c r="AL161" s="78"/>
      <c r="AM161" s="76"/>
      <c r="AN161" s="78"/>
      <c r="AO161" s="76"/>
      <c r="AP161" s="78"/>
      <c r="AQ161" s="76"/>
      <c r="AR161" s="78"/>
      <c r="AS161" s="76"/>
      <c r="AT161" s="78"/>
      <c r="AU161" s="76"/>
      <c r="AV161" s="78"/>
      <c r="AW161" s="76"/>
      <c r="AX161" s="78"/>
      <c r="AY161" s="76"/>
      <c r="AZ161" s="78" t="e">
        <f t="shared" ref="AZ161" si="269">+ROUND(AY161*$I161,0)</f>
        <v>#N/A</v>
      </c>
      <c r="BA161" s="76"/>
      <c r="BB161" s="78"/>
      <c r="BC161" s="76"/>
      <c r="BD161" s="78"/>
      <c r="BE161" s="76"/>
      <c r="BF161" s="78"/>
      <c r="BG161" s="76"/>
      <c r="BH161" s="78"/>
      <c r="BI161" s="76"/>
      <c r="BJ161" s="78"/>
      <c r="BK161" s="76"/>
      <c r="BL161" s="78"/>
      <c r="BM161" s="76"/>
      <c r="BN161" s="78"/>
      <c r="BO161" s="76"/>
      <c r="BP161" s="78" t="e">
        <f t="shared" ref="BP161" si="270">+ROUND(BO161*$I161,0)</f>
        <v>#N/A</v>
      </c>
      <c r="BQ161" s="76"/>
      <c r="BR161" s="78"/>
      <c r="BS161" s="76"/>
      <c r="BT161" s="78"/>
      <c r="BU161" s="76"/>
      <c r="BV161" s="78"/>
      <c r="BW161" s="76"/>
      <c r="BX161" s="78"/>
      <c r="BY161" s="76"/>
      <c r="BZ161" s="78"/>
      <c r="CA161" s="76"/>
      <c r="CB161" s="78"/>
      <c r="CC161" s="76"/>
      <c r="CD161" s="78"/>
      <c r="CE161" s="76"/>
      <c r="CF161" s="78"/>
    </row>
    <row r="162" spans="1:84"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204"/>
        <v>0</v>
      </c>
      <c r="H162" s="69">
        <f>+VLOOKUP(C162,'PRECIOS IDU 2025'!$A$1:$E$3189,4,FALSE)</f>
        <v>407062</v>
      </c>
      <c r="I162" s="69">
        <f t="shared" si="205"/>
        <v>529181</v>
      </c>
      <c r="J162" s="69">
        <f t="shared" si="206"/>
        <v>0</v>
      </c>
      <c r="K162" s="9"/>
      <c r="L162" s="3"/>
      <c r="M162" s="76"/>
      <c r="N162" s="78"/>
      <c r="O162" s="76"/>
      <c r="P162" s="78"/>
      <c r="Q162" s="76"/>
      <c r="R162" s="78"/>
      <c r="S162" s="76"/>
      <c r="T162" s="78"/>
      <c r="U162" s="76"/>
      <c r="V162" s="78"/>
      <c r="W162" s="76"/>
      <c r="X162" s="78"/>
      <c r="Y162" s="76"/>
      <c r="Z162" s="78"/>
      <c r="AA162" s="76"/>
      <c r="AB162" s="78"/>
      <c r="AC162" s="76"/>
      <c r="AD162" s="78"/>
      <c r="AE162" s="76"/>
      <c r="AF162" s="78"/>
      <c r="AG162" s="76"/>
      <c r="AH162" s="78"/>
      <c r="AI162" s="76"/>
      <c r="AJ162" s="78"/>
      <c r="AK162" s="76"/>
      <c r="AL162" s="78"/>
      <c r="AM162" s="76"/>
      <c r="AN162" s="78"/>
      <c r="AO162" s="76"/>
      <c r="AP162" s="78"/>
      <c r="AQ162" s="76"/>
      <c r="AR162" s="78"/>
      <c r="AS162" s="76"/>
      <c r="AT162" s="78"/>
      <c r="AU162" s="76"/>
      <c r="AV162" s="78"/>
      <c r="AW162" s="76"/>
      <c r="AX162" s="78"/>
      <c r="AY162" s="76"/>
      <c r="AZ162" s="78">
        <f t="shared" ref="AZ162" si="271">+ROUND(AY162*$I162,0)</f>
        <v>0</v>
      </c>
      <c r="BA162" s="76"/>
      <c r="BB162" s="78"/>
      <c r="BC162" s="76"/>
      <c r="BD162" s="78"/>
      <c r="BE162" s="76"/>
      <c r="BF162" s="78"/>
      <c r="BG162" s="76"/>
      <c r="BH162" s="78"/>
      <c r="BI162" s="76"/>
      <c r="BJ162" s="78"/>
      <c r="BK162" s="76"/>
      <c r="BL162" s="78"/>
      <c r="BM162" s="76"/>
      <c r="BN162" s="78"/>
      <c r="BO162" s="76"/>
      <c r="BP162" s="78">
        <f t="shared" ref="BP162" si="272">+ROUND(BO162*$I162,0)</f>
        <v>0</v>
      </c>
      <c r="BQ162" s="76"/>
      <c r="BR162" s="78"/>
      <c r="BS162" s="76"/>
      <c r="BT162" s="78"/>
      <c r="BU162" s="76"/>
      <c r="BV162" s="78"/>
      <c r="BW162" s="76"/>
      <c r="BX162" s="78"/>
      <c r="BY162" s="76"/>
      <c r="BZ162" s="78"/>
      <c r="CA162" s="76"/>
      <c r="CB162" s="78"/>
      <c r="CC162" s="76"/>
      <c r="CD162" s="78"/>
      <c r="CE162" s="76"/>
      <c r="CF162" s="78"/>
    </row>
    <row r="163" spans="1:84"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204"/>
        <v>0</v>
      </c>
      <c r="H163" s="69">
        <f>+VLOOKUP(C163,'PRECIOS IDU 2025'!$A$1:$E$3189,4,FALSE)</f>
        <v>7624362</v>
      </c>
      <c r="I163" s="69">
        <f t="shared" si="205"/>
        <v>9911671</v>
      </c>
      <c r="J163" s="69">
        <f t="shared" si="206"/>
        <v>0</v>
      </c>
      <c r="K163" s="9"/>
      <c r="L163" s="3"/>
      <c r="M163" s="76"/>
      <c r="N163" s="78"/>
      <c r="O163" s="76"/>
      <c r="P163" s="78"/>
      <c r="Q163" s="76"/>
      <c r="R163" s="78"/>
      <c r="S163" s="76"/>
      <c r="T163" s="78"/>
      <c r="U163" s="76"/>
      <c r="V163" s="78"/>
      <c r="W163" s="76"/>
      <c r="X163" s="78"/>
      <c r="Y163" s="76"/>
      <c r="Z163" s="78"/>
      <c r="AA163" s="76"/>
      <c r="AB163" s="78"/>
      <c r="AC163" s="76"/>
      <c r="AD163" s="78"/>
      <c r="AE163" s="76"/>
      <c r="AF163" s="78"/>
      <c r="AG163" s="76"/>
      <c r="AH163" s="78"/>
      <c r="AI163" s="76"/>
      <c r="AJ163" s="78"/>
      <c r="AK163" s="76"/>
      <c r="AL163" s="78"/>
      <c r="AM163" s="76"/>
      <c r="AN163" s="78"/>
      <c r="AO163" s="76"/>
      <c r="AP163" s="78"/>
      <c r="AQ163" s="76"/>
      <c r="AR163" s="78"/>
      <c r="AS163" s="76"/>
      <c r="AT163" s="78"/>
      <c r="AU163" s="76"/>
      <c r="AV163" s="78"/>
      <c r="AW163" s="76"/>
      <c r="AX163" s="78"/>
      <c r="AY163" s="76"/>
      <c r="AZ163" s="78">
        <f t="shared" ref="AZ163" si="273">+ROUND(AY163*$I163,0)</f>
        <v>0</v>
      </c>
      <c r="BA163" s="76"/>
      <c r="BB163" s="78"/>
      <c r="BC163" s="76"/>
      <c r="BD163" s="78"/>
      <c r="BE163" s="76"/>
      <c r="BF163" s="78"/>
      <c r="BG163" s="76"/>
      <c r="BH163" s="78"/>
      <c r="BI163" s="76"/>
      <c r="BJ163" s="78"/>
      <c r="BK163" s="76"/>
      <c r="BL163" s="78"/>
      <c r="BM163" s="76"/>
      <c r="BN163" s="78"/>
      <c r="BO163" s="76"/>
      <c r="BP163" s="78">
        <f t="shared" ref="BP163" si="274">+ROUND(BO163*$I163,0)</f>
        <v>0</v>
      </c>
      <c r="BQ163" s="76"/>
      <c r="BR163" s="78"/>
      <c r="BS163" s="76"/>
      <c r="BT163" s="78"/>
      <c r="BU163" s="76"/>
      <c r="BV163" s="78"/>
      <c r="BW163" s="76"/>
      <c r="BX163" s="78"/>
      <c r="BY163" s="76"/>
      <c r="BZ163" s="78"/>
      <c r="CA163" s="76"/>
      <c r="CB163" s="78"/>
      <c r="CC163" s="76"/>
      <c r="CD163" s="78"/>
      <c r="CE163" s="76"/>
      <c r="CF163" s="78"/>
    </row>
    <row r="164" spans="1:84" ht="30" customHeight="1" x14ac:dyDescent="0.3">
      <c r="A164" s="3"/>
      <c r="B164" s="8"/>
      <c r="C164" s="66" t="s">
        <v>6082</v>
      </c>
      <c r="D164" s="67"/>
      <c r="E164" s="67"/>
      <c r="F164" s="67"/>
      <c r="G164" s="67"/>
      <c r="H164" s="67"/>
      <c r="I164" s="67"/>
      <c r="J164" s="68"/>
      <c r="K164" s="9"/>
      <c r="L164" s="3"/>
      <c r="M164" s="76"/>
      <c r="N164" s="78"/>
      <c r="O164" s="76"/>
      <c r="P164" s="78"/>
      <c r="Q164" s="76"/>
      <c r="R164" s="78"/>
      <c r="S164" s="76"/>
      <c r="T164" s="78"/>
      <c r="U164" s="76"/>
      <c r="V164" s="78"/>
      <c r="W164" s="76"/>
      <c r="X164" s="78"/>
      <c r="Y164" s="76"/>
      <c r="Z164" s="78"/>
      <c r="AA164" s="76"/>
      <c r="AB164" s="78"/>
      <c r="AC164" s="76"/>
      <c r="AD164" s="78"/>
      <c r="AE164" s="76"/>
      <c r="AF164" s="78"/>
      <c r="AG164" s="76"/>
      <c r="AH164" s="78"/>
      <c r="AI164" s="76"/>
      <c r="AJ164" s="78"/>
      <c r="AK164" s="76"/>
      <c r="AL164" s="78"/>
      <c r="AM164" s="76"/>
      <c r="AN164" s="78"/>
      <c r="AO164" s="76"/>
      <c r="AP164" s="78"/>
      <c r="AQ164" s="76"/>
      <c r="AR164" s="78"/>
      <c r="AS164" s="76"/>
      <c r="AT164" s="78"/>
      <c r="AU164" s="76"/>
      <c r="AV164" s="78"/>
      <c r="AW164" s="76"/>
      <c r="AX164" s="78"/>
      <c r="AY164" s="76"/>
      <c r="AZ164" s="78">
        <f t="shared" ref="AZ164" si="275">+ROUND(AY164*$I164,0)</f>
        <v>0</v>
      </c>
      <c r="BA164" s="76"/>
      <c r="BB164" s="78"/>
      <c r="BC164" s="76"/>
      <c r="BD164" s="78"/>
      <c r="BE164" s="76"/>
      <c r="BF164" s="78"/>
      <c r="BG164" s="76"/>
      <c r="BH164" s="78"/>
      <c r="BI164" s="76"/>
      <c r="BJ164" s="78"/>
      <c r="BK164" s="76"/>
      <c r="BL164" s="78"/>
      <c r="BM164" s="76"/>
      <c r="BN164" s="78"/>
      <c r="BO164" s="76"/>
      <c r="BP164" s="78">
        <f t="shared" ref="BP164" si="276">+ROUND(BO164*$I164,0)</f>
        <v>0</v>
      </c>
      <c r="BQ164" s="76"/>
      <c r="BR164" s="78"/>
      <c r="BS164" s="76"/>
      <c r="BT164" s="78"/>
      <c r="BU164" s="76"/>
      <c r="BV164" s="78"/>
      <c r="BW164" s="76"/>
      <c r="BX164" s="78"/>
      <c r="BY164" s="76"/>
      <c r="BZ164" s="78"/>
      <c r="CA164" s="76"/>
      <c r="CB164" s="78"/>
      <c r="CC164" s="76"/>
      <c r="CD164" s="78"/>
      <c r="CE164" s="76"/>
      <c r="CF164" s="78"/>
    </row>
    <row r="165" spans="1:84"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277">+ROUND(M165+O165+Q165+S165+U165+W165+Y165+AA165+AC165+AE165+AG165+AI165+AK165+AM165+AO165+AQ165+AS165+AU165+AW165+AY165+BA165+BC165+BE165+BG165+BI165+BK165+BM165+BO165+BQ165+BS165+BU165+BW165+BY165+CA165+CC165+CE165,2)</f>
        <v>413.72</v>
      </c>
      <c r="H165" s="69">
        <f>+VLOOKUP(C165,'PRECIOS IDU 2025'!$A$1:$E$3189,4,FALSE)</f>
        <v>18177</v>
      </c>
      <c r="I165" s="69">
        <f t="shared" ref="I165:I179" si="278">+ROUND(H165*(1+$J$192),0)</f>
        <v>23630</v>
      </c>
      <c r="J165" s="69">
        <f t="shared" ref="J165:J179" si="279">+ROUND(I165*G165,0)</f>
        <v>9776204</v>
      </c>
      <c r="K165" s="9"/>
      <c r="L165" s="3"/>
      <c r="M165" s="76"/>
      <c r="N165" s="78"/>
      <c r="O165" s="76"/>
      <c r="P165" s="78"/>
      <c r="Q165" s="76"/>
      <c r="R165" s="78"/>
      <c r="S165" s="76"/>
      <c r="T165" s="78"/>
      <c r="U165" s="76"/>
      <c r="V165" s="78"/>
      <c r="W165" s="76"/>
      <c r="X165" s="78"/>
      <c r="Y165" s="76"/>
      <c r="Z165" s="78"/>
      <c r="AA165" s="76"/>
      <c r="AB165" s="78"/>
      <c r="AC165" s="76"/>
      <c r="AD165" s="78"/>
      <c r="AE165" s="76"/>
      <c r="AF165" s="78"/>
      <c r="AG165" s="76"/>
      <c r="AH165" s="78"/>
      <c r="AI165" s="76"/>
      <c r="AJ165" s="78"/>
      <c r="AK165" s="76"/>
      <c r="AL165" s="78"/>
      <c r="AM165" s="76"/>
      <c r="AN165" s="78"/>
      <c r="AO165" s="76"/>
      <c r="AP165" s="78"/>
      <c r="AQ165" s="76"/>
      <c r="AR165" s="78"/>
      <c r="AS165" s="76"/>
      <c r="AT165" s="78"/>
      <c r="AU165" s="76"/>
      <c r="AV165" s="78"/>
      <c r="AW165" s="76"/>
      <c r="AX165" s="78"/>
      <c r="AY165" s="76">
        <v>175.04</v>
      </c>
      <c r="AZ165" s="78">
        <f t="shared" ref="AZ165" si="280">+ROUND(AY165*$I165,0)</f>
        <v>4136195</v>
      </c>
      <c r="BA165" s="76"/>
      <c r="BB165" s="78"/>
      <c r="BC165" s="76"/>
      <c r="BD165" s="78"/>
      <c r="BE165" s="76"/>
      <c r="BF165" s="78"/>
      <c r="BG165" s="76"/>
      <c r="BH165" s="78"/>
      <c r="BI165" s="76"/>
      <c r="BJ165" s="78"/>
      <c r="BK165" s="76"/>
      <c r="BL165" s="78"/>
      <c r="BM165" s="76"/>
      <c r="BN165" s="78"/>
      <c r="BO165" s="76">
        <f>+BO11*2</f>
        <v>238.68</v>
      </c>
      <c r="BP165" s="78">
        <f t="shared" ref="BP165" si="281">+ROUND(BO165*$I165,0)</f>
        <v>5640008</v>
      </c>
      <c r="BQ165" s="76"/>
      <c r="BR165" s="78"/>
      <c r="BS165" s="76"/>
      <c r="BT165" s="78"/>
      <c r="BU165" s="76"/>
      <c r="BV165" s="78"/>
      <c r="BW165" s="76"/>
      <c r="BX165" s="78"/>
      <c r="BY165" s="76"/>
      <c r="BZ165" s="78"/>
      <c r="CA165" s="76"/>
      <c r="CB165" s="78"/>
      <c r="CC165" s="76"/>
      <c r="CD165" s="78"/>
      <c r="CE165" s="76"/>
      <c r="CF165" s="78"/>
    </row>
    <row r="166" spans="1:84"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277"/>
        <v>2</v>
      </c>
      <c r="H166" s="69">
        <f>+VLOOKUP(C166,'PRECIOS IDU 2025'!$A$1:$E$3189,4,FALSE)</f>
        <v>181765</v>
      </c>
      <c r="I166" s="69">
        <f t="shared" si="278"/>
        <v>236295</v>
      </c>
      <c r="J166" s="69">
        <f t="shared" si="279"/>
        <v>472590</v>
      </c>
      <c r="K166" s="9"/>
      <c r="L166" s="3"/>
      <c r="M166" s="76"/>
      <c r="N166" s="78"/>
      <c r="O166" s="76"/>
      <c r="P166" s="78"/>
      <c r="Q166" s="76"/>
      <c r="R166" s="78"/>
      <c r="S166" s="76"/>
      <c r="T166" s="78"/>
      <c r="U166" s="76"/>
      <c r="V166" s="78"/>
      <c r="W166" s="76"/>
      <c r="X166" s="78"/>
      <c r="Y166" s="76"/>
      <c r="Z166" s="78"/>
      <c r="AA166" s="76"/>
      <c r="AB166" s="78"/>
      <c r="AC166" s="76"/>
      <c r="AD166" s="78"/>
      <c r="AE166" s="76"/>
      <c r="AF166" s="78"/>
      <c r="AG166" s="76"/>
      <c r="AH166" s="78"/>
      <c r="AI166" s="76"/>
      <c r="AJ166" s="78"/>
      <c r="AK166" s="76"/>
      <c r="AL166" s="78"/>
      <c r="AM166" s="76"/>
      <c r="AN166" s="78"/>
      <c r="AO166" s="76"/>
      <c r="AP166" s="78"/>
      <c r="AQ166" s="76"/>
      <c r="AR166" s="78"/>
      <c r="AS166" s="76"/>
      <c r="AT166" s="78"/>
      <c r="AU166" s="76"/>
      <c r="AV166" s="78"/>
      <c r="AW166" s="76"/>
      <c r="AX166" s="78"/>
      <c r="AY166" s="76">
        <v>1</v>
      </c>
      <c r="AZ166" s="78">
        <f t="shared" ref="AZ166" si="282">+ROUND(AY166*$I166,0)</f>
        <v>236295</v>
      </c>
      <c r="BA166" s="76"/>
      <c r="BB166" s="78"/>
      <c r="BC166" s="76"/>
      <c r="BD166" s="78"/>
      <c r="BE166" s="76"/>
      <c r="BF166" s="78"/>
      <c r="BG166" s="76"/>
      <c r="BH166" s="78"/>
      <c r="BI166" s="76"/>
      <c r="BJ166" s="78"/>
      <c r="BK166" s="76"/>
      <c r="BL166" s="78"/>
      <c r="BM166" s="76"/>
      <c r="BN166" s="78"/>
      <c r="BO166" s="76">
        <v>1</v>
      </c>
      <c r="BP166" s="78">
        <f t="shared" ref="BP166" si="283">+ROUND(BO166*$I166,0)</f>
        <v>236295</v>
      </c>
      <c r="BQ166" s="76"/>
      <c r="BR166" s="78"/>
      <c r="BS166" s="76"/>
      <c r="BT166" s="78"/>
      <c r="BU166" s="76"/>
      <c r="BV166" s="78"/>
      <c r="BW166" s="76"/>
      <c r="BX166" s="78"/>
      <c r="BY166" s="76"/>
      <c r="BZ166" s="78"/>
      <c r="CA166" s="76"/>
      <c r="CB166" s="78"/>
      <c r="CC166" s="76"/>
      <c r="CD166" s="78"/>
      <c r="CE166" s="76"/>
      <c r="CF166" s="78"/>
    </row>
    <row r="167" spans="1:84"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277"/>
        <v>34.14</v>
      </c>
      <c r="H167" s="69">
        <f>+VLOOKUP(C167,'PRECIOS IDU 2025'!$A$1:$E$3189,4,FALSE)</f>
        <v>151470</v>
      </c>
      <c r="I167" s="69">
        <f t="shared" si="278"/>
        <v>196911</v>
      </c>
      <c r="J167" s="69">
        <f t="shared" si="279"/>
        <v>6722542</v>
      </c>
      <c r="K167" s="9"/>
      <c r="L167" s="3"/>
      <c r="M167" s="76"/>
      <c r="N167" s="78"/>
      <c r="O167" s="76"/>
      <c r="P167" s="78"/>
      <c r="Q167" s="76"/>
      <c r="R167" s="78"/>
      <c r="S167" s="76"/>
      <c r="T167" s="78"/>
      <c r="U167" s="76"/>
      <c r="V167" s="78"/>
      <c r="W167" s="76"/>
      <c r="X167" s="78"/>
      <c r="Y167" s="76"/>
      <c r="Z167" s="78"/>
      <c r="AA167" s="76"/>
      <c r="AB167" s="78"/>
      <c r="AC167" s="76"/>
      <c r="AD167" s="78"/>
      <c r="AE167" s="76"/>
      <c r="AF167" s="78"/>
      <c r="AG167" s="76"/>
      <c r="AH167" s="78"/>
      <c r="AI167" s="76"/>
      <c r="AJ167" s="78"/>
      <c r="AK167" s="76"/>
      <c r="AL167" s="78"/>
      <c r="AM167" s="76"/>
      <c r="AN167" s="78"/>
      <c r="AO167" s="76"/>
      <c r="AP167" s="78"/>
      <c r="AQ167" s="76"/>
      <c r="AR167" s="78"/>
      <c r="AS167" s="76"/>
      <c r="AT167" s="78"/>
      <c r="AU167" s="76"/>
      <c r="AV167" s="78"/>
      <c r="AW167" s="76"/>
      <c r="AX167" s="78"/>
      <c r="AY167" s="76">
        <v>11.49</v>
      </c>
      <c r="AZ167" s="78">
        <f t="shared" ref="AZ167" si="284">+ROUND(AY167*$I167,0)</f>
        <v>2262507</v>
      </c>
      <c r="BA167" s="76"/>
      <c r="BB167" s="78"/>
      <c r="BC167" s="76"/>
      <c r="BD167" s="78"/>
      <c r="BE167" s="76"/>
      <c r="BF167" s="78"/>
      <c r="BG167" s="76"/>
      <c r="BH167" s="78"/>
      <c r="BI167" s="76"/>
      <c r="BJ167" s="78"/>
      <c r="BK167" s="76"/>
      <c r="BL167" s="78"/>
      <c r="BM167" s="76"/>
      <c r="BN167" s="78"/>
      <c r="BO167" s="76">
        <f>2*BO12*1.5</f>
        <v>22.65</v>
      </c>
      <c r="BP167" s="78">
        <f t="shared" ref="BP167" si="285">+ROUND(BO167*$I167,0)</f>
        <v>4460034</v>
      </c>
      <c r="BQ167" s="76"/>
      <c r="BR167" s="78"/>
      <c r="BS167" s="76"/>
      <c r="BT167" s="78"/>
      <c r="BU167" s="76"/>
      <c r="BV167" s="78"/>
      <c r="BW167" s="76"/>
      <c r="BX167" s="78"/>
      <c r="BY167" s="76"/>
      <c r="BZ167" s="78"/>
      <c r="CA167" s="76"/>
      <c r="CB167" s="78"/>
      <c r="CC167" s="76"/>
      <c r="CD167" s="78"/>
      <c r="CE167" s="76"/>
      <c r="CF167" s="78"/>
    </row>
    <row r="168" spans="1:84"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277"/>
        <v>206.86</v>
      </c>
      <c r="H168" s="69">
        <f>+VLOOKUP(C168,'PRECIOS IDU 2025'!$A$1:$E$3189,4,FALSE)</f>
        <v>2505</v>
      </c>
      <c r="I168" s="69">
        <f t="shared" si="278"/>
        <v>3257</v>
      </c>
      <c r="J168" s="69">
        <f t="shared" si="279"/>
        <v>673743</v>
      </c>
      <c r="K168" s="9"/>
      <c r="L168" s="3"/>
      <c r="M168" s="76"/>
      <c r="N168" s="78"/>
      <c r="O168" s="76"/>
      <c r="P168" s="78"/>
      <c r="Q168" s="76"/>
      <c r="R168" s="78"/>
      <c r="S168" s="76"/>
      <c r="T168" s="78"/>
      <c r="U168" s="76"/>
      <c r="V168" s="78"/>
      <c r="W168" s="76"/>
      <c r="X168" s="78"/>
      <c r="Y168" s="76"/>
      <c r="Z168" s="78"/>
      <c r="AA168" s="76"/>
      <c r="AB168" s="78"/>
      <c r="AC168" s="76"/>
      <c r="AD168" s="78"/>
      <c r="AE168" s="76"/>
      <c r="AF168" s="78"/>
      <c r="AG168" s="76"/>
      <c r="AH168" s="78"/>
      <c r="AI168" s="76"/>
      <c r="AJ168" s="78"/>
      <c r="AK168" s="76"/>
      <c r="AL168" s="78"/>
      <c r="AM168" s="76"/>
      <c r="AN168" s="78"/>
      <c r="AO168" s="76"/>
      <c r="AP168" s="78"/>
      <c r="AQ168" s="76"/>
      <c r="AR168" s="78"/>
      <c r="AS168" s="76"/>
      <c r="AT168" s="78"/>
      <c r="AU168" s="76"/>
      <c r="AV168" s="78"/>
      <c r="AW168" s="76"/>
      <c r="AX168" s="78"/>
      <c r="AY168" s="76">
        <v>87.52</v>
      </c>
      <c r="AZ168" s="78">
        <f t="shared" ref="AZ168" si="286">+ROUND(AY168*$I168,0)</f>
        <v>285053</v>
      </c>
      <c r="BA168" s="76"/>
      <c r="BB168" s="78"/>
      <c r="BC168" s="76"/>
      <c r="BD168" s="78"/>
      <c r="BE168" s="76"/>
      <c r="BF168" s="78"/>
      <c r="BG168" s="76"/>
      <c r="BH168" s="78"/>
      <c r="BI168" s="76"/>
      <c r="BJ168" s="78"/>
      <c r="BK168" s="76"/>
      <c r="BL168" s="78"/>
      <c r="BM168" s="76"/>
      <c r="BN168" s="78"/>
      <c r="BO168" s="76">
        <f>+BO11</f>
        <v>119.34</v>
      </c>
      <c r="BP168" s="78">
        <f t="shared" ref="BP168" si="287">+ROUND(BO168*$I168,0)</f>
        <v>388690</v>
      </c>
      <c r="BQ168" s="76"/>
      <c r="BR168" s="78"/>
      <c r="BS168" s="76"/>
      <c r="BT168" s="78"/>
      <c r="BU168" s="76"/>
      <c r="BV168" s="78"/>
      <c r="BW168" s="76"/>
      <c r="BX168" s="78"/>
      <c r="BY168" s="76"/>
      <c r="BZ168" s="78"/>
      <c r="CA168" s="76"/>
      <c r="CB168" s="78"/>
      <c r="CC168" s="76"/>
      <c r="CD168" s="78"/>
      <c r="CE168" s="76"/>
      <c r="CF168" s="78"/>
    </row>
    <row r="169" spans="1:84"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277"/>
        <v>2</v>
      </c>
      <c r="H169" s="69">
        <f>+VLOOKUP(C169,'PRECIOS IDU 2025'!$A$1:$E$3189,4,FALSE)</f>
        <v>228720</v>
      </c>
      <c r="I169" s="69">
        <f t="shared" si="278"/>
        <v>297336</v>
      </c>
      <c r="J169" s="69">
        <f t="shared" si="279"/>
        <v>594672</v>
      </c>
      <c r="K169" s="9"/>
      <c r="L169" s="3"/>
      <c r="M169" s="76"/>
      <c r="N169" s="78"/>
      <c r="O169" s="76"/>
      <c r="P169" s="78"/>
      <c r="Q169" s="76"/>
      <c r="R169" s="78"/>
      <c r="S169" s="76"/>
      <c r="T169" s="78"/>
      <c r="U169" s="76"/>
      <c r="V169" s="78"/>
      <c r="W169" s="76"/>
      <c r="X169" s="78"/>
      <c r="Y169" s="76"/>
      <c r="Z169" s="78"/>
      <c r="AA169" s="76"/>
      <c r="AB169" s="78"/>
      <c r="AC169" s="76"/>
      <c r="AD169" s="78"/>
      <c r="AE169" s="76"/>
      <c r="AF169" s="78"/>
      <c r="AG169" s="76"/>
      <c r="AH169" s="78"/>
      <c r="AI169" s="76"/>
      <c r="AJ169" s="78"/>
      <c r="AK169" s="76"/>
      <c r="AL169" s="78"/>
      <c r="AM169" s="76"/>
      <c r="AN169" s="78"/>
      <c r="AO169" s="76"/>
      <c r="AP169" s="78"/>
      <c r="AQ169" s="76"/>
      <c r="AR169" s="78"/>
      <c r="AS169" s="76"/>
      <c r="AT169" s="78"/>
      <c r="AU169" s="76"/>
      <c r="AV169" s="78"/>
      <c r="AW169" s="76"/>
      <c r="AX169" s="78"/>
      <c r="AY169" s="76">
        <v>1</v>
      </c>
      <c r="AZ169" s="78">
        <f t="shared" ref="AZ169" si="288">+ROUND(AY169*$I169,0)</f>
        <v>297336</v>
      </c>
      <c r="BA169" s="76"/>
      <c r="BB169" s="78"/>
      <c r="BC169" s="76"/>
      <c r="BD169" s="78"/>
      <c r="BE169" s="76"/>
      <c r="BF169" s="78"/>
      <c r="BG169" s="76"/>
      <c r="BH169" s="78"/>
      <c r="BI169" s="76"/>
      <c r="BJ169" s="78"/>
      <c r="BK169" s="76"/>
      <c r="BL169" s="78"/>
      <c r="BM169" s="76"/>
      <c r="BN169" s="78"/>
      <c r="BO169" s="76">
        <v>1</v>
      </c>
      <c r="BP169" s="78">
        <f t="shared" ref="BP169" si="289">+ROUND(BO169*$I169,0)</f>
        <v>297336</v>
      </c>
      <c r="BQ169" s="76"/>
      <c r="BR169" s="78"/>
      <c r="BS169" s="76"/>
      <c r="BT169" s="78"/>
      <c r="BU169" s="76"/>
      <c r="BV169" s="78"/>
      <c r="BW169" s="76"/>
      <c r="BX169" s="78"/>
      <c r="BY169" s="76"/>
      <c r="BZ169" s="78"/>
      <c r="CA169" s="76"/>
      <c r="CB169" s="78"/>
      <c r="CC169" s="76"/>
      <c r="CD169" s="78"/>
      <c r="CE169" s="76"/>
      <c r="CF169" s="78"/>
    </row>
    <row r="170" spans="1:84"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277"/>
        <v>2</v>
      </c>
      <c r="H170" s="69">
        <f>+VLOOKUP(C170,'PRECIOS IDU 2025'!$A$1:$E$3189,4,FALSE)</f>
        <v>330205</v>
      </c>
      <c r="I170" s="69">
        <f t="shared" si="278"/>
        <v>429267</v>
      </c>
      <c r="J170" s="69">
        <f t="shared" si="279"/>
        <v>858534</v>
      </c>
      <c r="K170" s="9"/>
      <c r="L170" s="3"/>
      <c r="M170" s="76"/>
      <c r="N170" s="78"/>
      <c r="O170" s="76"/>
      <c r="P170" s="78"/>
      <c r="Q170" s="76"/>
      <c r="R170" s="78"/>
      <c r="S170" s="76"/>
      <c r="T170" s="78"/>
      <c r="U170" s="76"/>
      <c r="V170" s="78"/>
      <c r="W170" s="76"/>
      <c r="X170" s="78"/>
      <c r="Y170" s="76"/>
      <c r="Z170" s="78"/>
      <c r="AA170" s="76"/>
      <c r="AB170" s="78"/>
      <c r="AC170" s="76"/>
      <c r="AD170" s="78"/>
      <c r="AE170" s="76"/>
      <c r="AF170" s="78"/>
      <c r="AG170" s="76"/>
      <c r="AH170" s="78"/>
      <c r="AI170" s="76"/>
      <c r="AJ170" s="78"/>
      <c r="AK170" s="76"/>
      <c r="AL170" s="78"/>
      <c r="AM170" s="76"/>
      <c r="AN170" s="78"/>
      <c r="AO170" s="76"/>
      <c r="AP170" s="78"/>
      <c r="AQ170" s="76"/>
      <c r="AR170" s="78"/>
      <c r="AS170" s="76"/>
      <c r="AT170" s="78"/>
      <c r="AU170" s="76"/>
      <c r="AV170" s="78"/>
      <c r="AW170" s="76"/>
      <c r="AX170" s="78"/>
      <c r="AY170" s="76">
        <v>1</v>
      </c>
      <c r="AZ170" s="78">
        <f t="shared" ref="AZ170" si="290">+ROUND(AY170*$I170,0)</f>
        <v>429267</v>
      </c>
      <c r="BA170" s="76"/>
      <c r="BB170" s="78"/>
      <c r="BC170" s="76"/>
      <c r="BD170" s="78"/>
      <c r="BE170" s="76"/>
      <c r="BF170" s="78"/>
      <c r="BG170" s="76"/>
      <c r="BH170" s="78"/>
      <c r="BI170" s="76"/>
      <c r="BJ170" s="78"/>
      <c r="BK170" s="76"/>
      <c r="BL170" s="78"/>
      <c r="BM170" s="76"/>
      <c r="BN170" s="78"/>
      <c r="BO170" s="76">
        <v>1</v>
      </c>
      <c r="BP170" s="78">
        <f t="shared" ref="BP170" si="291">+ROUND(BO170*$I170,0)</f>
        <v>429267</v>
      </c>
      <c r="BQ170" s="76"/>
      <c r="BR170" s="78"/>
      <c r="BS170" s="76"/>
      <c r="BT170" s="78"/>
      <c r="BU170" s="76"/>
      <c r="BV170" s="78"/>
      <c r="BW170" s="76"/>
      <c r="BX170" s="78"/>
      <c r="BY170" s="76"/>
      <c r="BZ170" s="78"/>
      <c r="CA170" s="76"/>
      <c r="CB170" s="78"/>
      <c r="CC170" s="76"/>
      <c r="CD170" s="78"/>
      <c r="CE170" s="76"/>
      <c r="CF170" s="78"/>
    </row>
    <row r="171" spans="1:84"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277"/>
        <v>31.03</v>
      </c>
      <c r="H171" s="69">
        <f>+VLOOKUP(C171,'PRECIOS IDU 2025'!$A$1:$E$3189,4,FALSE)</f>
        <v>151470</v>
      </c>
      <c r="I171" s="69">
        <f t="shared" si="278"/>
        <v>196911</v>
      </c>
      <c r="J171" s="69">
        <f t="shared" si="279"/>
        <v>6110148</v>
      </c>
      <c r="K171" s="9"/>
      <c r="L171" s="3"/>
      <c r="M171" s="76"/>
      <c r="N171" s="78"/>
      <c r="O171" s="76"/>
      <c r="P171" s="78"/>
      <c r="Q171" s="76"/>
      <c r="R171" s="78"/>
      <c r="S171" s="76"/>
      <c r="T171" s="78"/>
      <c r="U171" s="76"/>
      <c r="V171" s="78"/>
      <c r="W171" s="76"/>
      <c r="X171" s="78"/>
      <c r="Y171" s="76"/>
      <c r="Z171" s="78"/>
      <c r="AA171" s="76"/>
      <c r="AB171" s="78"/>
      <c r="AC171" s="76"/>
      <c r="AD171" s="78"/>
      <c r="AE171" s="76"/>
      <c r="AF171" s="78"/>
      <c r="AG171" s="76"/>
      <c r="AH171" s="78"/>
      <c r="AI171" s="76"/>
      <c r="AJ171" s="78"/>
      <c r="AK171" s="76"/>
      <c r="AL171" s="78"/>
      <c r="AM171" s="76"/>
      <c r="AN171" s="78"/>
      <c r="AO171" s="76"/>
      <c r="AP171" s="78"/>
      <c r="AQ171" s="76"/>
      <c r="AR171" s="78"/>
      <c r="AS171" s="76"/>
      <c r="AT171" s="78"/>
      <c r="AU171" s="76"/>
      <c r="AV171" s="78"/>
      <c r="AW171" s="76"/>
      <c r="AX171" s="78"/>
      <c r="AY171" s="76">
        <v>13.127999999999998</v>
      </c>
      <c r="AZ171" s="78">
        <f t="shared" ref="AZ171" si="292">+ROUND(AY171*$I171,0)</f>
        <v>2585048</v>
      </c>
      <c r="BA171" s="76"/>
      <c r="BB171" s="78"/>
      <c r="BC171" s="76"/>
      <c r="BD171" s="78"/>
      <c r="BE171" s="76"/>
      <c r="BF171" s="78"/>
      <c r="BG171" s="76"/>
      <c r="BH171" s="78"/>
      <c r="BI171" s="76"/>
      <c r="BJ171" s="78"/>
      <c r="BK171" s="76"/>
      <c r="BL171" s="78"/>
      <c r="BM171" s="76"/>
      <c r="BN171" s="78"/>
      <c r="BO171" s="76">
        <f>0.15*BO11</f>
        <v>17.901</v>
      </c>
      <c r="BP171" s="78">
        <f t="shared" ref="BP171" si="293">+ROUND(BO171*$I171,0)</f>
        <v>3524904</v>
      </c>
      <c r="BQ171" s="76"/>
      <c r="BR171" s="78"/>
      <c r="BS171" s="76"/>
      <c r="BT171" s="78"/>
      <c r="BU171" s="76"/>
      <c r="BV171" s="78"/>
      <c r="BW171" s="76"/>
      <c r="BX171" s="78"/>
      <c r="BY171" s="76"/>
      <c r="BZ171" s="78"/>
      <c r="CA171" s="76"/>
      <c r="CB171" s="78"/>
      <c r="CC171" s="76"/>
      <c r="CD171" s="78"/>
      <c r="CE171" s="76"/>
      <c r="CF171" s="78"/>
    </row>
    <row r="172" spans="1:84"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277"/>
        <v>100</v>
      </c>
      <c r="H172" s="69">
        <f>+VLOOKUP(C172,'PRECIOS IDU 2025'!$A$1:$E$3189,4,FALSE)</f>
        <v>10907</v>
      </c>
      <c r="I172" s="69">
        <f t="shared" si="278"/>
        <v>14179</v>
      </c>
      <c r="J172" s="69">
        <f t="shared" si="279"/>
        <v>1417900</v>
      </c>
      <c r="K172" s="9"/>
      <c r="L172" s="3"/>
      <c r="M172" s="76"/>
      <c r="N172" s="78"/>
      <c r="O172" s="76"/>
      <c r="P172" s="78"/>
      <c r="Q172" s="76"/>
      <c r="R172" s="78"/>
      <c r="S172" s="76"/>
      <c r="T172" s="78"/>
      <c r="U172" s="76"/>
      <c r="V172" s="78"/>
      <c r="W172" s="76"/>
      <c r="X172" s="78"/>
      <c r="Y172" s="76"/>
      <c r="Z172" s="78"/>
      <c r="AA172" s="76"/>
      <c r="AB172" s="78"/>
      <c r="AC172" s="76"/>
      <c r="AD172" s="78"/>
      <c r="AE172" s="76"/>
      <c r="AF172" s="78"/>
      <c r="AG172" s="76"/>
      <c r="AH172" s="78"/>
      <c r="AI172" s="76"/>
      <c r="AJ172" s="78"/>
      <c r="AK172" s="76"/>
      <c r="AL172" s="78"/>
      <c r="AM172" s="76"/>
      <c r="AN172" s="78"/>
      <c r="AO172" s="76"/>
      <c r="AP172" s="78"/>
      <c r="AQ172" s="76"/>
      <c r="AR172" s="78"/>
      <c r="AS172" s="76"/>
      <c r="AT172" s="78"/>
      <c r="AU172" s="76"/>
      <c r="AV172" s="78"/>
      <c r="AW172" s="76"/>
      <c r="AX172" s="78"/>
      <c r="AY172" s="76">
        <v>50</v>
      </c>
      <c r="AZ172" s="78">
        <f t="shared" ref="AZ172" si="294">+ROUND(AY172*$I172,0)</f>
        <v>708950</v>
      </c>
      <c r="BA172" s="76"/>
      <c r="BB172" s="78"/>
      <c r="BC172" s="76"/>
      <c r="BD172" s="78"/>
      <c r="BE172" s="76"/>
      <c r="BF172" s="78"/>
      <c r="BG172" s="76"/>
      <c r="BH172" s="78"/>
      <c r="BI172" s="76"/>
      <c r="BJ172" s="78"/>
      <c r="BK172" s="76"/>
      <c r="BL172" s="78"/>
      <c r="BM172" s="76"/>
      <c r="BN172" s="78"/>
      <c r="BO172" s="76">
        <v>50</v>
      </c>
      <c r="BP172" s="78">
        <f t="shared" ref="BP172" si="295">+ROUND(BO172*$I172,0)</f>
        <v>708950</v>
      </c>
      <c r="BQ172" s="76"/>
      <c r="BR172" s="78"/>
      <c r="BS172" s="76"/>
      <c r="BT172" s="78"/>
      <c r="BU172" s="76"/>
      <c r="BV172" s="78"/>
      <c r="BW172" s="76"/>
      <c r="BX172" s="78"/>
      <c r="BY172" s="76"/>
      <c r="BZ172" s="78"/>
      <c r="CA172" s="76"/>
      <c r="CB172" s="78"/>
      <c r="CC172" s="76"/>
      <c r="CD172" s="78"/>
      <c r="CE172" s="76"/>
      <c r="CF172" s="78"/>
    </row>
    <row r="173" spans="1:84"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277"/>
        <v>206.86</v>
      </c>
      <c r="H173" s="69">
        <f>+VLOOKUP(C173,'PRECIOS IDU 2025'!$A$1:$E$3189,4,FALSE)</f>
        <v>18776</v>
      </c>
      <c r="I173" s="69">
        <f t="shared" si="278"/>
        <v>24409</v>
      </c>
      <c r="J173" s="69">
        <f t="shared" si="279"/>
        <v>5049246</v>
      </c>
      <c r="K173" s="9"/>
      <c r="L173" s="3"/>
      <c r="M173" s="76"/>
      <c r="N173" s="78"/>
      <c r="O173" s="76"/>
      <c r="P173" s="78"/>
      <c r="Q173" s="76"/>
      <c r="R173" s="78"/>
      <c r="S173" s="76"/>
      <c r="T173" s="78"/>
      <c r="U173" s="76"/>
      <c r="V173" s="78"/>
      <c r="W173" s="76"/>
      <c r="X173" s="78"/>
      <c r="Y173" s="76"/>
      <c r="Z173" s="78"/>
      <c r="AA173" s="76"/>
      <c r="AB173" s="78"/>
      <c r="AC173" s="76"/>
      <c r="AD173" s="78"/>
      <c r="AE173" s="76"/>
      <c r="AF173" s="78"/>
      <c r="AG173" s="76"/>
      <c r="AH173" s="78"/>
      <c r="AI173" s="76"/>
      <c r="AJ173" s="78"/>
      <c r="AK173" s="76"/>
      <c r="AL173" s="78"/>
      <c r="AM173" s="76"/>
      <c r="AN173" s="78"/>
      <c r="AO173" s="76"/>
      <c r="AP173" s="78"/>
      <c r="AQ173" s="76"/>
      <c r="AR173" s="78"/>
      <c r="AS173" s="76"/>
      <c r="AT173" s="78"/>
      <c r="AU173" s="76"/>
      <c r="AV173" s="78"/>
      <c r="AW173" s="76"/>
      <c r="AX173" s="78"/>
      <c r="AY173" s="76">
        <v>87.52</v>
      </c>
      <c r="AZ173" s="78">
        <f t="shared" ref="AZ173" si="296">+ROUND(AY173*$I173,0)</f>
        <v>2136276</v>
      </c>
      <c r="BA173" s="76"/>
      <c r="BB173" s="78"/>
      <c r="BC173" s="76"/>
      <c r="BD173" s="78"/>
      <c r="BE173" s="76"/>
      <c r="BF173" s="78"/>
      <c r="BG173" s="76"/>
      <c r="BH173" s="78"/>
      <c r="BI173" s="76"/>
      <c r="BJ173" s="78"/>
      <c r="BK173" s="76"/>
      <c r="BL173" s="78"/>
      <c r="BM173" s="76"/>
      <c r="BN173" s="78"/>
      <c r="BO173" s="76">
        <f>+BO11</f>
        <v>119.34</v>
      </c>
      <c r="BP173" s="78">
        <f t="shared" ref="BP173" si="297">+ROUND(BO173*$I173,0)</f>
        <v>2912970</v>
      </c>
      <c r="BQ173" s="76"/>
      <c r="BR173" s="78"/>
      <c r="BS173" s="76"/>
      <c r="BT173" s="78"/>
      <c r="BU173" s="76"/>
      <c r="BV173" s="78"/>
      <c r="BW173" s="76"/>
      <c r="BX173" s="78"/>
      <c r="BY173" s="76"/>
      <c r="BZ173" s="78"/>
      <c r="CA173" s="76"/>
      <c r="CB173" s="78"/>
      <c r="CC173" s="76"/>
      <c r="CD173" s="78"/>
      <c r="CE173" s="76"/>
      <c r="CF173" s="78"/>
    </row>
    <row r="174" spans="1:84"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277"/>
        <v>206.86</v>
      </c>
      <c r="H174" s="69">
        <f>+VLOOKUP(C174,'PRECIOS IDU 2025'!$A$1:$E$3189,4,FALSE)</f>
        <v>4323</v>
      </c>
      <c r="I174" s="69">
        <f t="shared" si="278"/>
        <v>5620</v>
      </c>
      <c r="J174" s="69">
        <f t="shared" si="279"/>
        <v>1162553</v>
      </c>
      <c r="K174" s="9"/>
      <c r="L174" s="3"/>
      <c r="M174" s="76"/>
      <c r="N174" s="78"/>
      <c r="O174" s="76"/>
      <c r="P174" s="78"/>
      <c r="Q174" s="76"/>
      <c r="R174" s="78"/>
      <c r="S174" s="76"/>
      <c r="T174" s="78"/>
      <c r="U174" s="76"/>
      <c r="V174" s="78"/>
      <c r="W174" s="76"/>
      <c r="X174" s="78"/>
      <c r="Y174" s="76"/>
      <c r="Z174" s="78"/>
      <c r="AA174" s="76"/>
      <c r="AB174" s="78"/>
      <c r="AC174" s="76"/>
      <c r="AD174" s="78"/>
      <c r="AE174" s="76"/>
      <c r="AF174" s="78"/>
      <c r="AG174" s="76"/>
      <c r="AH174" s="78"/>
      <c r="AI174" s="76"/>
      <c r="AJ174" s="78"/>
      <c r="AK174" s="76"/>
      <c r="AL174" s="78"/>
      <c r="AM174" s="76"/>
      <c r="AN174" s="78"/>
      <c r="AO174" s="76"/>
      <c r="AP174" s="78"/>
      <c r="AQ174" s="76"/>
      <c r="AR174" s="78"/>
      <c r="AS174" s="76"/>
      <c r="AT174" s="78"/>
      <c r="AU174" s="76"/>
      <c r="AV174" s="78"/>
      <c r="AW174" s="76"/>
      <c r="AX174" s="78"/>
      <c r="AY174" s="76">
        <v>87.52</v>
      </c>
      <c r="AZ174" s="78">
        <f t="shared" ref="AZ174" si="298">+ROUND(AY174*$I174,0)</f>
        <v>491862</v>
      </c>
      <c r="BA174" s="76"/>
      <c r="BB174" s="78"/>
      <c r="BC174" s="76"/>
      <c r="BD174" s="78"/>
      <c r="BE174" s="76"/>
      <c r="BF174" s="78"/>
      <c r="BG174" s="76"/>
      <c r="BH174" s="78"/>
      <c r="BI174" s="76"/>
      <c r="BJ174" s="78"/>
      <c r="BK174" s="76"/>
      <c r="BL174" s="78"/>
      <c r="BM174" s="76"/>
      <c r="BN174" s="78"/>
      <c r="BO174" s="76">
        <f>+BO11</f>
        <v>119.34</v>
      </c>
      <c r="BP174" s="78">
        <f t="shared" ref="BP174" si="299">+ROUND(BO174*$I174,0)</f>
        <v>670691</v>
      </c>
      <c r="BQ174" s="76"/>
      <c r="BR174" s="78"/>
      <c r="BS174" s="76"/>
      <c r="BT174" s="78"/>
      <c r="BU174" s="76"/>
      <c r="BV174" s="78"/>
      <c r="BW174" s="76"/>
      <c r="BX174" s="78"/>
      <c r="BY174" s="76"/>
      <c r="BZ174" s="78"/>
      <c r="CA174" s="76"/>
      <c r="CB174" s="78"/>
      <c r="CC174" s="76"/>
      <c r="CD174" s="78"/>
      <c r="CE174" s="76"/>
      <c r="CF174" s="78"/>
    </row>
    <row r="175" spans="1:84"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277"/>
        <v>206.86</v>
      </c>
      <c r="H175" s="69">
        <f>+VLOOKUP(C175,'PRECIOS IDU 2025'!$A$1:$E$3189,4,FALSE)</f>
        <v>5850</v>
      </c>
      <c r="I175" s="69">
        <f t="shared" si="278"/>
        <v>7605</v>
      </c>
      <c r="J175" s="69">
        <f t="shared" si="279"/>
        <v>1573170</v>
      </c>
      <c r="K175" s="9"/>
      <c r="L175" s="3"/>
      <c r="M175" s="76"/>
      <c r="N175" s="78"/>
      <c r="O175" s="76"/>
      <c r="P175" s="78"/>
      <c r="Q175" s="76"/>
      <c r="R175" s="78"/>
      <c r="S175" s="76"/>
      <c r="T175" s="78"/>
      <c r="U175" s="76"/>
      <c r="V175" s="78"/>
      <c r="W175" s="76"/>
      <c r="X175" s="78"/>
      <c r="Y175" s="76"/>
      <c r="Z175" s="78"/>
      <c r="AA175" s="76"/>
      <c r="AB175" s="78"/>
      <c r="AC175" s="76"/>
      <c r="AD175" s="78"/>
      <c r="AE175" s="76"/>
      <c r="AF175" s="78"/>
      <c r="AG175" s="76"/>
      <c r="AH175" s="78"/>
      <c r="AI175" s="76"/>
      <c r="AJ175" s="78"/>
      <c r="AK175" s="76"/>
      <c r="AL175" s="78"/>
      <c r="AM175" s="76"/>
      <c r="AN175" s="78"/>
      <c r="AO175" s="76"/>
      <c r="AP175" s="78"/>
      <c r="AQ175" s="76"/>
      <c r="AR175" s="78"/>
      <c r="AS175" s="76"/>
      <c r="AT175" s="78"/>
      <c r="AU175" s="76"/>
      <c r="AV175" s="78"/>
      <c r="AW175" s="76"/>
      <c r="AX175" s="78"/>
      <c r="AY175" s="76">
        <v>87.52</v>
      </c>
      <c r="AZ175" s="78">
        <f t="shared" ref="AZ175" si="300">+ROUND(AY175*$I175,0)</f>
        <v>665590</v>
      </c>
      <c r="BA175" s="76"/>
      <c r="BB175" s="78"/>
      <c r="BC175" s="76"/>
      <c r="BD175" s="78"/>
      <c r="BE175" s="76"/>
      <c r="BF175" s="78"/>
      <c r="BG175" s="76"/>
      <c r="BH175" s="78"/>
      <c r="BI175" s="76"/>
      <c r="BJ175" s="78"/>
      <c r="BK175" s="76"/>
      <c r="BL175" s="78"/>
      <c r="BM175" s="76"/>
      <c r="BN175" s="78"/>
      <c r="BO175" s="76">
        <f>+BO11</f>
        <v>119.34</v>
      </c>
      <c r="BP175" s="78">
        <f t="shared" ref="BP175" si="301">+ROUND(BO175*$I175,0)</f>
        <v>907581</v>
      </c>
      <c r="BQ175" s="76"/>
      <c r="BR175" s="78"/>
      <c r="BS175" s="76"/>
      <c r="BT175" s="78"/>
      <c r="BU175" s="76"/>
      <c r="BV175" s="78"/>
      <c r="BW175" s="76"/>
      <c r="BX175" s="78"/>
      <c r="BY175" s="76"/>
      <c r="BZ175" s="78"/>
      <c r="CA175" s="76"/>
      <c r="CB175" s="78"/>
      <c r="CC175" s="76"/>
      <c r="CD175" s="78"/>
      <c r="CE175" s="76"/>
      <c r="CF175" s="78"/>
    </row>
    <row r="176" spans="1:84"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277"/>
        <v>206.86</v>
      </c>
      <c r="H176" s="69">
        <f>+VLOOKUP(C176,'PRECIOS IDU 2025'!$A$1:$E$3189,4,FALSE)</f>
        <v>26586</v>
      </c>
      <c r="I176" s="69">
        <f t="shared" si="278"/>
        <v>34562</v>
      </c>
      <c r="J176" s="69">
        <f t="shared" si="279"/>
        <v>7149495</v>
      </c>
      <c r="K176" s="9"/>
      <c r="L176" s="3"/>
      <c r="M176" s="76"/>
      <c r="N176" s="78"/>
      <c r="O176" s="76"/>
      <c r="P176" s="78"/>
      <c r="Q176" s="76"/>
      <c r="R176" s="78"/>
      <c r="S176" s="76"/>
      <c r="T176" s="78"/>
      <c r="U176" s="76"/>
      <c r="V176" s="78"/>
      <c r="W176" s="76"/>
      <c r="X176" s="78"/>
      <c r="Y176" s="76"/>
      <c r="Z176" s="78"/>
      <c r="AA176" s="76"/>
      <c r="AB176" s="78"/>
      <c r="AC176" s="76"/>
      <c r="AD176" s="78"/>
      <c r="AE176" s="76"/>
      <c r="AF176" s="78"/>
      <c r="AG176" s="76"/>
      <c r="AH176" s="78"/>
      <c r="AI176" s="76"/>
      <c r="AJ176" s="78"/>
      <c r="AK176" s="76"/>
      <c r="AL176" s="78"/>
      <c r="AM176" s="76"/>
      <c r="AN176" s="78"/>
      <c r="AO176" s="76"/>
      <c r="AP176" s="78"/>
      <c r="AQ176" s="76"/>
      <c r="AR176" s="78"/>
      <c r="AS176" s="76"/>
      <c r="AT176" s="78"/>
      <c r="AU176" s="76"/>
      <c r="AV176" s="78"/>
      <c r="AW176" s="76"/>
      <c r="AX176" s="78"/>
      <c r="AY176" s="76">
        <v>87.52</v>
      </c>
      <c r="AZ176" s="78">
        <f t="shared" ref="AZ176" si="302">+ROUND(AY176*$I176,0)</f>
        <v>3024866</v>
      </c>
      <c r="BA176" s="76"/>
      <c r="BB176" s="78"/>
      <c r="BC176" s="76"/>
      <c r="BD176" s="78"/>
      <c r="BE176" s="76"/>
      <c r="BF176" s="78"/>
      <c r="BG176" s="76"/>
      <c r="BH176" s="78"/>
      <c r="BI176" s="76"/>
      <c r="BJ176" s="78"/>
      <c r="BK176" s="76"/>
      <c r="BL176" s="78"/>
      <c r="BM176" s="76"/>
      <c r="BN176" s="78"/>
      <c r="BO176" s="76">
        <f>+BO11</f>
        <v>119.34</v>
      </c>
      <c r="BP176" s="78">
        <f t="shared" ref="BP176" si="303">+ROUND(BO176*$I176,0)</f>
        <v>4124629</v>
      </c>
      <c r="BQ176" s="76"/>
      <c r="BR176" s="78"/>
      <c r="BS176" s="76"/>
      <c r="BT176" s="78"/>
      <c r="BU176" s="76"/>
      <c r="BV176" s="78"/>
      <c r="BW176" s="76"/>
      <c r="BX176" s="78"/>
      <c r="BY176" s="76"/>
      <c r="BZ176" s="78"/>
      <c r="CA176" s="76"/>
      <c r="CB176" s="78"/>
      <c r="CC176" s="76"/>
      <c r="CD176" s="78"/>
      <c r="CE176" s="76"/>
      <c r="CF176" s="78"/>
    </row>
    <row r="177" spans="1:84"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277"/>
        <v>4</v>
      </c>
      <c r="H177" s="69">
        <f>+VLOOKUP(C177,'PRECIOS IDU 2025'!$A$1:$E$3189,4,FALSE)</f>
        <v>18726</v>
      </c>
      <c r="I177" s="69">
        <f t="shared" si="278"/>
        <v>24344</v>
      </c>
      <c r="J177" s="69">
        <f t="shared" si="279"/>
        <v>97376</v>
      </c>
      <c r="K177" s="9"/>
      <c r="L177" s="3"/>
      <c r="M177" s="76"/>
      <c r="N177" s="78"/>
      <c r="O177" s="76"/>
      <c r="P177" s="78"/>
      <c r="Q177" s="76"/>
      <c r="R177" s="78"/>
      <c r="S177" s="76"/>
      <c r="T177" s="78"/>
      <c r="U177" s="76"/>
      <c r="V177" s="78"/>
      <c r="W177" s="76"/>
      <c r="X177" s="78"/>
      <c r="Y177" s="76"/>
      <c r="Z177" s="78"/>
      <c r="AA177" s="76"/>
      <c r="AB177" s="78"/>
      <c r="AC177" s="76"/>
      <c r="AD177" s="78"/>
      <c r="AE177" s="76"/>
      <c r="AF177" s="78"/>
      <c r="AG177" s="76"/>
      <c r="AH177" s="78"/>
      <c r="AI177" s="76"/>
      <c r="AJ177" s="78"/>
      <c r="AK177" s="76"/>
      <c r="AL177" s="78"/>
      <c r="AM177" s="76"/>
      <c r="AN177" s="78"/>
      <c r="AO177" s="76"/>
      <c r="AP177" s="78"/>
      <c r="AQ177" s="76"/>
      <c r="AR177" s="78"/>
      <c r="AS177" s="76"/>
      <c r="AT177" s="78"/>
      <c r="AU177" s="76"/>
      <c r="AV177" s="78"/>
      <c r="AW177" s="76"/>
      <c r="AX177" s="78"/>
      <c r="AY177" s="76">
        <v>2</v>
      </c>
      <c r="AZ177" s="78">
        <f t="shared" ref="AZ177" si="304">+ROUND(AY177*$I177,0)</f>
        <v>48688</v>
      </c>
      <c r="BA177" s="76"/>
      <c r="BB177" s="78"/>
      <c r="BC177" s="76"/>
      <c r="BD177" s="78"/>
      <c r="BE177" s="76"/>
      <c r="BF177" s="78"/>
      <c r="BG177" s="76"/>
      <c r="BH177" s="78"/>
      <c r="BI177" s="76"/>
      <c r="BJ177" s="78"/>
      <c r="BK177" s="76"/>
      <c r="BL177" s="78"/>
      <c r="BM177" s="76"/>
      <c r="BN177" s="78"/>
      <c r="BO177" s="76">
        <v>2</v>
      </c>
      <c r="BP177" s="78">
        <f t="shared" ref="BP177" si="305">+ROUND(BO177*$I177,0)</f>
        <v>48688</v>
      </c>
      <c r="BQ177" s="76"/>
      <c r="BR177" s="78"/>
      <c r="BS177" s="76"/>
      <c r="BT177" s="78"/>
      <c r="BU177" s="76"/>
      <c r="BV177" s="78"/>
      <c r="BW177" s="76"/>
      <c r="BX177" s="78"/>
      <c r="BY177" s="76"/>
      <c r="BZ177" s="78"/>
      <c r="CA177" s="76"/>
      <c r="CB177" s="78"/>
      <c r="CC177" s="76"/>
      <c r="CD177" s="78"/>
      <c r="CE177" s="76"/>
      <c r="CF177" s="78"/>
    </row>
    <row r="178" spans="1:84"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277"/>
        <v>17.07</v>
      </c>
      <c r="H178" s="69">
        <f>+VLOOKUP(C178,'PRECIOS IDU 2025'!$A$1:$E$3189,4,FALSE)</f>
        <v>144457</v>
      </c>
      <c r="I178" s="69">
        <f t="shared" si="278"/>
        <v>187794</v>
      </c>
      <c r="J178" s="69">
        <f t="shared" si="279"/>
        <v>3205644</v>
      </c>
      <c r="K178" s="9"/>
      <c r="L178" s="3"/>
      <c r="M178" s="76"/>
      <c r="N178" s="78"/>
      <c r="O178" s="76"/>
      <c r="P178" s="78"/>
      <c r="Q178" s="76"/>
      <c r="R178" s="78"/>
      <c r="S178" s="76"/>
      <c r="T178" s="78"/>
      <c r="U178" s="76"/>
      <c r="V178" s="78"/>
      <c r="W178" s="76"/>
      <c r="X178" s="78"/>
      <c r="Y178" s="76"/>
      <c r="Z178" s="78"/>
      <c r="AA178" s="76"/>
      <c r="AB178" s="78"/>
      <c r="AC178" s="76"/>
      <c r="AD178" s="78"/>
      <c r="AE178" s="76"/>
      <c r="AF178" s="78"/>
      <c r="AG178" s="76"/>
      <c r="AH178" s="78"/>
      <c r="AI178" s="76"/>
      <c r="AJ178" s="78"/>
      <c r="AK178" s="76"/>
      <c r="AL178" s="78"/>
      <c r="AM178" s="76"/>
      <c r="AN178" s="78"/>
      <c r="AO178" s="76"/>
      <c r="AP178" s="78"/>
      <c r="AQ178" s="76"/>
      <c r="AR178" s="78"/>
      <c r="AS178" s="76"/>
      <c r="AT178" s="78"/>
      <c r="AU178" s="76"/>
      <c r="AV178" s="78"/>
      <c r="AW178" s="76"/>
      <c r="AX178" s="78"/>
      <c r="AY178" s="76">
        <v>5.7450000000000001</v>
      </c>
      <c r="AZ178" s="78">
        <f t="shared" ref="AZ178" si="306">+ROUND(AY178*$I178,0)</f>
        <v>1078877</v>
      </c>
      <c r="BA178" s="76"/>
      <c r="BB178" s="78"/>
      <c r="BC178" s="76"/>
      <c r="BD178" s="78"/>
      <c r="BE178" s="76"/>
      <c r="BF178" s="78"/>
      <c r="BG178" s="76"/>
      <c r="BH178" s="78"/>
      <c r="BI178" s="76"/>
      <c r="BJ178" s="78"/>
      <c r="BK178" s="76"/>
      <c r="BL178" s="78"/>
      <c r="BM178" s="76"/>
      <c r="BN178" s="78"/>
      <c r="BO178" s="76">
        <f>+BO12*1.5</f>
        <v>11.324999999999999</v>
      </c>
      <c r="BP178" s="78">
        <f t="shared" ref="BP178" si="307">+ROUND(BO178*$I178,0)</f>
        <v>2126767</v>
      </c>
      <c r="BQ178" s="76"/>
      <c r="BR178" s="78"/>
      <c r="BS178" s="76"/>
      <c r="BT178" s="78"/>
      <c r="BU178" s="76"/>
      <c r="BV178" s="78"/>
      <c r="BW178" s="76"/>
      <c r="BX178" s="78"/>
      <c r="BY178" s="76"/>
      <c r="BZ178" s="78"/>
      <c r="CA178" s="76"/>
      <c r="CB178" s="78"/>
      <c r="CC178" s="76"/>
      <c r="CD178" s="78"/>
      <c r="CE178" s="76"/>
      <c r="CF178" s="78"/>
    </row>
    <row r="179" spans="1:84"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277"/>
        <v>5.69</v>
      </c>
      <c r="H179" s="69">
        <f>+VLOOKUP(C179,'PRECIOS IDU 2025'!$A$1:$E$3189,4,FALSE)</f>
        <v>222740</v>
      </c>
      <c r="I179" s="69">
        <f t="shared" si="278"/>
        <v>289562</v>
      </c>
      <c r="J179" s="69">
        <f t="shared" si="279"/>
        <v>1647608</v>
      </c>
      <c r="K179" s="9"/>
      <c r="L179" s="3"/>
      <c r="M179" s="76"/>
      <c r="N179" s="78"/>
      <c r="O179" s="76"/>
      <c r="P179" s="78"/>
      <c r="Q179" s="76"/>
      <c r="R179" s="78"/>
      <c r="S179" s="76"/>
      <c r="T179" s="78"/>
      <c r="U179" s="76"/>
      <c r="V179" s="78"/>
      <c r="W179" s="76"/>
      <c r="X179" s="78"/>
      <c r="Y179" s="76"/>
      <c r="Z179" s="78"/>
      <c r="AA179" s="76"/>
      <c r="AB179" s="78"/>
      <c r="AC179" s="76"/>
      <c r="AD179" s="78"/>
      <c r="AE179" s="76"/>
      <c r="AF179" s="78"/>
      <c r="AG179" s="76"/>
      <c r="AH179" s="78"/>
      <c r="AI179" s="76"/>
      <c r="AJ179" s="78"/>
      <c r="AK179" s="76"/>
      <c r="AL179" s="78"/>
      <c r="AM179" s="76"/>
      <c r="AN179" s="78"/>
      <c r="AO179" s="76"/>
      <c r="AP179" s="78"/>
      <c r="AQ179" s="76"/>
      <c r="AR179" s="78"/>
      <c r="AS179" s="76"/>
      <c r="AT179" s="78"/>
      <c r="AU179" s="76"/>
      <c r="AV179" s="78"/>
      <c r="AW179" s="76"/>
      <c r="AX179" s="78"/>
      <c r="AY179" s="76">
        <v>1.915</v>
      </c>
      <c r="AZ179" s="78">
        <f t="shared" ref="AZ179" si="308">+ROUND(AY179*$I179,0)</f>
        <v>554511</v>
      </c>
      <c r="BA179" s="76"/>
      <c r="BB179" s="78"/>
      <c r="BC179" s="76"/>
      <c r="BD179" s="78"/>
      <c r="BE179" s="76"/>
      <c r="BF179" s="78"/>
      <c r="BG179" s="76"/>
      <c r="BH179" s="78"/>
      <c r="BI179" s="76"/>
      <c r="BJ179" s="78"/>
      <c r="BK179" s="76"/>
      <c r="BL179" s="78"/>
      <c r="BM179" s="76"/>
      <c r="BN179" s="78"/>
      <c r="BO179" s="76">
        <f>+BO12*0.25*2</f>
        <v>3.7749999999999999</v>
      </c>
      <c r="BP179" s="78">
        <f t="shared" ref="BP179" si="309">+ROUND(BO179*$I179,0)</f>
        <v>1093097</v>
      </c>
      <c r="BQ179" s="76"/>
      <c r="BR179" s="78"/>
      <c r="BS179" s="76"/>
      <c r="BT179" s="78"/>
      <c r="BU179" s="76"/>
      <c r="BV179" s="78"/>
      <c r="BW179" s="76"/>
      <c r="BX179" s="78"/>
      <c r="BY179" s="76"/>
      <c r="BZ179" s="78"/>
      <c r="CA179" s="76"/>
      <c r="CB179" s="78"/>
      <c r="CC179" s="76"/>
      <c r="CD179" s="78"/>
      <c r="CE179" s="76"/>
      <c r="CF179" s="78"/>
    </row>
    <row r="180" spans="1:84"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c r="Y180" s="76"/>
      <c r="Z180" s="78"/>
      <c r="AA180" s="76"/>
      <c r="AB180" s="78"/>
      <c r="AC180" s="76"/>
      <c r="AD180" s="78"/>
      <c r="AE180" s="76"/>
      <c r="AF180" s="78"/>
      <c r="AG180" s="76"/>
      <c r="AH180" s="78"/>
      <c r="AI180" s="76"/>
      <c r="AJ180" s="78"/>
      <c r="AK180" s="76"/>
      <c r="AL180" s="78"/>
      <c r="AM180" s="76"/>
      <c r="AN180" s="78"/>
      <c r="AO180" s="76"/>
      <c r="AP180" s="78"/>
      <c r="AQ180" s="76"/>
      <c r="AR180" s="78"/>
      <c r="AS180" s="76"/>
      <c r="AT180" s="78"/>
      <c r="AU180" s="76"/>
      <c r="AV180" s="78"/>
      <c r="AW180" s="76"/>
      <c r="AX180" s="78"/>
      <c r="AY180" s="76"/>
      <c r="AZ180" s="78"/>
      <c r="BA180" s="76"/>
      <c r="BB180" s="78"/>
      <c r="BC180" s="76"/>
      <c r="BD180" s="78"/>
      <c r="BE180" s="76"/>
      <c r="BF180" s="78"/>
      <c r="BG180" s="76"/>
      <c r="BH180" s="78"/>
      <c r="BI180" s="76"/>
      <c r="BJ180" s="78"/>
      <c r="BK180" s="76"/>
      <c r="BL180" s="78"/>
      <c r="BM180" s="76"/>
      <c r="BN180" s="78"/>
      <c r="BO180" s="76"/>
      <c r="BP180" s="78"/>
      <c r="BQ180" s="76"/>
      <c r="BR180" s="78"/>
      <c r="BS180" s="76"/>
      <c r="BT180" s="78"/>
      <c r="BU180" s="76"/>
      <c r="BV180" s="78"/>
      <c r="BW180" s="76"/>
      <c r="BX180" s="78"/>
      <c r="BY180" s="76"/>
      <c r="BZ180" s="78"/>
      <c r="CA180" s="76"/>
      <c r="CB180" s="78"/>
      <c r="CC180" s="76"/>
      <c r="CD180" s="78"/>
      <c r="CE180" s="76"/>
      <c r="CF180" s="78"/>
    </row>
    <row r="181" spans="1:84" s="22" customFormat="1" ht="30" customHeight="1" thickBot="1" x14ac:dyDescent="0.35">
      <c r="A181" s="17"/>
      <c r="B181" s="18"/>
      <c r="C181" s="573" t="s">
        <v>6083</v>
      </c>
      <c r="D181" s="574"/>
      <c r="E181" s="574"/>
      <c r="F181" s="574"/>
      <c r="G181" s="574"/>
      <c r="H181" s="575"/>
      <c r="I181" s="19"/>
      <c r="J181" s="20" t="e">
        <f>+SUM(J17:J163)</f>
        <v>#N/A</v>
      </c>
      <c r="K181" s="21"/>
      <c r="L181" s="17"/>
      <c r="M181" s="77"/>
      <c r="N181" s="79"/>
      <c r="O181" s="77"/>
      <c r="P181" s="79"/>
      <c r="Q181" s="77"/>
      <c r="R181" s="79"/>
      <c r="S181" s="77"/>
      <c r="T181" s="79"/>
      <c r="U181" s="77"/>
      <c r="V181" s="79"/>
      <c r="W181" s="77"/>
      <c r="X181" s="79"/>
      <c r="Y181" s="77"/>
      <c r="Z181" s="79"/>
      <c r="AA181" s="77"/>
      <c r="AB181" s="79"/>
      <c r="AC181" s="77"/>
      <c r="AD181" s="79"/>
      <c r="AE181" s="77"/>
      <c r="AF181" s="79"/>
      <c r="AG181" s="77"/>
      <c r="AH181" s="79"/>
      <c r="AI181" s="77"/>
      <c r="AJ181" s="79"/>
      <c r="AK181" s="77"/>
      <c r="AL181" s="79"/>
      <c r="AM181" s="77"/>
      <c r="AN181" s="79"/>
      <c r="AO181" s="77"/>
      <c r="AP181" s="79"/>
      <c r="AQ181" s="77"/>
      <c r="AR181" s="79"/>
      <c r="AS181" s="77"/>
      <c r="AT181" s="79"/>
      <c r="AU181" s="77"/>
      <c r="AV181" s="79"/>
      <c r="AW181" s="77"/>
      <c r="AX181" s="79"/>
      <c r="AY181" s="77" t="s">
        <v>6084</v>
      </c>
      <c r="AZ181" s="79" t="e">
        <f>+SUM(AZ17:AZ179)</f>
        <v>#N/A</v>
      </c>
      <c r="BA181" s="77"/>
      <c r="BB181" s="79"/>
      <c r="BC181" s="77"/>
      <c r="BD181" s="79"/>
      <c r="BE181" s="77"/>
      <c r="BF181" s="79"/>
      <c r="BG181" s="77"/>
      <c r="BH181" s="79"/>
      <c r="BI181" s="77"/>
      <c r="BJ181" s="79"/>
      <c r="BK181" s="77"/>
      <c r="BL181" s="79"/>
      <c r="BM181" s="77"/>
      <c r="BN181" s="79"/>
      <c r="BO181" s="77" t="s">
        <v>6084</v>
      </c>
      <c r="BP181" s="79" t="e">
        <f>+SUM(BP17:BP179)</f>
        <v>#N/A</v>
      </c>
      <c r="BQ181" s="77"/>
      <c r="BR181" s="79"/>
      <c r="BS181" s="77"/>
      <c r="BT181" s="79"/>
      <c r="BU181" s="77"/>
      <c r="BV181" s="79"/>
      <c r="BW181" s="77"/>
      <c r="BX181" s="79"/>
      <c r="BY181" s="77"/>
      <c r="BZ181" s="79"/>
      <c r="CA181" s="77"/>
      <c r="CB181" s="79"/>
      <c r="CC181" s="77"/>
      <c r="CD181" s="79"/>
      <c r="CE181" s="77"/>
      <c r="CF181" s="79"/>
    </row>
    <row r="182" spans="1:84"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c r="Y182" s="17"/>
      <c r="Z182" s="17"/>
      <c r="AA182" s="17"/>
      <c r="AB182" s="17"/>
      <c r="AC182" s="17"/>
      <c r="AD182" s="17"/>
      <c r="AE182" s="17"/>
      <c r="AF182" s="17"/>
    </row>
    <row r="183" spans="1:84"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c r="Y183" s="17"/>
      <c r="Z183" s="17"/>
      <c r="AA183" s="17"/>
      <c r="AB183" s="17"/>
      <c r="AC183" s="17"/>
      <c r="AD183" s="17"/>
      <c r="AE183" s="17"/>
      <c r="AF183" s="17"/>
    </row>
    <row r="184" spans="1:84" s="22" customFormat="1" ht="30" customHeight="1" thickBot="1" x14ac:dyDescent="0.35">
      <c r="A184" s="17"/>
      <c r="B184" s="18"/>
      <c r="C184" s="25"/>
      <c r="D184" s="26"/>
      <c r="E184" s="927" t="s">
        <v>6086</v>
      </c>
      <c r="F184" s="928"/>
      <c r="G184" s="928"/>
      <c r="H184" s="28">
        <v>2.1700000000000001E-2</v>
      </c>
      <c r="I184" s="56"/>
      <c r="J184" s="27" t="e">
        <f>+ROUND(J181*H184,0)</f>
        <v>#N/A</v>
      </c>
      <c r="K184" s="21"/>
      <c r="L184" s="17"/>
      <c r="M184" s="17"/>
      <c r="N184" s="17"/>
      <c r="O184" s="17"/>
      <c r="P184" s="17"/>
      <c r="Q184" s="17"/>
      <c r="R184" s="17"/>
      <c r="S184" s="17"/>
      <c r="T184" s="17"/>
      <c r="U184" s="17"/>
      <c r="V184" s="17"/>
      <c r="W184" s="17"/>
      <c r="X184" s="17"/>
      <c r="Y184" s="17"/>
      <c r="Z184" s="17"/>
      <c r="AA184" s="17"/>
      <c r="AB184" s="17"/>
      <c r="AC184" s="17"/>
      <c r="AD184" s="17"/>
      <c r="AE184" s="17"/>
      <c r="AF184" s="17"/>
      <c r="AG184" s="17"/>
      <c r="AI184" s="17"/>
      <c r="AK184" s="17"/>
      <c r="AM184" s="17"/>
      <c r="AO184" s="17"/>
      <c r="AQ184" s="17"/>
      <c r="AS184" s="17"/>
      <c r="AU184" s="17"/>
      <c r="AW184" s="17"/>
      <c r="AY184" s="17">
        <f>+AY8</f>
        <v>3001079</v>
      </c>
      <c r="BA184" s="17"/>
      <c r="BC184" s="17"/>
      <c r="BE184" s="17"/>
      <c r="BG184" s="17"/>
      <c r="BI184" s="17"/>
      <c r="BK184" s="17"/>
      <c r="BM184" s="17"/>
      <c r="BO184" s="17">
        <f>+BO8</f>
        <v>3001479</v>
      </c>
      <c r="BQ184" s="17"/>
      <c r="BS184" s="17"/>
      <c r="BU184" s="17"/>
      <c r="BW184" s="17"/>
      <c r="BY184" s="17"/>
      <c r="CA184" s="17"/>
      <c r="CC184" s="17"/>
      <c r="CE184" s="17"/>
    </row>
    <row r="185" spans="1:84" s="22" customFormat="1" ht="30" customHeight="1" thickBot="1" x14ac:dyDescent="0.35">
      <c r="A185" s="17"/>
      <c r="B185" s="18"/>
      <c r="C185" s="25"/>
      <c r="D185" s="26"/>
      <c r="E185" s="29" t="s">
        <v>181</v>
      </c>
      <c r="F185" s="30"/>
      <c r="G185" s="31"/>
      <c r="H185" s="32"/>
      <c r="I185" s="57"/>
      <c r="J185" s="20" t="e">
        <f>+J181+J183+J184</f>
        <v>#N/A</v>
      </c>
      <c r="K185" s="21"/>
      <c r="L185" s="97" t="e">
        <f>+SUM(AY185:CS186)</f>
        <v>#N/A</v>
      </c>
      <c r="M185" s="97"/>
      <c r="N185" s="17"/>
      <c r="O185" s="97"/>
      <c r="P185" s="17"/>
      <c r="Q185" s="97"/>
      <c r="R185" s="17"/>
      <c r="S185" s="97"/>
      <c r="T185" s="17"/>
      <c r="U185" s="97"/>
      <c r="V185" s="17"/>
      <c r="W185" s="97"/>
      <c r="X185" s="17"/>
      <c r="Y185" s="97"/>
      <c r="Z185" s="17"/>
      <c r="AA185" s="97"/>
      <c r="AB185" s="17"/>
      <c r="AC185" s="97"/>
      <c r="AD185" s="17"/>
      <c r="AE185" s="97"/>
      <c r="AF185" s="17"/>
      <c r="AG185" s="97"/>
      <c r="AI185" s="97"/>
      <c r="AK185" s="97"/>
      <c r="AM185" s="97"/>
      <c r="AO185" s="97"/>
      <c r="AQ185" s="97"/>
      <c r="AS185" s="97"/>
      <c r="AU185" s="97"/>
      <c r="AW185" s="97"/>
      <c r="AY185" s="97" t="e">
        <f>+SUM(AZ17:AZ110,AZ130:AZ179)</f>
        <v>#N/A</v>
      </c>
      <c r="BA185" s="97"/>
      <c r="BC185" s="97"/>
      <c r="BE185" s="97"/>
      <c r="BG185" s="97"/>
      <c r="BI185" s="97"/>
      <c r="BK185" s="97"/>
      <c r="BM185" s="97"/>
      <c r="BO185" s="97" t="e">
        <f>+SUM(BP17:BP110,BP130:BP179)</f>
        <v>#N/A</v>
      </c>
      <c r="BQ185" s="97"/>
      <c r="BS185" s="97"/>
      <c r="BU185" s="97"/>
      <c r="BW185" s="97"/>
      <c r="BY185" s="97"/>
      <c r="CA185" s="97"/>
      <c r="CC185" s="97"/>
      <c r="CE185" s="97"/>
    </row>
    <row r="186" spans="1:84" s="22" customFormat="1" ht="16.2" thickBot="1" x14ac:dyDescent="0.35">
      <c r="A186" s="17"/>
      <c r="B186" s="18"/>
      <c r="C186" s="25"/>
      <c r="D186" s="26"/>
      <c r="E186" s="25"/>
      <c r="F186" s="25"/>
      <c r="G186" s="33"/>
      <c r="H186" s="34"/>
      <c r="I186" s="34"/>
      <c r="J186" s="35"/>
      <c r="K186" s="21"/>
      <c r="L186" s="17"/>
      <c r="M186" s="97"/>
      <c r="N186" s="17"/>
      <c r="O186" s="97"/>
      <c r="P186" s="17"/>
      <c r="Q186" s="97"/>
      <c r="R186" s="17"/>
      <c r="S186" s="97"/>
      <c r="T186" s="17"/>
      <c r="U186" s="97"/>
      <c r="V186" s="17"/>
      <c r="W186" s="97"/>
      <c r="X186" s="17"/>
      <c r="Y186" s="97"/>
      <c r="Z186" s="17"/>
      <c r="AA186" s="97"/>
      <c r="AB186" s="17"/>
      <c r="AC186" s="97"/>
      <c r="AD186" s="17"/>
      <c r="AE186" s="97"/>
      <c r="AF186" s="17"/>
      <c r="AG186" s="97"/>
      <c r="AI186" s="97"/>
      <c r="AK186" s="97"/>
      <c r="AM186" s="97"/>
      <c r="AO186" s="97"/>
      <c r="AQ186" s="97"/>
      <c r="AS186" s="97"/>
      <c r="AU186" s="97"/>
      <c r="AW186" s="97"/>
      <c r="AY186" s="97">
        <f>+SUM(AZ111:AZ128)</f>
        <v>0</v>
      </c>
      <c r="BA186" s="97"/>
      <c r="BC186" s="97"/>
      <c r="BE186" s="97"/>
      <c r="BG186" s="97"/>
      <c r="BI186" s="97"/>
      <c r="BK186" s="97"/>
      <c r="BM186" s="97"/>
      <c r="BO186" s="97">
        <f>+SUM(BP111:BP128)</f>
        <v>0</v>
      </c>
      <c r="BQ186" s="97"/>
      <c r="BS186" s="97"/>
      <c r="BU186" s="97"/>
      <c r="BW186" s="97"/>
      <c r="BY186" s="97"/>
      <c r="CA186" s="97"/>
      <c r="CC186" s="97"/>
      <c r="CE186" s="97"/>
    </row>
    <row r="187" spans="1:84"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c r="Y187" s="70"/>
      <c r="Z187" s="70"/>
      <c r="AA187" s="70"/>
      <c r="AB187" s="70"/>
      <c r="AC187" s="70"/>
      <c r="AD187" s="70"/>
      <c r="AE187" s="70"/>
      <c r="AF187" s="70"/>
    </row>
    <row r="188" spans="1:84" s="22" customFormat="1" ht="46.5" customHeight="1" x14ac:dyDescent="0.3">
      <c r="A188" s="17"/>
      <c r="B188" s="18"/>
      <c r="C188" s="562" t="s">
        <v>47</v>
      </c>
      <c r="D188" s="558"/>
      <c r="E188" s="558"/>
      <c r="F188" s="567" t="s">
        <v>48</v>
      </c>
      <c r="G188" s="567"/>
      <c r="H188" s="567"/>
      <c r="I188" s="58"/>
      <c r="J188" s="38" t="s">
        <v>49</v>
      </c>
      <c r="K188" s="39"/>
      <c r="L188" s="71"/>
      <c r="M188" s="71"/>
      <c r="N188" s="71"/>
      <c r="O188" s="71"/>
      <c r="P188" s="71"/>
      <c r="Q188" s="71"/>
      <c r="R188" s="71"/>
      <c r="S188" s="71"/>
      <c r="T188" s="71"/>
      <c r="U188" s="71"/>
      <c r="V188" s="71"/>
      <c r="W188" s="71"/>
      <c r="X188" s="71"/>
      <c r="Y188" s="71"/>
      <c r="Z188" s="71"/>
      <c r="AA188" s="71"/>
      <c r="AB188" s="71"/>
      <c r="AC188" s="71"/>
      <c r="AD188" s="71"/>
      <c r="AE188" s="71"/>
      <c r="AF188" s="71"/>
    </row>
    <row r="189" spans="1:84"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c r="Y189" s="71"/>
      <c r="Z189" s="71"/>
      <c r="AA189" s="71"/>
      <c r="AB189" s="71"/>
      <c r="AC189" s="71"/>
      <c r="AD189" s="71"/>
      <c r="AE189" s="71"/>
      <c r="AF189" s="71"/>
    </row>
    <row r="190" spans="1:84"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c r="Y190" s="71"/>
      <c r="Z190" s="71"/>
      <c r="AA190" s="71"/>
      <c r="AB190" s="71"/>
      <c r="AC190" s="71"/>
      <c r="AD190" s="71"/>
      <c r="AE190" s="71"/>
      <c r="AF190" s="71"/>
    </row>
    <row r="191" spans="1:84"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c r="Y191" s="17"/>
      <c r="Z191" s="17"/>
      <c r="AA191" s="17"/>
      <c r="AB191" s="17"/>
      <c r="AC191" s="17"/>
      <c r="AD191" s="17"/>
      <c r="AE191" s="17"/>
      <c r="AF191" s="17"/>
    </row>
    <row r="192" spans="1:84"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c r="Y192" s="3"/>
      <c r="Z192" s="3"/>
      <c r="AA192" s="3"/>
      <c r="AB192" s="3"/>
      <c r="AC192" s="3"/>
      <c r="AD192" s="3"/>
      <c r="AE192" s="3"/>
      <c r="AF192" s="3"/>
    </row>
    <row r="193" spans="1:32"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c r="Y193" s="3"/>
      <c r="Z193" s="3"/>
      <c r="AA193" s="3"/>
      <c r="AB193" s="3"/>
      <c r="AC193" s="3"/>
      <c r="AD193" s="3"/>
      <c r="AE193" s="3"/>
      <c r="AF193" s="3"/>
    </row>
    <row r="194" spans="1:32"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c r="Y194" s="3"/>
      <c r="Z194" s="3"/>
      <c r="AA194" s="3"/>
      <c r="AB194" s="3"/>
      <c r="AC194" s="3"/>
      <c r="AD194" s="3"/>
      <c r="AE194" s="3"/>
      <c r="AF194" s="3"/>
    </row>
    <row r="195" spans="1:32"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row>
  </sheetData>
  <mergeCells count="103">
    <mergeCell ref="C3:D3"/>
    <mergeCell ref="C5:J5"/>
    <mergeCell ref="C6:J6"/>
    <mergeCell ref="C7:E7"/>
    <mergeCell ref="F7:J9"/>
    <mergeCell ref="C8:E8"/>
    <mergeCell ref="C9:E9"/>
    <mergeCell ref="Q14:Q15"/>
    <mergeCell ref="C10:D12"/>
    <mergeCell ref="E10:J12"/>
    <mergeCell ref="C13:J13"/>
    <mergeCell ref="C14:C15"/>
    <mergeCell ref="D14:D15"/>
    <mergeCell ref="E14:E15"/>
    <mergeCell ref="F14:F15"/>
    <mergeCell ref="G14:G15"/>
    <mergeCell ref="H14:H15"/>
    <mergeCell ref="I14:I15"/>
    <mergeCell ref="E184:G184"/>
    <mergeCell ref="AD14:AD15"/>
    <mergeCell ref="AE14:AE15"/>
    <mergeCell ref="AF14:AF15"/>
    <mergeCell ref="AG14:AG15"/>
    <mergeCell ref="AH14:AH15"/>
    <mergeCell ref="AI14:AI15"/>
    <mergeCell ref="X14:X15"/>
    <mergeCell ref="Y14:Y15"/>
    <mergeCell ref="Z14:Z15"/>
    <mergeCell ref="AA14:AA15"/>
    <mergeCell ref="AB14:AB15"/>
    <mergeCell ref="AC14:AC15"/>
    <mergeCell ref="R14:R15"/>
    <mergeCell ref="S14:S15"/>
    <mergeCell ref="T14:T15"/>
    <mergeCell ref="U14:U15"/>
    <mergeCell ref="V14:V15"/>
    <mergeCell ref="W14:W15"/>
    <mergeCell ref="J14:J15"/>
    <mergeCell ref="M14:M15"/>
    <mergeCell ref="N14:N15"/>
    <mergeCell ref="O14:O15"/>
    <mergeCell ref="P14:P15"/>
    <mergeCell ref="AP14:AP15"/>
    <mergeCell ref="AQ14:AQ15"/>
    <mergeCell ref="AR14:AR15"/>
    <mergeCell ref="AS14:AS15"/>
    <mergeCell ref="AT14:AT15"/>
    <mergeCell ref="AU14:AU15"/>
    <mergeCell ref="F191:G191"/>
    <mergeCell ref="F192:G192"/>
    <mergeCell ref="F193:J193"/>
    <mergeCell ref="AM14:AM15"/>
    <mergeCell ref="AN14:AN15"/>
    <mergeCell ref="AO14:AO15"/>
    <mergeCell ref="D187:J187"/>
    <mergeCell ref="C188:E188"/>
    <mergeCell ref="F188:H188"/>
    <mergeCell ref="C189:E189"/>
    <mergeCell ref="F189:G189"/>
    <mergeCell ref="C190:E190"/>
    <mergeCell ref="F190:G190"/>
    <mergeCell ref="AJ14:AJ15"/>
    <mergeCell ref="AK14:AK15"/>
    <mergeCell ref="AL14:AL15"/>
    <mergeCell ref="C181:H181"/>
    <mergeCell ref="E183:G183"/>
    <mergeCell ref="BB14:BB15"/>
    <mergeCell ref="BC14:BC15"/>
    <mergeCell ref="BD14:BD15"/>
    <mergeCell ref="BE14:BE15"/>
    <mergeCell ref="BF14:BF15"/>
    <mergeCell ref="BG14:BG15"/>
    <mergeCell ref="AV14:AV15"/>
    <mergeCell ref="AW14:AW15"/>
    <mergeCell ref="AX14:AX15"/>
    <mergeCell ref="AY14:AY15"/>
    <mergeCell ref="AZ14:AZ15"/>
    <mergeCell ref="BA14:BA15"/>
    <mergeCell ref="BN14:BN15"/>
    <mergeCell ref="BO14:BO15"/>
    <mergeCell ref="BP14:BP15"/>
    <mergeCell ref="BQ14:BQ15"/>
    <mergeCell ref="BR14:BR15"/>
    <mergeCell ref="BS14:BS15"/>
    <mergeCell ref="BH14:BH15"/>
    <mergeCell ref="BI14:BI15"/>
    <mergeCell ref="BJ14:BJ15"/>
    <mergeCell ref="BK14:BK15"/>
    <mergeCell ref="BL14:BL15"/>
    <mergeCell ref="BM14:BM15"/>
    <mergeCell ref="CF14:CF15"/>
    <mergeCell ref="BZ14:BZ15"/>
    <mergeCell ref="CA14:CA15"/>
    <mergeCell ref="CB14:CB15"/>
    <mergeCell ref="CC14:CC15"/>
    <mergeCell ref="CD14:CD15"/>
    <mergeCell ref="CE14:CE15"/>
    <mergeCell ref="BT14:BT15"/>
    <mergeCell ref="BU14:BU15"/>
    <mergeCell ref="BV14:BV15"/>
    <mergeCell ref="BW14:BW15"/>
    <mergeCell ref="BX14:BX15"/>
    <mergeCell ref="BY14:BY1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D2F1E-6044-4C7B-BC68-F41BA6D38E8C}">
  <sheetPr>
    <tabColor rgb="FFFFFF00"/>
  </sheetPr>
  <dimension ref="A1:BV195"/>
  <sheetViews>
    <sheetView showGridLines="0" view="pageBreakPreview" topLeftCell="BF163" zoomScale="55" zoomScaleNormal="100" zoomScaleSheetLayoutView="55" zoomScalePageLayoutView="55" workbookViewId="0">
      <selection activeCell="G40" sqref="G40"/>
    </sheetView>
  </sheetViews>
  <sheetFormatPr baseColWidth="10" defaultColWidth="11.44140625" defaultRowHeight="13.8" x14ac:dyDescent="0.25"/>
  <cols>
    <col min="1" max="2" width="3.44140625" style="4" customWidth="1"/>
    <col min="3" max="3" width="10" style="4" customWidth="1"/>
    <col min="4" max="4" width="15.33203125" style="4" customWidth="1"/>
    <col min="5" max="5" width="118" style="4" customWidth="1"/>
    <col min="6" max="6" width="8.6640625" style="4" customWidth="1"/>
    <col min="7" max="7" width="18.88671875" style="4" customWidth="1"/>
    <col min="8" max="9" width="23.88671875" style="4" customWidth="1"/>
    <col min="10" max="10" width="30" style="4" customWidth="1"/>
    <col min="11" max="11" width="3.33203125" style="4" customWidth="1"/>
    <col min="12" max="12" width="19.44140625" style="4" bestFit="1" customWidth="1"/>
    <col min="13" max="13" width="31.6640625" style="4" customWidth="1"/>
    <col min="14" max="17" width="25.6640625" style="4" customWidth="1"/>
    <col min="18" max="18" width="28.6640625" style="4" bestFit="1" customWidth="1"/>
    <col min="19" max="19" width="25.6640625" style="4" customWidth="1"/>
    <col min="20" max="20" width="28.6640625" style="4" bestFit="1" customWidth="1"/>
    <col min="21" max="24" width="25.6640625" style="4" customWidth="1"/>
    <col min="25" max="25" width="32.33203125" style="4" bestFit="1" customWidth="1"/>
    <col min="26" max="26" width="26.5546875" style="4" bestFit="1" customWidth="1"/>
    <col min="27" max="27" width="32.33203125" style="4" bestFit="1" customWidth="1"/>
    <col min="28" max="28" width="25.5546875" style="4" bestFit="1" customWidth="1"/>
    <col min="29" max="29" width="32.33203125" style="4" bestFit="1" customWidth="1"/>
    <col min="30" max="30" width="24.5546875" style="4" bestFit="1" customWidth="1"/>
    <col min="31" max="31" width="32.33203125" style="4" bestFit="1" customWidth="1"/>
    <col min="32" max="32" width="26.5546875" style="4" bestFit="1" customWidth="1"/>
    <col min="33" max="33" width="32.33203125" style="4" bestFit="1" customWidth="1"/>
    <col min="34" max="34" width="25.109375" style="4" bestFit="1" customWidth="1"/>
    <col min="35" max="35" width="32.33203125" style="4" bestFit="1" customWidth="1"/>
    <col min="36" max="36" width="26.109375" style="4" bestFit="1" customWidth="1"/>
    <col min="37" max="37" width="32.33203125" style="4" bestFit="1" customWidth="1"/>
    <col min="38" max="38" width="24.5546875" style="4" bestFit="1" customWidth="1"/>
    <col min="39" max="39" width="32.5546875" style="4" bestFit="1" customWidth="1"/>
    <col min="40" max="40" width="25.5546875" style="4" bestFit="1" customWidth="1"/>
    <col min="41" max="41" width="32.5546875" style="4" bestFit="1" customWidth="1"/>
    <col min="42" max="42" width="25.109375" style="4" bestFit="1" customWidth="1"/>
    <col min="43" max="43" width="32.5546875" style="4" bestFit="1" customWidth="1"/>
    <col min="44" max="44" width="24.5546875" style="4" bestFit="1" customWidth="1"/>
    <col min="45" max="45" width="32.5546875" style="4" bestFit="1" customWidth="1"/>
    <col min="46" max="46" width="24.5546875" style="4" bestFit="1" customWidth="1"/>
    <col min="47" max="47" width="32.5546875" style="4" bestFit="1" customWidth="1"/>
    <col min="48" max="48" width="25.5546875" style="4" bestFit="1" customWidth="1"/>
    <col min="49" max="49" width="32.5546875" style="4" bestFit="1" customWidth="1"/>
    <col min="50" max="50" width="26.5546875" style="4" bestFit="1" customWidth="1"/>
    <col min="51" max="51" width="32.5546875" style="4" bestFit="1" customWidth="1"/>
    <col min="52" max="52" width="25.5546875" style="4" bestFit="1" customWidth="1"/>
    <col min="53" max="53" width="32.5546875" style="4" bestFit="1" customWidth="1"/>
    <col min="54" max="54" width="25.109375" style="4" bestFit="1" customWidth="1"/>
    <col min="55" max="55" width="32.5546875" style="4" bestFit="1" customWidth="1"/>
    <col min="56" max="56" width="25.109375" style="4" bestFit="1" customWidth="1"/>
    <col min="57" max="57" width="32.5546875" style="4" bestFit="1" customWidth="1"/>
    <col min="58" max="58" width="26.109375" style="4" bestFit="1" customWidth="1"/>
    <col min="59" max="59" width="32.5546875" style="4" bestFit="1" customWidth="1"/>
    <col min="60" max="60" width="25.5546875" style="4" bestFit="1" customWidth="1"/>
    <col min="61" max="61" width="32.5546875" style="4" bestFit="1" customWidth="1"/>
    <col min="62" max="62" width="24" style="4" bestFit="1" customWidth="1"/>
    <col min="63" max="63" width="32.5546875" style="4" bestFit="1" customWidth="1"/>
    <col min="64" max="64" width="25.109375" style="4" bestFit="1" customWidth="1"/>
    <col min="65" max="65" width="32.5546875" style="4" bestFit="1" customWidth="1"/>
    <col min="66" max="66" width="26.109375" style="4" bestFit="1" customWidth="1"/>
    <col min="67" max="67" width="32.5546875" style="4" bestFit="1" customWidth="1"/>
    <col min="68" max="68" width="25.5546875" style="4" bestFit="1" customWidth="1"/>
    <col min="69" max="69" width="32.5546875" style="4" bestFit="1" customWidth="1"/>
    <col min="70" max="70" width="24.5546875" style="4" bestFit="1" customWidth="1"/>
    <col min="71" max="71" width="32.5546875" style="4" bestFit="1" customWidth="1"/>
    <col min="72" max="72" width="26.109375" style="4" bestFit="1" customWidth="1"/>
    <col min="73" max="73" width="32.5546875" style="4" bestFit="1" customWidth="1"/>
    <col min="74" max="74" width="26.5546875" style="4" bestFit="1" customWidth="1"/>
    <col min="75" max="16384" width="11.44140625" style="4"/>
  </cols>
  <sheetData>
    <row r="1" spans="1:74" ht="16.2" thickBot="1" x14ac:dyDescent="0.35">
      <c r="A1" s="3"/>
      <c r="B1" s="3"/>
      <c r="C1" s="3"/>
      <c r="D1" s="3"/>
      <c r="E1" s="3"/>
      <c r="F1" s="3"/>
      <c r="G1" s="3"/>
      <c r="H1" s="3"/>
      <c r="I1" s="3"/>
      <c r="J1" s="3"/>
      <c r="K1" s="3"/>
      <c r="L1" s="3"/>
      <c r="M1" s="3" t="s">
        <v>6060</v>
      </c>
      <c r="N1" s="3"/>
      <c r="O1" s="3"/>
      <c r="P1" s="3"/>
      <c r="Q1" s="3"/>
      <c r="R1" s="3" t="s">
        <v>6061</v>
      </c>
      <c r="S1" s="3"/>
      <c r="T1" s="3"/>
      <c r="U1" s="3"/>
      <c r="V1" s="3"/>
      <c r="W1" s="3"/>
      <c r="X1" s="3"/>
    </row>
    <row r="2" spans="1:74" ht="16.2" thickTop="1" x14ac:dyDescent="0.3">
      <c r="A2" s="3"/>
      <c r="B2" s="5"/>
      <c r="C2" s="6"/>
      <c r="D2" s="6"/>
      <c r="E2" s="6"/>
      <c r="F2" s="6"/>
      <c r="G2" s="6"/>
      <c r="H2" s="6"/>
      <c r="I2" s="6"/>
      <c r="J2" s="6"/>
      <c r="K2" s="7"/>
      <c r="L2" s="3"/>
      <c r="M2" s="54" t="s">
        <v>6062</v>
      </c>
      <c r="N2" s="54" t="s">
        <v>6063</v>
      </c>
      <c r="O2" s="54" t="s">
        <v>6064</v>
      </c>
      <c r="P2" s="54" t="s">
        <v>6065</v>
      </c>
      <c r="Q2" s="3"/>
      <c r="R2" s="54" t="s">
        <v>6066</v>
      </c>
      <c r="S2" s="54" t="s">
        <v>6064</v>
      </c>
      <c r="T2" s="54" t="s">
        <v>6065</v>
      </c>
      <c r="U2" s="3"/>
      <c r="V2" s="3"/>
      <c r="W2" s="3"/>
      <c r="X2" s="3"/>
    </row>
    <row r="3" spans="1:74" ht="27" customHeight="1" x14ac:dyDescent="0.3">
      <c r="A3" s="3"/>
      <c r="B3" s="8"/>
      <c r="C3" s="584" t="s">
        <v>0</v>
      </c>
      <c r="D3" s="585"/>
      <c r="E3" s="3"/>
      <c r="F3" s="3"/>
      <c r="G3" s="3"/>
      <c r="H3" s="3"/>
      <c r="I3" s="3"/>
      <c r="J3" s="3"/>
      <c r="K3" s="9"/>
      <c r="L3" s="3"/>
      <c r="M3" s="54">
        <v>0.2</v>
      </c>
      <c r="N3" s="54">
        <v>0.05</v>
      </c>
      <c r="O3" s="54">
        <v>0.15</v>
      </c>
      <c r="P3" s="54">
        <v>0.3</v>
      </c>
      <c r="Q3" s="3"/>
      <c r="R3" s="54">
        <v>0.1</v>
      </c>
      <c r="S3" s="54">
        <v>0.15</v>
      </c>
      <c r="T3" s="54">
        <v>0.3</v>
      </c>
      <c r="U3" s="3"/>
      <c r="V3" s="3"/>
      <c r="W3" s="3"/>
      <c r="X3" s="3"/>
    </row>
    <row r="4" spans="1:74" ht="15.6" x14ac:dyDescent="0.3">
      <c r="A4" s="3"/>
      <c r="B4" s="8"/>
      <c r="C4" s="10" t="s">
        <v>1</v>
      </c>
      <c r="D4" s="11" t="s">
        <v>2</v>
      </c>
      <c r="E4" s="3"/>
      <c r="F4" s="3"/>
      <c r="G4" s="3"/>
      <c r="H4" s="3"/>
      <c r="I4" s="3"/>
      <c r="J4" s="3"/>
      <c r="K4" s="9"/>
      <c r="L4" s="3"/>
      <c r="M4" s="3" t="s">
        <v>6067</v>
      </c>
      <c r="N4" s="3"/>
      <c r="O4" s="3"/>
      <c r="P4" s="3"/>
      <c r="Q4" s="3"/>
      <c r="R4" s="3"/>
      <c r="S4" s="3"/>
      <c r="T4" s="3"/>
      <c r="U4" s="3"/>
      <c r="V4" s="3"/>
      <c r="W4" s="3"/>
      <c r="X4" s="3"/>
    </row>
    <row r="5" spans="1:74" ht="15.6" x14ac:dyDescent="0.3">
      <c r="A5" s="3"/>
      <c r="B5" s="8"/>
      <c r="C5" s="586" t="s">
        <v>3</v>
      </c>
      <c r="D5" s="586"/>
      <c r="E5" s="586"/>
      <c r="F5" s="586"/>
      <c r="G5" s="586"/>
      <c r="H5" s="586"/>
      <c r="I5" s="586"/>
      <c r="J5" s="586"/>
      <c r="K5" s="9"/>
      <c r="L5" s="3"/>
      <c r="M5" s="54" t="s">
        <v>6068</v>
      </c>
      <c r="N5" s="54" t="s">
        <v>6069</v>
      </c>
      <c r="O5" s="54" t="s">
        <v>6064</v>
      </c>
      <c r="P5" s="54" t="s">
        <v>6065</v>
      </c>
      <c r="Q5" s="3"/>
      <c r="R5" s="3"/>
      <c r="S5" s="3"/>
      <c r="T5" s="3"/>
      <c r="U5" s="3"/>
      <c r="V5" s="3"/>
      <c r="W5" s="3"/>
      <c r="X5" s="3"/>
    </row>
    <row r="6" spans="1:74" ht="16.2" thickBot="1" x14ac:dyDescent="0.35">
      <c r="A6" s="3"/>
      <c r="B6" s="8"/>
      <c r="C6" s="587" t="s">
        <v>4</v>
      </c>
      <c r="D6" s="587"/>
      <c r="E6" s="587"/>
      <c r="F6" s="587"/>
      <c r="G6" s="587"/>
      <c r="H6" s="587"/>
      <c r="I6" s="587"/>
      <c r="J6" s="587"/>
      <c r="K6" s="9"/>
      <c r="L6" s="3"/>
      <c r="M6" s="55">
        <v>0.12</v>
      </c>
      <c r="N6" s="55">
        <v>0.15</v>
      </c>
      <c r="O6" s="55">
        <v>0.2</v>
      </c>
      <c r="P6" s="55">
        <v>0.3</v>
      </c>
      <c r="Q6" s="3"/>
      <c r="R6" s="3"/>
      <c r="S6" s="3"/>
      <c r="T6" s="3"/>
      <c r="U6" s="3"/>
      <c r="V6" s="3"/>
      <c r="W6" s="3"/>
      <c r="X6" s="3"/>
    </row>
    <row r="7" spans="1:74" s="15" customFormat="1" ht="16.5" customHeight="1" x14ac:dyDescent="0.3">
      <c r="A7" s="12"/>
      <c r="B7" s="13"/>
      <c r="C7" s="588" t="s">
        <v>5</v>
      </c>
      <c r="D7" s="589"/>
      <c r="E7" s="589"/>
      <c r="F7" s="590"/>
      <c r="G7" s="590"/>
      <c r="H7" s="590"/>
      <c r="I7" s="591"/>
      <c r="J7" s="592"/>
      <c r="K7" s="14"/>
      <c r="L7" s="12"/>
      <c r="M7" s="92"/>
      <c r="O7" s="92" t="e">
        <f>+P181</f>
        <v>#N/A</v>
      </c>
      <c r="Q7" s="92"/>
      <c r="R7" s="12"/>
      <c r="S7" s="92"/>
      <c r="T7" s="12"/>
      <c r="U7" s="92"/>
      <c r="V7" s="12"/>
      <c r="W7" s="92"/>
      <c r="X7" s="12"/>
      <c r="Y7" s="92"/>
      <c r="AA7" s="92"/>
      <c r="AC7" s="92"/>
      <c r="AE7" s="92"/>
      <c r="AG7" s="92"/>
      <c r="AI7" s="92"/>
      <c r="AK7" s="92"/>
      <c r="AM7" s="92"/>
      <c r="AO7" s="92"/>
      <c r="AQ7" s="92"/>
      <c r="AS7" s="92"/>
      <c r="AU7" s="92"/>
      <c r="AW7" s="92"/>
      <c r="AY7" s="92"/>
      <c r="BA7" s="92"/>
      <c r="BC7" s="92"/>
      <c r="BE7" s="92"/>
      <c r="BG7" s="92"/>
      <c r="BI7" s="92"/>
      <c r="BK7" s="92"/>
      <c r="BM7" s="92"/>
      <c r="BO7" s="92"/>
      <c r="BQ7" s="92"/>
      <c r="BS7" s="92"/>
      <c r="BU7" s="92"/>
    </row>
    <row r="8" spans="1:74" ht="15.6" x14ac:dyDescent="0.3">
      <c r="A8" s="3"/>
      <c r="B8" s="16"/>
      <c r="C8" s="596" t="s">
        <v>6</v>
      </c>
      <c r="D8" s="597"/>
      <c r="E8" s="597"/>
      <c r="F8" s="593"/>
      <c r="G8" s="593"/>
      <c r="H8" s="593"/>
      <c r="I8" s="594"/>
      <c r="J8" s="595"/>
      <c r="K8" s="9"/>
      <c r="L8" s="80" t="s">
        <v>5794</v>
      </c>
      <c r="M8" s="74"/>
      <c r="N8" s="3"/>
      <c r="O8" s="1">
        <v>3001283</v>
      </c>
      <c r="P8" s="3"/>
      <c r="Q8" s="74"/>
      <c r="R8" s="3"/>
      <c r="S8" s="74"/>
      <c r="T8" s="3"/>
      <c r="U8" s="74"/>
      <c r="V8" s="3"/>
      <c r="W8" s="74"/>
      <c r="X8" s="3"/>
      <c r="Y8" s="74"/>
      <c r="Z8" s="3"/>
      <c r="AA8" s="74"/>
      <c r="AB8" s="3"/>
      <c r="AC8" s="74"/>
      <c r="AD8" s="3"/>
      <c r="AE8" s="74"/>
      <c r="AF8" s="3"/>
      <c r="AG8" s="74"/>
      <c r="AH8" s="3"/>
      <c r="AI8" s="74"/>
      <c r="AJ8" s="3"/>
      <c r="AK8" s="74"/>
      <c r="AL8" s="3"/>
      <c r="AM8" s="74"/>
      <c r="AN8" s="3"/>
      <c r="AO8" s="74"/>
      <c r="AP8" s="3"/>
      <c r="AQ8" s="74"/>
      <c r="AR8" s="3"/>
      <c r="AS8" s="74"/>
      <c r="AT8" s="3"/>
      <c r="AU8" s="74"/>
      <c r="AV8" s="3"/>
      <c r="AW8" s="74"/>
      <c r="AX8" s="3"/>
      <c r="AY8" s="74"/>
      <c r="AZ8" s="3"/>
      <c r="BA8" s="74"/>
      <c r="BB8" s="3"/>
      <c r="BC8" s="74"/>
      <c r="BD8" s="3"/>
      <c r="BE8" s="74"/>
      <c r="BF8" s="3"/>
      <c r="BG8" s="74"/>
      <c r="BH8" s="3"/>
      <c r="BI8" s="74"/>
      <c r="BJ8" s="3"/>
      <c r="BK8" s="74"/>
      <c r="BL8" s="3"/>
      <c r="BM8" s="74"/>
      <c r="BN8" s="3"/>
      <c r="BO8" s="74"/>
      <c r="BP8" s="3"/>
      <c r="BQ8" s="74"/>
      <c r="BR8" s="3"/>
      <c r="BS8" s="74"/>
      <c r="BT8" s="3"/>
      <c r="BU8" s="74"/>
      <c r="BV8" s="3"/>
    </row>
    <row r="9" spans="1:74" ht="15.6" x14ac:dyDescent="0.3">
      <c r="A9" s="3"/>
      <c r="B9" s="16"/>
      <c r="C9" s="596" t="s">
        <v>6070</v>
      </c>
      <c r="D9" s="597"/>
      <c r="E9" s="597"/>
      <c r="F9" s="593"/>
      <c r="G9" s="593"/>
      <c r="H9" s="593"/>
      <c r="I9" s="594"/>
      <c r="J9" s="595"/>
      <c r="K9" s="9"/>
      <c r="L9" s="80" t="s">
        <v>6071</v>
      </c>
      <c r="M9" s="74"/>
      <c r="O9" s="74" t="str">
        <f>+VLOOKUP(O8,'LISTADO CIV FLEXIBLES'!$A$1:$H$40,7)</f>
        <v>FLEXIBLE</v>
      </c>
      <c r="Q9" s="74"/>
      <c r="S9" s="74"/>
      <c r="U9" s="74"/>
      <c r="W9" s="74"/>
      <c r="Y9" s="74"/>
      <c r="AA9" s="74"/>
      <c r="AC9" s="74"/>
      <c r="AE9" s="74"/>
      <c r="AG9" s="74"/>
      <c r="AI9" s="74"/>
      <c r="AK9" s="74"/>
      <c r="AM9" s="74"/>
      <c r="AO9" s="74"/>
      <c r="AQ9" s="74"/>
      <c r="AS9" s="74"/>
      <c r="AU9" s="74"/>
      <c r="AW9" s="74"/>
      <c r="AY9" s="74"/>
      <c r="BA9" s="74"/>
      <c r="BC9" s="74"/>
      <c r="BE9" s="74"/>
      <c r="BG9" s="74"/>
      <c r="BI9" s="74"/>
      <c r="BK9" s="74"/>
      <c r="BM9" s="74"/>
      <c r="BO9" s="74"/>
      <c r="BQ9" s="74"/>
      <c r="BS9" s="74"/>
      <c r="BU9" s="74"/>
    </row>
    <row r="10" spans="1:74" ht="15.6" x14ac:dyDescent="0.3">
      <c r="A10" s="3"/>
      <c r="B10" s="16"/>
      <c r="C10" s="599" t="s">
        <v>8</v>
      </c>
      <c r="D10" s="593"/>
      <c r="E10" s="593"/>
      <c r="F10" s="593"/>
      <c r="G10" s="593"/>
      <c r="H10" s="593"/>
      <c r="I10" s="594"/>
      <c r="J10" s="595"/>
      <c r="K10" s="9"/>
      <c r="L10" s="80" t="s">
        <v>6072</v>
      </c>
      <c r="M10" s="74"/>
      <c r="O10" s="74" t="str">
        <f>+VLOOKUP(O8,'LISTADO CIV FLEXIBLES'!$A$1:$H$40,8)</f>
        <v>MANTENIMIENTO PERIODICO</v>
      </c>
      <c r="Q10" s="74"/>
      <c r="S10" s="74"/>
      <c r="U10" s="74"/>
      <c r="W10" s="74"/>
      <c r="Y10" s="74"/>
      <c r="AA10" s="74"/>
      <c r="AC10" s="74"/>
      <c r="AE10" s="74"/>
      <c r="AG10" s="74"/>
      <c r="AI10" s="74"/>
      <c r="AK10" s="74"/>
      <c r="AM10" s="74"/>
      <c r="AO10" s="74"/>
      <c r="AQ10" s="74"/>
      <c r="AS10" s="74"/>
      <c r="AU10" s="74"/>
      <c r="AW10" s="74"/>
      <c r="AY10" s="74"/>
      <c r="BA10" s="74"/>
      <c r="BC10" s="74"/>
      <c r="BE10" s="74"/>
      <c r="BG10" s="74"/>
      <c r="BI10" s="74"/>
      <c r="BK10" s="74"/>
      <c r="BM10" s="74"/>
      <c r="BO10" s="74"/>
      <c r="BQ10" s="74"/>
      <c r="BS10" s="74"/>
      <c r="BU10" s="74"/>
    </row>
    <row r="11" spans="1:74" ht="15.6" x14ac:dyDescent="0.3">
      <c r="A11" s="3"/>
      <c r="B11" s="16"/>
      <c r="C11" s="599"/>
      <c r="D11" s="593"/>
      <c r="E11" s="593"/>
      <c r="F11" s="593"/>
      <c r="G11" s="593"/>
      <c r="H11" s="593"/>
      <c r="I11" s="594"/>
      <c r="J11" s="595"/>
      <c r="K11" s="9"/>
      <c r="L11" s="80" t="s">
        <v>6073</v>
      </c>
      <c r="M11" s="74"/>
      <c r="O11" s="74">
        <f>+VLOOKUP(O8,'LISTADO CIV FLEXIBLES'!$A$1:$H$40,5)</f>
        <v>67.28</v>
      </c>
      <c r="Q11" s="74"/>
      <c r="S11" s="74"/>
      <c r="U11" s="74"/>
      <c r="W11" s="74"/>
      <c r="Y11" s="74"/>
      <c r="AA11" s="74"/>
      <c r="AC11" s="74"/>
      <c r="AE11" s="74"/>
      <c r="AG11" s="74"/>
      <c r="AI11" s="74"/>
      <c r="AK11" s="74"/>
      <c r="AM11" s="74"/>
      <c r="AO11" s="74"/>
      <c r="AQ11" s="74"/>
      <c r="AS11" s="74"/>
      <c r="AU11" s="74"/>
      <c r="AW11" s="74"/>
      <c r="AY11" s="74"/>
      <c r="BA11" s="74"/>
      <c r="BC11" s="74"/>
      <c r="BE11" s="74"/>
      <c r="BG11" s="74"/>
      <c r="BI11" s="74"/>
      <c r="BK11" s="74"/>
      <c r="BM11" s="74"/>
      <c r="BO11" s="74"/>
      <c r="BQ11" s="74"/>
      <c r="BS11" s="74"/>
      <c r="BU11" s="74"/>
    </row>
    <row r="12" spans="1:74" ht="16.2" thickBot="1" x14ac:dyDescent="0.35">
      <c r="A12" s="3"/>
      <c r="B12" s="16"/>
      <c r="C12" s="600"/>
      <c r="D12" s="601"/>
      <c r="E12" s="601"/>
      <c r="F12" s="601"/>
      <c r="G12" s="601"/>
      <c r="H12" s="601"/>
      <c r="I12" s="602"/>
      <c r="J12" s="603"/>
      <c r="K12" s="9"/>
      <c r="L12" s="80" t="s">
        <v>6074</v>
      </c>
      <c r="M12" s="90"/>
      <c r="O12" s="90">
        <f>+VLOOKUP(O8,'LISTADO CIV FLEXIBLES'!$A$1:$H$40,6)</f>
        <v>5.55</v>
      </c>
      <c r="Q12" s="90"/>
      <c r="S12" s="90"/>
      <c r="U12" s="90"/>
      <c r="W12" s="90"/>
      <c r="Y12" s="90"/>
      <c r="AA12" s="90"/>
      <c r="AC12" s="90"/>
      <c r="AE12" s="90"/>
      <c r="AG12" s="90"/>
      <c r="AI12" s="90"/>
      <c r="AK12" s="90"/>
      <c r="AM12" s="90"/>
      <c r="AO12" s="90"/>
      <c r="AQ12" s="90"/>
      <c r="AS12" s="90"/>
      <c r="AU12" s="90"/>
      <c r="AW12" s="90"/>
      <c r="AY12" s="90"/>
      <c r="BA12" s="90"/>
      <c r="BC12" s="90"/>
      <c r="BE12" s="90"/>
      <c r="BG12" s="90"/>
      <c r="BI12" s="90"/>
      <c r="BK12" s="90"/>
      <c r="BM12" s="90"/>
      <c r="BO12" s="90"/>
      <c r="BQ12" s="90"/>
      <c r="BS12" s="90"/>
      <c r="BU12" s="90"/>
    </row>
    <row r="13" spans="1:74" ht="30" customHeight="1" thickBot="1" x14ac:dyDescent="0.35">
      <c r="A13" s="3"/>
      <c r="B13" s="8"/>
      <c r="C13" s="604"/>
      <c r="D13" s="605"/>
      <c r="E13" s="605"/>
      <c r="F13" s="605"/>
      <c r="G13" s="605"/>
      <c r="H13" s="605"/>
      <c r="I13" s="605"/>
      <c r="J13" s="606"/>
      <c r="K13" s="9"/>
      <c r="L13" s="80" t="s">
        <v>6075</v>
      </c>
      <c r="M13" s="75"/>
      <c r="O13" s="75">
        <f>+ROUND(O11*O12,2)*0.5</f>
        <v>186.7</v>
      </c>
      <c r="Q13" s="75"/>
      <c r="S13" s="75"/>
      <c r="U13" s="75"/>
      <c r="W13" s="75"/>
      <c r="Y13" s="75"/>
      <c r="AA13" s="75"/>
      <c r="AC13" s="75"/>
      <c r="AE13" s="75"/>
      <c r="AG13" s="75"/>
      <c r="AI13" s="75"/>
      <c r="AK13" s="75"/>
      <c r="AM13" s="75"/>
      <c r="AO13" s="75"/>
      <c r="AQ13" s="75"/>
      <c r="AS13" s="75"/>
      <c r="AU13" s="75"/>
      <c r="AW13" s="75"/>
      <c r="AY13" s="75"/>
      <c r="BA13" s="75"/>
      <c r="BC13" s="75"/>
      <c r="BE13" s="75"/>
      <c r="BG13" s="75"/>
      <c r="BI13" s="75"/>
      <c r="BK13" s="75"/>
      <c r="BM13" s="75"/>
      <c r="BO13" s="75"/>
      <c r="BQ13" s="75"/>
      <c r="BS13" s="75"/>
      <c r="BU13" s="75"/>
    </row>
    <row r="14" spans="1:74" ht="16.5" customHeight="1" x14ac:dyDescent="0.3">
      <c r="A14" s="3"/>
      <c r="B14" s="8"/>
      <c r="C14" s="607" t="s">
        <v>10</v>
      </c>
      <c r="D14" s="609" t="s">
        <v>11</v>
      </c>
      <c r="E14" s="607" t="s">
        <v>12</v>
      </c>
      <c r="F14" s="611" t="s">
        <v>13</v>
      </c>
      <c r="G14" s="611" t="s">
        <v>14</v>
      </c>
      <c r="H14" s="598" t="s">
        <v>15</v>
      </c>
      <c r="I14" s="598" t="s">
        <v>27</v>
      </c>
      <c r="J14" s="925" t="s">
        <v>16</v>
      </c>
      <c r="K14" s="9"/>
      <c r="L14" s="3"/>
      <c r="M14" s="547"/>
      <c r="N14" s="548"/>
      <c r="O14" s="547" t="s">
        <v>14</v>
      </c>
      <c r="P14" s="548" t="s">
        <v>16</v>
      </c>
      <c r="Q14" s="547"/>
      <c r="R14" s="548"/>
      <c r="S14" s="547"/>
      <c r="T14" s="548"/>
      <c r="U14" s="547"/>
      <c r="V14" s="548"/>
      <c r="W14" s="547"/>
      <c r="X14" s="548"/>
      <c r="Y14" s="547"/>
      <c r="Z14" s="548"/>
      <c r="AA14" s="547"/>
      <c r="AB14" s="548"/>
      <c r="AC14" s="547"/>
      <c r="AD14" s="548"/>
      <c r="AE14" s="547"/>
      <c r="AF14" s="548"/>
      <c r="AG14" s="547"/>
      <c r="AH14" s="548"/>
      <c r="AI14" s="547"/>
      <c r="AJ14" s="548"/>
      <c r="AK14" s="547"/>
      <c r="AL14" s="548"/>
      <c r="AM14" s="547"/>
      <c r="AN14" s="548"/>
      <c r="AO14" s="547"/>
      <c r="AP14" s="548"/>
      <c r="AQ14" s="547"/>
      <c r="AR14" s="548"/>
      <c r="AS14" s="547"/>
      <c r="AT14" s="548"/>
      <c r="AU14" s="547"/>
      <c r="AV14" s="548"/>
      <c r="AW14" s="547"/>
      <c r="AX14" s="548"/>
      <c r="AY14" s="547"/>
      <c r="AZ14" s="548"/>
      <c r="BA14" s="547"/>
      <c r="BB14" s="548"/>
      <c r="BC14" s="547"/>
      <c r="BD14" s="548"/>
      <c r="BE14" s="547"/>
      <c r="BF14" s="548"/>
      <c r="BG14" s="547"/>
      <c r="BH14" s="548"/>
      <c r="BI14" s="547"/>
      <c r="BJ14" s="548"/>
      <c r="BK14" s="547"/>
      <c r="BL14" s="548"/>
      <c r="BM14" s="547"/>
      <c r="BN14" s="548"/>
      <c r="BO14" s="547"/>
      <c r="BP14" s="548"/>
      <c r="BQ14" s="547"/>
      <c r="BR14" s="548"/>
      <c r="BS14" s="547"/>
      <c r="BT14" s="548"/>
      <c r="BU14" s="547"/>
      <c r="BV14" s="548"/>
    </row>
    <row r="15" spans="1:74" ht="30" customHeight="1" x14ac:dyDescent="0.3">
      <c r="A15" s="3"/>
      <c r="B15" s="8"/>
      <c r="C15" s="608"/>
      <c r="D15" s="610"/>
      <c r="E15" s="608"/>
      <c r="F15" s="544"/>
      <c r="G15" s="544"/>
      <c r="H15" s="542"/>
      <c r="I15" s="542"/>
      <c r="J15" s="926"/>
      <c r="K15" s="9"/>
      <c r="L15" s="3"/>
      <c r="M15" s="547"/>
      <c r="N15" s="548"/>
      <c r="O15" s="547"/>
      <c r="P15" s="548"/>
      <c r="Q15" s="547"/>
      <c r="R15" s="548"/>
      <c r="S15" s="547"/>
      <c r="T15" s="548"/>
      <c r="U15" s="547"/>
      <c r="V15" s="548"/>
      <c r="W15" s="547"/>
      <c r="X15" s="548"/>
      <c r="Y15" s="547"/>
      <c r="Z15" s="548"/>
      <c r="AA15" s="547"/>
      <c r="AB15" s="548"/>
      <c r="AC15" s="547"/>
      <c r="AD15" s="548"/>
      <c r="AE15" s="547"/>
      <c r="AF15" s="548"/>
      <c r="AG15" s="547"/>
      <c r="AH15" s="548"/>
      <c r="AI15" s="547"/>
      <c r="AJ15" s="548"/>
      <c r="AK15" s="547"/>
      <c r="AL15" s="548"/>
      <c r="AM15" s="547"/>
      <c r="AN15" s="548"/>
      <c r="AO15" s="547"/>
      <c r="AP15" s="548"/>
      <c r="AQ15" s="547"/>
      <c r="AR15" s="548"/>
      <c r="AS15" s="547"/>
      <c r="AT15" s="548"/>
      <c r="AU15" s="547"/>
      <c r="AV15" s="548"/>
      <c r="AW15" s="547"/>
      <c r="AX15" s="548"/>
      <c r="AY15" s="547"/>
      <c r="AZ15" s="548"/>
      <c r="BA15" s="547"/>
      <c r="BB15" s="548"/>
      <c r="BC15" s="547"/>
      <c r="BD15" s="548"/>
      <c r="BE15" s="547"/>
      <c r="BF15" s="548"/>
      <c r="BG15" s="547"/>
      <c r="BH15" s="548"/>
      <c r="BI15" s="547"/>
      <c r="BJ15" s="548"/>
      <c r="BK15" s="547"/>
      <c r="BL15" s="548"/>
      <c r="BM15" s="547"/>
      <c r="BN15" s="548"/>
      <c r="BO15" s="547"/>
      <c r="BP15" s="548"/>
      <c r="BQ15" s="547"/>
      <c r="BR15" s="548"/>
      <c r="BS15" s="547"/>
      <c r="BT15" s="548"/>
      <c r="BU15" s="547"/>
      <c r="BV15" s="548"/>
    </row>
    <row r="16" spans="1:74" ht="30" customHeight="1" x14ac:dyDescent="0.3">
      <c r="A16" s="3"/>
      <c r="B16" s="8"/>
      <c r="C16" s="61" t="s">
        <v>6076</v>
      </c>
      <c r="D16" s="64"/>
      <c r="E16" s="64"/>
      <c r="F16" s="64"/>
      <c r="G16" s="64"/>
      <c r="H16" s="64"/>
      <c r="I16" s="64"/>
      <c r="J16" s="65"/>
      <c r="K16" s="9"/>
      <c r="L16" s="3"/>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row>
    <row r="17" spans="1:74" ht="30" customHeight="1" x14ac:dyDescent="0.3">
      <c r="A17" s="3"/>
      <c r="B17" s="8"/>
      <c r="C17" s="60">
        <v>3007</v>
      </c>
      <c r="D17" s="60">
        <v>1001</v>
      </c>
      <c r="E17" s="60" t="str">
        <f>+VLOOKUP(C17,'PRECIOS IDU 2025'!$A$1:$E$3189,2,FALSE)</f>
        <v>REPLANTEO GENERAL</v>
      </c>
      <c r="F17" s="60" t="str">
        <f>+VLOOKUP(C17,'PRECIOS IDU 2025'!$A$1:$E$3189,3,FALSE)</f>
        <v>M2</v>
      </c>
      <c r="G17" s="108">
        <f>+ROUND(M17+O17+Q17+S17+U17+W17+Y17+AA17+AC17+AE17+AG17+AI17+AK17+AM17+AO17+AQ17+AS17+AU17+AW17+AY17+BA17+BC17+BE17+BG17+BI17+BK17+BM17+BO17+BQ17+BS17+BU17,2)</f>
        <v>0</v>
      </c>
      <c r="H17" s="69">
        <f>+VLOOKUP(C17,'PRECIOS IDU 2025'!$A$1:$E$3189,4,FALSE)</f>
        <v>909</v>
      </c>
      <c r="I17" s="69">
        <f t="shared" ref="I17:I38" si="0">+ROUND(H17*(1+$J$192),0)</f>
        <v>1182</v>
      </c>
      <c r="J17" s="69">
        <f>+ROUND(I17*G17,0)</f>
        <v>0</v>
      </c>
      <c r="K17" s="9"/>
      <c r="L17" s="3"/>
      <c r="M17" s="73"/>
      <c r="N17" s="78"/>
      <c r="O17" s="73"/>
      <c r="P17" s="78">
        <f t="shared" ref="P17:P39" si="1">+ROUND(O17*$I17,0)</f>
        <v>0</v>
      </c>
      <c r="Q17" s="73"/>
      <c r="R17" s="78"/>
      <c r="S17" s="73"/>
      <c r="T17" s="78"/>
      <c r="U17" s="73"/>
      <c r="V17" s="78"/>
      <c r="W17" s="73"/>
      <c r="X17" s="78"/>
      <c r="Y17" s="73"/>
      <c r="Z17" s="78"/>
      <c r="AA17" s="73"/>
      <c r="AB17" s="78"/>
      <c r="AC17" s="73"/>
      <c r="AD17" s="78"/>
      <c r="AE17" s="73"/>
      <c r="AF17" s="78"/>
      <c r="AG17" s="73"/>
      <c r="AH17" s="78"/>
      <c r="AI17" s="73"/>
      <c r="AJ17" s="78"/>
      <c r="AK17" s="73"/>
      <c r="AL17" s="78"/>
      <c r="AM17" s="73"/>
      <c r="AN17" s="78"/>
      <c r="AO17" s="73"/>
      <c r="AP17" s="78"/>
      <c r="AQ17" s="73"/>
      <c r="AR17" s="78"/>
      <c r="AS17" s="73"/>
      <c r="AT17" s="78"/>
      <c r="AU17" s="73"/>
      <c r="AV17" s="78"/>
      <c r="AW17" s="73"/>
      <c r="AX17" s="78"/>
      <c r="AY17" s="73"/>
      <c r="AZ17" s="78"/>
      <c r="BA17" s="73"/>
      <c r="BB17" s="78"/>
      <c r="BC17" s="73"/>
      <c r="BD17" s="78"/>
      <c r="BE17" s="73"/>
      <c r="BF17" s="78"/>
      <c r="BG17" s="73"/>
      <c r="BH17" s="78"/>
      <c r="BI17" s="73"/>
      <c r="BJ17" s="78"/>
      <c r="BK17" s="73"/>
      <c r="BL17" s="78"/>
      <c r="BM17" s="73"/>
      <c r="BN17" s="78"/>
      <c r="BO17" s="73"/>
      <c r="BP17" s="78"/>
      <c r="BQ17" s="73"/>
      <c r="BR17" s="78"/>
      <c r="BS17" s="73"/>
      <c r="BT17" s="78"/>
      <c r="BU17" s="73"/>
      <c r="BV17" s="78"/>
    </row>
    <row r="18" spans="1:74" ht="30" customHeight="1" x14ac:dyDescent="0.3">
      <c r="A18" s="3"/>
      <c r="B18" s="8"/>
      <c r="C18" s="60">
        <v>3811</v>
      </c>
      <c r="D18" s="60">
        <v>1002</v>
      </c>
      <c r="E18" s="60" t="str">
        <f>+VLOOKUP(C18,'PRECIOS IDU 2025'!$A$1:$E$3189,2,FALSE)</f>
        <v>CORTE DE PAVIMENTO - INCLUYE EQUIPO: CORTADORA DE CONCRETO INCLUYE OPERARIO Y COMBUSTIBLE. INCLUYE DISCO DIAMANTADO ASFALTO-CONCRETO 350 MM, AGUA Y MANO DE OBRA</v>
      </c>
      <c r="F18" s="60" t="str">
        <f>+VLOOKUP(C18,'PRECIOS IDU 2025'!$A$1:$E$3189,3,FALSE)</f>
        <v>ML</v>
      </c>
      <c r="G18" s="108">
        <f t="shared" ref="G18:G38" si="2">+ROUND(M18+O18+Q18+S18+U18+W18+Y18+AA18+AC18+AE18+AG18+AI18+AK18+AM18+AO18+AQ18+AS18+AU18+AW18+AY18+BA18+BC18+BE18+BG18+BI18+BK18+BM18+BO18+BQ18+BS18+BU18,2)</f>
        <v>0</v>
      </c>
      <c r="H18" s="69">
        <f>+VLOOKUP(C18,'PRECIOS IDU 2025'!$A$1:$E$3189,4,FALSE)</f>
        <v>2659</v>
      </c>
      <c r="I18" s="69">
        <f t="shared" si="0"/>
        <v>3457</v>
      </c>
      <c r="J18" s="69">
        <f>+ROUND(I18*G18,0)</f>
        <v>0</v>
      </c>
      <c r="K18" s="9"/>
      <c r="L18" s="3"/>
      <c r="M18" s="73"/>
      <c r="N18" s="78"/>
      <c r="O18" s="73"/>
      <c r="P18" s="78">
        <f t="shared" si="1"/>
        <v>0</v>
      </c>
      <c r="Q18" s="73"/>
      <c r="R18" s="78"/>
      <c r="S18" s="73"/>
      <c r="T18" s="78"/>
      <c r="U18" s="73"/>
      <c r="V18" s="78"/>
      <c r="W18" s="73"/>
      <c r="X18" s="78"/>
      <c r="Y18" s="73"/>
      <c r="Z18" s="78"/>
      <c r="AA18" s="73"/>
      <c r="AB18" s="78"/>
      <c r="AC18" s="73"/>
      <c r="AD18" s="78"/>
      <c r="AE18" s="73"/>
      <c r="AF18" s="78"/>
      <c r="AG18" s="73"/>
      <c r="AH18" s="78"/>
      <c r="AI18" s="73"/>
      <c r="AJ18" s="78"/>
      <c r="AK18" s="73"/>
      <c r="AL18" s="78"/>
      <c r="AM18" s="73"/>
      <c r="AN18" s="78"/>
      <c r="AO18" s="73"/>
      <c r="AP18" s="78"/>
      <c r="AQ18" s="73"/>
      <c r="AR18" s="78"/>
      <c r="AS18" s="73"/>
      <c r="AT18" s="78"/>
      <c r="AU18" s="73"/>
      <c r="AV18" s="78"/>
      <c r="AW18" s="73"/>
      <c r="AX18" s="78"/>
      <c r="AY18" s="73"/>
      <c r="AZ18" s="78"/>
      <c r="BA18" s="73"/>
      <c r="BB18" s="78"/>
      <c r="BC18" s="73"/>
      <c r="BD18" s="78"/>
      <c r="BE18" s="73"/>
      <c r="BF18" s="78"/>
      <c r="BG18" s="73"/>
      <c r="BH18" s="78"/>
      <c r="BI18" s="73"/>
      <c r="BJ18" s="78"/>
      <c r="BK18" s="73"/>
      <c r="BL18" s="78"/>
      <c r="BM18" s="73"/>
      <c r="BN18" s="78"/>
      <c r="BO18" s="73"/>
      <c r="BP18" s="78"/>
      <c r="BQ18" s="73"/>
      <c r="BR18" s="78"/>
      <c r="BS18" s="73"/>
      <c r="BT18" s="78"/>
      <c r="BU18" s="73"/>
      <c r="BV18" s="78"/>
    </row>
    <row r="19" spans="1:74" ht="30" customHeight="1" x14ac:dyDescent="0.3">
      <c r="A19" s="3"/>
      <c r="B19" s="8"/>
      <c r="C19" s="60">
        <v>3010</v>
      </c>
      <c r="D19" s="60">
        <v>1003</v>
      </c>
      <c r="E19" s="60" t="str">
        <f>+VLOOKUP(C19,'PRECIOS IDU 2025'!$A$1:$E$3189,2,FALSE)</f>
        <v>DEMOLICION PAVIMENTO ASFALTICO (INCLUYE CARGUE). NO INCLUYE TRANSPORTE Y DISPOSICIÓN FINAL DE SOBRANTES.</v>
      </c>
      <c r="F19" s="60" t="str">
        <f>+VLOOKUP(C19,'PRECIOS IDU 2025'!$A$1:$E$3189,3,FALSE)</f>
        <v>M3</v>
      </c>
      <c r="G19" s="108">
        <f t="shared" si="2"/>
        <v>0</v>
      </c>
      <c r="H19" s="69">
        <f>+VLOOKUP(C19,'PRECIOS IDU 2025'!$A$1:$E$3189,4,FALSE)</f>
        <v>38781</v>
      </c>
      <c r="I19" s="69">
        <f t="shared" si="0"/>
        <v>50415</v>
      </c>
      <c r="J19" s="69">
        <f t="shared" ref="J19:J38" si="3">+ROUND(I19*G19,0)</f>
        <v>0</v>
      </c>
      <c r="K19" s="9"/>
      <c r="L19" s="3"/>
      <c r="M19" s="73"/>
      <c r="N19" s="78"/>
      <c r="O19" s="73"/>
      <c r="P19" s="78">
        <f t="shared" si="1"/>
        <v>0</v>
      </c>
      <c r="Q19" s="73"/>
      <c r="R19" s="78"/>
      <c r="S19" s="73"/>
      <c r="T19" s="78"/>
      <c r="U19" s="73"/>
      <c r="V19" s="78"/>
      <c r="W19" s="73"/>
      <c r="X19" s="78"/>
      <c r="Y19" s="73"/>
      <c r="Z19" s="78"/>
      <c r="AA19" s="73"/>
      <c r="AB19" s="78"/>
      <c r="AC19" s="73"/>
      <c r="AD19" s="78"/>
      <c r="AE19" s="73"/>
      <c r="AF19" s="78"/>
      <c r="AG19" s="73"/>
      <c r="AH19" s="78"/>
      <c r="AI19" s="73"/>
      <c r="AJ19" s="78"/>
      <c r="AK19" s="73"/>
      <c r="AL19" s="78"/>
      <c r="AM19" s="73"/>
      <c r="AN19" s="78"/>
      <c r="AO19" s="73"/>
      <c r="AP19" s="78"/>
      <c r="AQ19" s="73"/>
      <c r="AR19" s="78"/>
      <c r="AS19" s="73"/>
      <c r="AT19" s="78"/>
      <c r="AU19" s="73"/>
      <c r="AV19" s="78"/>
      <c r="AW19" s="73"/>
      <c r="AX19" s="78"/>
      <c r="AY19" s="73"/>
      <c r="AZ19" s="78"/>
      <c r="BA19" s="73"/>
      <c r="BB19" s="78"/>
      <c r="BC19" s="73"/>
      <c r="BD19" s="78"/>
      <c r="BE19" s="73"/>
      <c r="BF19" s="78"/>
      <c r="BG19" s="73"/>
      <c r="BH19" s="78"/>
      <c r="BI19" s="73"/>
      <c r="BJ19" s="78"/>
      <c r="BK19" s="73"/>
      <c r="BL19" s="78"/>
      <c r="BM19" s="73"/>
      <c r="BN19" s="78"/>
      <c r="BO19" s="73"/>
      <c r="BP19" s="78"/>
      <c r="BQ19" s="73"/>
      <c r="BR19" s="78"/>
      <c r="BS19" s="73"/>
      <c r="BT19" s="78"/>
      <c r="BU19" s="73"/>
      <c r="BV19" s="78"/>
    </row>
    <row r="20" spans="1:74" ht="30" customHeight="1" x14ac:dyDescent="0.3">
      <c r="A20" s="3"/>
      <c r="B20" s="8"/>
      <c r="C20" s="60">
        <v>3710</v>
      </c>
      <c r="D20" s="60">
        <v>1004</v>
      </c>
      <c r="E20" s="60" t="str">
        <f>+VLOOKUP(C20,'PRECIOS IDU 2025'!$A$1:$E$3189,2,FALSE)</f>
        <v>EXCAVACIÓN MECÁNICA EN MATERIAL COMÚN (INCLUYE CARGUE)</v>
      </c>
      <c r="F20" s="60" t="str">
        <f>+VLOOKUP(C20,'PRECIOS IDU 2025'!$A$1:$E$3189,3,FALSE)</f>
        <v>M3</v>
      </c>
      <c r="G20" s="108">
        <f t="shared" si="2"/>
        <v>0</v>
      </c>
      <c r="H20" s="69">
        <f>+VLOOKUP(C20,'PRECIOS IDU 2025'!$A$1:$E$3189,4,FALSE)</f>
        <v>5741</v>
      </c>
      <c r="I20" s="69">
        <f t="shared" si="0"/>
        <v>7463</v>
      </c>
      <c r="J20" s="69">
        <f t="shared" si="3"/>
        <v>0</v>
      </c>
      <c r="K20" s="9"/>
      <c r="L20" s="3"/>
      <c r="M20" s="73"/>
      <c r="N20" s="78"/>
      <c r="O20" s="73"/>
      <c r="P20" s="78">
        <f t="shared" si="1"/>
        <v>0</v>
      </c>
      <c r="Q20" s="73"/>
      <c r="R20" s="78"/>
      <c r="S20" s="73"/>
      <c r="T20" s="78"/>
      <c r="U20" s="73"/>
      <c r="V20" s="78"/>
      <c r="W20" s="73"/>
      <c r="X20" s="78"/>
      <c r="Y20" s="73"/>
      <c r="Z20" s="78"/>
      <c r="AA20" s="73"/>
      <c r="AB20" s="78"/>
      <c r="AC20" s="73"/>
      <c r="AD20" s="78"/>
      <c r="AE20" s="73"/>
      <c r="AF20" s="78"/>
      <c r="AG20" s="73"/>
      <c r="AH20" s="78"/>
      <c r="AI20" s="73"/>
      <c r="AJ20" s="78"/>
      <c r="AK20" s="73"/>
      <c r="AL20" s="78"/>
      <c r="AM20" s="73"/>
      <c r="AN20" s="78"/>
      <c r="AO20" s="73"/>
      <c r="AP20" s="78"/>
      <c r="AQ20" s="73"/>
      <c r="AR20" s="78"/>
      <c r="AS20" s="73"/>
      <c r="AT20" s="78"/>
      <c r="AU20" s="73"/>
      <c r="AV20" s="78"/>
      <c r="AW20" s="73"/>
      <c r="AX20" s="78"/>
      <c r="AY20" s="73"/>
      <c r="AZ20" s="78"/>
      <c r="BA20" s="73"/>
      <c r="BB20" s="78"/>
      <c r="BC20" s="73"/>
      <c r="BD20" s="78"/>
      <c r="BE20" s="73"/>
      <c r="BF20" s="78"/>
      <c r="BG20" s="73"/>
      <c r="BH20" s="78"/>
      <c r="BI20" s="73"/>
      <c r="BJ20" s="78"/>
      <c r="BK20" s="73"/>
      <c r="BL20" s="78"/>
      <c r="BM20" s="73"/>
      <c r="BN20" s="78"/>
      <c r="BO20" s="73"/>
      <c r="BP20" s="78"/>
      <c r="BQ20" s="73"/>
      <c r="BR20" s="78"/>
      <c r="BS20" s="73"/>
      <c r="BT20" s="78"/>
      <c r="BU20" s="73"/>
      <c r="BV20" s="78"/>
    </row>
    <row r="21" spans="1:74" ht="30" customHeight="1" x14ac:dyDescent="0.3">
      <c r="A21" s="3"/>
      <c r="B21" s="8"/>
      <c r="C21" s="60">
        <v>3464</v>
      </c>
      <c r="D21" s="60">
        <v>1005</v>
      </c>
      <c r="E21" s="60" t="str">
        <f>+VLOOKUP(C21,'PRECIOS IDU 2025'!$A$1:$E$3189,2,FALSE)</f>
        <v>EXCAVACION MANUAL EN MATERIAL COMUN. INCLUYE CARGUE.</v>
      </c>
      <c r="F21" s="60" t="str">
        <f>+VLOOKUP(C21,'PRECIOS IDU 2025'!$A$1:$E$3189,3,FALSE)</f>
        <v>M3</v>
      </c>
      <c r="G21" s="108">
        <f t="shared" si="2"/>
        <v>0</v>
      </c>
      <c r="H21" s="69">
        <f>+VLOOKUP(C21,'PRECIOS IDU 2025'!$A$1:$E$3189,4,FALSE)</f>
        <v>46379</v>
      </c>
      <c r="I21" s="69">
        <f t="shared" si="0"/>
        <v>60293</v>
      </c>
      <c r="J21" s="69">
        <f t="shared" si="3"/>
        <v>0</v>
      </c>
      <c r="K21" s="9"/>
      <c r="L21" s="3"/>
      <c r="M21" s="73"/>
      <c r="N21" s="78"/>
      <c r="O21" s="73"/>
      <c r="P21" s="78">
        <f t="shared" si="1"/>
        <v>0</v>
      </c>
      <c r="Q21" s="73"/>
      <c r="R21" s="78"/>
      <c r="S21" s="73"/>
      <c r="T21" s="78"/>
      <c r="U21" s="73"/>
      <c r="V21" s="78"/>
      <c r="W21" s="73"/>
      <c r="X21" s="78"/>
      <c r="Y21" s="73"/>
      <c r="Z21" s="78"/>
      <c r="AA21" s="73"/>
      <c r="AB21" s="78"/>
      <c r="AC21" s="73"/>
      <c r="AD21" s="78"/>
      <c r="AE21" s="73"/>
      <c r="AF21" s="78"/>
      <c r="AG21" s="73"/>
      <c r="AH21" s="78"/>
      <c r="AI21" s="73"/>
      <c r="AJ21" s="78"/>
      <c r="AK21" s="73"/>
      <c r="AL21" s="78"/>
      <c r="AM21" s="73"/>
      <c r="AN21" s="78"/>
      <c r="AO21" s="73"/>
      <c r="AP21" s="78"/>
      <c r="AQ21" s="73"/>
      <c r="AR21" s="78"/>
      <c r="AS21" s="73"/>
      <c r="AT21" s="78"/>
      <c r="AU21" s="73"/>
      <c r="AV21" s="78"/>
      <c r="AW21" s="73"/>
      <c r="AX21" s="78"/>
      <c r="AY21" s="73"/>
      <c r="AZ21" s="78"/>
      <c r="BA21" s="73"/>
      <c r="BB21" s="78"/>
      <c r="BC21" s="73"/>
      <c r="BD21" s="78"/>
      <c r="BE21" s="73"/>
      <c r="BF21" s="78"/>
      <c r="BG21" s="73"/>
      <c r="BH21" s="78"/>
      <c r="BI21" s="73"/>
      <c r="BJ21" s="78"/>
      <c r="BK21" s="73"/>
      <c r="BL21" s="78"/>
      <c r="BM21" s="73"/>
      <c r="BN21" s="78"/>
      <c r="BO21" s="73"/>
      <c r="BP21" s="78"/>
      <c r="BQ21" s="73"/>
      <c r="BR21" s="78"/>
      <c r="BS21" s="73"/>
      <c r="BT21" s="78"/>
      <c r="BU21" s="73"/>
      <c r="BV21" s="78"/>
    </row>
    <row r="22" spans="1:74" ht="27.6" x14ac:dyDescent="0.3">
      <c r="A22" s="3"/>
      <c r="B22" s="8"/>
      <c r="C22" s="60">
        <v>3017</v>
      </c>
      <c r="D22" s="60">
        <v>1006</v>
      </c>
      <c r="E22" s="60" t="str">
        <f>+VLOOKUP(C22,'PRECIOS IDU 2025'!$A$1:$E$3189,2,FALSE)</f>
        <v>TRANSPORTE Y DISPOSICIÓN FINAL DE ESCOMBROS EN SITIO AUTORIZADO (DISTANCIA DE TRANSPORTE 21 KM). A DISTANCIA MAYOR DEL ACARREO LIBRE (90 M) EN SITIO AUTORIZADO POR LA ENTIDAD AMBIENTAL COMPETENTE.</v>
      </c>
      <c r="F22" s="60" t="str">
        <f>+VLOOKUP(C22,'PRECIOS IDU 2025'!$A$1:$E$3189,3,FALSE)</f>
        <v>M3</v>
      </c>
      <c r="G22" s="108">
        <f t="shared" si="2"/>
        <v>0</v>
      </c>
      <c r="H22" s="69">
        <f>+VLOOKUP(C22,'PRECIOS IDU 2025'!$A$1:$E$3189,4,FALSE)</f>
        <v>45600</v>
      </c>
      <c r="I22" s="69">
        <f t="shared" si="0"/>
        <v>59280</v>
      </c>
      <c r="J22" s="69">
        <f t="shared" si="3"/>
        <v>0</v>
      </c>
      <c r="K22" s="9"/>
      <c r="L22" s="3"/>
      <c r="M22" s="73"/>
      <c r="N22" s="78"/>
      <c r="O22" s="73"/>
      <c r="P22" s="78">
        <f t="shared" si="1"/>
        <v>0</v>
      </c>
      <c r="Q22" s="73"/>
      <c r="R22" s="78"/>
      <c r="S22" s="73"/>
      <c r="T22" s="78"/>
      <c r="U22" s="73"/>
      <c r="V22" s="78"/>
      <c r="W22" s="73"/>
      <c r="X22" s="78"/>
      <c r="Y22" s="73"/>
      <c r="Z22" s="78"/>
      <c r="AA22" s="73"/>
      <c r="AB22" s="78"/>
      <c r="AC22" s="73"/>
      <c r="AD22" s="78"/>
      <c r="AE22" s="73"/>
      <c r="AF22" s="78"/>
      <c r="AG22" s="73"/>
      <c r="AH22" s="78"/>
      <c r="AI22" s="73"/>
      <c r="AJ22" s="78"/>
      <c r="AK22" s="73"/>
      <c r="AL22" s="78"/>
      <c r="AM22" s="73"/>
      <c r="AN22" s="78"/>
      <c r="AO22" s="73"/>
      <c r="AP22" s="78"/>
      <c r="AQ22" s="73"/>
      <c r="AR22" s="78"/>
      <c r="AS22" s="73"/>
      <c r="AT22" s="78"/>
      <c r="AU22" s="73"/>
      <c r="AV22" s="78"/>
      <c r="AW22" s="73"/>
      <c r="AX22" s="78"/>
      <c r="AY22" s="73"/>
      <c r="AZ22" s="78"/>
      <c r="BA22" s="73"/>
      <c r="BB22" s="78"/>
      <c r="BC22" s="73"/>
      <c r="BD22" s="78"/>
      <c r="BE22" s="73"/>
      <c r="BF22" s="78"/>
      <c r="BG22" s="73"/>
      <c r="BH22" s="78"/>
      <c r="BI22" s="73"/>
      <c r="BJ22" s="78"/>
      <c r="BK22" s="73"/>
      <c r="BL22" s="78"/>
      <c r="BM22" s="73"/>
      <c r="BN22" s="78"/>
      <c r="BO22" s="73"/>
      <c r="BP22" s="78"/>
      <c r="BQ22" s="73"/>
      <c r="BR22" s="78"/>
      <c r="BS22" s="73"/>
      <c r="BT22" s="78"/>
      <c r="BU22" s="73"/>
      <c r="BV22" s="78"/>
    </row>
    <row r="23" spans="1:74" ht="15.6" x14ac:dyDescent="0.3">
      <c r="A23" s="3"/>
      <c r="B23" s="8"/>
      <c r="C23" s="60">
        <v>3800</v>
      </c>
      <c r="D23" s="60">
        <v>1007</v>
      </c>
      <c r="E23" s="60" t="str">
        <f>+VLOOKUP(C23,'PRECIOS IDU 2025'!$A$1:$E$3189,2,FALSE)</f>
        <v>NIVELACION Y COMPACTACIÓN DE SUBRASANTE</v>
      </c>
      <c r="F23" s="60" t="str">
        <f>+VLOOKUP(C23,'PRECIOS IDU 2025'!$A$1:$E$3189,3,FALSE)</f>
        <v>M2</v>
      </c>
      <c r="G23" s="108">
        <f t="shared" si="2"/>
        <v>0</v>
      </c>
      <c r="H23" s="69">
        <f>+VLOOKUP(C23,'PRECIOS IDU 2025'!$A$1:$E$3189,4,FALSE)</f>
        <v>1757</v>
      </c>
      <c r="I23" s="69">
        <f t="shared" si="0"/>
        <v>2284</v>
      </c>
      <c r="J23" s="69">
        <f t="shared" si="3"/>
        <v>0</v>
      </c>
      <c r="K23" s="9"/>
      <c r="L23" s="3"/>
      <c r="M23" s="73"/>
      <c r="N23" s="78"/>
      <c r="O23" s="73"/>
      <c r="P23" s="78">
        <f t="shared" si="1"/>
        <v>0</v>
      </c>
      <c r="Q23" s="73"/>
      <c r="R23" s="78"/>
      <c r="S23" s="73"/>
      <c r="T23" s="78"/>
      <c r="U23" s="73"/>
      <c r="V23" s="78"/>
      <c r="W23" s="73"/>
      <c r="X23" s="78"/>
      <c r="Y23" s="73"/>
      <c r="Z23" s="78"/>
      <c r="AA23" s="73"/>
      <c r="AB23" s="78"/>
      <c r="AC23" s="73"/>
      <c r="AD23" s="78"/>
      <c r="AE23" s="73"/>
      <c r="AF23" s="78"/>
      <c r="AG23" s="73"/>
      <c r="AH23" s="78"/>
      <c r="AI23" s="73"/>
      <c r="AJ23" s="78"/>
      <c r="AK23" s="73"/>
      <c r="AL23" s="78"/>
      <c r="AM23" s="73"/>
      <c r="AN23" s="78"/>
      <c r="AO23" s="73"/>
      <c r="AP23" s="78"/>
      <c r="AQ23" s="73"/>
      <c r="AR23" s="78"/>
      <c r="AS23" s="73"/>
      <c r="AT23" s="78"/>
      <c r="AU23" s="73"/>
      <c r="AV23" s="78"/>
      <c r="AW23" s="73"/>
      <c r="AX23" s="78"/>
      <c r="AY23" s="73"/>
      <c r="AZ23" s="78"/>
      <c r="BA23" s="73"/>
      <c r="BB23" s="78"/>
      <c r="BC23" s="73"/>
      <c r="BD23" s="78"/>
      <c r="BE23" s="73"/>
      <c r="BF23" s="78"/>
      <c r="BG23" s="73"/>
      <c r="BH23" s="78"/>
      <c r="BI23" s="73"/>
      <c r="BJ23" s="78"/>
      <c r="BK23" s="73"/>
      <c r="BL23" s="78"/>
      <c r="BM23" s="73"/>
      <c r="BN23" s="78"/>
      <c r="BO23" s="73"/>
      <c r="BP23" s="78"/>
      <c r="BQ23" s="73"/>
      <c r="BR23" s="78"/>
      <c r="BS23" s="73"/>
      <c r="BT23" s="78"/>
      <c r="BU23" s="73"/>
      <c r="BV23" s="78"/>
    </row>
    <row r="24" spans="1:74" ht="55.2" x14ac:dyDescent="0.3">
      <c r="A24" s="3"/>
      <c r="B24" s="8"/>
      <c r="C24" s="60">
        <v>10016</v>
      </c>
      <c r="D24" s="60">
        <v>1008</v>
      </c>
      <c r="E24" s="60" t="str">
        <f>+VLOOKUP(C24,'PRECIOS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24" s="60" t="str">
        <f>+VLOOKUP(C24,'PRECIOS IDU 2025'!$A$1:$E$3189,3,FALSE)</f>
        <v>M3</v>
      </c>
      <c r="G24" s="108">
        <f t="shared" si="2"/>
        <v>0</v>
      </c>
      <c r="H24" s="69">
        <f>+VLOOKUP(C24,'PRECIOS IDU 2025'!$A$1:$E$3189,4,FALSE)</f>
        <v>184030</v>
      </c>
      <c r="I24" s="69">
        <f t="shared" si="0"/>
        <v>239239</v>
      </c>
      <c r="J24" s="69">
        <f t="shared" si="3"/>
        <v>0</v>
      </c>
      <c r="K24" s="9"/>
      <c r="L24" s="3"/>
      <c r="M24" s="76"/>
      <c r="N24" s="78"/>
      <c r="O24" s="76"/>
      <c r="P24" s="78">
        <f t="shared" si="1"/>
        <v>0</v>
      </c>
      <c r="Q24" s="76"/>
      <c r="R24" s="78"/>
      <c r="S24" s="76"/>
      <c r="T24" s="78"/>
      <c r="U24" s="76"/>
      <c r="V24" s="78"/>
      <c r="W24" s="76"/>
      <c r="X24" s="78"/>
      <c r="Y24" s="76"/>
      <c r="Z24" s="78"/>
      <c r="AA24" s="76"/>
      <c r="AB24" s="78"/>
      <c r="AC24" s="76"/>
      <c r="AD24" s="78"/>
      <c r="AE24" s="76"/>
      <c r="AF24" s="78"/>
      <c r="AG24" s="76"/>
      <c r="AH24" s="78"/>
      <c r="AI24" s="76"/>
      <c r="AJ24" s="78"/>
      <c r="AK24" s="76"/>
      <c r="AL24" s="78"/>
      <c r="AM24" s="76"/>
      <c r="AN24" s="78"/>
      <c r="AO24" s="76"/>
      <c r="AP24" s="78"/>
      <c r="AQ24" s="76"/>
      <c r="AR24" s="78"/>
      <c r="AS24" s="76"/>
      <c r="AT24" s="78"/>
      <c r="AU24" s="76"/>
      <c r="AV24" s="78"/>
      <c r="AW24" s="76"/>
      <c r="AX24" s="78"/>
      <c r="AY24" s="76"/>
      <c r="AZ24" s="78"/>
      <c r="BA24" s="76"/>
      <c r="BB24" s="78"/>
      <c r="BC24" s="76"/>
      <c r="BD24" s="78"/>
      <c r="BE24" s="76"/>
      <c r="BF24" s="78"/>
      <c r="BG24" s="76"/>
      <c r="BH24" s="78"/>
      <c r="BI24" s="76"/>
      <c r="BJ24" s="78"/>
      <c r="BK24" s="76"/>
      <c r="BL24" s="78"/>
      <c r="BM24" s="76"/>
      <c r="BN24" s="78"/>
      <c r="BO24" s="76"/>
      <c r="BP24" s="78"/>
      <c r="BQ24" s="76"/>
      <c r="BR24" s="78"/>
      <c r="BS24" s="76"/>
      <c r="BT24" s="78"/>
      <c r="BU24" s="76"/>
      <c r="BV24" s="78"/>
    </row>
    <row r="25" spans="1:74" ht="27.6" x14ac:dyDescent="0.3">
      <c r="A25" s="3"/>
      <c r="B25" s="8"/>
      <c r="C25" s="60">
        <v>7900</v>
      </c>
      <c r="D25" s="60">
        <v>1009</v>
      </c>
      <c r="E25" s="60" t="str">
        <f>+VLOOKUP(C25,'PRECIOS IDU 2025'!$A$1:$E$3189,2,FALSE)</f>
        <v>GEOCELDA DE POLIETILENO DE ALTA DENSIDAD (PEAD-HDPE) CON ALTURA DE 150 MM. (INCLUYE SUMINISTRO E INSTALACION).</v>
      </c>
      <c r="F25" s="60" t="str">
        <f>+VLOOKUP(C25,'PRECIOS IDU 2025'!$A$1:$E$3189,3,FALSE)</f>
        <v>M2</v>
      </c>
      <c r="G25" s="108">
        <f t="shared" si="2"/>
        <v>0</v>
      </c>
      <c r="H25" s="69">
        <f>+VLOOKUP(C25,'PRECIOS IDU 2025'!$A$1:$E$3189,4,FALSE)</f>
        <v>73638</v>
      </c>
      <c r="I25" s="69">
        <f t="shared" si="0"/>
        <v>95729</v>
      </c>
      <c r="J25" s="69">
        <f t="shared" si="3"/>
        <v>0</v>
      </c>
      <c r="K25" s="9"/>
      <c r="L25" s="3"/>
      <c r="M25" s="76"/>
      <c r="N25" s="78"/>
      <c r="O25" s="76"/>
      <c r="P25" s="78">
        <f t="shared" si="1"/>
        <v>0</v>
      </c>
      <c r="Q25" s="76"/>
      <c r="R25" s="78"/>
      <c r="S25" s="76"/>
      <c r="T25" s="78"/>
      <c r="U25" s="76"/>
      <c r="V25" s="78"/>
      <c r="W25" s="76"/>
      <c r="X25" s="78"/>
      <c r="Y25" s="76"/>
      <c r="Z25" s="78"/>
      <c r="AA25" s="76"/>
      <c r="AB25" s="78"/>
      <c r="AC25" s="76"/>
      <c r="AD25" s="78"/>
      <c r="AE25" s="76"/>
      <c r="AF25" s="78"/>
      <c r="AG25" s="76"/>
      <c r="AH25" s="78"/>
      <c r="AI25" s="76"/>
      <c r="AJ25" s="78"/>
      <c r="AK25" s="76"/>
      <c r="AL25" s="78"/>
      <c r="AM25" s="76"/>
      <c r="AN25" s="78"/>
      <c r="AO25" s="76"/>
      <c r="AP25" s="78"/>
      <c r="AQ25" s="76"/>
      <c r="AR25" s="78"/>
      <c r="AS25" s="76"/>
      <c r="AT25" s="78"/>
      <c r="AU25" s="76"/>
      <c r="AV25" s="78"/>
      <c r="AW25" s="76"/>
      <c r="AX25" s="78"/>
      <c r="AY25" s="76"/>
      <c r="AZ25" s="78"/>
      <c r="BA25" s="76"/>
      <c r="BB25" s="78"/>
      <c r="BC25" s="76"/>
      <c r="BD25" s="78"/>
      <c r="BE25" s="76"/>
      <c r="BF25" s="78"/>
      <c r="BG25" s="76"/>
      <c r="BH25" s="78"/>
      <c r="BI25" s="76"/>
      <c r="BJ25" s="78"/>
      <c r="BK25" s="76"/>
      <c r="BL25" s="78"/>
      <c r="BM25" s="76"/>
      <c r="BN25" s="78"/>
      <c r="BO25" s="76"/>
      <c r="BP25" s="78"/>
      <c r="BQ25" s="76"/>
      <c r="BR25" s="78"/>
      <c r="BS25" s="76"/>
      <c r="BT25" s="78"/>
      <c r="BU25" s="76"/>
      <c r="BV25" s="78"/>
    </row>
    <row r="26" spans="1:74" ht="30" customHeight="1" x14ac:dyDescent="0.3">
      <c r="A26" s="3"/>
      <c r="B26" s="8"/>
      <c r="C26" s="60">
        <v>4015</v>
      </c>
      <c r="D26" s="60">
        <v>1010</v>
      </c>
      <c r="E26" s="60" t="str">
        <f>+VLOOKUP(C26,'PRECIOS IDU 2025'!$A$1:$E$3189,2,FALSE)</f>
        <v>GEOTEXTIL NO TEJIDO CON RESISTENCIA A LA TENSION GRAB: ENTRE 850 N Y 980 N. PARA SEPARACION SUBRASANTE/CAPAS GRANULARES. (INCLUYE SUMINISTRO E INSTALACION).</v>
      </c>
      <c r="F26" s="60" t="str">
        <f>+VLOOKUP(C26,'PRECIOS IDU 2025'!$A$1:$E$3189,3,FALSE)</f>
        <v>M2</v>
      </c>
      <c r="G26" s="108">
        <f t="shared" si="2"/>
        <v>0</v>
      </c>
      <c r="H26" s="69">
        <f>+VLOOKUP(C26,'PRECIOS IDU 2025'!$A$1:$E$3189,4,FALSE)</f>
        <v>13158</v>
      </c>
      <c r="I26" s="69">
        <f t="shared" si="0"/>
        <v>17105</v>
      </c>
      <c r="J26" s="69">
        <f t="shared" si="3"/>
        <v>0</v>
      </c>
      <c r="K26" s="9"/>
      <c r="L26" s="3"/>
      <c r="M26" s="76"/>
      <c r="N26" s="78"/>
      <c r="O26" s="76"/>
      <c r="P26" s="78">
        <f t="shared" si="1"/>
        <v>0</v>
      </c>
      <c r="Q26" s="76"/>
      <c r="R26" s="78"/>
      <c r="S26" s="76"/>
      <c r="T26" s="78"/>
      <c r="U26" s="76"/>
      <c r="V26" s="78"/>
      <c r="W26" s="76"/>
      <c r="X26" s="78"/>
      <c r="Y26" s="76"/>
      <c r="Z26" s="78"/>
      <c r="AA26" s="76"/>
      <c r="AB26" s="78"/>
      <c r="AC26" s="76"/>
      <c r="AD26" s="78"/>
      <c r="AE26" s="76"/>
      <c r="AF26" s="78"/>
      <c r="AG26" s="76"/>
      <c r="AH26" s="78"/>
      <c r="AI26" s="76"/>
      <c r="AJ26" s="78"/>
      <c r="AK26" s="76"/>
      <c r="AL26" s="78"/>
      <c r="AM26" s="76"/>
      <c r="AN26" s="78"/>
      <c r="AO26" s="76"/>
      <c r="AP26" s="78"/>
      <c r="AQ26" s="76"/>
      <c r="AR26" s="78"/>
      <c r="AS26" s="76"/>
      <c r="AT26" s="78"/>
      <c r="AU26" s="76"/>
      <c r="AV26" s="78"/>
      <c r="AW26" s="76"/>
      <c r="AX26" s="78"/>
      <c r="AY26" s="76"/>
      <c r="AZ26" s="78"/>
      <c r="BA26" s="76"/>
      <c r="BB26" s="78"/>
      <c r="BC26" s="76"/>
      <c r="BD26" s="78"/>
      <c r="BE26" s="76"/>
      <c r="BF26" s="78"/>
      <c r="BG26" s="76"/>
      <c r="BH26" s="78"/>
      <c r="BI26" s="76"/>
      <c r="BJ26" s="78"/>
      <c r="BK26" s="76"/>
      <c r="BL26" s="78"/>
      <c r="BM26" s="76"/>
      <c r="BN26" s="78"/>
      <c r="BO26" s="76"/>
      <c r="BP26" s="78"/>
      <c r="BQ26" s="76"/>
      <c r="BR26" s="78"/>
      <c r="BS26" s="76"/>
      <c r="BT26" s="78"/>
      <c r="BU26" s="76"/>
      <c r="BV26" s="78"/>
    </row>
    <row r="27" spans="1:74" ht="27.6" x14ac:dyDescent="0.3">
      <c r="A27" s="3"/>
      <c r="B27" s="8"/>
      <c r="C27" s="60">
        <v>4034</v>
      </c>
      <c r="D27" s="60">
        <v>1011</v>
      </c>
      <c r="E27" s="60" t="str">
        <f>+VLOOKUP(C27,'PRECIOS IDU 2025'!$A$1:$E$3189,2,FALSE)</f>
        <v>GEOTEXTIL TEJIDO CON RESISTENCIA A LA TENSION METODO TIRA ANCHA SENTIDO LONGITUDINAL: ENTRE 90 KN/M Y 110 KN/M. PARA SEPARACION SUBRASANTE/CAPAS GRANULARES. (INCLUYE SUMINISTRO E INSTALACION).</v>
      </c>
      <c r="F27" s="60" t="str">
        <f>+VLOOKUP(C27,'PRECIOS IDU 2025'!$A$1:$E$3189,3,FALSE)</f>
        <v>M2</v>
      </c>
      <c r="G27" s="108">
        <f t="shared" si="2"/>
        <v>0</v>
      </c>
      <c r="H27" s="69">
        <f>+VLOOKUP(C27,'PRECIOS IDU 2025'!$A$1:$E$3189,4,FALSE)</f>
        <v>30940</v>
      </c>
      <c r="I27" s="69">
        <f t="shared" si="0"/>
        <v>40222</v>
      </c>
      <c r="J27" s="69">
        <f t="shared" si="3"/>
        <v>0</v>
      </c>
      <c r="K27" s="9"/>
      <c r="L27" s="3"/>
      <c r="M27" s="76"/>
      <c r="N27" s="78"/>
      <c r="O27" s="76"/>
      <c r="P27" s="78">
        <f t="shared" si="1"/>
        <v>0</v>
      </c>
      <c r="Q27" s="76"/>
      <c r="R27" s="78"/>
      <c r="S27" s="76"/>
      <c r="T27" s="78"/>
      <c r="U27" s="76"/>
      <c r="V27" s="78"/>
      <c r="W27" s="76"/>
      <c r="X27" s="78"/>
      <c r="Y27" s="76"/>
      <c r="Z27" s="78"/>
      <c r="AA27" s="76"/>
      <c r="AB27" s="78"/>
      <c r="AC27" s="76"/>
      <c r="AD27" s="78"/>
      <c r="AE27" s="76"/>
      <c r="AF27" s="78"/>
      <c r="AG27" s="76"/>
      <c r="AH27" s="78"/>
      <c r="AI27" s="76"/>
      <c r="AJ27" s="78"/>
      <c r="AK27" s="76"/>
      <c r="AL27" s="78"/>
      <c r="AM27" s="76"/>
      <c r="AN27" s="78"/>
      <c r="AO27" s="76"/>
      <c r="AP27" s="78"/>
      <c r="AQ27" s="76"/>
      <c r="AR27" s="78"/>
      <c r="AS27" s="76"/>
      <c r="AT27" s="78"/>
      <c r="AU27" s="76"/>
      <c r="AV27" s="78"/>
      <c r="AW27" s="76"/>
      <c r="AX27" s="78"/>
      <c r="AY27" s="76"/>
      <c r="AZ27" s="78"/>
      <c r="BA27" s="76"/>
      <c r="BB27" s="78"/>
      <c r="BC27" s="76"/>
      <c r="BD27" s="78"/>
      <c r="BE27" s="76"/>
      <c r="BF27" s="78"/>
      <c r="BG27" s="76"/>
      <c r="BH27" s="78"/>
      <c r="BI27" s="76"/>
      <c r="BJ27" s="78"/>
      <c r="BK27" s="76"/>
      <c r="BL27" s="78"/>
      <c r="BM27" s="76"/>
      <c r="BN27" s="78"/>
      <c r="BO27" s="76"/>
      <c r="BP27" s="78"/>
      <c r="BQ27" s="76"/>
      <c r="BR27" s="78"/>
      <c r="BS27" s="76"/>
      <c r="BT27" s="78"/>
      <c r="BU27" s="76"/>
      <c r="BV27" s="78"/>
    </row>
    <row r="28" spans="1:74" ht="30" customHeight="1" x14ac:dyDescent="0.3">
      <c r="A28" s="3"/>
      <c r="B28" s="8"/>
      <c r="C28" s="60">
        <v>4161</v>
      </c>
      <c r="D28" s="60">
        <v>1012</v>
      </c>
      <c r="E28" s="60" t="str">
        <f>+VLOOKUP(C28,'PRECIOS IDU 2025'!$A$1:$E$3189,2,FALSE)</f>
        <v>SUBBASE GRANULAR CLASE A (SBG_A) (SUMINISTRO, EXTENDIDO, NIVELACIÓN, HUMEDECIMIENTO Y COMPACTACIÓN CON VIBROCOMPACTADOR)</v>
      </c>
      <c r="F28" s="60" t="str">
        <f>+VLOOKUP(C28,'PRECIOS IDU 2025'!$A$1:$E$3189,3,FALSE)</f>
        <v>M3</v>
      </c>
      <c r="G28" s="108">
        <f t="shared" si="2"/>
        <v>0</v>
      </c>
      <c r="H28" s="69">
        <f>+VLOOKUP(C28,'PRECIOS IDU 2025'!$A$1:$E$3189,4,FALSE)</f>
        <v>175866</v>
      </c>
      <c r="I28" s="69">
        <f t="shared" si="0"/>
        <v>228626</v>
      </c>
      <c r="J28" s="69">
        <f t="shared" si="3"/>
        <v>0</v>
      </c>
      <c r="K28" s="9"/>
      <c r="L28" s="3"/>
      <c r="M28" s="76"/>
      <c r="N28" s="78"/>
      <c r="O28" s="76"/>
      <c r="P28" s="78">
        <f t="shared" si="1"/>
        <v>0</v>
      </c>
      <c r="Q28" s="76"/>
      <c r="R28" s="78"/>
      <c r="S28" s="76"/>
      <c r="T28" s="78"/>
      <c r="U28" s="76"/>
      <c r="V28" s="78"/>
      <c r="W28" s="76"/>
      <c r="X28" s="78"/>
      <c r="Y28" s="76"/>
      <c r="Z28" s="78"/>
      <c r="AA28" s="76"/>
      <c r="AB28" s="78"/>
      <c r="AC28" s="76"/>
      <c r="AD28" s="78"/>
      <c r="AE28" s="76"/>
      <c r="AF28" s="78"/>
      <c r="AG28" s="76"/>
      <c r="AH28" s="78"/>
      <c r="AI28" s="76"/>
      <c r="AJ28" s="78"/>
      <c r="AK28" s="76"/>
      <c r="AL28" s="78"/>
      <c r="AM28" s="76"/>
      <c r="AN28" s="78"/>
      <c r="AO28" s="76"/>
      <c r="AP28" s="78"/>
      <c r="AQ28" s="76"/>
      <c r="AR28" s="78"/>
      <c r="AS28" s="76"/>
      <c r="AT28" s="78"/>
      <c r="AU28" s="76"/>
      <c r="AV28" s="78"/>
      <c r="AW28" s="76"/>
      <c r="AX28" s="78"/>
      <c r="AY28" s="76"/>
      <c r="AZ28" s="78"/>
      <c r="BA28" s="76"/>
      <c r="BB28" s="78"/>
      <c r="BC28" s="76"/>
      <c r="BD28" s="78"/>
      <c r="BE28" s="76"/>
      <c r="BF28" s="78"/>
      <c r="BG28" s="76"/>
      <c r="BH28" s="78"/>
      <c r="BI28" s="76"/>
      <c r="BJ28" s="78"/>
      <c r="BK28" s="76"/>
      <c r="BL28" s="78"/>
      <c r="BM28" s="76"/>
      <c r="BN28" s="78"/>
      <c r="BO28" s="76"/>
      <c r="BP28" s="78"/>
      <c r="BQ28" s="76"/>
      <c r="BR28" s="78"/>
      <c r="BS28" s="76"/>
      <c r="BT28" s="78"/>
      <c r="BU28" s="76"/>
      <c r="BV28" s="78"/>
    </row>
    <row r="29" spans="1:74" ht="30" customHeight="1" x14ac:dyDescent="0.3">
      <c r="A29" s="3"/>
      <c r="B29" s="8"/>
      <c r="C29" s="60">
        <v>4746</v>
      </c>
      <c r="D29" s="60">
        <v>1013</v>
      </c>
      <c r="E29" s="60" t="str">
        <f>+VLOOKUP(C29,'PRECIOS IDU 2025'!$A$1:$E$3189,2,FALSE)</f>
        <v>SUBBASE GRANULAR CLASE A (SBG_A) CON RECICLADO DE CONCRETO HIDRAULICO (SUMINISTRO, EXTENDIDO, NIVELACIÓN, HUMEDECIMIENTO Y COMPACTACIÓN CON VIBROCOMPACTADOR)</v>
      </c>
      <c r="F29" s="60" t="str">
        <f>+VLOOKUP(C29,'PRECIOS IDU 2025'!$A$1:$E$3189,3,FALSE)</f>
        <v>M3</v>
      </c>
      <c r="G29" s="108">
        <f t="shared" si="2"/>
        <v>0</v>
      </c>
      <c r="H29" s="69">
        <f>+VLOOKUP(C29,'PRECIOS IDU 2025'!$A$1:$E$3189,4,FALSE)</f>
        <v>166345</v>
      </c>
      <c r="I29" s="69">
        <f t="shared" si="0"/>
        <v>216249</v>
      </c>
      <c r="J29" s="69">
        <f t="shared" si="3"/>
        <v>0</v>
      </c>
      <c r="K29" s="9"/>
      <c r="L29" s="3"/>
      <c r="M29" s="76"/>
      <c r="N29" s="78"/>
      <c r="O29" s="76"/>
      <c r="P29" s="78">
        <f t="shared" si="1"/>
        <v>0</v>
      </c>
      <c r="Q29" s="76"/>
      <c r="R29" s="78"/>
      <c r="S29" s="76"/>
      <c r="T29" s="78"/>
      <c r="U29" s="76"/>
      <c r="V29" s="78"/>
      <c r="W29" s="76"/>
      <c r="X29" s="78"/>
      <c r="Y29" s="76"/>
      <c r="Z29" s="78"/>
      <c r="AA29" s="76"/>
      <c r="AB29" s="78"/>
      <c r="AC29" s="76"/>
      <c r="AD29" s="78"/>
      <c r="AE29" s="76"/>
      <c r="AF29" s="78"/>
      <c r="AG29" s="76"/>
      <c r="AH29" s="78"/>
      <c r="AI29" s="76"/>
      <c r="AJ29" s="78"/>
      <c r="AK29" s="76"/>
      <c r="AL29" s="78"/>
      <c r="AM29" s="76"/>
      <c r="AN29" s="78"/>
      <c r="AO29" s="76"/>
      <c r="AP29" s="78"/>
      <c r="AQ29" s="76"/>
      <c r="AR29" s="78"/>
      <c r="AS29" s="76"/>
      <c r="AT29" s="78"/>
      <c r="AU29" s="76"/>
      <c r="AV29" s="78"/>
      <c r="AW29" s="76"/>
      <c r="AX29" s="78"/>
      <c r="AY29" s="76"/>
      <c r="AZ29" s="78"/>
      <c r="BA29" s="76"/>
      <c r="BB29" s="78"/>
      <c r="BC29" s="76"/>
      <c r="BD29" s="78"/>
      <c r="BE29" s="76"/>
      <c r="BF29" s="78"/>
      <c r="BG29" s="76"/>
      <c r="BH29" s="78"/>
      <c r="BI29" s="76"/>
      <c r="BJ29" s="78"/>
      <c r="BK29" s="76"/>
      <c r="BL29" s="78"/>
      <c r="BM29" s="76"/>
      <c r="BN29" s="78"/>
      <c r="BO29" s="76"/>
      <c r="BP29" s="78"/>
      <c r="BQ29" s="76"/>
      <c r="BR29" s="78"/>
      <c r="BS29" s="76"/>
      <c r="BT29" s="78"/>
      <c r="BU29" s="76"/>
      <c r="BV29" s="78"/>
    </row>
    <row r="30" spans="1:74" ht="30" customHeight="1" x14ac:dyDescent="0.3">
      <c r="A30" s="3"/>
      <c r="B30" s="8"/>
      <c r="C30" s="60">
        <v>4158</v>
      </c>
      <c r="D30" s="60">
        <v>1014</v>
      </c>
      <c r="E30" s="60" t="str">
        <f>+VLOOKUP(C30,'PRECIOS IDU 2025'!$A$1:$E$3189,2,FALSE)</f>
        <v>BASE GRANULAR CLASE A (BG_A) (SUMINISTRO, EXTENDIDO, NIVELACIÓN, HUMEDECIMIENTO Y COMPACTACIÓN CON VIBROCOMPACTADOR)</v>
      </c>
      <c r="F30" s="60" t="str">
        <f>+VLOOKUP(C30,'PRECIOS IDU 2025'!$A$1:$E$3189,3,FALSE)</f>
        <v>M3</v>
      </c>
      <c r="G30" s="108">
        <f t="shared" si="2"/>
        <v>0</v>
      </c>
      <c r="H30" s="69">
        <f>+VLOOKUP(C30,'PRECIOS IDU 2025'!$A$1:$E$3189,4,FALSE)</f>
        <v>191915</v>
      </c>
      <c r="I30" s="69">
        <f t="shared" si="0"/>
        <v>249490</v>
      </c>
      <c r="J30" s="69">
        <f t="shared" si="3"/>
        <v>0</v>
      </c>
      <c r="K30" s="9"/>
      <c r="L30" s="3"/>
      <c r="M30" s="76"/>
      <c r="N30" s="78"/>
      <c r="O30" s="76"/>
      <c r="P30" s="78">
        <f t="shared" si="1"/>
        <v>0</v>
      </c>
      <c r="Q30" s="76"/>
      <c r="R30" s="78"/>
      <c r="S30" s="76"/>
      <c r="T30" s="78"/>
      <c r="U30" s="76"/>
      <c r="V30" s="78"/>
      <c r="W30" s="76"/>
      <c r="X30" s="78"/>
      <c r="Y30" s="76"/>
      <c r="Z30" s="78"/>
      <c r="AA30" s="76"/>
      <c r="AB30" s="78"/>
      <c r="AC30" s="76"/>
      <c r="AD30" s="78"/>
      <c r="AE30" s="76"/>
      <c r="AF30" s="78"/>
      <c r="AG30" s="76"/>
      <c r="AH30" s="78"/>
      <c r="AI30" s="76"/>
      <c r="AJ30" s="78"/>
      <c r="AK30" s="76"/>
      <c r="AL30" s="78"/>
      <c r="AM30" s="76"/>
      <c r="AN30" s="78"/>
      <c r="AO30" s="76"/>
      <c r="AP30" s="78"/>
      <c r="AQ30" s="76"/>
      <c r="AR30" s="78"/>
      <c r="AS30" s="76"/>
      <c r="AT30" s="78"/>
      <c r="AU30" s="76"/>
      <c r="AV30" s="78"/>
      <c r="AW30" s="76"/>
      <c r="AX30" s="78"/>
      <c r="AY30" s="76"/>
      <c r="AZ30" s="78"/>
      <c r="BA30" s="76"/>
      <c r="BB30" s="78"/>
      <c r="BC30" s="76"/>
      <c r="BD30" s="78"/>
      <c r="BE30" s="76"/>
      <c r="BF30" s="78"/>
      <c r="BG30" s="76"/>
      <c r="BH30" s="78"/>
      <c r="BI30" s="76"/>
      <c r="BJ30" s="78"/>
      <c r="BK30" s="76"/>
      <c r="BL30" s="78"/>
      <c r="BM30" s="76"/>
      <c r="BN30" s="78"/>
      <c r="BO30" s="76"/>
      <c r="BP30" s="78"/>
      <c r="BQ30" s="76"/>
      <c r="BR30" s="78"/>
      <c r="BS30" s="76"/>
      <c r="BT30" s="78"/>
      <c r="BU30" s="76"/>
      <c r="BV30" s="78"/>
    </row>
    <row r="31" spans="1:74" ht="30" customHeight="1" x14ac:dyDescent="0.3">
      <c r="A31" s="3"/>
      <c r="B31" s="8"/>
      <c r="C31" s="60">
        <v>4744</v>
      </c>
      <c r="D31" s="60">
        <v>1015</v>
      </c>
      <c r="E31" s="60" t="str">
        <f>+VLOOKUP(C31,'PRECIOS IDU 2025'!$A$1:$E$3189,2,FALSE)</f>
        <v>BASE GRANULAR CLASE A (BG_A) CON RECICLADO DE CONCRETO HIDRAULICO (SUMINISTRO, EXTENDIDO, NIVELACIÓN, HUMEDECIMIENTO Y COMPACTACIÓN CON VIBROCOMPACTADOR)</v>
      </c>
      <c r="F31" s="60" t="str">
        <f>+VLOOKUP(C31,'PRECIOS IDU 2025'!$A$1:$E$3189,3,FALSE)</f>
        <v>M3</v>
      </c>
      <c r="G31" s="108">
        <f t="shared" si="2"/>
        <v>0</v>
      </c>
      <c r="H31" s="69">
        <f>+VLOOKUP(C31,'PRECIOS IDU 2025'!$A$1:$E$3189,4,FALSE)</f>
        <v>192883</v>
      </c>
      <c r="I31" s="69">
        <f t="shared" si="0"/>
        <v>250748</v>
      </c>
      <c r="J31" s="69">
        <f t="shared" si="3"/>
        <v>0</v>
      </c>
      <c r="K31" s="9"/>
      <c r="L31" s="3"/>
      <c r="M31" s="76"/>
      <c r="N31" s="78"/>
      <c r="O31" s="76"/>
      <c r="P31" s="78">
        <f t="shared" si="1"/>
        <v>0</v>
      </c>
      <c r="Q31" s="76"/>
      <c r="R31" s="78"/>
      <c r="S31" s="76"/>
      <c r="T31" s="78"/>
      <c r="U31" s="76"/>
      <c r="V31" s="78"/>
      <c r="W31" s="76"/>
      <c r="X31" s="78"/>
      <c r="Y31" s="76"/>
      <c r="Z31" s="78"/>
      <c r="AA31" s="76"/>
      <c r="AB31" s="78"/>
      <c r="AC31" s="76"/>
      <c r="AD31" s="78"/>
      <c r="AE31" s="76"/>
      <c r="AF31" s="78"/>
      <c r="AG31" s="76"/>
      <c r="AH31" s="78"/>
      <c r="AI31" s="76"/>
      <c r="AJ31" s="78"/>
      <c r="AK31" s="76"/>
      <c r="AL31" s="78"/>
      <c r="AM31" s="76"/>
      <c r="AN31" s="78"/>
      <c r="AO31" s="76"/>
      <c r="AP31" s="78"/>
      <c r="AQ31" s="76"/>
      <c r="AR31" s="78"/>
      <c r="AS31" s="76"/>
      <c r="AT31" s="78"/>
      <c r="AU31" s="76"/>
      <c r="AV31" s="78"/>
      <c r="AW31" s="76"/>
      <c r="AX31" s="78"/>
      <c r="AY31" s="76"/>
      <c r="AZ31" s="78"/>
      <c r="BA31" s="76"/>
      <c r="BB31" s="78"/>
      <c r="BC31" s="76"/>
      <c r="BD31" s="78"/>
      <c r="BE31" s="76"/>
      <c r="BF31" s="78"/>
      <c r="BG31" s="76"/>
      <c r="BH31" s="78"/>
      <c r="BI31" s="76"/>
      <c r="BJ31" s="78"/>
      <c r="BK31" s="76"/>
      <c r="BL31" s="78"/>
      <c r="BM31" s="76"/>
      <c r="BN31" s="78"/>
      <c r="BO31" s="76"/>
      <c r="BP31" s="78"/>
      <c r="BQ31" s="76"/>
      <c r="BR31" s="78"/>
      <c r="BS31" s="76"/>
      <c r="BT31" s="78"/>
      <c r="BU31" s="76"/>
      <c r="BV31" s="78"/>
    </row>
    <row r="32" spans="1:74" ht="30" customHeight="1" x14ac:dyDescent="0.3">
      <c r="A32" s="3"/>
      <c r="B32" s="8"/>
      <c r="C32" s="60">
        <v>3864</v>
      </c>
      <c r="D32" s="60">
        <v>1016</v>
      </c>
      <c r="E32" s="60" t="str">
        <f>+VLOOKUP(C32,'PRECIOS IDU 2025'!$A$1:$E$3189,2,FALSE)</f>
        <v>IMPRIMACION CON EMULSION ASFALTICA CRL-0 (SUMINISTRO, BARRIDO SUPERFICIE Y RIEGO MECANICO)</v>
      </c>
      <c r="F32" s="60" t="str">
        <f>+VLOOKUP(C32,'PRECIOS IDU 2025'!$A$1:$E$3189,3,FALSE)</f>
        <v>M2</v>
      </c>
      <c r="G32" s="108">
        <f t="shared" si="2"/>
        <v>0</v>
      </c>
      <c r="H32" s="69">
        <f>+VLOOKUP(C32,'PRECIOS IDU 2025'!$A$1:$E$3189,4,FALSE)</f>
        <v>3189</v>
      </c>
      <c r="I32" s="69">
        <f t="shared" si="0"/>
        <v>4146</v>
      </c>
      <c r="J32" s="69">
        <f t="shared" si="3"/>
        <v>0</v>
      </c>
      <c r="K32" s="9"/>
      <c r="L32" s="3"/>
      <c r="M32" s="73"/>
      <c r="N32" s="78"/>
      <c r="O32" s="73"/>
      <c r="P32" s="78">
        <f t="shared" si="1"/>
        <v>0</v>
      </c>
      <c r="Q32" s="73"/>
      <c r="R32" s="78"/>
      <c r="S32" s="73"/>
      <c r="T32" s="78"/>
      <c r="U32" s="73"/>
      <c r="V32" s="78"/>
      <c r="W32" s="73"/>
      <c r="X32" s="78"/>
      <c r="Y32" s="73"/>
      <c r="Z32" s="78"/>
      <c r="AA32" s="73"/>
      <c r="AB32" s="78"/>
      <c r="AC32" s="73"/>
      <c r="AD32" s="78"/>
      <c r="AE32" s="73"/>
      <c r="AF32" s="78"/>
      <c r="AG32" s="73"/>
      <c r="AH32" s="78"/>
      <c r="AI32" s="73"/>
      <c r="AJ32" s="78"/>
      <c r="AK32" s="73"/>
      <c r="AL32" s="78"/>
      <c r="AM32" s="73"/>
      <c r="AN32" s="78"/>
      <c r="AO32" s="73"/>
      <c r="AP32" s="78"/>
      <c r="AQ32" s="73"/>
      <c r="AR32" s="78"/>
      <c r="AS32" s="73"/>
      <c r="AT32" s="78"/>
      <c r="AU32" s="73"/>
      <c r="AV32" s="78"/>
      <c r="AW32" s="73"/>
      <c r="AX32" s="78"/>
      <c r="AY32" s="73"/>
      <c r="AZ32" s="78"/>
      <c r="BA32" s="73"/>
      <c r="BB32" s="78"/>
      <c r="BC32" s="73"/>
      <c r="BD32" s="78"/>
      <c r="BE32" s="73"/>
      <c r="BF32" s="78"/>
      <c r="BG32" s="73"/>
      <c r="BH32" s="78"/>
      <c r="BI32" s="73"/>
      <c r="BJ32" s="78"/>
      <c r="BK32" s="73"/>
      <c r="BL32" s="78"/>
      <c r="BM32" s="73"/>
      <c r="BN32" s="78"/>
      <c r="BO32" s="73"/>
      <c r="BP32" s="78"/>
      <c r="BQ32" s="73"/>
      <c r="BR32" s="78"/>
      <c r="BS32" s="73"/>
      <c r="BT32" s="78"/>
      <c r="BU32" s="73"/>
      <c r="BV32" s="78"/>
    </row>
    <row r="33" spans="1:74" ht="30" customHeight="1" x14ac:dyDescent="0.3">
      <c r="A33" s="3"/>
      <c r="B33" s="8"/>
      <c r="C33" s="60">
        <v>3867</v>
      </c>
      <c r="D33" s="60">
        <v>1017</v>
      </c>
      <c r="E33" s="60" t="str">
        <f>+VLOOKUP(C33,'PRECIOS IDU 2025'!$A$1:$E$3189,2,FALSE)</f>
        <v>RIEGO DE LIGA CON EMULSION ASFALTICA CRR-2 (SUMINISTRO, BARRIDO SUPERFICIE Y RIEGO MECANICO)</v>
      </c>
      <c r="F33" s="60" t="str">
        <f>+VLOOKUP(C33,'PRECIOS IDU 2025'!$A$1:$E$3189,3,FALSE)</f>
        <v>M2</v>
      </c>
      <c r="G33" s="108">
        <f t="shared" si="2"/>
        <v>0</v>
      </c>
      <c r="H33" s="69">
        <f>+VLOOKUP(C33,'PRECIOS IDU 2025'!$A$1:$E$3189,4,FALSE)</f>
        <v>3885</v>
      </c>
      <c r="I33" s="69">
        <f t="shared" si="0"/>
        <v>5051</v>
      </c>
      <c r="J33" s="69">
        <f t="shared" si="3"/>
        <v>0</v>
      </c>
      <c r="K33" s="9"/>
      <c r="L33" s="3"/>
      <c r="M33" s="73"/>
      <c r="N33" s="78"/>
      <c r="O33" s="73"/>
      <c r="P33" s="78">
        <f t="shared" si="1"/>
        <v>0</v>
      </c>
      <c r="Q33" s="73"/>
      <c r="R33" s="78"/>
      <c r="S33" s="73"/>
      <c r="T33" s="78"/>
      <c r="U33" s="73"/>
      <c r="V33" s="78"/>
      <c r="W33" s="73"/>
      <c r="X33" s="78"/>
      <c r="Y33" s="73"/>
      <c r="Z33" s="78"/>
      <c r="AA33" s="73"/>
      <c r="AB33" s="78"/>
      <c r="AC33" s="73"/>
      <c r="AD33" s="78"/>
      <c r="AE33" s="73"/>
      <c r="AF33" s="78"/>
      <c r="AG33" s="73"/>
      <c r="AH33" s="78"/>
      <c r="AI33" s="73"/>
      <c r="AJ33" s="78"/>
      <c r="AK33" s="73"/>
      <c r="AL33" s="78"/>
      <c r="AM33" s="73"/>
      <c r="AN33" s="78"/>
      <c r="AO33" s="73"/>
      <c r="AP33" s="78"/>
      <c r="AQ33" s="73"/>
      <c r="AR33" s="78"/>
      <c r="AS33" s="73"/>
      <c r="AT33" s="78"/>
      <c r="AU33" s="73"/>
      <c r="AV33" s="78"/>
      <c r="AW33" s="73"/>
      <c r="AX33" s="78"/>
      <c r="AY33" s="73"/>
      <c r="AZ33" s="78"/>
      <c r="BA33" s="73"/>
      <c r="BB33" s="78"/>
      <c r="BC33" s="73"/>
      <c r="BD33" s="78"/>
      <c r="BE33" s="73"/>
      <c r="BF33" s="78"/>
      <c r="BG33" s="73"/>
      <c r="BH33" s="78"/>
      <c r="BI33" s="73"/>
      <c r="BJ33" s="78"/>
      <c r="BK33" s="73"/>
      <c r="BL33" s="78"/>
      <c r="BM33" s="73"/>
      <c r="BN33" s="78"/>
      <c r="BO33" s="73"/>
      <c r="BP33" s="78"/>
      <c r="BQ33" s="73"/>
      <c r="BR33" s="78"/>
      <c r="BS33" s="73"/>
      <c r="BT33" s="78"/>
      <c r="BU33" s="73"/>
      <c r="BV33" s="78"/>
    </row>
    <row r="34" spans="1:74" ht="27.6" x14ac:dyDescent="0.3">
      <c r="A34" s="3"/>
      <c r="B34" s="8"/>
      <c r="C34" s="60">
        <v>3841</v>
      </c>
      <c r="D34" s="60">
        <v>1018</v>
      </c>
      <c r="E34" s="60" t="str">
        <f>+VLOOKUP(C34,'PRECIOS IDU 2025'!$A$1:$E$3189,2,FALSE)</f>
        <v>MEZCLA DENSA EN CALIENTE MD20 ASFALTO 80-100 (SUMINISTRO, EXTENDIDO, NIVELACIÓN Y COMPACTACIÓN MECANICA)</v>
      </c>
      <c r="F34" s="60" t="str">
        <f>+VLOOKUP(C34,'PRECIOS IDU 2025'!$A$1:$E$3189,3,FALSE)</f>
        <v>M3</v>
      </c>
      <c r="G34" s="108">
        <f t="shared" si="2"/>
        <v>0</v>
      </c>
      <c r="H34" s="69">
        <f>+VLOOKUP(C34,'PRECIOS IDU 2025'!$A$1:$E$3189,4,FALSE)</f>
        <v>1341971</v>
      </c>
      <c r="I34" s="69">
        <f t="shared" si="0"/>
        <v>1744562</v>
      </c>
      <c r="J34" s="69">
        <f t="shared" si="3"/>
        <v>0</v>
      </c>
      <c r="K34" s="9"/>
      <c r="L34" s="3"/>
      <c r="M34" s="73"/>
      <c r="N34" s="78"/>
      <c r="O34" s="73"/>
      <c r="P34" s="78">
        <f t="shared" si="1"/>
        <v>0</v>
      </c>
      <c r="Q34" s="73"/>
      <c r="R34" s="78"/>
      <c r="S34" s="73"/>
      <c r="T34" s="78"/>
      <c r="U34" s="73"/>
      <c r="V34" s="78"/>
      <c r="W34" s="73"/>
      <c r="X34" s="78"/>
      <c r="Y34" s="73"/>
      <c r="Z34" s="78"/>
      <c r="AA34" s="73"/>
      <c r="AB34" s="78"/>
      <c r="AC34" s="73"/>
      <c r="AD34" s="78"/>
      <c r="AE34" s="73"/>
      <c r="AF34" s="78"/>
      <c r="AG34" s="73"/>
      <c r="AH34" s="78"/>
      <c r="AI34" s="73"/>
      <c r="AJ34" s="78"/>
      <c r="AK34" s="73"/>
      <c r="AL34" s="78"/>
      <c r="AM34" s="73"/>
      <c r="AN34" s="78"/>
      <c r="AO34" s="73"/>
      <c r="AP34" s="78"/>
      <c r="AQ34" s="73"/>
      <c r="AR34" s="78"/>
      <c r="AS34" s="73"/>
      <c r="AT34" s="78"/>
      <c r="AU34" s="73"/>
      <c r="AV34" s="78"/>
      <c r="AW34" s="73"/>
      <c r="AX34" s="78"/>
      <c r="AY34" s="73"/>
      <c r="AZ34" s="78"/>
      <c r="BA34" s="73"/>
      <c r="BB34" s="78"/>
      <c r="BC34" s="73"/>
      <c r="BD34" s="78"/>
      <c r="BE34" s="73"/>
      <c r="BF34" s="78"/>
      <c r="BG34" s="73"/>
      <c r="BH34" s="78"/>
      <c r="BI34" s="73"/>
      <c r="BJ34" s="78"/>
      <c r="BK34" s="73"/>
      <c r="BL34" s="78"/>
      <c r="BM34" s="73"/>
      <c r="BN34" s="78"/>
      <c r="BO34" s="73"/>
      <c r="BP34" s="78"/>
      <c r="BQ34" s="73"/>
      <c r="BR34" s="78"/>
      <c r="BS34" s="73"/>
      <c r="BT34" s="78"/>
      <c r="BU34" s="73"/>
      <c r="BV34" s="78"/>
    </row>
    <row r="35" spans="1:74" ht="30" customHeight="1" x14ac:dyDescent="0.3">
      <c r="A35" s="3"/>
      <c r="B35" s="8"/>
      <c r="C35" s="60">
        <v>6313</v>
      </c>
      <c r="D35" s="60">
        <v>1019</v>
      </c>
      <c r="E35" s="60" t="str">
        <f>+VLOOKUP(C35,'PRECIOS IDU 2025'!$A$1:$E$3189,2,FALSE)</f>
        <v>MEZCLA ASFÁLTICA DENSA EN CALIENTE MD12 CON CEMENTO ASFÁLTICO 60-70 (SUMINISTRO, EXTENDIDO, NIVELACIÓN Y COMPACTACIÓN MECANICA CON VIBROCOMPACTADOR Y COMPACTADOR DE LLANTAS)</v>
      </c>
      <c r="F35" s="60" t="str">
        <f>+VLOOKUP(C35,'PRECIOS IDU 2025'!$A$1:$E$3189,3,FALSE)</f>
        <v>M3</v>
      </c>
      <c r="G35" s="108">
        <f t="shared" si="2"/>
        <v>0</v>
      </c>
      <c r="H35" s="69">
        <f>+VLOOKUP(C35,'PRECIOS IDU 2025'!$A$1:$E$3189,4,FALSE)</f>
        <v>1241977</v>
      </c>
      <c r="I35" s="69">
        <f t="shared" si="0"/>
        <v>1614570</v>
      </c>
      <c r="J35" s="69">
        <f t="shared" si="3"/>
        <v>0</v>
      </c>
      <c r="K35" s="9"/>
      <c r="L35" s="3"/>
      <c r="M35" s="73"/>
      <c r="N35" s="78"/>
      <c r="O35" s="73"/>
      <c r="P35" s="78">
        <f t="shared" si="1"/>
        <v>0</v>
      </c>
      <c r="Q35" s="73"/>
      <c r="R35" s="78"/>
      <c r="S35" s="73"/>
      <c r="T35" s="78"/>
      <c r="U35" s="73"/>
      <c r="V35" s="78"/>
      <c r="W35" s="73"/>
      <c r="X35" s="78"/>
      <c r="Y35" s="73"/>
      <c r="Z35" s="78"/>
      <c r="AA35" s="73"/>
      <c r="AB35" s="78"/>
      <c r="AC35" s="73"/>
      <c r="AD35" s="78"/>
      <c r="AE35" s="73"/>
      <c r="AF35" s="78"/>
      <c r="AG35" s="73"/>
      <c r="AH35" s="78"/>
      <c r="AI35" s="73"/>
      <c r="AJ35" s="78"/>
      <c r="AK35" s="73"/>
      <c r="AL35" s="78"/>
      <c r="AM35" s="73"/>
      <c r="AN35" s="78"/>
      <c r="AO35" s="73"/>
      <c r="AP35" s="78"/>
      <c r="AQ35" s="73"/>
      <c r="AR35" s="78"/>
      <c r="AS35" s="73"/>
      <c r="AT35" s="78"/>
      <c r="AU35" s="73"/>
      <c r="AV35" s="78"/>
      <c r="AW35" s="73"/>
      <c r="AX35" s="78"/>
      <c r="AY35" s="73"/>
      <c r="AZ35" s="78"/>
      <c r="BA35" s="73"/>
      <c r="BB35" s="78"/>
      <c r="BC35" s="73"/>
      <c r="BD35" s="78"/>
      <c r="BE35" s="73"/>
      <c r="BF35" s="78"/>
      <c r="BG35" s="73"/>
      <c r="BH35" s="78"/>
      <c r="BI35" s="73"/>
      <c r="BJ35" s="78"/>
      <c r="BK35" s="73"/>
      <c r="BL35" s="78"/>
      <c r="BM35" s="73"/>
      <c r="BN35" s="78"/>
      <c r="BO35" s="73"/>
      <c r="BP35" s="78"/>
      <c r="BQ35" s="73"/>
      <c r="BR35" s="78"/>
      <c r="BS35" s="73"/>
      <c r="BT35" s="78"/>
      <c r="BU35" s="73"/>
      <c r="BV35" s="78"/>
    </row>
    <row r="36" spans="1:74" ht="30" customHeight="1" x14ac:dyDescent="0.3">
      <c r="A36" s="3"/>
      <c r="B36" s="8"/>
      <c r="C36" s="60">
        <v>4712</v>
      </c>
      <c r="D36" s="60">
        <v>1019</v>
      </c>
      <c r="E36" s="60" t="str">
        <f>+VLOOKUP(C36,'PRECIOS IDU 2025'!$A$1:$E$3189,2,FALSE)</f>
        <v>MEZCLA ASFALTICA CON ASFALTO CAUCHO (SUMINISTRO, EXTENDIDO, NIVELACIÓN Y COMPACTACIÓN MECANICA)</v>
      </c>
      <c r="F36" s="60" t="str">
        <f>+VLOOKUP(C36,'PRECIOS IDU 2025'!$A$1:$E$3189,3,FALSE)</f>
        <v>M3</v>
      </c>
      <c r="G36" s="108">
        <f t="shared" si="2"/>
        <v>0</v>
      </c>
      <c r="H36" s="69">
        <f>+VLOOKUP(C36,'PRECIOS IDU 2025'!$A$1:$E$3189,4,FALSE)</f>
        <v>1556215</v>
      </c>
      <c r="I36" s="69">
        <f t="shared" ref="I36:I37" si="4">+ROUND(H36*(1+$J$192),0)</f>
        <v>2023080</v>
      </c>
      <c r="J36" s="69">
        <f t="shared" ref="J36:J37" si="5">+ROUND(I36*G36,0)</f>
        <v>0</v>
      </c>
      <c r="K36" s="9"/>
      <c r="L36" s="3"/>
      <c r="M36" s="73"/>
      <c r="N36" s="78"/>
      <c r="O36" s="73"/>
      <c r="P36" s="78"/>
      <c r="Q36" s="73"/>
      <c r="R36" s="78"/>
      <c r="S36" s="73"/>
      <c r="T36" s="78"/>
      <c r="U36" s="73"/>
      <c r="V36" s="78"/>
      <c r="W36" s="73"/>
      <c r="X36" s="78"/>
      <c r="Y36" s="73"/>
      <c r="Z36" s="78"/>
      <c r="AA36" s="73"/>
      <c r="AB36" s="78"/>
      <c r="AC36" s="73"/>
      <c r="AD36" s="78"/>
      <c r="AE36" s="73"/>
      <c r="AF36" s="78"/>
      <c r="AG36" s="73"/>
      <c r="AH36" s="78"/>
      <c r="AI36" s="73"/>
      <c r="AJ36" s="78"/>
      <c r="AK36" s="73"/>
      <c r="AL36" s="78"/>
      <c r="AM36" s="73"/>
      <c r="AN36" s="78"/>
      <c r="AO36" s="73"/>
      <c r="AP36" s="78"/>
      <c r="AQ36" s="73"/>
      <c r="AR36" s="78"/>
      <c r="AS36" s="73"/>
      <c r="AT36" s="78"/>
      <c r="AU36" s="73"/>
      <c r="AV36" s="78"/>
      <c r="AW36" s="73"/>
      <c r="AX36" s="78"/>
      <c r="AY36" s="73"/>
      <c r="AZ36" s="78"/>
      <c r="BA36" s="73"/>
      <c r="BB36" s="78"/>
      <c r="BC36" s="73"/>
      <c r="BD36" s="78"/>
      <c r="BE36" s="73"/>
      <c r="BF36" s="78"/>
      <c r="BG36" s="73"/>
      <c r="BH36" s="78"/>
      <c r="BI36" s="73"/>
      <c r="BJ36" s="78"/>
      <c r="BK36" s="73"/>
      <c r="BL36" s="78"/>
      <c r="BM36" s="73"/>
      <c r="BN36" s="78"/>
      <c r="BO36" s="73"/>
      <c r="BP36" s="78"/>
      <c r="BQ36" s="73"/>
      <c r="BR36" s="78"/>
      <c r="BS36" s="73"/>
      <c r="BT36" s="78"/>
      <c r="BU36" s="73"/>
      <c r="BV36" s="78"/>
    </row>
    <row r="37" spans="1:74" ht="30" customHeight="1" x14ac:dyDescent="0.3">
      <c r="A37" s="3"/>
      <c r="B37" s="8"/>
      <c r="C37" s="60">
        <v>6425</v>
      </c>
      <c r="D37" s="60">
        <v>1019</v>
      </c>
      <c r="E37" s="60" t="str">
        <f>+VLOOKUP(C37,'PRECIOS IDU 2025'!$A$1:$E$3189,2,FALSE)</f>
        <v>GEOCOMPUESTO PARA DRENAJE, CONFORMADO POR GEODREN (RED DRENANTE DE POLIETILENO DE ALTA DENSIDAD PEAD-HDPE Y GEOTEXTIL NO TEJIDO) CON ALTURA DE 1.0 M Y TUBERIA FLEXIBLE CORRUGADA DE DRENAJE CON DIAMETRO DE 100 MM. (INCLUYE COLOCACION BASE GRANULAR CLASE C).</v>
      </c>
      <c r="F37" s="60" t="str">
        <f>+VLOOKUP(C37,'PRECIOS IDU 2025'!$A$1:$E$3189,3,FALSE)</f>
        <v>ML</v>
      </c>
      <c r="G37" s="108">
        <f t="shared" si="2"/>
        <v>0</v>
      </c>
      <c r="H37" s="69">
        <f>+VLOOKUP(C37,'PRECIOS IDU 2025'!$A$1:$E$3189,4,FALSE)</f>
        <v>142844</v>
      </c>
      <c r="I37" s="69">
        <f t="shared" si="4"/>
        <v>185697</v>
      </c>
      <c r="J37" s="69">
        <f t="shared" si="5"/>
        <v>0</v>
      </c>
      <c r="K37" s="9"/>
      <c r="L37" s="3"/>
      <c r="M37" s="73"/>
      <c r="N37" s="78"/>
      <c r="O37" s="73"/>
      <c r="P37" s="78"/>
      <c r="Q37" s="73"/>
      <c r="R37" s="78"/>
      <c r="S37" s="73"/>
      <c r="T37" s="78"/>
      <c r="U37" s="73"/>
      <c r="V37" s="78"/>
      <c r="W37" s="73"/>
      <c r="X37" s="78"/>
      <c r="Y37" s="73"/>
      <c r="Z37" s="78"/>
      <c r="AA37" s="73"/>
      <c r="AB37" s="78"/>
      <c r="AC37" s="73"/>
      <c r="AD37" s="78"/>
      <c r="AE37" s="73"/>
      <c r="AF37" s="78"/>
      <c r="AG37" s="73"/>
      <c r="AH37" s="78"/>
      <c r="AI37" s="73"/>
      <c r="AJ37" s="78"/>
      <c r="AK37" s="73"/>
      <c r="AL37" s="78"/>
      <c r="AM37" s="73"/>
      <c r="AN37" s="78"/>
      <c r="AO37" s="73"/>
      <c r="AP37" s="78"/>
      <c r="AQ37" s="73"/>
      <c r="AR37" s="78"/>
      <c r="AS37" s="73"/>
      <c r="AT37" s="78"/>
      <c r="AU37" s="73"/>
      <c r="AV37" s="78"/>
      <c r="AW37" s="73"/>
      <c r="AX37" s="78"/>
      <c r="AY37" s="73"/>
      <c r="AZ37" s="78"/>
      <c r="BA37" s="73"/>
      <c r="BB37" s="78"/>
      <c r="BC37" s="73"/>
      <c r="BD37" s="78"/>
      <c r="BE37" s="73"/>
      <c r="BF37" s="78"/>
      <c r="BG37" s="73"/>
      <c r="BH37" s="78"/>
      <c r="BI37" s="73"/>
      <c r="BJ37" s="78"/>
      <c r="BK37" s="73"/>
      <c r="BL37" s="78"/>
      <c r="BM37" s="73"/>
      <c r="BN37" s="78"/>
      <c r="BO37" s="73"/>
      <c r="BP37" s="78"/>
      <c r="BQ37" s="73"/>
      <c r="BR37" s="78"/>
      <c r="BS37" s="73"/>
      <c r="BT37" s="78"/>
      <c r="BU37" s="73"/>
      <c r="BV37" s="78"/>
    </row>
    <row r="38" spans="1:74" ht="30" customHeight="1" x14ac:dyDescent="0.3">
      <c r="A38" s="3"/>
      <c r="B38" s="8"/>
      <c r="C38" s="60">
        <v>4783</v>
      </c>
      <c r="D38" s="60">
        <v>1020</v>
      </c>
      <c r="E38" s="60" t="str">
        <f>+VLOOKUP(C38,'PRECIOS IDU 2025'!$A$1:$E$3189,2,FALSE)</f>
        <v>CONSTRUCCIÓN DE CUNETA EN CONCRETO 3000 PSI HECHO EN OBRA.</v>
      </c>
      <c r="F38" s="60" t="str">
        <f>+VLOOKUP(C38,'PRECIOS IDU 2025'!$A$1:$E$3189,3,FALSE)</f>
        <v>M3</v>
      </c>
      <c r="G38" s="108">
        <f t="shared" si="2"/>
        <v>0</v>
      </c>
      <c r="H38" s="69">
        <f>+VLOOKUP(C38,'PRECIOS IDU 2025'!$A$1:$E$3189,4,FALSE)</f>
        <v>749962</v>
      </c>
      <c r="I38" s="69">
        <f t="shared" si="0"/>
        <v>974951</v>
      </c>
      <c r="J38" s="69">
        <f t="shared" si="3"/>
        <v>0</v>
      </c>
      <c r="K38" s="9"/>
      <c r="L38" s="3"/>
      <c r="M38" s="73"/>
      <c r="N38" s="78"/>
      <c r="O38" s="73"/>
      <c r="P38" s="78">
        <f t="shared" si="1"/>
        <v>0</v>
      </c>
      <c r="Q38" s="73"/>
      <c r="R38" s="78"/>
      <c r="S38" s="73"/>
      <c r="T38" s="78"/>
      <c r="U38" s="73"/>
      <c r="V38" s="78"/>
      <c r="W38" s="73"/>
      <c r="X38" s="78"/>
      <c r="Y38" s="73"/>
      <c r="Z38" s="78"/>
      <c r="AA38" s="73"/>
      <c r="AB38" s="78"/>
      <c r="AC38" s="73"/>
      <c r="AD38" s="78"/>
      <c r="AE38" s="73"/>
      <c r="AF38" s="78"/>
      <c r="AG38" s="73"/>
      <c r="AH38" s="78"/>
      <c r="AI38" s="73"/>
      <c r="AJ38" s="78"/>
      <c r="AK38" s="73"/>
      <c r="AL38" s="78"/>
      <c r="AM38" s="73"/>
      <c r="AN38" s="78"/>
      <c r="AO38" s="73"/>
      <c r="AP38" s="78"/>
      <c r="AQ38" s="73"/>
      <c r="AR38" s="78"/>
      <c r="AS38" s="73"/>
      <c r="AT38" s="78"/>
      <c r="AU38" s="73"/>
      <c r="AV38" s="78"/>
      <c r="AW38" s="73"/>
      <c r="AX38" s="78"/>
      <c r="AY38" s="73"/>
      <c r="AZ38" s="78"/>
      <c r="BA38" s="73"/>
      <c r="BB38" s="78"/>
      <c r="BC38" s="73"/>
      <c r="BD38" s="78"/>
      <c r="BE38" s="73"/>
      <c r="BF38" s="78"/>
      <c r="BG38" s="73"/>
      <c r="BH38" s="78"/>
      <c r="BI38" s="73"/>
      <c r="BJ38" s="78"/>
      <c r="BK38" s="73"/>
      <c r="BL38" s="78"/>
      <c r="BM38" s="73"/>
      <c r="BN38" s="78"/>
      <c r="BO38" s="73"/>
      <c r="BP38" s="78"/>
      <c r="BQ38" s="73"/>
      <c r="BR38" s="78"/>
      <c r="BS38" s="73"/>
      <c r="BT38" s="78"/>
      <c r="BU38" s="73"/>
      <c r="BV38" s="78"/>
    </row>
    <row r="39" spans="1:74" ht="30" customHeight="1" x14ac:dyDescent="0.3">
      <c r="A39" s="3"/>
      <c r="B39" s="8"/>
      <c r="C39" s="61" t="s">
        <v>6077</v>
      </c>
      <c r="D39" s="62"/>
      <c r="E39" s="62"/>
      <c r="F39" s="62"/>
      <c r="G39" s="62"/>
      <c r="H39" s="62"/>
      <c r="I39" s="62"/>
      <c r="J39" s="63"/>
      <c r="K39" s="9"/>
      <c r="L39" s="3"/>
      <c r="M39" s="76"/>
      <c r="N39" s="78"/>
      <c r="O39" s="76"/>
      <c r="P39" s="78">
        <f t="shared" si="1"/>
        <v>0</v>
      </c>
      <c r="Q39" s="76"/>
      <c r="R39" s="78"/>
      <c r="S39" s="76"/>
      <c r="T39" s="78"/>
      <c r="U39" s="76"/>
      <c r="V39" s="78"/>
      <c r="W39" s="76"/>
      <c r="X39" s="78"/>
      <c r="Y39" s="76"/>
      <c r="Z39" s="78"/>
      <c r="AA39" s="76"/>
      <c r="AB39" s="78"/>
      <c r="AC39" s="76"/>
      <c r="AD39" s="78"/>
      <c r="AE39" s="76"/>
      <c r="AF39" s="78"/>
      <c r="AG39" s="76"/>
      <c r="AH39" s="78"/>
      <c r="AI39" s="76"/>
      <c r="AJ39" s="78"/>
      <c r="AK39" s="76"/>
      <c r="AL39" s="78"/>
      <c r="AM39" s="76"/>
      <c r="AN39" s="78"/>
      <c r="AO39" s="76"/>
      <c r="AP39" s="78"/>
      <c r="AQ39" s="76"/>
      <c r="AR39" s="78"/>
      <c r="AS39" s="76"/>
      <c r="AT39" s="78"/>
      <c r="AU39" s="76"/>
      <c r="AV39" s="78"/>
      <c r="AW39" s="76"/>
      <c r="AX39" s="78"/>
      <c r="AY39" s="76"/>
      <c r="AZ39" s="78"/>
      <c r="BA39" s="76"/>
      <c r="BB39" s="78"/>
      <c r="BC39" s="76"/>
      <c r="BD39" s="78"/>
      <c r="BE39" s="76"/>
      <c r="BF39" s="78"/>
      <c r="BG39" s="76"/>
      <c r="BH39" s="78"/>
      <c r="BI39" s="76"/>
      <c r="BJ39" s="78"/>
      <c r="BK39" s="76"/>
      <c r="BL39" s="78"/>
      <c r="BM39" s="76"/>
      <c r="BN39" s="78"/>
      <c r="BO39" s="76"/>
      <c r="BP39" s="78"/>
      <c r="BQ39" s="76"/>
      <c r="BR39" s="78"/>
      <c r="BS39" s="76"/>
      <c r="BT39" s="78"/>
      <c r="BU39" s="76"/>
      <c r="BV39" s="78"/>
    </row>
    <row r="40" spans="1:74" ht="30" customHeight="1" x14ac:dyDescent="0.3">
      <c r="A40" s="3"/>
      <c r="B40" s="8"/>
      <c r="C40" s="60">
        <v>3007</v>
      </c>
      <c r="D40" s="60">
        <v>2001</v>
      </c>
      <c r="E40" s="60" t="str">
        <f>+VLOOKUP(C40,'PRECIOS IDU 2025'!$A$1:$E$3189,2,FALSE)</f>
        <v>REPLANTEO GENERAL</v>
      </c>
      <c r="F40" s="60" t="str">
        <f>+VLOOKUP(C40,'PRECIOS IDU 2025'!$A$1:$E$3189,3,FALSE)</f>
        <v>M2</v>
      </c>
      <c r="G40" s="108">
        <f t="shared" ref="G40:G67" si="6">+ROUND(M40+O40+Q40+S40+U40+W40+Y40+AA40+AC40+AE40+AG40+AI40+AK40+AM40+AO40+AQ40+AS40+AU40+AW40+AY40+BA40+BC40+BE40+BG40+BI40+BK40+BM40+BO40+BQ40+BS40+BU40,2)</f>
        <v>0</v>
      </c>
      <c r="H40" s="69">
        <f>+VLOOKUP(C40,'PRECIOS IDU 2025'!$A$1:$E$3189,4,FALSE)</f>
        <v>909</v>
      </c>
      <c r="I40" s="69">
        <f t="shared" ref="I40:I67" si="7">+ROUND(H40*(1+$J$192),0)</f>
        <v>1182</v>
      </c>
      <c r="J40" s="69">
        <f t="shared" ref="J40:J67" si="8">+ROUND(I40*G40,0)</f>
        <v>0</v>
      </c>
      <c r="K40" s="9"/>
      <c r="L40" s="3"/>
      <c r="M40" s="73"/>
      <c r="N40" s="78"/>
      <c r="O40" s="73"/>
      <c r="P40" s="78">
        <f t="shared" ref="P40:P46" si="9">+ROUND(O40*$I40,0)</f>
        <v>0</v>
      </c>
      <c r="Q40" s="73"/>
      <c r="R40" s="78"/>
      <c r="S40" s="73"/>
      <c r="T40" s="78"/>
      <c r="U40" s="73"/>
      <c r="V40" s="78"/>
      <c r="W40" s="73"/>
      <c r="X40" s="78"/>
      <c r="Y40" s="73"/>
      <c r="Z40" s="78"/>
      <c r="AA40" s="73"/>
      <c r="AB40" s="78"/>
      <c r="AC40" s="73"/>
      <c r="AD40" s="78"/>
      <c r="AE40" s="73"/>
      <c r="AF40" s="78"/>
      <c r="AG40" s="73"/>
      <c r="AH40" s="78"/>
      <c r="AI40" s="73"/>
      <c r="AJ40" s="78"/>
      <c r="AK40" s="73"/>
      <c r="AL40" s="78"/>
      <c r="AM40" s="73"/>
      <c r="AN40" s="78"/>
      <c r="AO40" s="73"/>
      <c r="AP40" s="78"/>
      <c r="AQ40" s="73"/>
      <c r="AR40" s="78"/>
      <c r="AS40" s="73"/>
      <c r="AT40" s="78"/>
      <c r="AU40" s="73"/>
      <c r="AV40" s="78"/>
      <c r="AW40" s="73"/>
      <c r="AX40" s="78"/>
      <c r="AY40" s="73"/>
      <c r="AZ40" s="78"/>
      <c r="BA40" s="73"/>
      <c r="BB40" s="78"/>
      <c r="BC40" s="73"/>
      <c r="BD40" s="78"/>
      <c r="BE40" s="73"/>
      <c r="BF40" s="78"/>
      <c r="BG40" s="73"/>
      <c r="BH40" s="78"/>
      <c r="BI40" s="73"/>
      <c r="BJ40" s="78"/>
      <c r="BK40" s="73"/>
      <c r="BL40" s="78"/>
      <c r="BM40" s="73"/>
      <c r="BN40" s="78"/>
      <c r="BO40" s="73"/>
      <c r="BP40" s="78"/>
      <c r="BQ40" s="73"/>
      <c r="BR40" s="78"/>
      <c r="BS40" s="73"/>
      <c r="BT40" s="78"/>
      <c r="BU40" s="73"/>
      <c r="BV40" s="78"/>
    </row>
    <row r="41" spans="1:74" ht="30" customHeight="1" x14ac:dyDescent="0.3">
      <c r="A41" s="3"/>
      <c r="B41" s="8"/>
      <c r="C41" s="60">
        <v>3811</v>
      </c>
      <c r="D41" s="60">
        <v>2002</v>
      </c>
      <c r="E41" s="60" t="str">
        <f>+VLOOKUP(C41,'PRECIOS IDU 2025'!$A$1:$E$3189,2,FALSE)</f>
        <v>CORTE DE PAVIMENTO - INCLUYE EQUIPO: CORTADORA DE CONCRETO INCLUYE OPERARIO Y COMBUSTIBLE. INCLUYE DISCO DIAMANTADO ASFALTO-CONCRETO 350 MM, AGUA Y MANO DE OBRA</v>
      </c>
      <c r="F41" s="60" t="str">
        <f>+VLOOKUP(C41,'PRECIOS IDU 2025'!$A$1:$E$3189,3,FALSE)</f>
        <v>ML</v>
      </c>
      <c r="G41" s="108">
        <f t="shared" si="6"/>
        <v>0</v>
      </c>
      <c r="H41" s="69">
        <f>+VLOOKUP(C41,'PRECIOS IDU 2025'!$A$1:$E$3189,4,FALSE)</f>
        <v>2659</v>
      </c>
      <c r="I41" s="69">
        <f t="shared" si="7"/>
        <v>3457</v>
      </c>
      <c r="J41" s="69">
        <f t="shared" si="8"/>
        <v>0</v>
      </c>
      <c r="K41" s="9"/>
      <c r="L41" s="3"/>
      <c r="M41" s="73"/>
      <c r="N41" s="78"/>
      <c r="O41" s="73"/>
      <c r="P41" s="78">
        <f t="shared" si="9"/>
        <v>0</v>
      </c>
      <c r="Q41" s="73"/>
      <c r="R41" s="78"/>
      <c r="S41" s="73"/>
      <c r="T41" s="78"/>
      <c r="U41" s="73"/>
      <c r="V41" s="78"/>
      <c r="W41" s="73"/>
      <c r="X41" s="78"/>
      <c r="Y41" s="73"/>
      <c r="Z41" s="78"/>
      <c r="AA41" s="73"/>
      <c r="AB41" s="78"/>
      <c r="AC41" s="73"/>
      <c r="AD41" s="78"/>
      <c r="AE41" s="73"/>
      <c r="AF41" s="78"/>
      <c r="AG41" s="73"/>
      <c r="AH41" s="78"/>
      <c r="AI41" s="73"/>
      <c r="AJ41" s="78"/>
      <c r="AK41" s="73"/>
      <c r="AL41" s="78"/>
      <c r="AM41" s="73"/>
      <c r="AN41" s="78"/>
      <c r="AO41" s="73"/>
      <c r="AP41" s="78"/>
      <c r="AQ41" s="73"/>
      <c r="AR41" s="78"/>
      <c r="AS41" s="73"/>
      <c r="AT41" s="78"/>
      <c r="AU41" s="73"/>
      <c r="AV41" s="78"/>
      <c r="AW41" s="73"/>
      <c r="AX41" s="78"/>
      <c r="AY41" s="73"/>
      <c r="AZ41" s="78"/>
      <c r="BA41" s="73"/>
      <c r="BB41" s="78"/>
      <c r="BC41" s="73"/>
      <c r="BD41" s="78"/>
      <c r="BE41" s="73"/>
      <c r="BF41" s="78"/>
      <c r="BG41" s="73"/>
      <c r="BH41" s="78"/>
      <c r="BI41" s="73"/>
      <c r="BJ41" s="78"/>
      <c r="BK41" s="73"/>
      <c r="BL41" s="78"/>
      <c r="BM41" s="73"/>
      <c r="BN41" s="78"/>
      <c r="BO41" s="73"/>
      <c r="BP41" s="78"/>
      <c r="BQ41" s="73"/>
      <c r="BR41" s="78"/>
      <c r="BS41" s="73"/>
      <c r="BT41" s="78"/>
      <c r="BU41" s="73"/>
      <c r="BV41" s="78"/>
    </row>
    <row r="42" spans="1:74" ht="30" customHeight="1" x14ac:dyDescent="0.3">
      <c r="A42" s="3"/>
      <c r="B42" s="8"/>
      <c r="C42" s="60">
        <v>3010</v>
      </c>
      <c r="D42" s="60">
        <v>2003</v>
      </c>
      <c r="E42" s="60" t="str">
        <f>+VLOOKUP(C42,'PRECIOS IDU 2025'!$A$1:$E$3189,2,FALSE)</f>
        <v>DEMOLICION PAVIMENTO ASFALTICO (INCLUYE CARGUE). NO INCLUYE TRANSPORTE Y DISPOSICIÓN FINAL DE SOBRANTES.</v>
      </c>
      <c r="F42" s="60" t="str">
        <f>+VLOOKUP(C42,'PRECIOS IDU 2025'!$A$1:$E$3189,3,FALSE)</f>
        <v>M3</v>
      </c>
      <c r="G42" s="108">
        <f t="shared" si="6"/>
        <v>0</v>
      </c>
      <c r="H42" s="69">
        <f>+VLOOKUP(C42,'PRECIOS IDU 2025'!$A$1:$E$3189,4,FALSE)</f>
        <v>38781</v>
      </c>
      <c r="I42" s="69">
        <f t="shared" si="7"/>
        <v>50415</v>
      </c>
      <c r="J42" s="69">
        <f t="shared" si="8"/>
        <v>0</v>
      </c>
      <c r="K42" s="9"/>
      <c r="L42" s="3"/>
      <c r="M42" s="76"/>
      <c r="N42" s="78"/>
      <c r="O42" s="76"/>
      <c r="P42" s="78">
        <f t="shared" si="9"/>
        <v>0</v>
      </c>
      <c r="Q42" s="76"/>
      <c r="R42" s="78"/>
      <c r="S42" s="76"/>
      <c r="T42" s="78"/>
      <c r="U42" s="76"/>
      <c r="V42" s="78"/>
      <c r="W42" s="76"/>
      <c r="X42" s="78"/>
      <c r="Y42" s="76"/>
      <c r="Z42" s="78"/>
      <c r="AA42" s="76"/>
      <c r="AB42" s="78"/>
      <c r="AC42" s="76"/>
      <c r="AD42" s="78"/>
      <c r="AE42" s="76"/>
      <c r="AF42" s="78"/>
      <c r="AG42" s="76"/>
      <c r="AH42" s="78"/>
      <c r="AI42" s="76"/>
      <c r="AJ42" s="78"/>
      <c r="AK42" s="76"/>
      <c r="AL42" s="78"/>
      <c r="AM42" s="76"/>
      <c r="AN42" s="78"/>
      <c r="AO42" s="76"/>
      <c r="AP42" s="78"/>
      <c r="AQ42" s="76"/>
      <c r="AR42" s="78"/>
      <c r="AS42" s="76"/>
      <c r="AT42" s="78"/>
      <c r="AU42" s="76"/>
      <c r="AV42" s="78"/>
      <c r="AW42" s="76"/>
      <c r="AX42" s="78"/>
      <c r="AY42" s="76"/>
      <c r="AZ42" s="78"/>
      <c r="BA42" s="76"/>
      <c r="BB42" s="78"/>
      <c r="BC42" s="76"/>
      <c r="BD42" s="78"/>
      <c r="BE42" s="76"/>
      <c r="BF42" s="78"/>
      <c r="BG42" s="76"/>
      <c r="BH42" s="78"/>
      <c r="BI42" s="76"/>
      <c r="BJ42" s="78"/>
      <c r="BK42" s="76"/>
      <c r="BL42" s="78"/>
      <c r="BM42" s="76"/>
      <c r="BN42" s="78"/>
      <c r="BO42" s="76"/>
      <c r="BP42" s="78"/>
      <c r="BQ42" s="76"/>
      <c r="BR42" s="78"/>
      <c r="BS42" s="76"/>
      <c r="BT42" s="78"/>
      <c r="BU42" s="76"/>
      <c r="BV42" s="78"/>
    </row>
    <row r="43" spans="1:74" ht="30" customHeight="1" x14ac:dyDescent="0.3">
      <c r="A43" s="3"/>
      <c r="B43" s="8"/>
      <c r="C43" s="60">
        <v>3486</v>
      </c>
      <c r="D43" s="60">
        <v>2004</v>
      </c>
      <c r="E43" s="60" t="str">
        <f>+VLOOKUP(C43,'PRECIOS IDU 2025'!$A$1:$E$3189,2,FALSE)</f>
        <v>DEMOLICIÓN CONCRETO ESTRUCTURAL (INCLUYE CARGUE MANUAL). NO INCLUYE TRANSPORTE Y DISPOSICIÓN FINAL DE SOBRANTES.</v>
      </c>
      <c r="F43" s="60" t="str">
        <f>+VLOOKUP(C43,'PRECIOS IDU 2025'!$A$1:$E$3189,3,FALSE)</f>
        <v>M3</v>
      </c>
      <c r="G43" s="108">
        <f t="shared" si="6"/>
        <v>0</v>
      </c>
      <c r="H43" s="69">
        <f>+VLOOKUP(C43,'PRECIOS IDU 2025'!$A$1:$E$3189,4,FALSE)</f>
        <v>187178</v>
      </c>
      <c r="I43" s="69">
        <f t="shared" si="7"/>
        <v>243331</v>
      </c>
      <c r="J43" s="69">
        <f t="shared" si="8"/>
        <v>0</v>
      </c>
      <c r="K43" s="9"/>
      <c r="L43" s="3"/>
      <c r="M43" s="73"/>
      <c r="N43" s="78"/>
      <c r="O43" s="73"/>
      <c r="P43" s="78">
        <f t="shared" si="9"/>
        <v>0</v>
      </c>
      <c r="Q43" s="73"/>
      <c r="R43" s="78"/>
      <c r="S43" s="73"/>
      <c r="T43" s="78"/>
      <c r="U43" s="73"/>
      <c r="V43" s="78"/>
      <c r="W43" s="73"/>
      <c r="X43" s="78"/>
      <c r="Y43" s="73"/>
      <c r="Z43" s="78"/>
      <c r="AA43" s="73"/>
      <c r="AB43" s="78"/>
      <c r="AC43" s="73"/>
      <c r="AD43" s="78"/>
      <c r="AE43" s="73"/>
      <c r="AF43" s="78"/>
      <c r="AG43" s="73"/>
      <c r="AH43" s="78"/>
      <c r="AI43" s="73"/>
      <c r="AJ43" s="78"/>
      <c r="AK43" s="73"/>
      <c r="AL43" s="78"/>
      <c r="AM43" s="73"/>
      <c r="AN43" s="78"/>
      <c r="AO43" s="73"/>
      <c r="AP43" s="78"/>
      <c r="AQ43" s="73"/>
      <c r="AR43" s="78"/>
      <c r="AS43" s="73"/>
      <c r="AT43" s="78"/>
      <c r="AU43" s="73"/>
      <c r="AV43" s="78"/>
      <c r="AW43" s="73"/>
      <c r="AX43" s="78"/>
      <c r="AY43" s="73"/>
      <c r="AZ43" s="78"/>
      <c r="BA43" s="73"/>
      <c r="BB43" s="78"/>
      <c r="BC43" s="73"/>
      <c r="BD43" s="78"/>
      <c r="BE43" s="73"/>
      <c r="BF43" s="78"/>
      <c r="BG43" s="73"/>
      <c r="BH43" s="78"/>
      <c r="BI43" s="73"/>
      <c r="BJ43" s="78"/>
      <c r="BK43" s="73"/>
      <c r="BL43" s="78"/>
      <c r="BM43" s="73"/>
      <c r="BN43" s="78"/>
      <c r="BO43" s="73"/>
      <c r="BP43" s="78"/>
      <c r="BQ43" s="73"/>
      <c r="BR43" s="78"/>
      <c r="BS43" s="73"/>
      <c r="BT43" s="78"/>
      <c r="BU43" s="73"/>
      <c r="BV43" s="78"/>
    </row>
    <row r="44" spans="1:74" ht="15.6" x14ac:dyDescent="0.3">
      <c r="A44" s="3"/>
      <c r="B44" s="8"/>
      <c r="C44" s="60">
        <v>3710</v>
      </c>
      <c r="D44" s="60">
        <v>2005</v>
      </c>
      <c r="E44" s="60" t="str">
        <f>+VLOOKUP(C44,'PRECIOS IDU 2025'!$A$1:$E$3189,2,FALSE)</f>
        <v>EXCAVACIÓN MECÁNICA EN MATERIAL COMÚN (INCLUYE CARGUE)</v>
      </c>
      <c r="F44" s="60" t="str">
        <f>+VLOOKUP(C44,'PRECIOS IDU 2025'!$A$1:$E$3189,3,FALSE)</f>
        <v>M3</v>
      </c>
      <c r="G44" s="108">
        <f t="shared" si="6"/>
        <v>0</v>
      </c>
      <c r="H44" s="69">
        <f>+VLOOKUP(C44,'PRECIOS IDU 2025'!$A$1:$E$3189,4,FALSE)</f>
        <v>5741</v>
      </c>
      <c r="I44" s="69">
        <f t="shared" si="7"/>
        <v>7463</v>
      </c>
      <c r="J44" s="69">
        <f t="shared" si="8"/>
        <v>0</v>
      </c>
      <c r="K44" s="9"/>
      <c r="L44" s="3"/>
      <c r="M44" s="73"/>
      <c r="N44" s="78"/>
      <c r="O44" s="73"/>
      <c r="P44" s="78">
        <f t="shared" si="9"/>
        <v>0</v>
      </c>
      <c r="Q44" s="73"/>
      <c r="R44" s="78"/>
      <c r="S44" s="73"/>
      <c r="T44" s="78"/>
      <c r="U44" s="73"/>
      <c r="V44" s="78"/>
      <c r="W44" s="73"/>
      <c r="X44" s="78"/>
      <c r="Y44" s="73"/>
      <c r="Z44" s="78"/>
      <c r="AA44" s="73"/>
      <c r="AB44" s="78"/>
      <c r="AC44" s="73"/>
      <c r="AD44" s="78"/>
      <c r="AE44" s="73"/>
      <c r="AF44" s="78"/>
      <c r="AG44" s="73"/>
      <c r="AH44" s="78"/>
      <c r="AI44" s="73"/>
      <c r="AJ44" s="78"/>
      <c r="AK44" s="73"/>
      <c r="AL44" s="78"/>
      <c r="AM44" s="73"/>
      <c r="AN44" s="78"/>
      <c r="AO44" s="73"/>
      <c r="AP44" s="78"/>
      <c r="AQ44" s="73"/>
      <c r="AR44" s="78"/>
      <c r="AS44" s="73"/>
      <c r="AT44" s="78"/>
      <c r="AU44" s="73"/>
      <c r="AV44" s="78"/>
      <c r="AW44" s="73"/>
      <c r="AX44" s="78"/>
      <c r="AY44" s="73"/>
      <c r="AZ44" s="78"/>
      <c r="BA44" s="73"/>
      <c r="BB44" s="78"/>
      <c r="BC44" s="73"/>
      <c r="BD44" s="78"/>
      <c r="BE44" s="73"/>
      <c r="BF44" s="78"/>
      <c r="BG44" s="73"/>
      <c r="BH44" s="78"/>
      <c r="BI44" s="73"/>
      <c r="BJ44" s="78"/>
      <c r="BK44" s="73"/>
      <c r="BL44" s="78"/>
      <c r="BM44" s="73"/>
      <c r="BN44" s="78"/>
      <c r="BO44" s="73"/>
      <c r="BP44" s="78"/>
      <c r="BQ44" s="73"/>
      <c r="BR44" s="78"/>
      <c r="BS44" s="73"/>
      <c r="BT44" s="78"/>
      <c r="BU44" s="73"/>
      <c r="BV44" s="78"/>
    </row>
    <row r="45" spans="1:74" ht="30" customHeight="1" x14ac:dyDescent="0.3">
      <c r="A45" s="3"/>
      <c r="B45" s="8"/>
      <c r="C45" s="60">
        <v>3464</v>
      </c>
      <c r="D45" s="60">
        <v>2006</v>
      </c>
      <c r="E45" s="60" t="str">
        <f>+VLOOKUP(C45,'PRECIOS IDU 2025'!$A$1:$E$3189,2,FALSE)</f>
        <v>EXCAVACION MANUAL EN MATERIAL COMUN. INCLUYE CARGUE.</v>
      </c>
      <c r="F45" s="60" t="str">
        <f>+VLOOKUP(C45,'PRECIOS IDU 2025'!$A$1:$E$3189,3,FALSE)</f>
        <v>M3</v>
      </c>
      <c r="G45" s="108">
        <f t="shared" si="6"/>
        <v>0</v>
      </c>
      <c r="H45" s="69">
        <f>+VLOOKUP(C45,'PRECIOS IDU 2025'!$A$1:$E$3189,4,FALSE)</f>
        <v>46379</v>
      </c>
      <c r="I45" s="69">
        <f t="shared" si="7"/>
        <v>60293</v>
      </c>
      <c r="J45" s="69">
        <f t="shared" si="8"/>
        <v>0</v>
      </c>
      <c r="K45" s="9"/>
      <c r="L45" s="3"/>
      <c r="M45" s="73"/>
      <c r="N45" s="78"/>
      <c r="O45" s="73"/>
      <c r="P45" s="78">
        <f t="shared" si="9"/>
        <v>0</v>
      </c>
      <c r="Q45" s="73"/>
      <c r="R45" s="78"/>
      <c r="S45" s="73"/>
      <c r="T45" s="78"/>
      <c r="U45" s="73"/>
      <c r="V45" s="78"/>
      <c r="W45" s="73"/>
      <c r="X45" s="78"/>
      <c r="Y45" s="73"/>
      <c r="Z45" s="78"/>
      <c r="AA45" s="73"/>
      <c r="AB45" s="78"/>
      <c r="AC45" s="73"/>
      <c r="AD45" s="78"/>
      <c r="AE45" s="73"/>
      <c r="AF45" s="78"/>
      <c r="AG45" s="73"/>
      <c r="AH45" s="78"/>
      <c r="AI45" s="73"/>
      <c r="AJ45" s="78"/>
      <c r="AK45" s="73"/>
      <c r="AL45" s="78"/>
      <c r="AM45" s="73"/>
      <c r="AN45" s="78"/>
      <c r="AO45" s="73"/>
      <c r="AP45" s="78"/>
      <c r="AQ45" s="73"/>
      <c r="AR45" s="78"/>
      <c r="AS45" s="73"/>
      <c r="AT45" s="78"/>
      <c r="AU45" s="73"/>
      <c r="AV45" s="78"/>
      <c r="AW45" s="73"/>
      <c r="AX45" s="78"/>
      <c r="AY45" s="73"/>
      <c r="AZ45" s="78"/>
      <c r="BA45" s="73"/>
      <c r="BB45" s="78"/>
      <c r="BC45" s="73"/>
      <c r="BD45" s="78"/>
      <c r="BE45" s="73"/>
      <c r="BF45" s="78"/>
      <c r="BG45" s="73"/>
      <c r="BH45" s="78"/>
      <c r="BI45" s="73"/>
      <c r="BJ45" s="78"/>
      <c r="BK45" s="73"/>
      <c r="BL45" s="78"/>
      <c r="BM45" s="73"/>
      <c r="BN45" s="78"/>
      <c r="BO45" s="73"/>
      <c r="BP45" s="78"/>
      <c r="BQ45" s="73"/>
      <c r="BR45" s="78"/>
      <c r="BS45" s="73"/>
      <c r="BT45" s="78"/>
      <c r="BU45" s="73"/>
      <c r="BV45" s="78"/>
    </row>
    <row r="46" spans="1:74" ht="30" customHeight="1" x14ac:dyDescent="0.3">
      <c r="A46" s="3"/>
      <c r="B46" s="8"/>
      <c r="C46" s="60">
        <v>3017</v>
      </c>
      <c r="D46" s="60">
        <v>2007</v>
      </c>
      <c r="E46" s="60" t="str">
        <f>+VLOOKUP(C46,'PRECIOS IDU 2025'!$A$1:$E$3189,2,FALSE)</f>
        <v>TRANSPORTE Y DISPOSICIÓN FINAL DE ESCOMBROS EN SITIO AUTORIZADO (DISTANCIA DE TRANSPORTE 21 KM). A DISTANCIA MAYOR DEL ACARREO LIBRE (90 M) EN SITIO AUTORIZADO POR LA ENTIDAD AMBIENTAL COMPETENTE.</v>
      </c>
      <c r="F46" s="60" t="str">
        <f>+VLOOKUP(C46,'PRECIOS IDU 2025'!$A$1:$E$3189,3,FALSE)</f>
        <v>M3</v>
      </c>
      <c r="G46" s="108">
        <f t="shared" si="6"/>
        <v>0</v>
      </c>
      <c r="H46" s="69">
        <f>+VLOOKUP(C46,'PRECIOS IDU 2025'!$A$1:$E$3189,4,FALSE)</f>
        <v>45600</v>
      </c>
      <c r="I46" s="69">
        <f t="shared" si="7"/>
        <v>59280</v>
      </c>
      <c r="J46" s="69">
        <f t="shared" si="8"/>
        <v>0</v>
      </c>
      <c r="K46" s="9"/>
      <c r="L46" s="3"/>
      <c r="M46" s="73"/>
      <c r="N46" s="78"/>
      <c r="O46" s="73"/>
      <c r="P46" s="78">
        <f t="shared" si="9"/>
        <v>0</v>
      </c>
      <c r="Q46" s="73"/>
      <c r="R46" s="78"/>
      <c r="S46" s="73"/>
      <c r="T46" s="78"/>
      <c r="U46" s="73"/>
      <c r="V46" s="78"/>
      <c r="W46" s="73"/>
      <c r="X46" s="78"/>
      <c r="Y46" s="73"/>
      <c r="Z46" s="78"/>
      <c r="AA46" s="73"/>
      <c r="AB46" s="78"/>
      <c r="AC46" s="73"/>
      <c r="AD46" s="78"/>
      <c r="AE46" s="73"/>
      <c r="AF46" s="78"/>
      <c r="AG46" s="73"/>
      <c r="AH46" s="78"/>
      <c r="AI46" s="73"/>
      <c r="AJ46" s="78"/>
      <c r="AK46" s="73"/>
      <c r="AL46" s="78"/>
      <c r="AM46" s="73"/>
      <c r="AN46" s="78"/>
      <c r="AO46" s="73"/>
      <c r="AP46" s="78"/>
      <c r="AQ46" s="73"/>
      <c r="AR46" s="78"/>
      <c r="AS46" s="73"/>
      <c r="AT46" s="78"/>
      <c r="AU46" s="73"/>
      <c r="AV46" s="78"/>
      <c r="AW46" s="73"/>
      <c r="AX46" s="78"/>
      <c r="AY46" s="73"/>
      <c r="AZ46" s="78"/>
      <c r="BA46" s="73"/>
      <c r="BB46" s="78"/>
      <c r="BC46" s="73"/>
      <c r="BD46" s="78"/>
      <c r="BE46" s="73"/>
      <c r="BF46" s="78"/>
      <c r="BG46" s="73"/>
      <c r="BH46" s="78"/>
      <c r="BI46" s="73"/>
      <c r="BJ46" s="78"/>
      <c r="BK46" s="73"/>
      <c r="BL46" s="78"/>
      <c r="BM46" s="73"/>
      <c r="BN46" s="78"/>
      <c r="BO46" s="73"/>
      <c r="BP46" s="78"/>
      <c r="BQ46" s="73"/>
      <c r="BR46" s="78"/>
      <c r="BS46" s="73"/>
      <c r="BT46" s="78"/>
      <c r="BU46" s="73"/>
      <c r="BV46" s="78"/>
    </row>
    <row r="47" spans="1:74" ht="30" customHeight="1" x14ac:dyDescent="0.3">
      <c r="A47" s="3"/>
      <c r="B47" s="8"/>
      <c r="C47" s="60">
        <v>3800</v>
      </c>
      <c r="D47" s="60">
        <v>2008</v>
      </c>
      <c r="E47" s="60" t="str">
        <f>+VLOOKUP(C47,'PRECIOS IDU 2025'!$A$1:$E$3189,2,FALSE)</f>
        <v>NIVELACION Y COMPACTACIÓN DE SUBRASANTE</v>
      </c>
      <c r="F47" s="60" t="str">
        <f>+VLOOKUP(C47,'PRECIOS IDU 2025'!$A$1:$E$3189,3,FALSE)</f>
        <v>M2</v>
      </c>
      <c r="G47" s="108">
        <f t="shared" si="6"/>
        <v>0</v>
      </c>
      <c r="H47" s="69">
        <f>+VLOOKUP(C47,'PRECIOS IDU 2025'!$A$1:$E$3189,4,FALSE)</f>
        <v>1757</v>
      </c>
      <c r="I47" s="69">
        <f t="shared" si="7"/>
        <v>2284</v>
      </c>
      <c r="J47" s="69">
        <f t="shared" si="8"/>
        <v>0</v>
      </c>
      <c r="K47" s="9"/>
      <c r="L47" s="3"/>
      <c r="M47" s="73"/>
      <c r="N47" s="78"/>
      <c r="O47" s="73"/>
      <c r="P47" s="78">
        <f t="shared" ref="P47:P99" si="10">+ROUND(O47*$I47,0)</f>
        <v>0</v>
      </c>
      <c r="Q47" s="73"/>
      <c r="R47" s="78"/>
      <c r="S47" s="73"/>
      <c r="T47" s="78"/>
      <c r="U47" s="73"/>
      <c r="V47" s="78"/>
      <c r="W47" s="73"/>
      <c r="X47" s="78"/>
      <c r="Y47" s="73"/>
      <c r="Z47" s="78"/>
      <c r="AA47" s="73"/>
      <c r="AB47" s="78"/>
      <c r="AC47" s="73"/>
      <c r="AD47" s="78"/>
      <c r="AE47" s="73"/>
      <c r="AF47" s="78"/>
      <c r="AG47" s="73"/>
      <c r="AH47" s="78"/>
      <c r="AI47" s="73"/>
      <c r="AJ47" s="78"/>
      <c r="AK47" s="73"/>
      <c r="AL47" s="78"/>
      <c r="AM47" s="73"/>
      <c r="AN47" s="78"/>
      <c r="AO47" s="73"/>
      <c r="AP47" s="78"/>
      <c r="AQ47" s="73"/>
      <c r="AR47" s="78"/>
      <c r="AS47" s="73"/>
      <c r="AT47" s="78"/>
      <c r="AU47" s="73"/>
      <c r="AV47" s="78"/>
      <c r="AW47" s="73"/>
      <c r="AX47" s="78"/>
      <c r="AY47" s="73"/>
      <c r="AZ47" s="78"/>
      <c r="BA47" s="73"/>
      <c r="BB47" s="78"/>
      <c r="BC47" s="73"/>
      <c r="BD47" s="78"/>
      <c r="BE47" s="73"/>
      <c r="BF47" s="78"/>
      <c r="BG47" s="73"/>
      <c r="BH47" s="78"/>
      <c r="BI47" s="73"/>
      <c r="BJ47" s="78"/>
      <c r="BK47" s="73"/>
      <c r="BL47" s="78"/>
      <c r="BM47" s="73"/>
      <c r="BN47" s="78"/>
      <c r="BO47" s="73"/>
      <c r="BP47" s="78"/>
      <c r="BQ47" s="73"/>
      <c r="BR47" s="78"/>
      <c r="BS47" s="73"/>
      <c r="BT47" s="78"/>
      <c r="BU47" s="73"/>
      <c r="BV47" s="78"/>
    </row>
    <row r="48" spans="1:74" ht="55.2" x14ac:dyDescent="0.3">
      <c r="A48" s="3"/>
      <c r="B48" s="8"/>
      <c r="C48" s="60">
        <v>10016</v>
      </c>
      <c r="D48" s="60">
        <v>2009</v>
      </c>
      <c r="E48" s="60" t="str">
        <f>+VLOOKUP(C48,'PRECIOS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48" s="60" t="str">
        <f>+VLOOKUP(C48,'PRECIOS IDU 2025'!$A$1:$E$3189,3,FALSE)</f>
        <v>M3</v>
      </c>
      <c r="G48" s="108">
        <f t="shared" si="6"/>
        <v>0</v>
      </c>
      <c r="H48" s="69">
        <f>+VLOOKUP(C48,'PRECIOS IDU 2025'!$A$1:$E$3189,4,FALSE)</f>
        <v>184030</v>
      </c>
      <c r="I48" s="69">
        <f t="shared" si="7"/>
        <v>239239</v>
      </c>
      <c r="J48" s="69">
        <f t="shared" si="8"/>
        <v>0</v>
      </c>
      <c r="K48" s="9"/>
      <c r="L48" s="3"/>
      <c r="M48" s="73"/>
      <c r="N48" s="78"/>
      <c r="O48" s="73"/>
      <c r="P48" s="78">
        <f t="shared" si="10"/>
        <v>0</v>
      </c>
      <c r="Q48" s="73"/>
      <c r="R48" s="78"/>
      <c r="S48" s="73"/>
      <c r="T48" s="78"/>
      <c r="U48" s="73"/>
      <c r="V48" s="78"/>
      <c r="W48" s="73"/>
      <c r="X48" s="78"/>
      <c r="Y48" s="73"/>
      <c r="Z48" s="78"/>
      <c r="AA48" s="73"/>
      <c r="AB48" s="78"/>
      <c r="AC48" s="73"/>
      <c r="AD48" s="78"/>
      <c r="AE48" s="73"/>
      <c r="AF48" s="78"/>
      <c r="AG48" s="73"/>
      <c r="AH48" s="78"/>
      <c r="AI48" s="73"/>
      <c r="AJ48" s="78"/>
      <c r="AK48" s="73"/>
      <c r="AL48" s="78"/>
      <c r="AM48" s="73"/>
      <c r="AN48" s="78"/>
      <c r="AO48" s="73"/>
      <c r="AP48" s="78"/>
      <c r="AQ48" s="73"/>
      <c r="AR48" s="78"/>
      <c r="AS48" s="73"/>
      <c r="AT48" s="78"/>
      <c r="AU48" s="73"/>
      <c r="AV48" s="78"/>
      <c r="AW48" s="73"/>
      <c r="AX48" s="78"/>
      <c r="AY48" s="73"/>
      <c r="AZ48" s="78"/>
      <c r="BA48" s="73"/>
      <c r="BB48" s="78"/>
      <c r="BC48" s="73"/>
      <c r="BD48" s="78"/>
      <c r="BE48" s="73"/>
      <c r="BF48" s="78"/>
      <c r="BG48" s="73"/>
      <c r="BH48" s="78"/>
      <c r="BI48" s="73"/>
      <c r="BJ48" s="78"/>
      <c r="BK48" s="73"/>
      <c r="BL48" s="78"/>
      <c r="BM48" s="73"/>
      <c r="BN48" s="78"/>
      <c r="BO48" s="73"/>
      <c r="BP48" s="78"/>
      <c r="BQ48" s="73"/>
      <c r="BR48" s="78"/>
      <c r="BS48" s="73"/>
      <c r="BT48" s="78"/>
      <c r="BU48" s="73"/>
      <c r="BV48" s="78"/>
    </row>
    <row r="49" spans="1:74" ht="30" customHeight="1" x14ac:dyDescent="0.3">
      <c r="A49" s="3"/>
      <c r="B49" s="8"/>
      <c r="C49" s="60">
        <v>7900</v>
      </c>
      <c r="D49" s="60">
        <v>2010</v>
      </c>
      <c r="E49" s="60" t="str">
        <f>+VLOOKUP(C49,'PRECIOS IDU 2025'!$A$1:$E$3189,2,FALSE)</f>
        <v>GEOCELDA DE POLIETILENO DE ALTA DENSIDAD (PEAD-HDPE) CON ALTURA DE 150 MM. (INCLUYE SUMINISTRO E INSTALACION).</v>
      </c>
      <c r="F49" s="60" t="str">
        <f>+VLOOKUP(C49,'PRECIOS IDU 2025'!$A$1:$E$3189,3,FALSE)</f>
        <v>M2</v>
      </c>
      <c r="G49" s="108">
        <f t="shared" si="6"/>
        <v>0</v>
      </c>
      <c r="H49" s="69">
        <f>+VLOOKUP(C49,'PRECIOS IDU 2025'!$A$1:$E$3189,4,FALSE)</f>
        <v>73638</v>
      </c>
      <c r="I49" s="69">
        <f t="shared" si="7"/>
        <v>95729</v>
      </c>
      <c r="J49" s="69">
        <f t="shared" si="8"/>
        <v>0</v>
      </c>
      <c r="K49" s="9"/>
      <c r="L49" s="3"/>
      <c r="M49" s="76"/>
      <c r="N49" s="78"/>
      <c r="O49" s="76"/>
      <c r="P49" s="78">
        <f t="shared" si="10"/>
        <v>0</v>
      </c>
      <c r="Q49" s="76"/>
      <c r="R49" s="78"/>
      <c r="S49" s="76"/>
      <c r="T49" s="78"/>
      <c r="U49" s="76"/>
      <c r="V49" s="78"/>
      <c r="W49" s="76"/>
      <c r="X49" s="78"/>
      <c r="Y49" s="76"/>
      <c r="Z49" s="78"/>
      <c r="AA49" s="76"/>
      <c r="AB49" s="78"/>
      <c r="AC49" s="76"/>
      <c r="AD49" s="78"/>
      <c r="AE49" s="76"/>
      <c r="AF49" s="78"/>
      <c r="AG49" s="76"/>
      <c r="AH49" s="78"/>
      <c r="AI49" s="76"/>
      <c r="AJ49" s="78"/>
      <c r="AK49" s="76"/>
      <c r="AL49" s="78"/>
      <c r="AM49" s="76"/>
      <c r="AN49" s="78"/>
      <c r="AO49" s="76"/>
      <c r="AP49" s="78"/>
      <c r="AQ49" s="76"/>
      <c r="AR49" s="78"/>
      <c r="AS49" s="76"/>
      <c r="AT49" s="78"/>
      <c r="AU49" s="76"/>
      <c r="AV49" s="78"/>
      <c r="AW49" s="76"/>
      <c r="AX49" s="78"/>
      <c r="AY49" s="76"/>
      <c r="AZ49" s="78"/>
      <c r="BA49" s="76"/>
      <c r="BB49" s="78"/>
      <c r="BC49" s="76"/>
      <c r="BD49" s="78"/>
      <c r="BE49" s="76"/>
      <c r="BF49" s="78"/>
      <c r="BG49" s="76"/>
      <c r="BH49" s="78"/>
      <c r="BI49" s="76"/>
      <c r="BJ49" s="78"/>
      <c r="BK49" s="76"/>
      <c r="BL49" s="78"/>
      <c r="BM49" s="76"/>
      <c r="BN49" s="78"/>
      <c r="BO49" s="76"/>
      <c r="BP49" s="78"/>
      <c r="BQ49" s="76"/>
      <c r="BR49" s="78"/>
      <c r="BS49" s="76"/>
      <c r="BT49" s="78"/>
      <c r="BU49" s="76"/>
      <c r="BV49" s="78"/>
    </row>
    <row r="50" spans="1:74" ht="30" customHeight="1" x14ac:dyDescent="0.3">
      <c r="A50" s="3"/>
      <c r="B50" s="8"/>
      <c r="C50" s="60">
        <v>4015</v>
      </c>
      <c r="D50" s="60">
        <v>2011</v>
      </c>
      <c r="E50" s="60" t="str">
        <f>+VLOOKUP(C50,'PRECIOS IDU 2025'!$A$1:$E$3189,2,FALSE)</f>
        <v>GEOTEXTIL NO TEJIDO CON RESISTENCIA A LA TENSION GRAB: ENTRE 850 N Y 980 N. PARA SEPARACION SUBRASANTE/CAPAS GRANULARES. (INCLUYE SUMINISTRO E INSTALACION).</v>
      </c>
      <c r="F50" s="60" t="str">
        <f>+VLOOKUP(C50,'PRECIOS IDU 2025'!$A$1:$E$3189,3,FALSE)</f>
        <v>M2</v>
      </c>
      <c r="G50" s="108">
        <f t="shared" si="6"/>
        <v>0</v>
      </c>
      <c r="H50" s="69">
        <f>+VLOOKUP(C50,'PRECIOS IDU 2025'!$A$1:$E$3189,4,FALSE)</f>
        <v>13158</v>
      </c>
      <c r="I50" s="69">
        <f t="shared" si="7"/>
        <v>17105</v>
      </c>
      <c r="J50" s="69">
        <f t="shared" si="8"/>
        <v>0</v>
      </c>
      <c r="K50" s="9"/>
      <c r="L50" s="3"/>
      <c r="M50" s="73"/>
      <c r="N50" s="78"/>
      <c r="O50" s="73"/>
      <c r="P50" s="78">
        <f t="shared" si="10"/>
        <v>0</v>
      </c>
      <c r="Q50" s="73"/>
      <c r="R50" s="78"/>
      <c r="S50" s="73"/>
      <c r="T50" s="78"/>
      <c r="U50" s="73"/>
      <c r="V50" s="78"/>
      <c r="W50" s="73"/>
      <c r="X50" s="78"/>
      <c r="Y50" s="73"/>
      <c r="Z50" s="78"/>
      <c r="AA50" s="73"/>
      <c r="AB50" s="78"/>
      <c r="AC50" s="73"/>
      <c r="AD50" s="78"/>
      <c r="AE50" s="73"/>
      <c r="AF50" s="78"/>
      <c r="AG50" s="73"/>
      <c r="AH50" s="78"/>
      <c r="AI50" s="73"/>
      <c r="AJ50" s="78"/>
      <c r="AK50" s="73"/>
      <c r="AL50" s="78"/>
      <c r="AM50" s="73"/>
      <c r="AN50" s="78"/>
      <c r="AO50" s="73"/>
      <c r="AP50" s="78"/>
      <c r="AQ50" s="73"/>
      <c r="AR50" s="78"/>
      <c r="AS50" s="73"/>
      <c r="AT50" s="78"/>
      <c r="AU50" s="73"/>
      <c r="AV50" s="78"/>
      <c r="AW50" s="73"/>
      <c r="AX50" s="78"/>
      <c r="AY50" s="73"/>
      <c r="AZ50" s="78"/>
      <c r="BA50" s="73"/>
      <c r="BB50" s="78"/>
      <c r="BC50" s="73"/>
      <c r="BD50" s="78"/>
      <c r="BE50" s="73"/>
      <c r="BF50" s="78"/>
      <c r="BG50" s="73"/>
      <c r="BH50" s="78"/>
      <c r="BI50" s="73"/>
      <c r="BJ50" s="78"/>
      <c r="BK50" s="73"/>
      <c r="BL50" s="78"/>
      <c r="BM50" s="73"/>
      <c r="BN50" s="78"/>
      <c r="BO50" s="73"/>
      <c r="BP50" s="78"/>
      <c r="BQ50" s="73"/>
      <c r="BR50" s="78"/>
      <c r="BS50" s="73"/>
      <c r="BT50" s="78"/>
      <c r="BU50" s="73"/>
      <c r="BV50" s="78"/>
    </row>
    <row r="51" spans="1:74" ht="58.5" customHeight="1" x14ac:dyDescent="0.3">
      <c r="A51" s="3"/>
      <c r="B51" s="8"/>
      <c r="C51" s="60">
        <v>4034</v>
      </c>
      <c r="D51" s="60">
        <v>2012</v>
      </c>
      <c r="E51" s="60" t="str">
        <f>+VLOOKUP(C51,'PRECIOS IDU 2025'!$A$1:$E$3189,2,FALSE)</f>
        <v>GEOTEXTIL TEJIDO CON RESISTENCIA A LA TENSION METODO TIRA ANCHA SENTIDO LONGITUDINAL: ENTRE 90 KN/M Y 110 KN/M. PARA SEPARACION SUBRASANTE/CAPAS GRANULARES. (INCLUYE SUMINISTRO E INSTALACION).</v>
      </c>
      <c r="F51" s="60" t="str">
        <f>+VLOOKUP(C51,'PRECIOS IDU 2025'!$A$1:$E$3189,3,FALSE)</f>
        <v>M2</v>
      </c>
      <c r="G51" s="108">
        <f t="shared" si="6"/>
        <v>0</v>
      </c>
      <c r="H51" s="69">
        <f>+VLOOKUP(C51,'PRECIOS IDU 2025'!$A$1:$E$3189,4,FALSE)</f>
        <v>30940</v>
      </c>
      <c r="I51" s="69">
        <f t="shared" si="7"/>
        <v>40222</v>
      </c>
      <c r="J51" s="69">
        <f t="shared" si="8"/>
        <v>0</v>
      </c>
      <c r="K51" s="9"/>
      <c r="L51" s="3"/>
      <c r="M51" s="73"/>
      <c r="N51" s="78"/>
      <c r="O51" s="73"/>
      <c r="P51" s="78">
        <f t="shared" si="10"/>
        <v>0</v>
      </c>
      <c r="Q51" s="73"/>
      <c r="R51" s="78"/>
      <c r="S51" s="73"/>
      <c r="T51" s="78"/>
      <c r="U51" s="73"/>
      <c r="V51" s="78"/>
      <c r="W51" s="73"/>
      <c r="X51" s="78"/>
      <c r="Y51" s="73"/>
      <c r="Z51" s="78"/>
      <c r="AA51" s="73"/>
      <c r="AB51" s="78"/>
      <c r="AC51" s="73"/>
      <c r="AD51" s="78"/>
      <c r="AE51" s="73"/>
      <c r="AF51" s="78"/>
      <c r="AG51" s="73"/>
      <c r="AH51" s="78"/>
      <c r="AI51" s="73"/>
      <c r="AJ51" s="78"/>
      <c r="AK51" s="73"/>
      <c r="AL51" s="78"/>
      <c r="AM51" s="73"/>
      <c r="AN51" s="78"/>
      <c r="AO51" s="73"/>
      <c r="AP51" s="78"/>
      <c r="AQ51" s="73"/>
      <c r="AR51" s="78"/>
      <c r="AS51" s="73"/>
      <c r="AT51" s="78"/>
      <c r="AU51" s="73"/>
      <c r="AV51" s="78"/>
      <c r="AW51" s="73"/>
      <c r="AX51" s="78"/>
      <c r="AY51" s="73"/>
      <c r="AZ51" s="78"/>
      <c r="BA51" s="73"/>
      <c r="BB51" s="78"/>
      <c r="BC51" s="73"/>
      <c r="BD51" s="78"/>
      <c r="BE51" s="73"/>
      <c r="BF51" s="78"/>
      <c r="BG51" s="73"/>
      <c r="BH51" s="78"/>
      <c r="BI51" s="73"/>
      <c r="BJ51" s="78"/>
      <c r="BK51" s="73"/>
      <c r="BL51" s="78"/>
      <c r="BM51" s="73"/>
      <c r="BN51" s="78"/>
      <c r="BO51" s="73"/>
      <c r="BP51" s="78"/>
      <c r="BQ51" s="73"/>
      <c r="BR51" s="78"/>
      <c r="BS51" s="73"/>
      <c r="BT51" s="78"/>
      <c r="BU51" s="73"/>
      <c r="BV51" s="78"/>
    </row>
    <row r="52" spans="1:74" ht="30" customHeight="1" x14ac:dyDescent="0.3">
      <c r="A52" s="3"/>
      <c r="B52" s="8"/>
      <c r="C52" s="60">
        <v>4160</v>
      </c>
      <c r="D52" s="60">
        <v>2013</v>
      </c>
      <c r="E52" s="60" t="str">
        <f>+VLOOKUP(C52,'PRECIOS IDU 2025'!$A$1:$E$3189,2,FALSE)</f>
        <v>SUBBASE GRANULAR CLASE B (SBG_B) (SUMINISTRO, EXTENDIDO, NIVELACIÓN, HUMEDECIMIENTO Y COMPACTACIÓN CON VIBROCOMPACTADOR)</v>
      </c>
      <c r="F52" s="60" t="str">
        <f>+VLOOKUP(C52,'PRECIOS IDU 2025'!$A$1:$E$3189,3,FALSE)</f>
        <v>M3</v>
      </c>
      <c r="G52" s="108">
        <f t="shared" si="6"/>
        <v>0</v>
      </c>
      <c r="H52" s="69">
        <f>+VLOOKUP(C52,'PRECIOS IDU 2025'!$A$1:$E$3189,4,FALSE)</f>
        <v>170143</v>
      </c>
      <c r="I52" s="69">
        <f t="shared" si="7"/>
        <v>221186</v>
      </c>
      <c r="J52" s="69">
        <f t="shared" si="8"/>
        <v>0</v>
      </c>
      <c r="K52" s="9"/>
      <c r="L52" s="3"/>
      <c r="M52" s="73"/>
      <c r="N52" s="78"/>
      <c r="O52" s="73"/>
      <c r="P52" s="78">
        <f t="shared" si="10"/>
        <v>0</v>
      </c>
      <c r="Q52" s="73"/>
      <c r="R52" s="78"/>
      <c r="S52" s="73"/>
      <c r="T52" s="78"/>
      <c r="U52" s="73"/>
      <c r="V52" s="78"/>
      <c r="W52" s="73"/>
      <c r="X52" s="78"/>
      <c r="Y52" s="73"/>
      <c r="Z52" s="78"/>
      <c r="AA52" s="73"/>
      <c r="AB52" s="78"/>
      <c r="AC52" s="73"/>
      <c r="AD52" s="78"/>
      <c r="AE52" s="73"/>
      <c r="AF52" s="78"/>
      <c r="AG52" s="73"/>
      <c r="AH52" s="78"/>
      <c r="AI52" s="73"/>
      <c r="AJ52" s="78"/>
      <c r="AK52" s="73"/>
      <c r="AL52" s="78"/>
      <c r="AM52" s="73"/>
      <c r="AN52" s="78"/>
      <c r="AO52" s="73"/>
      <c r="AP52" s="78"/>
      <c r="AQ52" s="73"/>
      <c r="AR52" s="78"/>
      <c r="AS52" s="73"/>
      <c r="AT52" s="78"/>
      <c r="AU52" s="73"/>
      <c r="AV52" s="78"/>
      <c r="AW52" s="73"/>
      <c r="AX52" s="78"/>
      <c r="AY52" s="73"/>
      <c r="AZ52" s="78"/>
      <c r="BA52" s="73"/>
      <c r="BB52" s="78"/>
      <c r="BC52" s="73"/>
      <c r="BD52" s="78"/>
      <c r="BE52" s="73"/>
      <c r="BF52" s="78"/>
      <c r="BG52" s="73"/>
      <c r="BH52" s="78"/>
      <c r="BI52" s="73"/>
      <c r="BJ52" s="78"/>
      <c r="BK52" s="73"/>
      <c r="BL52" s="78"/>
      <c r="BM52" s="73"/>
      <c r="BN52" s="78"/>
      <c r="BO52" s="73"/>
      <c r="BP52" s="78"/>
      <c r="BQ52" s="73"/>
      <c r="BR52" s="78"/>
      <c r="BS52" s="73"/>
      <c r="BT52" s="78"/>
      <c r="BU52" s="73"/>
      <c r="BV52" s="78"/>
    </row>
    <row r="53" spans="1:74" ht="30" customHeight="1" x14ac:dyDescent="0.3">
      <c r="A53" s="3"/>
      <c r="B53" s="8"/>
      <c r="C53" s="60">
        <v>4747</v>
      </c>
      <c r="D53" s="60">
        <v>2014</v>
      </c>
      <c r="E53" s="60" t="str">
        <f>+VLOOKUP(C53,'PRECIOS IDU 2025'!$A$1:$E$3189,2,FALSE)</f>
        <v>SUBBASE GRANULAR CLASE B (SBG_B) CON RECICLADO DE CONCRETO (SUMINISTRO, EXTENDIDO, NIVELACIÓN, HUMEDECIMIENTO Y COMPACTACIÓN CON VIBROCOMPACTADOR)</v>
      </c>
      <c r="F53" s="60" t="str">
        <f>+VLOOKUP(C53,'PRECIOS IDU 2025'!$A$1:$E$3189,3,FALSE)</f>
        <v>M3</v>
      </c>
      <c r="G53" s="108">
        <f t="shared" si="6"/>
        <v>0</v>
      </c>
      <c r="H53" s="69">
        <f>+VLOOKUP(C53,'PRECIOS IDU 2025'!$A$1:$E$3189,4,FALSE)</f>
        <v>163490</v>
      </c>
      <c r="I53" s="69">
        <f t="shared" si="7"/>
        <v>212537</v>
      </c>
      <c r="J53" s="69">
        <f t="shared" si="8"/>
        <v>0</v>
      </c>
      <c r="K53" s="9"/>
      <c r="L53" s="3"/>
      <c r="M53" s="73"/>
      <c r="N53" s="78"/>
      <c r="O53" s="73"/>
      <c r="P53" s="78">
        <f t="shared" si="10"/>
        <v>0</v>
      </c>
      <c r="Q53" s="73"/>
      <c r="R53" s="78"/>
      <c r="S53" s="73"/>
      <c r="T53" s="78"/>
      <c r="U53" s="73"/>
      <c r="V53" s="78"/>
      <c r="W53" s="73"/>
      <c r="X53" s="78"/>
      <c r="Y53" s="73"/>
      <c r="Z53" s="78"/>
      <c r="AA53" s="73"/>
      <c r="AB53" s="78"/>
      <c r="AC53" s="73"/>
      <c r="AD53" s="78"/>
      <c r="AE53" s="73"/>
      <c r="AF53" s="78"/>
      <c r="AG53" s="73"/>
      <c r="AH53" s="78"/>
      <c r="AI53" s="73"/>
      <c r="AJ53" s="78"/>
      <c r="AK53" s="73"/>
      <c r="AL53" s="78"/>
      <c r="AM53" s="73"/>
      <c r="AN53" s="78"/>
      <c r="AO53" s="73"/>
      <c r="AP53" s="78"/>
      <c r="AQ53" s="73"/>
      <c r="AR53" s="78"/>
      <c r="AS53" s="73"/>
      <c r="AT53" s="78"/>
      <c r="AU53" s="73"/>
      <c r="AV53" s="78"/>
      <c r="AW53" s="73"/>
      <c r="AX53" s="78"/>
      <c r="AY53" s="73"/>
      <c r="AZ53" s="78"/>
      <c r="BA53" s="73"/>
      <c r="BB53" s="78"/>
      <c r="BC53" s="73"/>
      <c r="BD53" s="78"/>
      <c r="BE53" s="73"/>
      <c r="BF53" s="78"/>
      <c r="BG53" s="73"/>
      <c r="BH53" s="78"/>
      <c r="BI53" s="73"/>
      <c r="BJ53" s="78"/>
      <c r="BK53" s="73"/>
      <c r="BL53" s="78"/>
      <c r="BM53" s="73"/>
      <c r="BN53" s="78"/>
      <c r="BO53" s="73"/>
      <c r="BP53" s="78"/>
      <c r="BQ53" s="73"/>
      <c r="BR53" s="78"/>
      <c r="BS53" s="73"/>
      <c r="BT53" s="78"/>
      <c r="BU53" s="73"/>
      <c r="BV53" s="78"/>
    </row>
    <row r="54" spans="1:74" ht="30" customHeight="1" x14ac:dyDescent="0.3">
      <c r="A54" s="3"/>
      <c r="B54" s="8"/>
      <c r="C54" s="60">
        <v>3864</v>
      </c>
      <c r="D54" s="60">
        <v>2015</v>
      </c>
      <c r="E54" s="60" t="str">
        <f>+VLOOKUP(C54,'PRECIOS IDU 2025'!$A$1:$E$3189,2,FALSE)</f>
        <v>IMPRIMACION CON EMULSION ASFALTICA CRL-0 (SUMINISTRO, BARRIDO SUPERFICIE Y RIEGO MECANICO)</v>
      </c>
      <c r="F54" s="60" t="str">
        <f>+VLOOKUP(C54,'PRECIOS IDU 2025'!$A$1:$E$3189,3,FALSE)</f>
        <v>M2</v>
      </c>
      <c r="G54" s="108">
        <f t="shared" si="6"/>
        <v>0</v>
      </c>
      <c r="H54" s="69">
        <f>+VLOOKUP(C54,'PRECIOS IDU 2025'!$A$1:$E$3189,4,FALSE)</f>
        <v>3189</v>
      </c>
      <c r="I54" s="69">
        <f t="shared" si="7"/>
        <v>4146</v>
      </c>
      <c r="J54" s="69">
        <f t="shared" si="8"/>
        <v>0</v>
      </c>
      <c r="K54" s="9"/>
      <c r="L54" s="3"/>
      <c r="M54" s="73"/>
      <c r="N54" s="78"/>
      <c r="O54" s="73"/>
      <c r="P54" s="78">
        <f t="shared" si="10"/>
        <v>0</v>
      </c>
      <c r="Q54" s="73"/>
      <c r="R54" s="78"/>
      <c r="S54" s="73"/>
      <c r="T54" s="78"/>
      <c r="U54" s="73"/>
      <c r="V54" s="78"/>
      <c r="W54" s="73"/>
      <c r="X54" s="78"/>
      <c r="Y54" s="73"/>
      <c r="Z54" s="78"/>
      <c r="AA54" s="73"/>
      <c r="AB54" s="78"/>
      <c r="AC54" s="73"/>
      <c r="AD54" s="78"/>
      <c r="AE54" s="73"/>
      <c r="AF54" s="78"/>
      <c r="AG54" s="73"/>
      <c r="AH54" s="78"/>
      <c r="AI54" s="73"/>
      <c r="AJ54" s="78"/>
      <c r="AK54" s="73"/>
      <c r="AL54" s="78"/>
      <c r="AM54" s="73"/>
      <c r="AN54" s="78"/>
      <c r="AO54" s="73"/>
      <c r="AP54" s="78"/>
      <c r="AQ54" s="73"/>
      <c r="AR54" s="78"/>
      <c r="AS54" s="73"/>
      <c r="AT54" s="78"/>
      <c r="AU54" s="73"/>
      <c r="AV54" s="78"/>
      <c r="AW54" s="73"/>
      <c r="AX54" s="78"/>
      <c r="AY54" s="73"/>
      <c r="AZ54" s="78"/>
      <c r="BA54" s="73"/>
      <c r="BB54" s="78"/>
      <c r="BC54" s="73"/>
      <c r="BD54" s="78"/>
      <c r="BE54" s="73"/>
      <c r="BF54" s="78"/>
      <c r="BG54" s="73"/>
      <c r="BH54" s="78"/>
      <c r="BI54" s="73"/>
      <c r="BJ54" s="78"/>
      <c r="BK54" s="73"/>
      <c r="BL54" s="78"/>
      <c r="BM54" s="73"/>
      <c r="BN54" s="78"/>
      <c r="BO54" s="73"/>
      <c r="BP54" s="78"/>
      <c r="BQ54" s="73"/>
      <c r="BR54" s="78"/>
      <c r="BS54" s="73"/>
      <c r="BT54" s="78"/>
      <c r="BU54" s="73"/>
      <c r="BV54" s="78"/>
    </row>
    <row r="55" spans="1:74" ht="30" customHeight="1" x14ac:dyDescent="0.3">
      <c r="A55" s="3"/>
      <c r="B55" s="8"/>
      <c r="C55" s="60">
        <v>3867</v>
      </c>
      <c r="D55" s="60">
        <v>2016</v>
      </c>
      <c r="E55" s="60" t="str">
        <f>+VLOOKUP(C55,'PRECIOS IDU 2025'!$A$1:$E$3189,2,FALSE)</f>
        <v>RIEGO DE LIGA CON EMULSION ASFALTICA CRR-2 (SUMINISTRO, BARRIDO SUPERFICIE Y RIEGO MECANICO)</v>
      </c>
      <c r="F55" s="60" t="str">
        <f>+VLOOKUP(C55,'PRECIOS IDU 2025'!$A$1:$E$3189,3,FALSE)</f>
        <v>M2</v>
      </c>
      <c r="G55" s="108">
        <f t="shared" si="6"/>
        <v>0</v>
      </c>
      <c r="H55" s="69">
        <f>+VLOOKUP(C55,'PRECIOS IDU 2025'!$A$1:$E$3189,4,FALSE)</f>
        <v>3885</v>
      </c>
      <c r="I55" s="69">
        <f t="shared" si="7"/>
        <v>5051</v>
      </c>
      <c r="J55" s="69">
        <f t="shared" si="8"/>
        <v>0</v>
      </c>
      <c r="K55" s="9"/>
      <c r="L55" s="3"/>
      <c r="M55" s="73"/>
      <c r="N55" s="78"/>
      <c r="O55" s="73"/>
      <c r="P55" s="78">
        <f t="shared" si="10"/>
        <v>0</v>
      </c>
      <c r="Q55" s="73"/>
      <c r="R55" s="78"/>
      <c r="S55" s="73"/>
      <c r="T55" s="78"/>
      <c r="U55" s="73"/>
      <c r="V55" s="78"/>
      <c r="W55" s="73"/>
      <c r="X55" s="78"/>
      <c r="Y55" s="73"/>
      <c r="Z55" s="78"/>
      <c r="AA55" s="73"/>
      <c r="AB55" s="78"/>
      <c r="AC55" s="73"/>
      <c r="AD55" s="78"/>
      <c r="AE55" s="73"/>
      <c r="AF55" s="78"/>
      <c r="AG55" s="73"/>
      <c r="AH55" s="78"/>
      <c r="AI55" s="73"/>
      <c r="AJ55" s="78"/>
      <c r="AK55" s="73"/>
      <c r="AL55" s="78"/>
      <c r="AM55" s="73"/>
      <c r="AN55" s="78"/>
      <c r="AO55" s="73"/>
      <c r="AP55" s="78"/>
      <c r="AQ55" s="73"/>
      <c r="AR55" s="78"/>
      <c r="AS55" s="73"/>
      <c r="AT55" s="78"/>
      <c r="AU55" s="73"/>
      <c r="AV55" s="78"/>
      <c r="AW55" s="73"/>
      <c r="AX55" s="78"/>
      <c r="AY55" s="73"/>
      <c r="AZ55" s="78"/>
      <c r="BA55" s="73"/>
      <c r="BB55" s="78"/>
      <c r="BC55" s="73"/>
      <c r="BD55" s="78"/>
      <c r="BE55" s="73"/>
      <c r="BF55" s="78"/>
      <c r="BG55" s="73"/>
      <c r="BH55" s="78"/>
      <c r="BI55" s="73"/>
      <c r="BJ55" s="78"/>
      <c r="BK55" s="73"/>
      <c r="BL55" s="78"/>
      <c r="BM55" s="73"/>
      <c r="BN55" s="78"/>
      <c r="BO55" s="73"/>
      <c r="BP55" s="78"/>
      <c r="BQ55" s="73"/>
      <c r="BR55" s="78"/>
      <c r="BS55" s="73"/>
      <c r="BT55" s="78"/>
      <c r="BU55" s="73"/>
      <c r="BV55" s="78"/>
    </row>
    <row r="56" spans="1:74" ht="30" customHeight="1" x14ac:dyDescent="0.3">
      <c r="A56" s="3"/>
      <c r="B56" s="8"/>
      <c r="C56" s="60">
        <v>3841</v>
      </c>
      <c r="D56" s="60">
        <v>2017</v>
      </c>
      <c r="E56" s="60" t="str">
        <f>+VLOOKUP(C56,'PRECIOS IDU 2025'!$A$1:$E$3189,2,FALSE)</f>
        <v>MEZCLA DENSA EN CALIENTE MD20 ASFALTO 80-100 (SUMINISTRO, EXTENDIDO, NIVELACIÓN Y COMPACTACIÓN MECANICA)</v>
      </c>
      <c r="F56" s="60" t="str">
        <f>+VLOOKUP(C56,'PRECIOS IDU 2025'!$A$1:$E$3189,3,FALSE)</f>
        <v>M3</v>
      </c>
      <c r="G56" s="108">
        <f t="shared" si="6"/>
        <v>0</v>
      </c>
      <c r="H56" s="69">
        <f>+VLOOKUP(C56,'PRECIOS IDU 2025'!$A$1:$E$3189,4,FALSE)</f>
        <v>1341971</v>
      </c>
      <c r="I56" s="69">
        <f t="shared" si="7"/>
        <v>1744562</v>
      </c>
      <c r="J56" s="69">
        <f t="shared" si="8"/>
        <v>0</v>
      </c>
      <c r="K56" s="9"/>
      <c r="L56" s="3"/>
      <c r="M56" s="73"/>
      <c r="N56" s="78"/>
      <c r="O56" s="73"/>
      <c r="P56" s="78">
        <f t="shared" si="10"/>
        <v>0</v>
      </c>
      <c r="Q56" s="73"/>
      <c r="R56" s="78"/>
      <c r="S56" s="73"/>
      <c r="T56" s="78"/>
      <c r="U56" s="73"/>
      <c r="V56" s="78"/>
      <c r="W56" s="73"/>
      <c r="X56" s="78"/>
      <c r="Y56" s="73"/>
      <c r="Z56" s="78"/>
      <c r="AA56" s="73"/>
      <c r="AB56" s="78"/>
      <c r="AC56" s="73"/>
      <c r="AD56" s="78"/>
      <c r="AE56" s="73"/>
      <c r="AF56" s="78"/>
      <c r="AG56" s="73"/>
      <c r="AH56" s="78"/>
      <c r="AI56" s="73"/>
      <c r="AJ56" s="78"/>
      <c r="AK56" s="73"/>
      <c r="AL56" s="78"/>
      <c r="AM56" s="73"/>
      <c r="AN56" s="78"/>
      <c r="AO56" s="73"/>
      <c r="AP56" s="78"/>
      <c r="AQ56" s="73"/>
      <c r="AR56" s="78"/>
      <c r="AS56" s="73"/>
      <c r="AT56" s="78"/>
      <c r="AU56" s="73"/>
      <c r="AV56" s="78"/>
      <c r="AW56" s="73"/>
      <c r="AX56" s="78"/>
      <c r="AY56" s="73"/>
      <c r="AZ56" s="78"/>
      <c r="BA56" s="73"/>
      <c r="BB56" s="78"/>
      <c r="BC56" s="73"/>
      <c r="BD56" s="78"/>
      <c r="BE56" s="73"/>
      <c r="BF56" s="78"/>
      <c r="BG56" s="73"/>
      <c r="BH56" s="78"/>
      <c r="BI56" s="73"/>
      <c r="BJ56" s="78"/>
      <c r="BK56" s="73"/>
      <c r="BL56" s="78"/>
      <c r="BM56" s="73"/>
      <c r="BN56" s="78"/>
      <c r="BO56" s="73"/>
      <c r="BP56" s="78"/>
      <c r="BQ56" s="73"/>
      <c r="BR56" s="78"/>
      <c r="BS56" s="73"/>
      <c r="BT56" s="78"/>
      <c r="BU56" s="73"/>
      <c r="BV56" s="78"/>
    </row>
    <row r="57" spans="1:74" ht="30" customHeight="1" x14ac:dyDescent="0.3">
      <c r="A57" s="3"/>
      <c r="B57" s="8"/>
      <c r="C57" s="60">
        <v>6313</v>
      </c>
      <c r="D57" s="60">
        <v>2018</v>
      </c>
      <c r="E57" s="60" t="str">
        <f>+VLOOKUP(C57,'PRECIOS IDU 2025'!$A$1:$E$3189,2,FALSE)</f>
        <v>MEZCLA ASFÁLTICA DENSA EN CALIENTE MD12 CON CEMENTO ASFÁLTICO 60-70 (SUMINISTRO, EXTENDIDO, NIVELACIÓN Y COMPACTACIÓN MECANICA CON VIBROCOMPACTADOR Y COMPACTADOR DE LLANTAS)</v>
      </c>
      <c r="F57" s="60" t="str">
        <f>+VLOOKUP(C57,'PRECIOS IDU 2025'!$A$1:$E$3189,3,FALSE)</f>
        <v>M3</v>
      </c>
      <c r="G57" s="108">
        <f t="shared" si="6"/>
        <v>0</v>
      </c>
      <c r="H57" s="69">
        <f>+VLOOKUP(C57,'PRECIOS IDU 2025'!$A$1:$E$3189,4,FALSE)</f>
        <v>1241977</v>
      </c>
      <c r="I57" s="69">
        <f t="shared" si="7"/>
        <v>1614570</v>
      </c>
      <c r="J57" s="69">
        <f t="shared" si="8"/>
        <v>0</v>
      </c>
      <c r="K57" s="9"/>
      <c r="L57" s="3"/>
      <c r="M57" s="73"/>
      <c r="N57" s="78"/>
      <c r="O57" s="73"/>
      <c r="P57" s="78">
        <f t="shared" si="10"/>
        <v>0</v>
      </c>
      <c r="Q57" s="73"/>
      <c r="R57" s="78"/>
      <c r="S57" s="73"/>
      <c r="T57" s="78"/>
      <c r="U57" s="73"/>
      <c r="V57" s="78"/>
      <c r="W57" s="73"/>
      <c r="X57" s="78"/>
      <c r="Y57" s="73"/>
      <c r="Z57" s="78"/>
      <c r="AA57" s="73"/>
      <c r="AB57" s="78"/>
      <c r="AC57" s="73"/>
      <c r="AD57" s="78"/>
      <c r="AE57" s="73"/>
      <c r="AF57" s="78"/>
      <c r="AG57" s="73"/>
      <c r="AH57" s="78"/>
      <c r="AI57" s="73"/>
      <c r="AJ57" s="78"/>
      <c r="AK57" s="73"/>
      <c r="AL57" s="78"/>
      <c r="AM57" s="73"/>
      <c r="AN57" s="78"/>
      <c r="AO57" s="73"/>
      <c r="AP57" s="78"/>
      <c r="AQ57" s="73"/>
      <c r="AR57" s="78"/>
      <c r="AS57" s="73"/>
      <c r="AT57" s="78"/>
      <c r="AU57" s="73"/>
      <c r="AV57" s="78"/>
      <c r="AW57" s="73"/>
      <c r="AX57" s="78"/>
      <c r="AY57" s="73"/>
      <c r="AZ57" s="78"/>
      <c r="BA57" s="73"/>
      <c r="BB57" s="78"/>
      <c r="BC57" s="73"/>
      <c r="BD57" s="78"/>
      <c r="BE57" s="73"/>
      <c r="BF57" s="78"/>
      <c r="BG57" s="73"/>
      <c r="BH57" s="78"/>
      <c r="BI57" s="73"/>
      <c r="BJ57" s="78"/>
      <c r="BK57" s="73"/>
      <c r="BL57" s="78"/>
      <c r="BM57" s="73"/>
      <c r="BN57" s="78"/>
      <c r="BO57" s="73"/>
      <c r="BP57" s="78"/>
      <c r="BQ57" s="73"/>
      <c r="BR57" s="78"/>
      <c r="BS57" s="73"/>
      <c r="BT57" s="78"/>
      <c r="BU57" s="73"/>
      <c r="BV57" s="78"/>
    </row>
    <row r="58" spans="1:74" ht="30" customHeight="1" x14ac:dyDescent="0.3">
      <c r="A58" s="3"/>
      <c r="B58" s="8"/>
      <c r="C58" s="60">
        <v>4712</v>
      </c>
      <c r="D58" s="60">
        <v>2019</v>
      </c>
      <c r="E58" s="60" t="str">
        <f>+VLOOKUP(C58,'PRECIOS IDU 2025'!$A$1:$E$3189,2,FALSE)</f>
        <v>MEZCLA ASFALTICA CON ASFALTO CAUCHO (SUMINISTRO, EXTENDIDO, NIVELACIÓN Y COMPACTACIÓN MECANICA)</v>
      </c>
      <c r="F58" s="60" t="str">
        <f>+VLOOKUP(C58,'PRECIOS IDU 2025'!$A$1:$E$3189,3,FALSE)</f>
        <v>M3</v>
      </c>
      <c r="G58" s="108">
        <f t="shared" si="6"/>
        <v>0</v>
      </c>
      <c r="H58" s="69">
        <f>+VLOOKUP(C58,'PRECIOS IDU 2025'!$A$1:$E$3189,4,FALSE)</f>
        <v>1556215</v>
      </c>
      <c r="I58" s="69">
        <f t="shared" si="7"/>
        <v>2023080</v>
      </c>
      <c r="J58" s="69">
        <f t="shared" si="8"/>
        <v>0</v>
      </c>
      <c r="K58" s="9"/>
      <c r="L58" s="3"/>
      <c r="M58" s="73"/>
      <c r="N58" s="78"/>
      <c r="O58" s="73"/>
      <c r="P58" s="78">
        <f t="shared" si="10"/>
        <v>0</v>
      </c>
      <c r="Q58" s="73"/>
      <c r="R58" s="78"/>
      <c r="S58" s="73"/>
      <c r="T58" s="78"/>
      <c r="U58" s="73"/>
      <c r="V58" s="78"/>
      <c r="W58" s="73"/>
      <c r="X58" s="78"/>
      <c r="Y58" s="73"/>
      <c r="Z58" s="78"/>
      <c r="AA58" s="73"/>
      <c r="AB58" s="78"/>
      <c r="AC58" s="73"/>
      <c r="AD58" s="78"/>
      <c r="AE58" s="73"/>
      <c r="AF58" s="78"/>
      <c r="AG58" s="73"/>
      <c r="AH58" s="78"/>
      <c r="AI58" s="73"/>
      <c r="AJ58" s="78"/>
      <c r="AK58" s="73"/>
      <c r="AL58" s="78"/>
      <c r="AM58" s="73"/>
      <c r="AN58" s="78"/>
      <c r="AO58" s="73"/>
      <c r="AP58" s="78"/>
      <c r="AQ58" s="73"/>
      <c r="AR58" s="78"/>
      <c r="AS58" s="73"/>
      <c r="AT58" s="78"/>
      <c r="AU58" s="73"/>
      <c r="AV58" s="78"/>
      <c r="AW58" s="73"/>
      <c r="AX58" s="78"/>
      <c r="AY58" s="73"/>
      <c r="AZ58" s="78"/>
      <c r="BA58" s="73"/>
      <c r="BB58" s="78"/>
      <c r="BC58" s="73"/>
      <c r="BD58" s="78"/>
      <c r="BE58" s="73"/>
      <c r="BF58" s="78"/>
      <c r="BG58" s="73"/>
      <c r="BH58" s="78"/>
      <c r="BI58" s="73"/>
      <c r="BJ58" s="78"/>
      <c r="BK58" s="73"/>
      <c r="BL58" s="78"/>
      <c r="BM58" s="73"/>
      <c r="BN58" s="78"/>
      <c r="BO58" s="73"/>
      <c r="BP58" s="78"/>
      <c r="BQ58" s="73"/>
      <c r="BR58" s="78"/>
      <c r="BS58" s="73"/>
      <c r="BT58" s="78"/>
      <c r="BU58" s="73"/>
      <c r="BV58" s="78"/>
    </row>
    <row r="59" spans="1:74" ht="30" customHeight="1" x14ac:dyDescent="0.3">
      <c r="A59" s="3"/>
      <c r="B59" s="8"/>
      <c r="C59" s="60">
        <v>3708</v>
      </c>
      <c r="D59" s="60">
        <v>2020</v>
      </c>
      <c r="E59" s="60" t="str">
        <f>+VLOOKUP(C59,'PRECIOS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59" s="60" t="str">
        <f>+VLOOKUP(C59,'PRECIOS IDU 2025'!$A$1:$E$3189,3,FALSE)</f>
        <v>KG</v>
      </c>
      <c r="G59" s="108">
        <f t="shared" si="6"/>
        <v>0</v>
      </c>
      <c r="H59" s="69">
        <f>+VLOOKUP(C59,'PRECIOS IDU 2025'!$A$1:$E$3189,4,FALSE)</f>
        <v>5591</v>
      </c>
      <c r="I59" s="69">
        <f t="shared" si="7"/>
        <v>7268</v>
      </c>
      <c r="J59" s="69">
        <f t="shared" si="8"/>
        <v>0</v>
      </c>
      <c r="K59" s="9"/>
      <c r="L59" s="3"/>
      <c r="M59" s="76"/>
      <c r="N59" s="78"/>
      <c r="O59" s="76"/>
      <c r="P59" s="78">
        <f t="shared" si="10"/>
        <v>0</v>
      </c>
      <c r="Q59" s="76"/>
      <c r="R59" s="78"/>
      <c r="S59" s="76"/>
      <c r="T59" s="78"/>
      <c r="U59" s="76"/>
      <c r="V59" s="78"/>
      <c r="W59" s="76"/>
      <c r="X59" s="78"/>
      <c r="Y59" s="76"/>
      <c r="Z59" s="78"/>
      <c r="AA59" s="76"/>
      <c r="AB59" s="78"/>
      <c r="AC59" s="76"/>
      <c r="AD59" s="78"/>
      <c r="AE59" s="76"/>
      <c r="AF59" s="78"/>
      <c r="AG59" s="76"/>
      <c r="AH59" s="78"/>
      <c r="AI59" s="76"/>
      <c r="AJ59" s="78"/>
      <c r="AK59" s="76"/>
      <c r="AL59" s="78"/>
      <c r="AM59" s="76"/>
      <c r="AN59" s="78"/>
      <c r="AO59" s="76"/>
      <c r="AP59" s="78"/>
      <c r="AQ59" s="76"/>
      <c r="AR59" s="78"/>
      <c r="AS59" s="76"/>
      <c r="AT59" s="78"/>
      <c r="AU59" s="76"/>
      <c r="AV59" s="78"/>
      <c r="AW59" s="76"/>
      <c r="AX59" s="78"/>
      <c r="AY59" s="76"/>
      <c r="AZ59" s="78"/>
      <c r="BA59" s="76"/>
      <c r="BB59" s="78"/>
      <c r="BC59" s="76"/>
      <c r="BD59" s="78"/>
      <c r="BE59" s="76"/>
      <c r="BF59" s="78"/>
      <c r="BG59" s="76"/>
      <c r="BH59" s="78"/>
      <c r="BI59" s="76"/>
      <c r="BJ59" s="78"/>
      <c r="BK59" s="76"/>
      <c r="BL59" s="78"/>
      <c r="BM59" s="76"/>
      <c r="BN59" s="78"/>
      <c r="BO59" s="76"/>
      <c r="BP59" s="78"/>
      <c r="BQ59" s="76"/>
      <c r="BR59" s="78"/>
      <c r="BS59" s="76"/>
      <c r="BT59" s="78"/>
      <c r="BU59" s="76"/>
      <c r="BV59" s="78"/>
    </row>
    <row r="60" spans="1:74" ht="50.25" customHeight="1" x14ac:dyDescent="0.3">
      <c r="A60" s="3"/>
      <c r="B60" s="8"/>
      <c r="C60" s="60">
        <v>4959</v>
      </c>
      <c r="D60" s="60">
        <v>2021</v>
      </c>
      <c r="E60" s="60" t="str">
        <f>+VLOOKUP(C60,'PRECIOS IDU 2025'!$A$1:$E$3189,2,FALSE)</f>
        <v>ACERO LISO PARA TRANSFERENCIA DE LOSAS D= 1 1/4" (NO INCLUYE CANASTILLA). SUMINISTRO E INSTALACIÓN.</v>
      </c>
      <c r="F60" s="60" t="str">
        <f>+VLOOKUP(C60,'PRECIOS IDU 2025'!$A$1:$E$3189,3,FALSE)</f>
        <v>KG</v>
      </c>
      <c r="G60" s="108">
        <f t="shared" si="6"/>
        <v>0</v>
      </c>
      <c r="H60" s="69">
        <f>+VLOOKUP(C60,'PRECIOS IDU 2025'!$A$1:$E$3189,4,FALSE)</f>
        <v>8404</v>
      </c>
      <c r="I60" s="69">
        <f t="shared" si="7"/>
        <v>10925</v>
      </c>
      <c r="J60" s="69">
        <f t="shared" si="8"/>
        <v>0</v>
      </c>
      <c r="K60" s="9"/>
      <c r="L60" s="3"/>
      <c r="M60" s="76"/>
      <c r="N60" s="78"/>
      <c r="O60" s="76"/>
      <c r="P60" s="78">
        <f t="shared" si="10"/>
        <v>0</v>
      </c>
      <c r="Q60" s="76"/>
      <c r="R60" s="78"/>
      <c r="S60" s="76"/>
      <c r="T60" s="78"/>
      <c r="U60" s="76"/>
      <c r="V60" s="78"/>
      <c r="W60" s="76"/>
      <c r="X60" s="78"/>
      <c r="Y60" s="76"/>
      <c r="Z60" s="78"/>
      <c r="AA60" s="76"/>
      <c r="AB60" s="78"/>
      <c r="AC60" s="76"/>
      <c r="AD60" s="78"/>
      <c r="AE60" s="76"/>
      <c r="AF60" s="78"/>
      <c r="AG60" s="76"/>
      <c r="AH60" s="78"/>
      <c r="AI60" s="76"/>
      <c r="AJ60" s="78"/>
      <c r="AK60" s="76"/>
      <c r="AL60" s="78"/>
      <c r="AM60" s="76"/>
      <c r="AN60" s="78"/>
      <c r="AO60" s="76"/>
      <c r="AP60" s="78"/>
      <c r="AQ60" s="76"/>
      <c r="AR60" s="78"/>
      <c r="AS60" s="76"/>
      <c r="AT60" s="78"/>
      <c r="AU60" s="76"/>
      <c r="AV60" s="78"/>
      <c r="AW60" s="76"/>
      <c r="AX60" s="78"/>
      <c r="AY60" s="76"/>
      <c r="AZ60" s="78"/>
      <c r="BA60" s="76"/>
      <c r="BB60" s="78"/>
      <c r="BC60" s="76"/>
      <c r="BD60" s="78"/>
      <c r="BE60" s="76"/>
      <c r="BF60" s="78"/>
      <c r="BG60" s="76"/>
      <c r="BH60" s="78"/>
      <c r="BI60" s="76"/>
      <c r="BJ60" s="78"/>
      <c r="BK60" s="76"/>
      <c r="BL60" s="78"/>
      <c r="BM60" s="76"/>
      <c r="BN60" s="78"/>
      <c r="BO60" s="76"/>
      <c r="BP60" s="78"/>
      <c r="BQ60" s="76"/>
      <c r="BR60" s="78"/>
      <c r="BS60" s="76"/>
      <c r="BT60" s="78"/>
      <c r="BU60" s="76"/>
      <c r="BV60" s="78"/>
    </row>
    <row r="61" spans="1:74" ht="30" customHeight="1" x14ac:dyDescent="0.3">
      <c r="A61" s="3"/>
      <c r="B61" s="8"/>
      <c r="C61" s="60">
        <v>7713</v>
      </c>
      <c r="D61" s="60">
        <v>2022</v>
      </c>
      <c r="E61" s="60" t="str">
        <f>+VLOOKUP(C61,'PRECIOS IDU 2025'!$A$1:$E$3189,2,FALSE)</f>
        <v>(DOVELAS) ACERO LISO PARA TRANSFERENCIA DE LOSAS D= 1 1/2" (NO INCLUYE CANASTILLA). SUMINISTRO E INSTALACIÓN.</v>
      </c>
      <c r="F61" s="60" t="str">
        <f>+VLOOKUP(C61,'PRECIOS IDU 2025'!$A$1:$E$3189,3,FALSE)</f>
        <v>KG</v>
      </c>
      <c r="G61" s="108">
        <f t="shared" si="6"/>
        <v>0</v>
      </c>
      <c r="H61" s="69">
        <f>+VLOOKUP(C61,'PRECIOS IDU 2025'!$A$1:$E$3189,4,FALSE)</f>
        <v>7882</v>
      </c>
      <c r="I61" s="69">
        <f t="shared" si="7"/>
        <v>10247</v>
      </c>
      <c r="J61" s="69">
        <f t="shared" si="8"/>
        <v>0</v>
      </c>
      <c r="K61" s="9"/>
      <c r="L61" s="3"/>
      <c r="M61" s="76"/>
      <c r="N61" s="78"/>
      <c r="O61" s="76"/>
      <c r="P61" s="78">
        <f t="shared" si="10"/>
        <v>0</v>
      </c>
      <c r="Q61" s="76"/>
      <c r="R61" s="78"/>
      <c r="S61" s="76"/>
      <c r="T61" s="78"/>
      <c r="U61" s="76"/>
      <c r="V61" s="78"/>
      <c r="W61" s="76"/>
      <c r="X61" s="78"/>
      <c r="Y61" s="76"/>
      <c r="Z61" s="78"/>
      <c r="AA61" s="76"/>
      <c r="AB61" s="78"/>
      <c r="AC61" s="76"/>
      <c r="AD61" s="78"/>
      <c r="AE61" s="76"/>
      <c r="AF61" s="78"/>
      <c r="AG61" s="76"/>
      <c r="AH61" s="78"/>
      <c r="AI61" s="76"/>
      <c r="AJ61" s="78"/>
      <c r="AK61" s="76"/>
      <c r="AL61" s="78"/>
      <c r="AM61" s="76"/>
      <c r="AN61" s="78"/>
      <c r="AO61" s="76"/>
      <c r="AP61" s="78"/>
      <c r="AQ61" s="76"/>
      <c r="AR61" s="78"/>
      <c r="AS61" s="76"/>
      <c r="AT61" s="78"/>
      <c r="AU61" s="76"/>
      <c r="AV61" s="78"/>
      <c r="AW61" s="76"/>
      <c r="AX61" s="78"/>
      <c r="AY61" s="76"/>
      <c r="AZ61" s="78"/>
      <c r="BA61" s="76"/>
      <c r="BB61" s="78"/>
      <c r="BC61" s="76"/>
      <c r="BD61" s="78"/>
      <c r="BE61" s="76"/>
      <c r="BF61" s="78"/>
      <c r="BG61" s="76"/>
      <c r="BH61" s="78"/>
      <c r="BI61" s="76"/>
      <c r="BJ61" s="78"/>
      <c r="BK61" s="76"/>
      <c r="BL61" s="78"/>
      <c r="BM61" s="76"/>
      <c r="BN61" s="78"/>
      <c r="BO61" s="76"/>
      <c r="BP61" s="78"/>
      <c r="BQ61" s="76"/>
      <c r="BR61" s="78"/>
      <c r="BS61" s="76"/>
      <c r="BT61" s="78"/>
      <c r="BU61" s="76"/>
      <c r="BV61" s="78"/>
    </row>
    <row r="62" spans="1:74" ht="30" customHeight="1" x14ac:dyDescent="0.3">
      <c r="A62" s="3"/>
      <c r="B62" s="8"/>
      <c r="C62" s="60">
        <v>7714</v>
      </c>
      <c r="D62" s="60">
        <v>2023</v>
      </c>
      <c r="E62" s="60" t="str">
        <f>+VLOOKUP(C62,'PRECIOS IDU 2025'!$A$1:$E$3189,2,FALSE)</f>
        <v>(DOVELAS) ACERO LISO PARA TRANSFERENCIA DE LOSAS D= 1" (NO INCLUYE CANASTILLA). SUMINISTRO E INSTALACIÓN.</v>
      </c>
      <c r="F62" s="60" t="str">
        <f>+VLOOKUP(C62,'PRECIOS IDU 2025'!$A$1:$E$3189,3,FALSE)</f>
        <v>KG</v>
      </c>
      <c r="G62" s="108">
        <f t="shared" si="6"/>
        <v>0</v>
      </c>
      <c r="H62" s="69">
        <f>+VLOOKUP(C62,'PRECIOS IDU 2025'!$A$1:$E$3189,4,FALSE)</f>
        <v>7882</v>
      </c>
      <c r="I62" s="69">
        <f t="shared" si="7"/>
        <v>10247</v>
      </c>
      <c r="J62" s="69">
        <f t="shared" si="8"/>
        <v>0</v>
      </c>
      <c r="K62" s="9"/>
      <c r="L62" s="3"/>
      <c r="M62" s="76"/>
      <c r="N62" s="78"/>
      <c r="O62" s="76"/>
      <c r="P62" s="78">
        <f t="shared" si="10"/>
        <v>0</v>
      </c>
      <c r="Q62" s="76"/>
      <c r="R62" s="78"/>
      <c r="S62" s="76"/>
      <c r="T62" s="78"/>
      <c r="U62" s="76"/>
      <c r="V62" s="78"/>
      <c r="W62" s="76"/>
      <c r="X62" s="78"/>
      <c r="Y62" s="76"/>
      <c r="Z62" s="78"/>
      <c r="AA62" s="76"/>
      <c r="AB62" s="78"/>
      <c r="AC62" s="76"/>
      <c r="AD62" s="78"/>
      <c r="AE62" s="76"/>
      <c r="AF62" s="78"/>
      <c r="AG62" s="76"/>
      <c r="AH62" s="78"/>
      <c r="AI62" s="76"/>
      <c r="AJ62" s="78"/>
      <c r="AK62" s="76"/>
      <c r="AL62" s="78"/>
      <c r="AM62" s="76"/>
      <c r="AN62" s="78"/>
      <c r="AO62" s="76"/>
      <c r="AP62" s="78"/>
      <c r="AQ62" s="76"/>
      <c r="AR62" s="78"/>
      <c r="AS62" s="76"/>
      <c r="AT62" s="78"/>
      <c r="AU62" s="76"/>
      <c r="AV62" s="78"/>
      <c r="AW62" s="76"/>
      <c r="AX62" s="78"/>
      <c r="AY62" s="76"/>
      <c r="AZ62" s="78"/>
      <c r="BA62" s="76"/>
      <c r="BB62" s="78"/>
      <c r="BC62" s="76"/>
      <c r="BD62" s="78"/>
      <c r="BE62" s="76"/>
      <c r="BF62" s="78"/>
      <c r="BG62" s="76"/>
      <c r="BH62" s="78"/>
      <c r="BI62" s="76"/>
      <c r="BJ62" s="78"/>
      <c r="BK62" s="76"/>
      <c r="BL62" s="78"/>
      <c r="BM62" s="76"/>
      <c r="BN62" s="78"/>
      <c r="BO62" s="76"/>
      <c r="BP62" s="78"/>
      <c r="BQ62" s="76"/>
      <c r="BR62" s="78"/>
      <c r="BS62" s="76"/>
      <c r="BT62" s="78"/>
      <c r="BU62" s="76"/>
      <c r="BV62" s="78"/>
    </row>
    <row r="63" spans="1:74" ht="30" customHeight="1" x14ac:dyDescent="0.3">
      <c r="A63" s="3"/>
      <c r="B63" s="8"/>
      <c r="C63" s="60">
        <v>3394</v>
      </c>
      <c r="D63" s="60">
        <v>2024</v>
      </c>
      <c r="E63" s="60" t="str">
        <f>+VLOOKUP(C63,'PRECIOS IDU 2025'!$A$1:$E$3189,2,FALSE)</f>
        <v>LOSA DE CONCRETO MR41 (SUMINISTRO, FORMALETEADO, COLOCACIÓN Y ACABADO. NO INCLUYE ACERO, CURADO, JUNTAS)</v>
      </c>
      <c r="F63" s="60" t="str">
        <f>+VLOOKUP(C63,'PRECIOS IDU 2025'!$A$1:$E$3189,3,FALSE)</f>
        <v>M3</v>
      </c>
      <c r="G63" s="108">
        <f t="shared" si="6"/>
        <v>0</v>
      </c>
      <c r="H63" s="69">
        <f>+VLOOKUP(C63,'PRECIOS IDU 2025'!$A$1:$E$3189,4,FALSE)</f>
        <v>875661</v>
      </c>
      <c r="I63" s="69">
        <f t="shared" si="7"/>
        <v>1138359</v>
      </c>
      <c r="J63" s="69">
        <f t="shared" si="8"/>
        <v>0</v>
      </c>
      <c r="K63" s="9"/>
      <c r="L63" s="3"/>
      <c r="M63" s="76"/>
      <c r="N63" s="78"/>
      <c r="O63" s="76"/>
      <c r="P63" s="78">
        <f t="shared" si="10"/>
        <v>0</v>
      </c>
      <c r="Q63" s="76"/>
      <c r="R63" s="78"/>
      <c r="S63" s="76"/>
      <c r="T63" s="78"/>
      <c r="U63" s="76"/>
      <c r="V63" s="78"/>
      <c r="W63" s="76"/>
      <c r="X63" s="78"/>
      <c r="Y63" s="76"/>
      <c r="Z63" s="78"/>
      <c r="AA63" s="76"/>
      <c r="AB63" s="78"/>
      <c r="AC63" s="76"/>
      <c r="AD63" s="78"/>
      <c r="AE63" s="76"/>
      <c r="AF63" s="78"/>
      <c r="AG63" s="76"/>
      <c r="AH63" s="78"/>
      <c r="AI63" s="76"/>
      <c r="AJ63" s="78"/>
      <c r="AK63" s="76"/>
      <c r="AL63" s="78"/>
      <c r="AM63" s="76"/>
      <c r="AN63" s="78"/>
      <c r="AO63" s="76"/>
      <c r="AP63" s="78"/>
      <c r="AQ63" s="76"/>
      <c r="AR63" s="78"/>
      <c r="AS63" s="76"/>
      <c r="AT63" s="78"/>
      <c r="AU63" s="76"/>
      <c r="AV63" s="78"/>
      <c r="AW63" s="76"/>
      <c r="AX63" s="78"/>
      <c r="AY63" s="76"/>
      <c r="AZ63" s="78"/>
      <c r="BA63" s="76"/>
      <c r="BB63" s="78"/>
      <c r="BC63" s="76"/>
      <c r="BD63" s="78"/>
      <c r="BE63" s="76"/>
      <c r="BF63" s="78"/>
      <c r="BG63" s="76"/>
      <c r="BH63" s="78"/>
      <c r="BI63" s="76"/>
      <c r="BJ63" s="78"/>
      <c r="BK63" s="76"/>
      <c r="BL63" s="78"/>
      <c r="BM63" s="76"/>
      <c r="BN63" s="78"/>
      <c r="BO63" s="76"/>
      <c r="BP63" s="78"/>
      <c r="BQ63" s="76"/>
      <c r="BR63" s="78"/>
      <c r="BS63" s="76"/>
      <c r="BT63" s="78"/>
      <c r="BU63" s="76"/>
      <c r="BV63" s="78"/>
    </row>
    <row r="64" spans="1:74" ht="30" customHeight="1" x14ac:dyDescent="0.3">
      <c r="A64" s="3"/>
      <c r="B64" s="8"/>
      <c r="C64" s="60">
        <v>3204</v>
      </c>
      <c r="D64" s="60">
        <v>2025</v>
      </c>
      <c r="E64" s="60" t="str">
        <f>+VLOOKUP(C64,'PRECIOS IDU 2025'!$A$1:$E$3189,2,FALSE)</f>
        <v>LOSA DE CONCRETO MR43 (SUMINISTRO, FORMALETEADO, COLOCACIÓN Y ACABADO. NO INCLUYE ACERO, CURADO, JUNTAS)</v>
      </c>
      <c r="F64" s="60" t="str">
        <f>+VLOOKUP(C64,'PRECIOS IDU 2025'!$A$1:$E$3189,3,FALSE)</f>
        <v>M3</v>
      </c>
      <c r="G64" s="108">
        <f t="shared" si="6"/>
        <v>0</v>
      </c>
      <c r="H64" s="69">
        <f>+VLOOKUP(C64,'PRECIOS IDU 2025'!$A$1:$E$3189,4,FALSE)</f>
        <v>890453</v>
      </c>
      <c r="I64" s="69">
        <f t="shared" si="7"/>
        <v>1157589</v>
      </c>
      <c r="J64" s="69">
        <f t="shared" si="8"/>
        <v>0</v>
      </c>
      <c r="K64" s="9"/>
      <c r="L64" s="3"/>
      <c r="M64" s="76"/>
      <c r="N64" s="78"/>
      <c r="O64" s="76"/>
      <c r="P64" s="78">
        <f t="shared" si="10"/>
        <v>0</v>
      </c>
      <c r="Q64" s="76"/>
      <c r="R64" s="78"/>
      <c r="S64" s="76"/>
      <c r="T64" s="78"/>
      <c r="U64" s="76"/>
      <c r="V64" s="78"/>
      <c r="W64" s="76"/>
      <c r="X64" s="78"/>
      <c r="Y64" s="76"/>
      <c r="Z64" s="78"/>
      <c r="AA64" s="76"/>
      <c r="AB64" s="78"/>
      <c r="AC64" s="76"/>
      <c r="AD64" s="78"/>
      <c r="AE64" s="76"/>
      <c r="AF64" s="78"/>
      <c r="AG64" s="76"/>
      <c r="AH64" s="78"/>
      <c r="AI64" s="76"/>
      <c r="AJ64" s="78"/>
      <c r="AK64" s="76"/>
      <c r="AL64" s="78"/>
      <c r="AM64" s="76"/>
      <c r="AN64" s="78"/>
      <c r="AO64" s="76"/>
      <c r="AP64" s="78"/>
      <c r="AQ64" s="76"/>
      <c r="AR64" s="78"/>
      <c r="AS64" s="76"/>
      <c r="AT64" s="78"/>
      <c r="AU64" s="76"/>
      <c r="AV64" s="78"/>
      <c r="AW64" s="76"/>
      <c r="AX64" s="78"/>
      <c r="AY64" s="76"/>
      <c r="AZ64" s="78"/>
      <c r="BA64" s="76"/>
      <c r="BB64" s="78"/>
      <c r="BC64" s="76"/>
      <c r="BD64" s="78"/>
      <c r="BE64" s="76"/>
      <c r="BF64" s="78"/>
      <c r="BG64" s="76"/>
      <c r="BH64" s="78"/>
      <c r="BI64" s="76"/>
      <c r="BJ64" s="78"/>
      <c r="BK64" s="76"/>
      <c r="BL64" s="78"/>
      <c r="BM64" s="76"/>
      <c r="BN64" s="78"/>
      <c r="BO64" s="76"/>
      <c r="BP64" s="78"/>
      <c r="BQ64" s="76"/>
      <c r="BR64" s="78"/>
      <c r="BS64" s="76"/>
      <c r="BT64" s="78"/>
      <c r="BU64" s="76"/>
      <c r="BV64" s="78"/>
    </row>
    <row r="65" spans="1:74" ht="30" customHeight="1" x14ac:dyDescent="0.3">
      <c r="A65" s="3"/>
      <c r="B65" s="8"/>
      <c r="C65" s="60">
        <v>3806</v>
      </c>
      <c r="D65" s="60">
        <v>2026</v>
      </c>
      <c r="E65" s="60" t="str">
        <f>+VLOOKUP(C65,'PRECIOS IDU 2025'!$A$1:$E$3189,2,FALSE)</f>
        <v>CURADO DE LOSAS DE CONCRETO (SUMINISTRO Y APLICACIÓN)</v>
      </c>
      <c r="F65" s="60" t="str">
        <f>+VLOOKUP(C65,'PRECIOS IDU 2025'!$A$1:$E$3189,3,FALSE)</f>
        <v>M2</v>
      </c>
      <c r="G65" s="108">
        <f t="shared" si="6"/>
        <v>0</v>
      </c>
      <c r="H65" s="69">
        <f>+VLOOKUP(C65,'PRECIOS IDU 2025'!$A$1:$E$3189,4,FALSE)</f>
        <v>2554</v>
      </c>
      <c r="I65" s="69">
        <f t="shared" si="7"/>
        <v>3320</v>
      </c>
      <c r="J65" s="69">
        <f t="shared" si="8"/>
        <v>0</v>
      </c>
      <c r="K65" s="9"/>
      <c r="L65" s="3"/>
      <c r="M65" s="76"/>
      <c r="N65" s="78"/>
      <c r="O65" s="76"/>
      <c r="P65" s="78">
        <f t="shared" si="10"/>
        <v>0</v>
      </c>
      <c r="Q65" s="76"/>
      <c r="R65" s="78"/>
      <c r="S65" s="76"/>
      <c r="T65" s="78"/>
      <c r="U65" s="76"/>
      <c r="V65" s="78"/>
      <c r="W65" s="76"/>
      <c r="X65" s="78"/>
      <c r="Y65" s="76"/>
      <c r="Z65" s="78"/>
      <c r="AA65" s="76"/>
      <c r="AB65" s="78"/>
      <c r="AC65" s="76"/>
      <c r="AD65" s="78"/>
      <c r="AE65" s="76"/>
      <c r="AF65" s="78"/>
      <c r="AG65" s="76"/>
      <c r="AH65" s="78"/>
      <c r="AI65" s="76"/>
      <c r="AJ65" s="78"/>
      <c r="AK65" s="76"/>
      <c r="AL65" s="78"/>
      <c r="AM65" s="76"/>
      <c r="AN65" s="78"/>
      <c r="AO65" s="76"/>
      <c r="AP65" s="78"/>
      <c r="AQ65" s="76"/>
      <c r="AR65" s="78"/>
      <c r="AS65" s="76"/>
      <c r="AT65" s="78"/>
      <c r="AU65" s="76"/>
      <c r="AV65" s="78"/>
      <c r="AW65" s="76"/>
      <c r="AX65" s="78"/>
      <c r="AY65" s="76"/>
      <c r="AZ65" s="78"/>
      <c r="BA65" s="76"/>
      <c r="BB65" s="78"/>
      <c r="BC65" s="76"/>
      <c r="BD65" s="78"/>
      <c r="BE65" s="76"/>
      <c r="BF65" s="78"/>
      <c r="BG65" s="76"/>
      <c r="BH65" s="78"/>
      <c r="BI65" s="76"/>
      <c r="BJ65" s="78"/>
      <c r="BK65" s="76"/>
      <c r="BL65" s="78"/>
      <c r="BM65" s="76"/>
      <c r="BN65" s="78"/>
      <c r="BO65" s="76"/>
      <c r="BP65" s="78"/>
      <c r="BQ65" s="76"/>
      <c r="BR65" s="78"/>
      <c r="BS65" s="76"/>
      <c r="BT65" s="78"/>
      <c r="BU65" s="76"/>
      <c r="BV65" s="78"/>
    </row>
    <row r="66" spans="1:74" ht="30" customHeight="1" x14ac:dyDescent="0.3">
      <c r="A66" s="3"/>
      <c r="B66" s="8"/>
      <c r="C66" s="60">
        <v>3837</v>
      </c>
      <c r="D66" s="60">
        <v>2027</v>
      </c>
      <c r="E66" s="60" t="str">
        <f>+VLOOKUP(C66,'PRECIOS IDU 2025'!$A$1:$E$3189,2,FALSE)</f>
        <v>SELLADO DE JUNTAS EN PAVIMENTO DE CONCRETO HIDRAULICO (INCLUYE LIMPIEZA, SUMINISTRO E INSTALACIÓN DE FONDO Y SELLANTE)</v>
      </c>
      <c r="F66" s="60" t="str">
        <f>+VLOOKUP(C66,'PRECIOS IDU 2025'!$A$1:$E$3189,3,FALSE)</f>
        <v>ML</v>
      </c>
      <c r="G66" s="108">
        <f t="shared" si="6"/>
        <v>0</v>
      </c>
      <c r="H66" s="69">
        <f>+VLOOKUP(C66,'PRECIOS IDU 2025'!$A$1:$E$3189,4,FALSE)</f>
        <v>13778</v>
      </c>
      <c r="I66" s="69">
        <f t="shared" si="7"/>
        <v>17911</v>
      </c>
      <c r="J66" s="69">
        <f t="shared" si="8"/>
        <v>0</v>
      </c>
      <c r="K66" s="9"/>
      <c r="L66" s="3"/>
      <c r="M66" s="76"/>
      <c r="N66" s="78"/>
      <c r="O66" s="76"/>
      <c r="P66" s="78">
        <f t="shared" si="10"/>
        <v>0</v>
      </c>
      <c r="Q66" s="76"/>
      <c r="R66" s="78"/>
      <c r="S66" s="76"/>
      <c r="T66" s="78"/>
      <c r="U66" s="76"/>
      <c r="V66" s="78"/>
      <c r="W66" s="76"/>
      <c r="X66" s="78"/>
      <c r="Y66" s="76"/>
      <c r="Z66" s="78"/>
      <c r="AA66" s="76"/>
      <c r="AB66" s="78"/>
      <c r="AC66" s="76"/>
      <c r="AD66" s="78"/>
      <c r="AE66" s="76"/>
      <c r="AF66" s="78"/>
      <c r="AG66" s="76"/>
      <c r="AH66" s="78"/>
      <c r="AI66" s="76"/>
      <c r="AJ66" s="78"/>
      <c r="AK66" s="76"/>
      <c r="AL66" s="78"/>
      <c r="AM66" s="76"/>
      <c r="AN66" s="78"/>
      <c r="AO66" s="76"/>
      <c r="AP66" s="78"/>
      <c r="AQ66" s="76"/>
      <c r="AR66" s="78"/>
      <c r="AS66" s="76"/>
      <c r="AT66" s="78"/>
      <c r="AU66" s="76"/>
      <c r="AV66" s="78"/>
      <c r="AW66" s="76"/>
      <c r="AX66" s="78"/>
      <c r="AY66" s="76"/>
      <c r="AZ66" s="78"/>
      <c r="BA66" s="76"/>
      <c r="BB66" s="78"/>
      <c r="BC66" s="76"/>
      <c r="BD66" s="78"/>
      <c r="BE66" s="76"/>
      <c r="BF66" s="78"/>
      <c r="BG66" s="76"/>
      <c r="BH66" s="78"/>
      <c r="BI66" s="76"/>
      <c r="BJ66" s="78"/>
      <c r="BK66" s="76"/>
      <c r="BL66" s="78"/>
      <c r="BM66" s="76"/>
      <c r="BN66" s="78"/>
      <c r="BO66" s="76"/>
      <c r="BP66" s="78"/>
      <c r="BQ66" s="76"/>
      <c r="BR66" s="78"/>
      <c r="BS66" s="76"/>
      <c r="BT66" s="78"/>
      <c r="BU66" s="76"/>
      <c r="BV66" s="78"/>
    </row>
    <row r="67" spans="1:74" ht="15.6" x14ac:dyDescent="0.3">
      <c r="A67" s="3"/>
      <c r="B67" s="8"/>
      <c r="C67" s="60">
        <v>5404</v>
      </c>
      <c r="D67" s="60">
        <v>2028</v>
      </c>
      <c r="E67" s="60" t="str">
        <f>+VLOOKUP(C67,'PRECIOS IDU 2025'!$A$1:$E$3189,2,FALSE)</f>
        <v>CANASTILLA PASAJUNTAS (INCLUYE SUMINISTRO Y FIJACIÓN)</v>
      </c>
      <c r="F67" s="60" t="str">
        <f>+VLOOKUP(C67,'PRECIOS IDU 2025'!$A$1:$E$3189,3,FALSE)</f>
        <v>KG</v>
      </c>
      <c r="G67" s="108">
        <f t="shared" si="6"/>
        <v>0</v>
      </c>
      <c r="H67" s="69">
        <f>+VLOOKUP(C67,'PRECIOS IDU 2025'!$A$1:$E$3189,4,FALSE)</f>
        <v>10578</v>
      </c>
      <c r="I67" s="69">
        <f t="shared" si="7"/>
        <v>13751</v>
      </c>
      <c r="J67" s="69">
        <f t="shared" si="8"/>
        <v>0</v>
      </c>
      <c r="K67" s="9"/>
      <c r="L67" s="3"/>
      <c r="M67" s="76"/>
      <c r="N67" s="78"/>
      <c r="O67" s="76"/>
      <c r="P67" s="78">
        <f t="shared" si="10"/>
        <v>0</v>
      </c>
      <c r="Q67" s="76"/>
      <c r="R67" s="78"/>
      <c r="S67" s="76"/>
      <c r="T67" s="78"/>
      <c r="U67" s="76"/>
      <c r="V67" s="78"/>
      <c r="W67" s="76"/>
      <c r="X67" s="78"/>
      <c r="Y67" s="76"/>
      <c r="Z67" s="78"/>
      <c r="AA67" s="76"/>
      <c r="AB67" s="78"/>
      <c r="AC67" s="76"/>
      <c r="AD67" s="78"/>
      <c r="AE67" s="76"/>
      <c r="AF67" s="78"/>
      <c r="AG67" s="76"/>
      <c r="AH67" s="78"/>
      <c r="AI67" s="76"/>
      <c r="AJ67" s="78"/>
      <c r="AK67" s="76"/>
      <c r="AL67" s="78"/>
      <c r="AM67" s="76"/>
      <c r="AN67" s="78"/>
      <c r="AO67" s="76"/>
      <c r="AP67" s="78"/>
      <c r="AQ67" s="76"/>
      <c r="AR67" s="78"/>
      <c r="AS67" s="76"/>
      <c r="AT67" s="78"/>
      <c r="AU67" s="76"/>
      <c r="AV67" s="78"/>
      <c r="AW67" s="76"/>
      <c r="AX67" s="78"/>
      <c r="AY67" s="76"/>
      <c r="AZ67" s="78"/>
      <c r="BA67" s="76"/>
      <c r="BB67" s="78"/>
      <c r="BC67" s="76"/>
      <c r="BD67" s="78"/>
      <c r="BE67" s="76"/>
      <c r="BF67" s="78"/>
      <c r="BG67" s="76"/>
      <c r="BH67" s="78"/>
      <c r="BI67" s="76"/>
      <c r="BJ67" s="78"/>
      <c r="BK67" s="76"/>
      <c r="BL67" s="78"/>
      <c r="BM67" s="76"/>
      <c r="BN67" s="78"/>
      <c r="BO67" s="76"/>
      <c r="BP67" s="78"/>
      <c r="BQ67" s="76"/>
      <c r="BR67" s="78"/>
      <c r="BS67" s="76"/>
      <c r="BT67" s="78"/>
      <c r="BU67" s="76"/>
      <c r="BV67" s="78"/>
    </row>
    <row r="68" spans="1:74" ht="30" customHeight="1" x14ac:dyDescent="0.3">
      <c r="A68" s="3"/>
      <c r="B68" s="8"/>
      <c r="C68" s="61" t="s">
        <v>6078</v>
      </c>
      <c r="D68" s="62"/>
      <c r="E68" s="62"/>
      <c r="F68" s="62"/>
      <c r="G68" s="62"/>
      <c r="H68" s="62"/>
      <c r="I68" s="62"/>
      <c r="J68" s="63"/>
      <c r="K68" s="9"/>
      <c r="L68" s="3"/>
      <c r="M68" s="76"/>
      <c r="N68" s="78"/>
      <c r="O68" s="76"/>
      <c r="P68" s="78">
        <f t="shared" si="10"/>
        <v>0</v>
      </c>
      <c r="Q68" s="76"/>
      <c r="R68" s="78"/>
      <c r="S68" s="76"/>
      <c r="T68" s="78"/>
      <c r="U68" s="76"/>
      <c r="V68" s="78"/>
      <c r="W68" s="76"/>
      <c r="X68" s="78"/>
      <c r="Y68" s="76"/>
      <c r="Z68" s="78"/>
      <c r="AA68" s="76"/>
      <c r="AB68" s="78"/>
      <c r="AC68" s="76"/>
      <c r="AD68" s="78"/>
      <c r="AE68" s="76"/>
      <c r="AF68" s="78"/>
      <c r="AG68" s="76"/>
      <c r="AH68" s="78"/>
      <c r="AI68" s="76"/>
      <c r="AJ68" s="78"/>
      <c r="AK68" s="76"/>
      <c r="AL68" s="78"/>
      <c r="AM68" s="76"/>
      <c r="AN68" s="78"/>
      <c r="AO68" s="76"/>
      <c r="AP68" s="78"/>
      <c r="AQ68" s="76"/>
      <c r="AR68" s="78"/>
      <c r="AS68" s="76"/>
      <c r="AT68" s="78"/>
      <c r="AU68" s="76"/>
      <c r="AV68" s="78"/>
      <c r="AW68" s="76"/>
      <c r="AX68" s="78"/>
      <c r="AY68" s="76"/>
      <c r="AZ68" s="78"/>
      <c r="BA68" s="76"/>
      <c r="BB68" s="78"/>
      <c r="BC68" s="76"/>
      <c r="BD68" s="78"/>
      <c r="BE68" s="76"/>
      <c r="BF68" s="78"/>
      <c r="BG68" s="76"/>
      <c r="BH68" s="78"/>
      <c r="BI68" s="76"/>
      <c r="BJ68" s="78"/>
      <c r="BK68" s="76"/>
      <c r="BL68" s="78"/>
      <c r="BM68" s="76"/>
      <c r="BN68" s="78"/>
      <c r="BO68" s="76"/>
      <c r="BP68" s="78"/>
      <c r="BQ68" s="76"/>
      <c r="BR68" s="78"/>
      <c r="BS68" s="76"/>
      <c r="BT68" s="78"/>
      <c r="BU68" s="76"/>
      <c r="BV68" s="78"/>
    </row>
    <row r="69" spans="1:74" ht="30" customHeight="1" x14ac:dyDescent="0.3">
      <c r="A69" s="3"/>
      <c r="B69" s="8"/>
      <c r="C69" s="60">
        <v>3007</v>
      </c>
      <c r="D69" s="60">
        <v>3001</v>
      </c>
      <c r="E69" s="60" t="str">
        <f>+VLOOKUP(C69,'PRECIOS IDU 2025'!$A$1:$E$3189,2,FALSE)</f>
        <v>REPLANTEO GENERAL</v>
      </c>
      <c r="F69" s="60" t="str">
        <f>+VLOOKUP(C69,'PRECIOS IDU 2025'!$A$1:$E$3189,3,FALSE)</f>
        <v>M2</v>
      </c>
      <c r="G69" s="108">
        <f t="shared" ref="G69:G85" si="11">+ROUND(M69+O69+Q69+S69+U69+W69+Y69+AA69+AC69+AE69+AG69+AI69+AK69+AM69+AO69+AQ69+AS69+AU69+AW69+AY69+BA69+BC69+BE69+BG69+BI69+BK69+BM69+BO69+BQ69+BS69+BU69,2)</f>
        <v>186.7</v>
      </c>
      <c r="H69" s="69">
        <f>+VLOOKUP(C69,'PRECIOS IDU 2025'!$A$1:$E$3189,4,FALSE)</f>
        <v>909</v>
      </c>
      <c r="I69" s="69">
        <f t="shared" ref="I69:I85" si="12">+ROUND(H69*(1+$J$192),0)</f>
        <v>1182</v>
      </c>
      <c r="J69" s="69">
        <f t="shared" ref="J69:J85" si="13">+ROUND(I69*G69,0)</f>
        <v>220679</v>
      </c>
      <c r="K69" s="9"/>
      <c r="L69" s="3"/>
      <c r="M69" s="76"/>
      <c r="N69" s="78"/>
      <c r="O69" s="76">
        <v>186.7</v>
      </c>
      <c r="P69" s="78">
        <f t="shared" si="10"/>
        <v>220679</v>
      </c>
      <c r="Q69" s="76"/>
      <c r="R69" s="78"/>
      <c r="S69" s="76"/>
      <c r="T69" s="78"/>
      <c r="U69" s="76"/>
      <c r="V69" s="78"/>
      <c r="W69" s="76"/>
      <c r="X69" s="78"/>
      <c r="Y69" s="76"/>
      <c r="Z69" s="78"/>
      <c r="AA69" s="76"/>
      <c r="AB69" s="78"/>
      <c r="AC69" s="76"/>
      <c r="AD69" s="78"/>
      <c r="AE69" s="76"/>
      <c r="AF69" s="78"/>
      <c r="AG69" s="76"/>
      <c r="AH69" s="78"/>
      <c r="AI69" s="76"/>
      <c r="AJ69" s="78"/>
      <c r="AK69" s="76"/>
      <c r="AL69" s="78"/>
      <c r="AM69" s="76"/>
      <c r="AN69" s="78"/>
      <c r="AO69" s="76"/>
      <c r="AP69" s="78"/>
      <c r="AQ69" s="76"/>
      <c r="AR69" s="78"/>
      <c r="AS69" s="76"/>
      <c r="AT69" s="78"/>
      <c r="AU69" s="76"/>
      <c r="AV69" s="78"/>
      <c r="AW69" s="76"/>
      <c r="AX69" s="78"/>
      <c r="AY69" s="76"/>
      <c r="AZ69" s="78"/>
      <c r="BA69" s="76"/>
      <c r="BB69" s="78"/>
      <c r="BC69" s="76"/>
      <c r="BD69" s="78"/>
      <c r="BE69" s="76"/>
      <c r="BF69" s="78"/>
      <c r="BG69" s="76"/>
      <c r="BH69" s="78"/>
      <c r="BI69" s="76"/>
      <c r="BJ69" s="78"/>
      <c r="BK69" s="76"/>
      <c r="BL69" s="78"/>
      <c r="BM69" s="76"/>
      <c r="BN69" s="78"/>
      <c r="BO69" s="76"/>
      <c r="BP69" s="78"/>
      <c r="BQ69" s="76"/>
      <c r="BR69" s="78"/>
      <c r="BS69" s="76"/>
      <c r="BT69" s="78"/>
      <c r="BU69" s="76"/>
      <c r="BV69" s="78"/>
    </row>
    <row r="70" spans="1:74" ht="30" customHeight="1" x14ac:dyDescent="0.3">
      <c r="A70" s="3"/>
      <c r="B70" s="8"/>
      <c r="C70" s="60">
        <v>3811</v>
      </c>
      <c r="D70" s="60">
        <v>3002</v>
      </c>
      <c r="E70" s="60" t="str">
        <f>+VLOOKUP(C70,'PRECIOS IDU 2025'!$A$1:$E$3189,2,FALSE)</f>
        <v>CORTE DE PAVIMENTO - INCLUYE EQUIPO: CORTADORA DE CONCRETO INCLUYE OPERARIO Y COMBUSTIBLE. INCLUYE DISCO DIAMANTADO ASFALTO-CONCRETO 350 MM, AGUA Y MANO DE OBRA</v>
      </c>
      <c r="F70" s="60" t="str">
        <f>+VLOOKUP(C70,'PRECIOS IDU 2025'!$A$1:$E$3189,3,FALSE)</f>
        <v>ML</v>
      </c>
      <c r="G70" s="108">
        <f t="shared" si="11"/>
        <v>11.1</v>
      </c>
      <c r="H70" s="69">
        <f>+VLOOKUP(C70,'PRECIOS IDU 2025'!$A$1:$E$3189,4,FALSE)</f>
        <v>2659</v>
      </c>
      <c r="I70" s="69">
        <f t="shared" si="12"/>
        <v>3457</v>
      </c>
      <c r="J70" s="69">
        <f t="shared" si="13"/>
        <v>38373</v>
      </c>
      <c r="K70" s="9"/>
      <c r="L70" s="3"/>
      <c r="M70" s="76"/>
      <c r="N70" s="78"/>
      <c r="O70" s="76">
        <v>11.1</v>
      </c>
      <c r="P70" s="78">
        <f t="shared" si="10"/>
        <v>38373</v>
      </c>
      <c r="Q70" s="76"/>
      <c r="R70" s="78"/>
      <c r="S70" s="76"/>
      <c r="T70" s="78"/>
      <c r="U70" s="76"/>
      <c r="V70" s="78"/>
      <c r="W70" s="76"/>
      <c r="X70" s="78"/>
      <c r="Y70" s="76"/>
      <c r="Z70" s="78"/>
      <c r="AA70" s="76"/>
      <c r="AB70" s="78"/>
      <c r="AC70" s="76"/>
      <c r="AD70" s="78"/>
      <c r="AE70" s="76"/>
      <c r="AF70" s="78"/>
      <c r="AG70" s="76"/>
      <c r="AH70" s="78"/>
      <c r="AI70" s="76"/>
      <c r="AJ70" s="78"/>
      <c r="AK70" s="76"/>
      <c r="AL70" s="78"/>
      <c r="AM70" s="76"/>
      <c r="AN70" s="78"/>
      <c r="AO70" s="76"/>
      <c r="AP70" s="78"/>
      <c r="AQ70" s="76"/>
      <c r="AR70" s="78"/>
      <c r="AS70" s="76"/>
      <c r="AT70" s="78"/>
      <c r="AU70" s="76"/>
      <c r="AV70" s="78"/>
      <c r="AW70" s="76"/>
      <c r="AX70" s="78"/>
      <c r="AY70" s="76"/>
      <c r="AZ70" s="78"/>
      <c r="BA70" s="76"/>
      <c r="BB70" s="78"/>
      <c r="BC70" s="76"/>
      <c r="BD70" s="78"/>
      <c r="BE70" s="76"/>
      <c r="BF70" s="78"/>
      <c r="BG70" s="76"/>
      <c r="BH70" s="78"/>
      <c r="BI70" s="76"/>
      <c r="BJ70" s="78"/>
      <c r="BK70" s="76"/>
      <c r="BL70" s="78"/>
      <c r="BM70" s="76"/>
      <c r="BN70" s="78"/>
      <c r="BO70" s="76"/>
      <c r="BP70" s="78"/>
      <c r="BQ70" s="76"/>
      <c r="BR70" s="78"/>
      <c r="BS70" s="76"/>
      <c r="BT70" s="78"/>
      <c r="BU70" s="76"/>
      <c r="BV70" s="78"/>
    </row>
    <row r="71" spans="1:74" ht="30" customHeight="1" x14ac:dyDescent="0.3">
      <c r="A71" s="3"/>
      <c r="B71" s="8"/>
      <c r="C71" s="60">
        <v>3010</v>
      </c>
      <c r="D71" s="60">
        <v>3003</v>
      </c>
      <c r="E71" s="60" t="str">
        <f>+VLOOKUP(C71,'PRECIOS IDU 2025'!$A$1:$E$3189,2,FALSE)</f>
        <v>DEMOLICION PAVIMENTO ASFALTICO (INCLUYE CARGUE). NO INCLUYE TRANSPORTE Y DISPOSICIÓN FINAL DE SOBRANTES.</v>
      </c>
      <c r="F71" s="60" t="str">
        <f>+VLOOKUP(C71,'PRECIOS IDU 2025'!$A$1:$E$3189,3,FALSE)</f>
        <v>M3</v>
      </c>
      <c r="G71" s="108">
        <f t="shared" si="11"/>
        <v>6.73</v>
      </c>
      <c r="H71" s="69">
        <f>+VLOOKUP(C71,'PRECIOS IDU 2025'!$A$1:$E$3189,4,FALSE)</f>
        <v>38781</v>
      </c>
      <c r="I71" s="69">
        <f t="shared" si="12"/>
        <v>50415</v>
      </c>
      <c r="J71" s="69">
        <f t="shared" si="13"/>
        <v>339293</v>
      </c>
      <c r="K71" s="9"/>
      <c r="L71" s="3"/>
      <c r="M71" s="76"/>
      <c r="N71" s="78"/>
      <c r="O71" s="76">
        <v>6.7280000000000006</v>
      </c>
      <c r="P71" s="78">
        <f t="shared" si="10"/>
        <v>339192</v>
      </c>
      <c r="Q71" s="76"/>
      <c r="R71" s="78"/>
      <c r="S71" s="76"/>
      <c r="T71" s="78"/>
      <c r="U71" s="76"/>
      <c r="V71" s="78"/>
      <c r="W71" s="76"/>
      <c r="X71" s="78"/>
      <c r="Y71" s="76"/>
      <c r="Z71" s="78"/>
      <c r="AA71" s="76"/>
      <c r="AB71" s="78"/>
      <c r="AC71" s="76"/>
      <c r="AD71" s="78"/>
      <c r="AE71" s="76"/>
      <c r="AF71" s="78"/>
      <c r="AG71" s="76"/>
      <c r="AH71" s="78"/>
      <c r="AI71" s="76"/>
      <c r="AJ71" s="78"/>
      <c r="AK71" s="76"/>
      <c r="AL71" s="78"/>
      <c r="AM71" s="76"/>
      <c r="AN71" s="78"/>
      <c r="AO71" s="76"/>
      <c r="AP71" s="78"/>
      <c r="AQ71" s="76"/>
      <c r="AR71" s="78"/>
      <c r="AS71" s="76"/>
      <c r="AT71" s="78"/>
      <c r="AU71" s="76"/>
      <c r="AV71" s="78"/>
      <c r="AW71" s="76"/>
      <c r="AX71" s="78"/>
      <c r="AY71" s="76"/>
      <c r="AZ71" s="78"/>
      <c r="BA71" s="76"/>
      <c r="BB71" s="78"/>
      <c r="BC71" s="76"/>
      <c r="BD71" s="78"/>
      <c r="BE71" s="76"/>
      <c r="BF71" s="78"/>
      <c r="BG71" s="76"/>
      <c r="BH71" s="78"/>
      <c r="BI71" s="76"/>
      <c r="BJ71" s="78"/>
      <c r="BK71" s="76"/>
      <c r="BL71" s="78"/>
      <c r="BM71" s="76"/>
      <c r="BN71" s="78"/>
      <c r="BO71" s="76"/>
      <c r="BP71" s="78"/>
      <c r="BQ71" s="76"/>
      <c r="BR71" s="78"/>
      <c r="BS71" s="76"/>
      <c r="BT71" s="78"/>
      <c r="BU71" s="76"/>
      <c r="BV71" s="78"/>
    </row>
    <row r="72" spans="1:74" ht="30" customHeight="1" x14ac:dyDescent="0.3">
      <c r="A72" s="3"/>
      <c r="B72" s="8"/>
      <c r="C72" s="60">
        <v>3710</v>
      </c>
      <c r="D72" s="60">
        <v>3004</v>
      </c>
      <c r="E72" s="60" t="str">
        <f>+VLOOKUP(C72,'PRECIOS IDU 2025'!$A$1:$E$3189,2,FALSE)</f>
        <v>EXCAVACIÓN MECÁNICA EN MATERIAL COMÚN (INCLUYE CARGUE)</v>
      </c>
      <c r="F72" s="60" t="str">
        <f>+VLOOKUP(C72,'PRECIOS IDU 2025'!$A$1:$E$3189,3,FALSE)</f>
        <v>M3</v>
      </c>
      <c r="G72" s="108">
        <f t="shared" si="11"/>
        <v>143.76</v>
      </c>
      <c r="H72" s="69">
        <f>+VLOOKUP(C72,'PRECIOS IDU 2025'!$A$1:$E$3189,4,FALSE)</f>
        <v>5741</v>
      </c>
      <c r="I72" s="69">
        <f t="shared" si="12"/>
        <v>7463</v>
      </c>
      <c r="J72" s="69">
        <f t="shared" si="13"/>
        <v>1072881</v>
      </c>
      <c r="K72" s="9"/>
      <c r="L72" s="3"/>
      <c r="M72" s="76"/>
      <c r="N72" s="78"/>
      <c r="O72" s="76">
        <v>143.75899999999999</v>
      </c>
      <c r="P72" s="78">
        <f t="shared" si="10"/>
        <v>1072873</v>
      </c>
      <c r="Q72" s="76"/>
      <c r="R72" s="78"/>
      <c r="S72" s="76"/>
      <c r="T72" s="78"/>
      <c r="U72" s="76"/>
      <c r="V72" s="78"/>
      <c r="W72" s="76"/>
      <c r="X72" s="78"/>
      <c r="Y72" s="76"/>
      <c r="Z72" s="78"/>
      <c r="AA72" s="76"/>
      <c r="AB72" s="78"/>
      <c r="AC72" s="76"/>
      <c r="AD72" s="78"/>
      <c r="AE72" s="76"/>
      <c r="AF72" s="78"/>
      <c r="AG72" s="76"/>
      <c r="AH72" s="78"/>
      <c r="AI72" s="76"/>
      <c r="AJ72" s="78"/>
      <c r="AK72" s="76"/>
      <c r="AL72" s="78"/>
      <c r="AM72" s="76"/>
      <c r="AN72" s="78"/>
      <c r="AO72" s="76"/>
      <c r="AP72" s="78"/>
      <c r="AQ72" s="76"/>
      <c r="AR72" s="78"/>
      <c r="AS72" s="76"/>
      <c r="AT72" s="78"/>
      <c r="AU72" s="76"/>
      <c r="AV72" s="78"/>
      <c r="AW72" s="76"/>
      <c r="AX72" s="78"/>
      <c r="AY72" s="76"/>
      <c r="AZ72" s="78"/>
      <c r="BA72" s="76"/>
      <c r="BB72" s="78"/>
      <c r="BC72" s="76"/>
      <c r="BD72" s="78"/>
      <c r="BE72" s="76"/>
      <c r="BF72" s="78"/>
      <c r="BG72" s="76"/>
      <c r="BH72" s="78"/>
      <c r="BI72" s="76"/>
      <c r="BJ72" s="78"/>
      <c r="BK72" s="76"/>
      <c r="BL72" s="78"/>
      <c r="BM72" s="76"/>
      <c r="BN72" s="78"/>
      <c r="BO72" s="76"/>
      <c r="BP72" s="78"/>
      <c r="BQ72" s="76"/>
      <c r="BR72" s="78"/>
      <c r="BS72" s="76"/>
      <c r="BT72" s="78"/>
      <c r="BU72" s="76"/>
      <c r="BV72" s="78"/>
    </row>
    <row r="73" spans="1:74" ht="30" customHeight="1" x14ac:dyDescent="0.3">
      <c r="A73" s="3"/>
      <c r="B73" s="8"/>
      <c r="C73" s="60">
        <v>3464</v>
      </c>
      <c r="D73" s="60">
        <v>3005</v>
      </c>
      <c r="E73" s="60" t="str">
        <f>+VLOOKUP(C73,'PRECIOS IDU 2025'!$A$1:$E$3189,2,FALSE)</f>
        <v>EXCAVACION MANUAL EN MATERIAL COMUN. INCLUYE CARGUE.</v>
      </c>
      <c r="F73" s="60" t="str">
        <f>+VLOOKUP(C73,'PRECIOS IDU 2025'!$A$1:$E$3189,3,FALSE)</f>
        <v>M3</v>
      </c>
      <c r="G73" s="108">
        <f t="shared" si="11"/>
        <v>7.19</v>
      </c>
      <c r="H73" s="69">
        <f>+VLOOKUP(C73,'PRECIOS IDU 2025'!$A$1:$E$3189,4,FALSE)</f>
        <v>46379</v>
      </c>
      <c r="I73" s="69">
        <f t="shared" si="12"/>
        <v>60293</v>
      </c>
      <c r="J73" s="69">
        <f t="shared" si="13"/>
        <v>433507</v>
      </c>
      <c r="K73" s="9"/>
      <c r="L73" s="3"/>
      <c r="M73" s="76"/>
      <c r="N73" s="78"/>
      <c r="O73" s="76">
        <v>7.1879499999999998</v>
      </c>
      <c r="P73" s="78">
        <f t="shared" si="10"/>
        <v>433383</v>
      </c>
      <c r="Q73" s="76"/>
      <c r="R73" s="78"/>
      <c r="S73" s="76"/>
      <c r="T73" s="78"/>
      <c r="U73" s="76"/>
      <c r="V73" s="78"/>
      <c r="W73" s="76"/>
      <c r="X73" s="78"/>
      <c r="Y73" s="76"/>
      <c r="Z73" s="78"/>
      <c r="AA73" s="76"/>
      <c r="AB73" s="78"/>
      <c r="AC73" s="76"/>
      <c r="AD73" s="78"/>
      <c r="AE73" s="76"/>
      <c r="AF73" s="78"/>
      <c r="AG73" s="76"/>
      <c r="AH73" s="78"/>
      <c r="AI73" s="76"/>
      <c r="AJ73" s="78"/>
      <c r="AK73" s="76"/>
      <c r="AL73" s="78"/>
      <c r="AM73" s="76"/>
      <c r="AN73" s="78"/>
      <c r="AO73" s="76"/>
      <c r="AP73" s="78"/>
      <c r="AQ73" s="76"/>
      <c r="AR73" s="78"/>
      <c r="AS73" s="76"/>
      <c r="AT73" s="78"/>
      <c r="AU73" s="76"/>
      <c r="AV73" s="78"/>
      <c r="AW73" s="76"/>
      <c r="AX73" s="78"/>
      <c r="AY73" s="76"/>
      <c r="AZ73" s="78"/>
      <c r="BA73" s="76"/>
      <c r="BB73" s="78"/>
      <c r="BC73" s="76"/>
      <c r="BD73" s="78"/>
      <c r="BE73" s="76"/>
      <c r="BF73" s="78"/>
      <c r="BG73" s="76"/>
      <c r="BH73" s="78"/>
      <c r="BI73" s="76"/>
      <c r="BJ73" s="78"/>
      <c r="BK73" s="76"/>
      <c r="BL73" s="78"/>
      <c r="BM73" s="76"/>
      <c r="BN73" s="78"/>
      <c r="BO73" s="76"/>
      <c r="BP73" s="78"/>
      <c r="BQ73" s="76"/>
      <c r="BR73" s="78"/>
      <c r="BS73" s="76"/>
      <c r="BT73" s="78"/>
      <c r="BU73" s="76"/>
      <c r="BV73" s="78"/>
    </row>
    <row r="74" spans="1:74" ht="27.6" x14ac:dyDescent="0.3">
      <c r="A74" s="3"/>
      <c r="B74" s="8"/>
      <c r="C74" s="60">
        <v>3017</v>
      </c>
      <c r="D74" s="60">
        <v>3006</v>
      </c>
      <c r="E74" s="60" t="str">
        <f>+VLOOKUP(C74,'PRECIOS IDU 2025'!$A$1:$E$3189,2,FALSE)</f>
        <v>TRANSPORTE Y DISPOSICIÓN FINAL DE ESCOMBROS EN SITIO AUTORIZADO (DISTANCIA DE TRANSPORTE 21 KM). A DISTANCIA MAYOR DEL ACARREO LIBRE (90 M) EN SITIO AUTORIZADO POR LA ENTIDAD AMBIENTAL COMPETENTE.</v>
      </c>
      <c r="F74" s="60" t="str">
        <f>+VLOOKUP(C74,'PRECIOS IDU 2025'!$A$1:$E$3189,3,FALSE)</f>
        <v>M3</v>
      </c>
      <c r="G74" s="108">
        <f t="shared" si="11"/>
        <v>204.98</v>
      </c>
      <c r="H74" s="69">
        <f>+VLOOKUP(C74,'PRECIOS IDU 2025'!$A$1:$E$3189,4,FALSE)</f>
        <v>45600</v>
      </c>
      <c r="I74" s="69">
        <f t="shared" si="12"/>
        <v>59280</v>
      </c>
      <c r="J74" s="69">
        <f t="shared" si="13"/>
        <v>12151214</v>
      </c>
      <c r="K74" s="9"/>
      <c r="L74" s="3"/>
      <c r="M74" s="76"/>
      <c r="N74" s="78"/>
      <c r="O74" s="76">
        <v>204.97743500000001</v>
      </c>
      <c r="P74" s="78">
        <f t="shared" si="10"/>
        <v>12151062</v>
      </c>
      <c r="Q74" s="76"/>
      <c r="R74" s="78"/>
      <c r="S74" s="76"/>
      <c r="T74" s="78"/>
      <c r="U74" s="76"/>
      <c r="V74" s="78"/>
      <c r="W74" s="76"/>
      <c r="X74" s="78"/>
      <c r="Y74" s="76"/>
      <c r="Z74" s="78"/>
      <c r="AA74" s="76"/>
      <c r="AB74" s="78"/>
      <c r="AC74" s="76"/>
      <c r="AD74" s="78"/>
      <c r="AE74" s="76"/>
      <c r="AF74" s="78"/>
      <c r="AG74" s="76"/>
      <c r="AH74" s="78"/>
      <c r="AI74" s="76"/>
      <c r="AJ74" s="78"/>
      <c r="AK74" s="76"/>
      <c r="AL74" s="78"/>
      <c r="AM74" s="76"/>
      <c r="AN74" s="78"/>
      <c r="AO74" s="76"/>
      <c r="AP74" s="78"/>
      <c r="AQ74" s="76"/>
      <c r="AR74" s="78"/>
      <c r="AS74" s="76"/>
      <c r="AT74" s="78"/>
      <c r="AU74" s="76"/>
      <c r="AV74" s="78"/>
      <c r="AW74" s="76"/>
      <c r="AX74" s="78"/>
      <c r="AY74" s="76"/>
      <c r="AZ74" s="78"/>
      <c r="BA74" s="76"/>
      <c r="BB74" s="78"/>
      <c r="BC74" s="76"/>
      <c r="BD74" s="78"/>
      <c r="BE74" s="76"/>
      <c r="BF74" s="78"/>
      <c r="BG74" s="76"/>
      <c r="BH74" s="78"/>
      <c r="BI74" s="76"/>
      <c r="BJ74" s="78"/>
      <c r="BK74" s="76"/>
      <c r="BL74" s="78"/>
      <c r="BM74" s="76"/>
      <c r="BN74" s="78"/>
      <c r="BO74" s="76"/>
      <c r="BP74" s="78"/>
      <c r="BQ74" s="76"/>
      <c r="BR74" s="78"/>
      <c r="BS74" s="76"/>
      <c r="BT74" s="78"/>
      <c r="BU74" s="76"/>
      <c r="BV74" s="78"/>
    </row>
    <row r="75" spans="1:74" ht="15.6" x14ac:dyDescent="0.3">
      <c r="A75" s="3"/>
      <c r="B75" s="8"/>
      <c r="C75" s="60">
        <v>3800</v>
      </c>
      <c r="D75" s="60">
        <v>3007</v>
      </c>
      <c r="E75" s="60" t="str">
        <f>+VLOOKUP(C75,'PRECIOS IDU 2025'!$A$1:$E$3189,2,FALSE)</f>
        <v>NIVELACION Y COMPACTACIÓN DE SUBRASANTE</v>
      </c>
      <c r="F75" s="60" t="str">
        <f>+VLOOKUP(C75,'PRECIOS IDU 2025'!$A$1:$E$3189,3,FALSE)</f>
        <v>M2</v>
      </c>
      <c r="G75" s="108">
        <f t="shared" si="11"/>
        <v>186.7</v>
      </c>
      <c r="H75" s="69">
        <f>+VLOOKUP(C75,'PRECIOS IDU 2025'!$A$1:$E$3189,4,FALSE)</f>
        <v>1757</v>
      </c>
      <c r="I75" s="69">
        <f t="shared" si="12"/>
        <v>2284</v>
      </c>
      <c r="J75" s="69">
        <f t="shared" si="13"/>
        <v>426423</v>
      </c>
      <c r="K75" s="9"/>
      <c r="L75" s="3"/>
      <c r="M75" s="76"/>
      <c r="N75" s="78"/>
      <c r="O75" s="76">
        <v>186.7</v>
      </c>
      <c r="P75" s="78">
        <f t="shared" si="10"/>
        <v>426423</v>
      </c>
      <c r="Q75" s="76"/>
      <c r="R75" s="78"/>
      <c r="S75" s="76"/>
      <c r="T75" s="78"/>
      <c r="U75" s="76"/>
      <c r="V75" s="78"/>
      <c r="W75" s="76"/>
      <c r="X75" s="78"/>
      <c r="Y75" s="76"/>
      <c r="Z75" s="78"/>
      <c r="AA75" s="76"/>
      <c r="AB75" s="78"/>
      <c r="AC75" s="76"/>
      <c r="AD75" s="78"/>
      <c r="AE75" s="76"/>
      <c r="AF75" s="78"/>
      <c r="AG75" s="76"/>
      <c r="AH75" s="78"/>
      <c r="AI75" s="76"/>
      <c r="AJ75" s="78"/>
      <c r="AK75" s="76"/>
      <c r="AL75" s="78"/>
      <c r="AM75" s="76"/>
      <c r="AN75" s="78"/>
      <c r="AO75" s="76"/>
      <c r="AP75" s="78"/>
      <c r="AQ75" s="76"/>
      <c r="AR75" s="78"/>
      <c r="AS75" s="76"/>
      <c r="AT75" s="78"/>
      <c r="AU75" s="76"/>
      <c r="AV75" s="78"/>
      <c r="AW75" s="76"/>
      <c r="AX75" s="78"/>
      <c r="AY75" s="76"/>
      <c r="AZ75" s="78"/>
      <c r="BA75" s="76"/>
      <c r="BB75" s="78"/>
      <c r="BC75" s="76"/>
      <c r="BD75" s="78"/>
      <c r="BE75" s="76"/>
      <c r="BF75" s="78"/>
      <c r="BG75" s="76"/>
      <c r="BH75" s="78"/>
      <c r="BI75" s="76"/>
      <c r="BJ75" s="78"/>
      <c r="BK75" s="76"/>
      <c r="BL75" s="78"/>
      <c r="BM75" s="76"/>
      <c r="BN75" s="78"/>
      <c r="BO75" s="76"/>
      <c r="BP75" s="78"/>
      <c r="BQ75" s="76"/>
      <c r="BR75" s="78"/>
      <c r="BS75" s="76"/>
      <c r="BT75" s="78"/>
      <c r="BU75" s="76"/>
      <c r="BV75" s="78"/>
    </row>
    <row r="76" spans="1:74" ht="27.6" x14ac:dyDescent="0.3">
      <c r="A76" s="3"/>
      <c r="B76" s="8"/>
      <c r="C76" s="60">
        <v>5843</v>
      </c>
      <c r="D76" s="60">
        <v>3008</v>
      </c>
      <c r="E76" s="60" t="str">
        <f>+VLOOKUP(C76,'PRECIOS IDU 2025'!$A$1:$E$3189,2,FALSE)</f>
        <v>GEOMALLA BIAXIAL PARA EL CONTROL DEL REFLEJO DE AGRIETAMIENTO EN CAPAS DE CONCRETO ASFALTICO, CON MODULO DE TENSION CICLICA MINIMO DE 2340 KN/M. (INCLUYE SUMINISTRO E INSTALACION).</v>
      </c>
      <c r="F76" s="60" t="str">
        <f>+VLOOKUP(C76,'PRECIOS IDU 2025'!$A$1:$E$3189,3,FALSE)</f>
        <v>M2</v>
      </c>
      <c r="G76" s="108">
        <f t="shared" si="11"/>
        <v>186.7</v>
      </c>
      <c r="H76" s="69">
        <f>+VLOOKUP(C76,'PRECIOS IDU 2025'!$A$1:$E$3189,4,FALSE)</f>
        <v>32622</v>
      </c>
      <c r="I76" s="69">
        <f t="shared" si="12"/>
        <v>42409</v>
      </c>
      <c r="J76" s="69">
        <f t="shared" si="13"/>
        <v>7917760</v>
      </c>
      <c r="K76" s="9"/>
      <c r="L76" s="3"/>
      <c r="M76" s="76"/>
      <c r="N76" s="78"/>
      <c r="O76" s="76">
        <v>186.7</v>
      </c>
      <c r="P76" s="78">
        <f t="shared" si="10"/>
        <v>7917760</v>
      </c>
      <c r="Q76" s="76"/>
      <c r="R76" s="78"/>
      <c r="S76" s="76"/>
      <c r="T76" s="78"/>
      <c r="U76" s="76"/>
      <c r="V76" s="78"/>
      <c r="W76" s="76"/>
      <c r="X76" s="78"/>
      <c r="Y76" s="76"/>
      <c r="Z76" s="78"/>
      <c r="AA76" s="76"/>
      <c r="AB76" s="78"/>
      <c r="AC76" s="76"/>
      <c r="AD76" s="78"/>
      <c r="AE76" s="76"/>
      <c r="AF76" s="78"/>
      <c r="AG76" s="76"/>
      <c r="AH76" s="78"/>
      <c r="AI76" s="76"/>
      <c r="AJ76" s="78"/>
      <c r="AK76" s="76"/>
      <c r="AL76" s="78"/>
      <c r="AM76" s="76"/>
      <c r="AN76" s="78"/>
      <c r="AO76" s="76"/>
      <c r="AP76" s="78"/>
      <c r="AQ76" s="76"/>
      <c r="AR76" s="78"/>
      <c r="AS76" s="76"/>
      <c r="AT76" s="78"/>
      <c r="AU76" s="76"/>
      <c r="AV76" s="78"/>
      <c r="AW76" s="76"/>
      <c r="AX76" s="78"/>
      <c r="AY76" s="76"/>
      <c r="AZ76" s="78"/>
      <c r="BA76" s="76"/>
      <c r="BB76" s="78"/>
      <c r="BC76" s="76"/>
      <c r="BD76" s="78"/>
      <c r="BE76" s="76"/>
      <c r="BF76" s="78"/>
      <c r="BG76" s="76"/>
      <c r="BH76" s="78"/>
      <c r="BI76" s="76"/>
      <c r="BJ76" s="78"/>
      <c r="BK76" s="76"/>
      <c r="BL76" s="78"/>
      <c r="BM76" s="76"/>
      <c r="BN76" s="78"/>
      <c r="BO76" s="76"/>
      <c r="BP76" s="78"/>
      <c r="BQ76" s="76"/>
      <c r="BR76" s="78"/>
      <c r="BS76" s="76"/>
      <c r="BT76" s="78"/>
      <c r="BU76" s="76"/>
      <c r="BV76" s="78"/>
    </row>
    <row r="77" spans="1:74" ht="30" customHeight="1" x14ac:dyDescent="0.3">
      <c r="A77" s="3"/>
      <c r="B77" s="8"/>
      <c r="C77" s="60">
        <v>3864</v>
      </c>
      <c r="D77" s="60">
        <v>3009</v>
      </c>
      <c r="E77" s="60" t="str">
        <f>+VLOOKUP(C77,'PRECIOS IDU 2025'!$A$1:$E$3189,2,FALSE)</f>
        <v>IMPRIMACION CON EMULSION ASFALTICA CRL-0 (SUMINISTRO, BARRIDO SUPERFICIE Y RIEGO MECANICO)</v>
      </c>
      <c r="F77" s="60" t="str">
        <f>+VLOOKUP(C77,'PRECIOS IDU 2025'!$A$1:$E$3189,3,FALSE)</f>
        <v>M2</v>
      </c>
      <c r="G77" s="108">
        <f t="shared" si="11"/>
        <v>186.7</v>
      </c>
      <c r="H77" s="69">
        <f>+VLOOKUP(C77,'PRECIOS IDU 2025'!$A$1:$E$3189,4,FALSE)</f>
        <v>3189</v>
      </c>
      <c r="I77" s="69">
        <f t="shared" si="12"/>
        <v>4146</v>
      </c>
      <c r="J77" s="69">
        <f t="shared" si="13"/>
        <v>774058</v>
      </c>
      <c r="K77" s="9"/>
      <c r="L77" s="3"/>
      <c r="M77" s="76"/>
      <c r="N77" s="78"/>
      <c r="O77" s="76">
        <v>186.7</v>
      </c>
      <c r="P77" s="78">
        <f t="shared" si="10"/>
        <v>774058</v>
      </c>
      <c r="Q77" s="76"/>
      <c r="R77" s="78"/>
      <c r="S77" s="76"/>
      <c r="T77" s="78"/>
      <c r="U77" s="76"/>
      <c r="V77" s="78"/>
      <c r="W77" s="76"/>
      <c r="X77" s="78"/>
      <c r="Y77" s="76"/>
      <c r="Z77" s="78"/>
      <c r="AA77" s="76"/>
      <c r="AB77" s="78"/>
      <c r="AC77" s="76"/>
      <c r="AD77" s="78"/>
      <c r="AE77" s="76"/>
      <c r="AF77" s="78"/>
      <c r="AG77" s="76"/>
      <c r="AH77" s="78"/>
      <c r="AI77" s="76"/>
      <c r="AJ77" s="78"/>
      <c r="AK77" s="76"/>
      <c r="AL77" s="78"/>
      <c r="AM77" s="76"/>
      <c r="AN77" s="78"/>
      <c r="AO77" s="76"/>
      <c r="AP77" s="78"/>
      <c r="AQ77" s="76"/>
      <c r="AR77" s="78"/>
      <c r="AS77" s="76"/>
      <c r="AT77" s="78"/>
      <c r="AU77" s="76"/>
      <c r="AV77" s="78"/>
      <c r="AW77" s="76"/>
      <c r="AX77" s="78"/>
      <c r="AY77" s="76"/>
      <c r="AZ77" s="78"/>
      <c r="BA77" s="76"/>
      <c r="BB77" s="78"/>
      <c r="BC77" s="76"/>
      <c r="BD77" s="78"/>
      <c r="BE77" s="76"/>
      <c r="BF77" s="78"/>
      <c r="BG77" s="76"/>
      <c r="BH77" s="78"/>
      <c r="BI77" s="76"/>
      <c r="BJ77" s="78"/>
      <c r="BK77" s="76"/>
      <c r="BL77" s="78"/>
      <c r="BM77" s="76"/>
      <c r="BN77" s="78"/>
      <c r="BO77" s="76"/>
      <c r="BP77" s="78"/>
      <c r="BQ77" s="76"/>
      <c r="BR77" s="78"/>
      <c r="BS77" s="76"/>
      <c r="BT77" s="78"/>
      <c r="BU77" s="76"/>
      <c r="BV77" s="78"/>
    </row>
    <row r="78" spans="1:74" ht="30" customHeight="1" x14ac:dyDescent="0.3">
      <c r="A78" s="3"/>
      <c r="B78" s="8"/>
      <c r="C78" s="60">
        <v>3867</v>
      </c>
      <c r="D78" s="60">
        <v>3010</v>
      </c>
      <c r="E78" s="60" t="str">
        <f>+VLOOKUP(C78,'PRECIOS IDU 2025'!$A$1:$E$3189,2,FALSE)</f>
        <v>RIEGO DE LIGA CON EMULSION ASFALTICA CRR-2 (SUMINISTRO, BARRIDO SUPERFICIE Y RIEGO MECANICO)</v>
      </c>
      <c r="F78" s="60" t="str">
        <f>+VLOOKUP(C78,'PRECIOS IDU 2025'!$A$1:$E$3189,3,FALSE)</f>
        <v>M2</v>
      </c>
      <c r="G78" s="108">
        <f t="shared" si="11"/>
        <v>9.34</v>
      </c>
      <c r="H78" s="69">
        <f>+VLOOKUP(C78,'PRECIOS IDU 2025'!$A$1:$E$3189,4,FALSE)</f>
        <v>3885</v>
      </c>
      <c r="I78" s="69">
        <f t="shared" si="12"/>
        <v>5051</v>
      </c>
      <c r="J78" s="69">
        <f t="shared" si="13"/>
        <v>47176</v>
      </c>
      <c r="K78" s="9"/>
      <c r="L78" s="3"/>
      <c r="M78" s="76"/>
      <c r="N78" s="78"/>
      <c r="O78" s="76">
        <v>9.3349999999999991</v>
      </c>
      <c r="P78" s="78">
        <f t="shared" si="10"/>
        <v>47151</v>
      </c>
      <c r="Q78" s="76"/>
      <c r="R78" s="78"/>
      <c r="S78" s="76"/>
      <c r="T78" s="78"/>
      <c r="U78" s="76"/>
      <c r="V78" s="78"/>
      <c r="W78" s="76"/>
      <c r="X78" s="78"/>
      <c r="Y78" s="76"/>
      <c r="Z78" s="78"/>
      <c r="AA78" s="76"/>
      <c r="AB78" s="78"/>
      <c r="AC78" s="76"/>
      <c r="AD78" s="78"/>
      <c r="AE78" s="76"/>
      <c r="AF78" s="78"/>
      <c r="AG78" s="76"/>
      <c r="AH78" s="78"/>
      <c r="AI78" s="76"/>
      <c r="AJ78" s="78"/>
      <c r="AK78" s="76"/>
      <c r="AL78" s="78"/>
      <c r="AM78" s="76"/>
      <c r="AN78" s="78"/>
      <c r="AO78" s="76"/>
      <c r="AP78" s="78"/>
      <c r="AQ78" s="76"/>
      <c r="AR78" s="78"/>
      <c r="AS78" s="76"/>
      <c r="AT78" s="78"/>
      <c r="AU78" s="76"/>
      <c r="AV78" s="78"/>
      <c r="AW78" s="76"/>
      <c r="AX78" s="78"/>
      <c r="AY78" s="76"/>
      <c r="AZ78" s="78"/>
      <c r="BA78" s="76"/>
      <c r="BB78" s="78"/>
      <c r="BC78" s="76"/>
      <c r="BD78" s="78"/>
      <c r="BE78" s="76"/>
      <c r="BF78" s="78"/>
      <c r="BG78" s="76"/>
      <c r="BH78" s="78"/>
      <c r="BI78" s="76"/>
      <c r="BJ78" s="78"/>
      <c r="BK78" s="76"/>
      <c r="BL78" s="78"/>
      <c r="BM78" s="76"/>
      <c r="BN78" s="78"/>
      <c r="BO78" s="76"/>
      <c r="BP78" s="78"/>
      <c r="BQ78" s="76"/>
      <c r="BR78" s="78"/>
      <c r="BS78" s="76"/>
      <c r="BT78" s="78"/>
      <c r="BU78" s="76"/>
      <c r="BV78" s="78"/>
    </row>
    <row r="79" spans="1:74" ht="30" customHeight="1" x14ac:dyDescent="0.3">
      <c r="A79" s="3"/>
      <c r="B79" s="8"/>
      <c r="C79" s="60">
        <v>3841</v>
      </c>
      <c r="D79" s="60">
        <v>3011</v>
      </c>
      <c r="E79" s="60" t="str">
        <f>+VLOOKUP(C79,'PRECIOS IDU 2025'!$A$1:$E$3189,2,FALSE)</f>
        <v>MEZCLA DENSA EN CALIENTE MD20 ASFALTO 80-100 (SUMINISTRO, EXTENDIDO, NIVELACIÓN Y COMPACTACIÓN MECANICA)</v>
      </c>
      <c r="F79" s="60" t="str">
        <f>+VLOOKUP(C79,'PRECIOS IDU 2025'!$A$1:$E$3189,3,FALSE)</f>
        <v>M3</v>
      </c>
      <c r="G79" s="108">
        <f t="shared" si="11"/>
        <v>0</v>
      </c>
      <c r="H79" s="69">
        <f>+VLOOKUP(C79,'PRECIOS IDU 2025'!$A$1:$E$3189,4,FALSE)</f>
        <v>1341971</v>
      </c>
      <c r="I79" s="69">
        <f t="shared" si="12"/>
        <v>1744562</v>
      </c>
      <c r="J79" s="69">
        <f t="shared" si="13"/>
        <v>0</v>
      </c>
      <c r="K79" s="9"/>
      <c r="L79" s="3"/>
      <c r="M79" s="76"/>
      <c r="N79" s="78"/>
      <c r="O79" s="76"/>
      <c r="P79" s="78">
        <f t="shared" si="10"/>
        <v>0</v>
      </c>
      <c r="Q79" s="76"/>
      <c r="R79" s="78"/>
      <c r="S79" s="76"/>
      <c r="T79" s="78"/>
      <c r="U79" s="76"/>
      <c r="V79" s="78"/>
      <c r="W79" s="76"/>
      <c r="X79" s="78"/>
      <c r="Y79" s="76"/>
      <c r="Z79" s="78"/>
      <c r="AA79" s="76"/>
      <c r="AB79" s="78"/>
      <c r="AC79" s="76"/>
      <c r="AD79" s="78"/>
      <c r="AE79" s="76"/>
      <c r="AF79" s="78"/>
      <c r="AG79" s="76"/>
      <c r="AH79" s="78"/>
      <c r="AI79" s="76"/>
      <c r="AJ79" s="78"/>
      <c r="AK79" s="76"/>
      <c r="AL79" s="78"/>
      <c r="AM79" s="76"/>
      <c r="AN79" s="78"/>
      <c r="AO79" s="76"/>
      <c r="AP79" s="78"/>
      <c r="AQ79" s="76"/>
      <c r="AR79" s="78"/>
      <c r="AS79" s="76"/>
      <c r="AT79" s="78"/>
      <c r="AU79" s="76"/>
      <c r="AV79" s="78"/>
      <c r="AW79" s="76"/>
      <c r="AX79" s="78"/>
      <c r="AY79" s="76"/>
      <c r="AZ79" s="78"/>
      <c r="BA79" s="76"/>
      <c r="BB79" s="78"/>
      <c r="BC79" s="76"/>
      <c r="BD79" s="78"/>
      <c r="BE79" s="76"/>
      <c r="BF79" s="78"/>
      <c r="BG79" s="76"/>
      <c r="BH79" s="78"/>
      <c r="BI79" s="76"/>
      <c r="BJ79" s="78"/>
      <c r="BK79" s="76"/>
      <c r="BL79" s="78"/>
      <c r="BM79" s="76"/>
      <c r="BN79" s="78"/>
      <c r="BO79" s="76"/>
      <c r="BP79" s="78"/>
      <c r="BQ79" s="76"/>
      <c r="BR79" s="78"/>
      <c r="BS79" s="76"/>
      <c r="BT79" s="78"/>
      <c r="BU79" s="76"/>
      <c r="BV79" s="78"/>
    </row>
    <row r="80" spans="1:74" ht="30" customHeight="1" x14ac:dyDescent="0.3">
      <c r="A80" s="3"/>
      <c r="B80" s="8"/>
      <c r="C80" s="60">
        <v>6313</v>
      </c>
      <c r="D80" s="60">
        <v>3012</v>
      </c>
      <c r="E80" s="60" t="str">
        <f>+VLOOKUP(C80,'PRECIOS IDU 2025'!$A$1:$E$3189,2,FALSE)</f>
        <v>MEZCLA ASFÁLTICA DENSA EN CALIENTE MD12 CON CEMENTO ASFÁLTICO 60-70 (SUMINISTRO, EXTENDIDO, NIVELACIÓN Y COMPACTACIÓN MECANICA CON VIBROCOMPACTADOR Y COMPACTADOR DE LLANTAS)</v>
      </c>
      <c r="F80" s="60" t="str">
        <f>+VLOOKUP(C80,'PRECIOS IDU 2025'!$A$1:$E$3189,3,FALSE)</f>
        <v>M3</v>
      </c>
      <c r="G80" s="108">
        <f t="shared" si="11"/>
        <v>15.68</v>
      </c>
      <c r="H80" s="69">
        <f>+VLOOKUP(C80,'PRECIOS IDU 2025'!$A$1:$E$3189,4,FALSE)</f>
        <v>1241977</v>
      </c>
      <c r="I80" s="69">
        <f t="shared" si="12"/>
        <v>1614570</v>
      </c>
      <c r="J80" s="69">
        <f t="shared" si="13"/>
        <v>25316458</v>
      </c>
      <c r="K80" s="9"/>
      <c r="L80" s="3"/>
      <c r="M80" s="76"/>
      <c r="N80" s="78"/>
      <c r="O80" s="76">
        <v>15.682799999999997</v>
      </c>
      <c r="P80" s="78">
        <f t="shared" si="10"/>
        <v>25320978</v>
      </c>
      <c r="Q80" s="76"/>
      <c r="R80" s="78"/>
      <c r="S80" s="76"/>
      <c r="T80" s="78"/>
      <c r="U80" s="76"/>
      <c r="V80" s="78"/>
      <c r="W80" s="76"/>
      <c r="X80" s="78"/>
      <c r="Y80" s="76"/>
      <c r="Z80" s="78"/>
      <c r="AA80" s="76"/>
      <c r="AB80" s="78"/>
      <c r="AC80" s="76"/>
      <c r="AD80" s="78"/>
      <c r="AE80" s="76"/>
      <c r="AF80" s="78"/>
      <c r="AG80" s="76"/>
      <c r="AH80" s="78"/>
      <c r="AI80" s="76"/>
      <c r="AJ80" s="78"/>
      <c r="AK80" s="76"/>
      <c r="AL80" s="78"/>
      <c r="AM80" s="76"/>
      <c r="AN80" s="78"/>
      <c r="AO80" s="76"/>
      <c r="AP80" s="78"/>
      <c r="AQ80" s="76"/>
      <c r="AR80" s="78"/>
      <c r="AS80" s="76"/>
      <c r="AT80" s="78"/>
      <c r="AU80" s="76"/>
      <c r="AV80" s="78"/>
      <c r="AW80" s="76"/>
      <c r="AX80" s="78"/>
      <c r="AY80" s="76"/>
      <c r="AZ80" s="78"/>
      <c r="BA80" s="76"/>
      <c r="BB80" s="78"/>
      <c r="BC80" s="76"/>
      <c r="BD80" s="78"/>
      <c r="BE80" s="76"/>
      <c r="BF80" s="78"/>
      <c r="BG80" s="76"/>
      <c r="BH80" s="78"/>
      <c r="BI80" s="76"/>
      <c r="BJ80" s="78"/>
      <c r="BK80" s="76"/>
      <c r="BL80" s="78"/>
      <c r="BM80" s="76"/>
      <c r="BN80" s="78"/>
      <c r="BO80" s="76"/>
      <c r="BP80" s="78"/>
      <c r="BQ80" s="76"/>
      <c r="BR80" s="78"/>
      <c r="BS80" s="76"/>
      <c r="BT80" s="78"/>
      <c r="BU80" s="76"/>
      <c r="BV80" s="78"/>
    </row>
    <row r="81" spans="1:74" ht="30" customHeight="1" x14ac:dyDescent="0.3">
      <c r="A81" s="3"/>
      <c r="B81" s="8"/>
      <c r="C81" s="60">
        <v>4712</v>
      </c>
      <c r="D81" s="60">
        <v>3013</v>
      </c>
      <c r="E81" s="60" t="str">
        <f>+VLOOKUP(C81,'PRECIOS IDU 2025'!$A$1:$E$3189,2,FALSE)</f>
        <v>MEZCLA ASFALTICA CON ASFALTO CAUCHO (SUMINISTRO, EXTENDIDO, NIVELACIÓN Y COMPACTACIÓN MECANICA)</v>
      </c>
      <c r="F81" s="60" t="str">
        <f>+VLOOKUP(C81,'PRECIOS IDU 2025'!$A$1:$E$3189,3,FALSE)</f>
        <v>M3</v>
      </c>
      <c r="G81" s="108">
        <f t="shared" si="11"/>
        <v>6.72</v>
      </c>
      <c r="H81" s="69">
        <f>+VLOOKUP(C81,'PRECIOS IDU 2025'!$A$1:$E$3189,4,FALSE)</f>
        <v>1556215</v>
      </c>
      <c r="I81" s="69">
        <f t="shared" si="12"/>
        <v>2023080</v>
      </c>
      <c r="J81" s="69">
        <f t="shared" si="13"/>
        <v>13595098</v>
      </c>
      <c r="K81" s="9"/>
      <c r="L81" s="3"/>
      <c r="M81" s="76"/>
      <c r="N81" s="78"/>
      <c r="O81" s="76">
        <v>6.7211999999999987</v>
      </c>
      <c r="P81" s="78">
        <f t="shared" si="10"/>
        <v>13597525</v>
      </c>
      <c r="Q81" s="76"/>
      <c r="R81" s="78"/>
      <c r="S81" s="76"/>
      <c r="T81" s="78"/>
      <c r="U81" s="76"/>
      <c r="V81" s="78"/>
      <c r="W81" s="76"/>
      <c r="X81" s="78"/>
      <c r="Y81" s="76"/>
      <c r="Z81" s="78"/>
      <c r="AA81" s="76"/>
      <c r="AB81" s="78"/>
      <c r="AC81" s="76"/>
      <c r="AD81" s="78"/>
      <c r="AE81" s="76"/>
      <c r="AF81" s="78"/>
      <c r="AG81" s="76"/>
      <c r="AH81" s="78"/>
      <c r="AI81" s="76"/>
      <c r="AJ81" s="78"/>
      <c r="AK81" s="76"/>
      <c r="AL81" s="78"/>
      <c r="AM81" s="76"/>
      <c r="AN81" s="78"/>
      <c r="AO81" s="76"/>
      <c r="AP81" s="78"/>
      <c r="AQ81" s="76"/>
      <c r="AR81" s="78"/>
      <c r="AS81" s="76"/>
      <c r="AT81" s="78"/>
      <c r="AU81" s="76"/>
      <c r="AV81" s="78"/>
      <c r="AW81" s="76"/>
      <c r="AX81" s="78"/>
      <c r="AY81" s="76"/>
      <c r="AZ81" s="78"/>
      <c r="BA81" s="76"/>
      <c r="BB81" s="78"/>
      <c r="BC81" s="76"/>
      <c r="BD81" s="78"/>
      <c r="BE81" s="76"/>
      <c r="BF81" s="78"/>
      <c r="BG81" s="76"/>
      <c r="BH81" s="78"/>
      <c r="BI81" s="76"/>
      <c r="BJ81" s="78"/>
      <c r="BK81" s="76"/>
      <c r="BL81" s="78"/>
      <c r="BM81" s="76"/>
      <c r="BN81" s="78"/>
      <c r="BO81" s="76"/>
      <c r="BP81" s="78"/>
      <c r="BQ81" s="76"/>
      <c r="BR81" s="78"/>
      <c r="BS81" s="76"/>
      <c r="BT81" s="78"/>
      <c r="BU81" s="76"/>
      <c r="BV81" s="78"/>
    </row>
    <row r="82" spans="1:74" ht="30" customHeight="1" x14ac:dyDescent="0.3">
      <c r="A82" s="3"/>
      <c r="B82" s="8"/>
      <c r="C82" s="60">
        <v>4598</v>
      </c>
      <c r="D82" s="60">
        <v>3014</v>
      </c>
      <c r="E82" s="60" t="str">
        <f>+VLOOKUP(C82,'PRECIOS IDU 2025'!$A$1:$E$3189,2,FALSE)</f>
        <v>SELLO DE GRIETAS</v>
      </c>
      <c r="F82" s="60" t="str">
        <f>+VLOOKUP(C82,'PRECIOS IDU 2025'!$A$1:$E$3189,3,FALSE)</f>
        <v>ML</v>
      </c>
      <c r="G82" s="108">
        <f t="shared" si="11"/>
        <v>10</v>
      </c>
      <c r="H82" s="69">
        <f>+VLOOKUP(C82,'PRECIOS IDU 2025'!$A$1:$E$3189,4,FALSE)</f>
        <v>10386</v>
      </c>
      <c r="I82" s="69">
        <f t="shared" si="12"/>
        <v>13502</v>
      </c>
      <c r="J82" s="69">
        <f t="shared" si="13"/>
        <v>135020</v>
      </c>
      <c r="K82" s="9"/>
      <c r="L82" s="3"/>
      <c r="M82" s="76"/>
      <c r="N82" s="78"/>
      <c r="O82" s="76">
        <v>10</v>
      </c>
      <c r="P82" s="78">
        <f t="shared" si="10"/>
        <v>135020</v>
      </c>
      <c r="Q82" s="76"/>
      <c r="R82" s="78"/>
      <c r="S82" s="76"/>
      <c r="T82" s="78"/>
      <c r="U82" s="76"/>
      <c r="V82" s="78"/>
      <c r="W82" s="76"/>
      <c r="X82" s="78"/>
      <c r="Y82" s="76"/>
      <c r="Z82" s="78"/>
      <c r="AA82" s="76"/>
      <c r="AB82" s="78"/>
      <c r="AC82" s="76"/>
      <c r="AD82" s="78"/>
      <c r="AE82" s="76"/>
      <c r="AF82" s="78"/>
      <c r="AG82" s="76"/>
      <c r="AH82" s="78"/>
      <c r="AI82" s="76"/>
      <c r="AJ82" s="78"/>
      <c r="AK82" s="76"/>
      <c r="AL82" s="78"/>
      <c r="AM82" s="76"/>
      <c r="AN82" s="78"/>
      <c r="AO82" s="76"/>
      <c r="AP82" s="78"/>
      <c r="AQ82" s="76"/>
      <c r="AR82" s="78"/>
      <c r="AS82" s="76"/>
      <c r="AT82" s="78"/>
      <c r="AU82" s="76"/>
      <c r="AV82" s="78"/>
      <c r="AW82" s="76"/>
      <c r="AX82" s="78"/>
      <c r="AY82" s="76"/>
      <c r="AZ82" s="78"/>
      <c r="BA82" s="76"/>
      <c r="BB82" s="78"/>
      <c r="BC82" s="76"/>
      <c r="BD82" s="78"/>
      <c r="BE82" s="76"/>
      <c r="BF82" s="78"/>
      <c r="BG82" s="76"/>
      <c r="BH82" s="78"/>
      <c r="BI82" s="76"/>
      <c r="BJ82" s="78"/>
      <c r="BK82" s="76"/>
      <c r="BL82" s="78"/>
      <c r="BM82" s="76"/>
      <c r="BN82" s="78"/>
      <c r="BO82" s="76"/>
      <c r="BP82" s="78"/>
      <c r="BQ82" s="76"/>
      <c r="BR82" s="78"/>
      <c r="BS82" s="76"/>
      <c r="BT82" s="78"/>
      <c r="BU82" s="76"/>
      <c r="BV82" s="78"/>
    </row>
    <row r="83" spans="1:74" ht="30" customHeight="1" x14ac:dyDescent="0.3">
      <c r="A83" s="3"/>
      <c r="B83" s="8"/>
      <c r="C83" s="60">
        <v>4758</v>
      </c>
      <c r="D83" s="60">
        <v>3015</v>
      </c>
      <c r="E83" s="60" t="str">
        <f>+VLOOKUP(C83,'PRECIOS IDU 2025'!$A$1:$E$3189,2,FALSE)</f>
        <v>SELLO DE FISURAS</v>
      </c>
      <c r="F83" s="60" t="str">
        <f>+VLOOKUP(C83,'PRECIOS IDU 2025'!$A$1:$E$3189,3,FALSE)</f>
        <v>ML</v>
      </c>
      <c r="G83" s="108">
        <f t="shared" si="11"/>
        <v>10</v>
      </c>
      <c r="H83" s="69">
        <f>+VLOOKUP(C83,'PRECIOS IDU 2025'!$A$1:$E$3189,4,FALSE)</f>
        <v>8877</v>
      </c>
      <c r="I83" s="69">
        <f t="shared" si="12"/>
        <v>11540</v>
      </c>
      <c r="J83" s="69">
        <f t="shared" si="13"/>
        <v>115400</v>
      </c>
      <c r="K83" s="9"/>
      <c r="L83" s="3"/>
      <c r="M83" s="76"/>
      <c r="N83" s="78"/>
      <c r="O83" s="76">
        <v>10</v>
      </c>
      <c r="P83" s="78">
        <f t="shared" si="10"/>
        <v>115400</v>
      </c>
      <c r="Q83" s="76"/>
      <c r="R83" s="78"/>
      <c r="S83" s="76"/>
      <c r="T83" s="78"/>
      <c r="U83" s="76"/>
      <c r="V83" s="78"/>
      <c r="W83" s="76"/>
      <c r="X83" s="78"/>
      <c r="Y83" s="76"/>
      <c r="Z83" s="78"/>
      <c r="AA83" s="76"/>
      <c r="AB83" s="78"/>
      <c r="AC83" s="76"/>
      <c r="AD83" s="78"/>
      <c r="AE83" s="76"/>
      <c r="AF83" s="78"/>
      <c r="AG83" s="76"/>
      <c r="AH83" s="78"/>
      <c r="AI83" s="76"/>
      <c r="AJ83" s="78"/>
      <c r="AK83" s="76"/>
      <c r="AL83" s="78"/>
      <c r="AM83" s="76"/>
      <c r="AN83" s="78"/>
      <c r="AO83" s="76"/>
      <c r="AP83" s="78"/>
      <c r="AQ83" s="76"/>
      <c r="AR83" s="78"/>
      <c r="AS83" s="76"/>
      <c r="AT83" s="78"/>
      <c r="AU83" s="76"/>
      <c r="AV83" s="78"/>
      <c r="AW83" s="76"/>
      <c r="AX83" s="78"/>
      <c r="AY83" s="76"/>
      <c r="AZ83" s="78"/>
      <c r="BA83" s="76"/>
      <c r="BB83" s="78"/>
      <c r="BC83" s="76"/>
      <c r="BD83" s="78"/>
      <c r="BE83" s="76"/>
      <c r="BF83" s="78"/>
      <c r="BG83" s="76"/>
      <c r="BH83" s="78"/>
      <c r="BI83" s="76"/>
      <c r="BJ83" s="78"/>
      <c r="BK83" s="76"/>
      <c r="BL83" s="78"/>
      <c r="BM83" s="76"/>
      <c r="BN83" s="78"/>
      <c r="BO83" s="76"/>
      <c r="BP83" s="78"/>
      <c r="BQ83" s="76"/>
      <c r="BR83" s="78"/>
      <c r="BS83" s="76"/>
      <c r="BT83" s="78"/>
      <c r="BU83" s="76"/>
      <c r="BV83" s="78"/>
    </row>
    <row r="84" spans="1:74" ht="30" customHeight="1" x14ac:dyDescent="0.3">
      <c r="A84" s="3"/>
      <c r="B84" s="8"/>
      <c r="C84" s="60">
        <v>3723</v>
      </c>
      <c r="D84" s="60">
        <v>3016</v>
      </c>
      <c r="E84" s="60" t="str">
        <f>+VLOOKUP(C84,'PRECIOS IDU 2025'!$A$1:$E$3189,2,FALSE)</f>
        <v>LIMPIEZA DE POZOS (INCLUYE CARGUE, RETIRO Y DISPOSICIÓN FINAL DE SOBRANTES)</v>
      </c>
      <c r="F84" s="60" t="str">
        <f>+VLOOKUP(C84,'PRECIOS IDU 2025'!$A$1:$E$3189,3,FALSE)</f>
        <v>UN</v>
      </c>
      <c r="G84" s="108">
        <f t="shared" si="11"/>
        <v>1</v>
      </c>
      <c r="H84" s="69">
        <f>+VLOOKUP(C84,'PRECIOS IDU 2025'!$A$1:$E$3189,4,FALSE)</f>
        <v>104695</v>
      </c>
      <c r="I84" s="69">
        <f t="shared" si="12"/>
        <v>136104</v>
      </c>
      <c r="J84" s="69">
        <f t="shared" si="13"/>
        <v>136104</v>
      </c>
      <c r="K84" s="9"/>
      <c r="L84" s="3"/>
      <c r="M84" s="76"/>
      <c r="N84" s="78"/>
      <c r="O84" s="76">
        <v>1</v>
      </c>
      <c r="P84" s="78">
        <f t="shared" si="10"/>
        <v>136104</v>
      </c>
      <c r="Q84" s="76"/>
      <c r="R84" s="78"/>
      <c r="S84" s="76"/>
      <c r="T84" s="78"/>
      <c r="U84" s="76"/>
      <c r="V84" s="78"/>
      <c r="W84" s="76"/>
      <c r="X84" s="78"/>
      <c r="Y84" s="76"/>
      <c r="Z84" s="78"/>
      <c r="AA84" s="76"/>
      <c r="AB84" s="78"/>
      <c r="AC84" s="76"/>
      <c r="AD84" s="78"/>
      <c r="AE84" s="76"/>
      <c r="AF84" s="78"/>
      <c r="AG84" s="76"/>
      <c r="AH84" s="78"/>
      <c r="AI84" s="76"/>
      <c r="AJ84" s="78"/>
      <c r="AK84" s="76"/>
      <c r="AL84" s="78"/>
      <c r="AM84" s="76"/>
      <c r="AN84" s="78"/>
      <c r="AO84" s="76"/>
      <c r="AP84" s="78"/>
      <c r="AQ84" s="76"/>
      <c r="AR84" s="78"/>
      <c r="AS84" s="76"/>
      <c r="AT84" s="78"/>
      <c r="AU84" s="76"/>
      <c r="AV84" s="78"/>
      <c r="AW84" s="76"/>
      <c r="AX84" s="78"/>
      <c r="AY84" s="76"/>
      <c r="AZ84" s="78"/>
      <c r="BA84" s="76"/>
      <c r="BB84" s="78"/>
      <c r="BC84" s="76"/>
      <c r="BD84" s="78"/>
      <c r="BE84" s="76"/>
      <c r="BF84" s="78"/>
      <c r="BG84" s="76"/>
      <c r="BH84" s="78"/>
      <c r="BI84" s="76"/>
      <c r="BJ84" s="78"/>
      <c r="BK84" s="76"/>
      <c r="BL84" s="78"/>
      <c r="BM84" s="76"/>
      <c r="BN84" s="78"/>
      <c r="BO84" s="76"/>
      <c r="BP84" s="78"/>
      <c r="BQ84" s="76"/>
      <c r="BR84" s="78"/>
      <c r="BS84" s="76"/>
      <c r="BT84" s="78"/>
      <c r="BU84" s="76"/>
      <c r="BV84" s="78"/>
    </row>
    <row r="85" spans="1:74" ht="30" customHeight="1" x14ac:dyDescent="0.3">
      <c r="A85" s="3"/>
      <c r="B85" s="8"/>
      <c r="C85" s="60">
        <v>3724</v>
      </c>
      <c r="D85" s="60">
        <v>3017</v>
      </c>
      <c r="E85" s="60" t="str">
        <f>+VLOOKUP(C85,'PRECIOS IDU 2025'!$A$1:$E$3189,2,FALSE)</f>
        <v>LIMPIEZA DE SUMIDEROS (INCLUYE CARGUE, RETIRO Y DISPOSICIÓN FINAL DE SOBRANTES)</v>
      </c>
      <c r="F85" s="60" t="str">
        <f>+VLOOKUP(C85,'PRECIOS IDU 2025'!$A$1:$E$3189,3,FALSE)</f>
        <v>UN</v>
      </c>
      <c r="G85" s="108">
        <f t="shared" si="11"/>
        <v>1</v>
      </c>
      <c r="H85" s="69">
        <f>+VLOOKUP(C85,'PRECIOS IDU 2025'!$A$1:$E$3189,4,FALSE)</f>
        <v>104695</v>
      </c>
      <c r="I85" s="69">
        <f t="shared" si="12"/>
        <v>136104</v>
      </c>
      <c r="J85" s="69">
        <f t="shared" si="13"/>
        <v>136104</v>
      </c>
      <c r="K85" s="9"/>
      <c r="L85" s="3"/>
      <c r="M85" s="76"/>
      <c r="N85" s="78"/>
      <c r="O85" s="76">
        <v>1</v>
      </c>
      <c r="P85" s="78">
        <f t="shared" si="10"/>
        <v>136104</v>
      </c>
      <c r="Q85" s="76"/>
      <c r="R85" s="78"/>
      <c r="S85" s="76"/>
      <c r="T85" s="78"/>
      <c r="U85" s="76"/>
      <c r="V85" s="78"/>
      <c r="W85" s="76"/>
      <c r="X85" s="78"/>
      <c r="Y85" s="76"/>
      <c r="Z85" s="78"/>
      <c r="AA85" s="76"/>
      <c r="AB85" s="78"/>
      <c r="AC85" s="76"/>
      <c r="AD85" s="78"/>
      <c r="AE85" s="76"/>
      <c r="AF85" s="78"/>
      <c r="AG85" s="76"/>
      <c r="AH85" s="78"/>
      <c r="AI85" s="76"/>
      <c r="AJ85" s="78"/>
      <c r="AK85" s="76"/>
      <c r="AL85" s="78"/>
      <c r="AM85" s="76"/>
      <c r="AN85" s="78"/>
      <c r="AO85" s="76"/>
      <c r="AP85" s="78"/>
      <c r="AQ85" s="76"/>
      <c r="AR85" s="78"/>
      <c r="AS85" s="76"/>
      <c r="AT85" s="78"/>
      <c r="AU85" s="76"/>
      <c r="AV85" s="78"/>
      <c r="AW85" s="76"/>
      <c r="AX85" s="78"/>
      <c r="AY85" s="76"/>
      <c r="AZ85" s="78"/>
      <c r="BA85" s="76"/>
      <c r="BB85" s="78"/>
      <c r="BC85" s="76"/>
      <c r="BD85" s="78"/>
      <c r="BE85" s="76"/>
      <c r="BF85" s="78"/>
      <c r="BG85" s="76"/>
      <c r="BH85" s="78"/>
      <c r="BI85" s="76"/>
      <c r="BJ85" s="78"/>
      <c r="BK85" s="76"/>
      <c r="BL85" s="78"/>
      <c r="BM85" s="76"/>
      <c r="BN85" s="78"/>
      <c r="BO85" s="76"/>
      <c r="BP85" s="78"/>
      <c r="BQ85" s="76"/>
      <c r="BR85" s="78"/>
      <c r="BS85" s="76"/>
      <c r="BT85" s="78"/>
      <c r="BU85" s="76"/>
      <c r="BV85" s="78"/>
    </row>
    <row r="86" spans="1:74" ht="30" customHeight="1" x14ac:dyDescent="0.3">
      <c r="A86" s="3"/>
      <c r="B86" s="8"/>
      <c r="C86" s="66" t="s">
        <v>6079</v>
      </c>
      <c r="D86" s="62"/>
      <c r="E86" s="62"/>
      <c r="F86" s="62"/>
      <c r="G86" s="62"/>
      <c r="H86" s="62"/>
      <c r="I86" s="62"/>
      <c r="J86" s="63"/>
      <c r="K86" s="9"/>
      <c r="L86" s="3"/>
      <c r="M86" s="76"/>
      <c r="N86" s="78"/>
      <c r="O86" s="76"/>
      <c r="P86" s="78">
        <f t="shared" si="10"/>
        <v>0</v>
      </c>
      <c r="Q86" s="76"/>
      <c r="R86" s="78"/>
      <c r="S86" s="76"/>
      <c r="T86" s="78"/>
      <c r="U86" s="76"/>
      <c r="V86" s="78"/>
      <c r="W86" s="76"/>
      <c r="X86" s="78"/>
      <c r="Y86" s="76"/>
      <c r="Z86" s="78"/>
      <c r="AA86" s="76"/>
      <c r="AB86" s="78"/>
      <c r="AC86" s="76"/>
      <c r="AD86" s="78"/>
      <c r="AE86" s="76"/>
      <c r="AF86" s="78"/>
      <c r="AG86" s="76"/>
      <c r="AH86" s="78"/>
      <c r="AI86" s="76"/>
      <c r="AJ86" s="78"/>
      <c r="AK86" s="76"/>
      <c r="AL86" s="78"/>
      <c r="AM86" s="76"/>
      <c r="AN86" s="78"/>
      <c r="AO86" s="76"/>
      <c r="AP86" s="78"/>
      <c r="AQ86" s="76"/>
      <c r="AR86" s="78"/>
      <c r="AS86" s="76"/>
      <c r="AT86" s="78"/>
      <c r="AU86" s="76"/>
      <c r="AV86" s="78"/>
      <c r="AW86" s="76"/>
      <c r="AX86" s="78"/>
      <c r="AY86" s="76"/>
      <c r="AZ86" s="78"/>
      <c r="BA86" s="76"/>
      <c r="BB86" s="78"/>
      <c r="BC86" s="76"/>
      <c r="BD86" s="78"/>
      <c r="BE86" s="76"/>
      <c r="BF86" s="78"/>
      <c r="BG86" s="76"/>
      <c r="BH86" s="78"/>
      <c r="BI86" s="76"/>
      <c r="BJ86" s="78"/>
      <c r="BK86" s="76"/>
      <c r="BL86" s="78"/>
      <c r="BM86" s="76"/>
      <c r="BN86" s="78"/>
      <c r="BO86" s="76"/>
      <c r="BP86" s="78"/>
      <c r="BQ86" s="76"/>
      <c r="BR86" s="78"/>
      <c r="BS86" s="76"/>
      <c r="BT86" s="78"/>
      <c r="BU86" s="76"/>
      <c r="BV86" s="78"/>
    </row>
    <row r="87" spans="1:74" ht="30" customHeight="1" x14ac:dyDescent="0.3">
      <c r="A87" s="3"/>
      <c r="B87" s="8"/>
      <c r="C87" s="60">
        <v>3007</v>
      </c>
      <c r="D87" s="60">
        <v>4001</v>
      </c>
      <c r="E87" s="60" t="str">
        <f>+VLOOKUP(C87,'PRECIOS IDU 2025'!$A$1:$E$3189,2,FALSE)</f>
        <v>REPLANTEO GENERAL</v>
      </c>
      <c r="F87" s="60" t="str">
        <f>+VLOOKUP(C87,'PRECIOS IDU 2025'!$A$1:$E$3189,3,FALSE)</f>
        <v>M2</v>
      </c>
      <c r="G87" s="108">
        <f t="shared" ref="G87:G110" si="14">+ROUND(M87+O87+Q87+S87+U87+W87+Y87+AA87+AC87+AE87+AG87+AI87+AK87+AM87+AO87+AQ87+AS87+AU87+AW87+AY87+BA87+BC87+BE87+BG87+BI87+BK87+BM87+BO87+BQ87+BS87+BU87,2)</f>
        <v>0</v>
      </c>
      <c r="H87" s="69">
        <f>+VLOOKUP(C87,'PRECIOS IDU 2025'!$A$1:$E$3189,4,FALSE)</f>
        <v>909</v>
      </c>
      <c r="I87" s="69">
        <f t="shared" ref="I87:I110" si="15">+ROUND(H87*(1+$J$192),0)</f>
        <v>1182</v>
      </c>
      <c r="J87" s="69">
        <f t="shared" ref="J87:J110" si="16">+ROUND(I87*G87,0)</f>
        <v>0</v>
      </c>
      <c r="K87" s="9"/>
      <c r="L87" s="3"/>
      <c r="M87" s="76"/>
      <c r="N87" s="78"/>
      <c r="O87" s="76"/>
      <c r="P87" s="78">
        <f t="shared" si="10"/>
        <v>0</v>
      </c>
      <c r="Q87" s="76"/>
      <c r="R87" s="78"/>
      <c r="S87" s="76"/>
      <c r="T87" s="78"/>
      <c r="U87" s="76"/>
      <c r="V87" s="78"/>
      <c r="W87" s="76"/>
      <c r="X87" s="78"/>
      <c r="Y87" s="76"/>
      <c r="Z87" s="78"/>
      <c r="AA87" s="76"/>
      <c r="AB87" s="78"/>
      <c r="AC87" s="76"/>
      <c r="AD87" s="78"/>
      <c r="AE87" s="76"/>
      <c r="AF87" s="78"/>
      <c r="AG87" s="76"/>
      <c r="AH87" s="78"/>
      <c r="AI87" s="76"/>
      <c r="AJ87" s="78"/>
      <c r="AK87" s="76"/>
      <c r="AL87" s="78"/>
      <c r="AM87" s="76"/>
      <c r="AN87" s="78"/>
      <c r="AO87" s="76"/>
      <c r="AP87" s="78"/>
      <c r="AQ87" s="76"/>
      <c r="AR87" s="78"/>
      <c r="AS87" s="76"/>
      <c r="AT87" s="78"/>
      <c r="AU87" s="76"/>
      <c r="AV87" s="78"/>
      <c r="AW87" s="76"/>
      <c r="AX87" s="78"/>
      <c r="AY87" s="76"/>
      <c r="AZ87" s="78"/>
      <c r="BA87" s="76"/>
      <c r="BB87" s="78"/>
      <c r="BC87" s="76"/>
      <c r="BD87" s="78"/>
      <c r="BE87" s="76"/>
      <c r="BF87" s="78"/>
      <c r="BG87" s="76"/>
      <c r="BH87" s="78"/>
      <c r="BI87" s="76"/>
      <c r="BJ87" s="78"/>
      <c r="BK87" s="76"/>
      <c r="BL87" s="78"/>
      <c r="BM87" s="76"/>
      <c r="BN87" s="78"/>
      <c r="BO87" s="76"/>
      <c r="BP87" s="78"/>
      <c r="BQ87" s="76"/>
      <c r="BR87" s="78"/>
      <c r="BS87" s="76"/>
      <c r="BT87" s="78"/>
      <c r="BU87" s="76"/>
      <c r="BV87" s="78"/>
    </row>
    <row r="88" spans="1:74" ht="30" customHeight="1" x14ac:dyDescent="0.3">
      <c r="A88" s="3"/>
      <c r="B88" s="8"/>
      <c r="C88" s="60">
        <v>3811</v>
      </c>
      <c r="D88" s="60">
        <v>4002</v>
      </c>
      <c r="E88" s="60" t="str">
        <f>+VLOOKUP(C88,'PRECIOS IDU 2025'!$A$1:$E$3189,2,FALSE)</f>
        <v>CORTE DE PAVIMENTO - INCLUYE EQUIPO: CORTADORA DE CONCRETO INCLUYE OPERARIO Y COMBUSTIBLE. INCLUYE DISCO DIAMANTADO ASFALTO-CONCRETO 350 MM, AGUA Y MANO DE OBRA</v>
      </c>
      <c r="F88" s="60" t="str">
        <f>+VLOOKUP(C88,'PRECIOS IDU 2025'!$A$1:$E$3189,3,FALSE)</f>
        <v>ML</v>
      </c>
      <c r="G88" s="108">
        <f t="shared" si="14"/>
        <v>0</v>
      </c>
      <c r="H88" s="69">
        <f>+VLOOKUP(C88,'PRECIOS IDU 2025'!$A$1:$E$3189,4,FALSE)</f>
        <v>2659</v>
      </c>
      <c r="I88" s="69">
        <f t="shared" si="15"/>
        <v>3457</v>
      </c>
      <c r="J88" s="69">
        <f t="shared" si="16"/>
        <v>0</v>
      </c>
      <c r="K88" s="9"/>
      <c r="L88" s="3"/>
      <c r="M88" s="76"/>
      <c r="N88" s="78"/>
      <c r="O88" s="76"/>
      <c r="P88" s="78">
        <f t="shared" si="10"/>
        <v>0</v>
      </c>
      <c r="Q88" s="76"/>
      <c r="R88" s="78"/>
      <c r="S88" s="76"/>
      <c r="T88" s="78"/>
      <c r="U88" s="76"/>
      <c r="V88" s="78"/>
      <c r="W88" s="76"/>
      <c r="X88" s="78"/>
      <c r="Y88" s="76"/>
      <c r="Z88" s="78"/>
      <c r="AA88" s="76"/>
      <c r="AB88" s="78"/>
      <c r="AC88" s="76"/>
      <c r="AD88" s="78"/>
      <c r="AE88" s="76"/>
      <c r="AF88" s="78"/>
      <c r="AG88" s="76"/>
      <c r="AH88" s="78"/>
      <c r="AI88" s="76"/>
      <c r="AJ88" s="78"/>
      <c r="AK88" s="76"/>
      <c r="AL88" s="78"/>
      <c r="AM88" s="76"/>
      <c r="AN88" s="78"/>
      <c r="AO88" s="76"/>
      <c r="AP88" s="78"/>
      <c r="AQ88" s="76"/>
      <c r="AR88" s="78"/>
      <c r="AS88" s="76"/>
      <c r="AT88" s="78"/>
      <c r="AU88" s="76"/>
      <c r="AV88" s="78"/>
      <c r="AW88" s="76"/>
      <c r="AX88" s="78"/>
      <c r="AY88" s="76"/>
      <c r="AZ88" s="78"/>
      <c r="BA88" s="76"/>
      <c r="BB88" s="78"/>
      <c r="BC88" s="76"/>
      <c r="BD88" s="78"/>
      <c r="BE88" s="76"/>
      <c r="BF88" s="78"/>
      <c r="BG88" s="76"/>
      <c r="BH88" s="78"/>
      <c r="BI88" s="76"/>
      <c r="BJ88" s="78"/>
      <c r="BK88" s="76"/>
      <c r="BL88" s="78"/>
      <c r="BM88" s="76"/>
      <c r="BN88" s="78"/>
      <c r="BO88" s="76"/>
      <c r="BP88" s="78"/>
      <c r="BQ88" s="76"/>
      <c r="BR88" s="78"/>
      <c r="BS88" s="76"/>
      <c r="BT88" s="78"/>
      <c r="BU88" s="76"/>
      <c r="BV88" s="78"/>
    </row>
    <row r="89" spans="1:74" ht="30" customHeight="1" x14ac:dyDescent="0.3">
      <c r="A89" s="3"/>
      <c r="B89" s="8"/>
      <c r="C89" s="60">
        <v>3010</v>
      </c>
      <c r="D89" s="60">
        <v>4003</v>
      </c>
      <c r="E89" s="60" t="str">
        <f>+VLOOKUP(C89,'PRECIOS IDU 2025'!$A$1:$E$3189,2,FALSE)</f>
        <v>DEMOLICION PAVIMENTO ASFALTICO (INCLUYE CARGUE). NO INCLUYE TRANSPORTE Y DISPOSICIÓN FINAL DE SOBRANTES.</v>
      </c>
      <c r="F89" s="60" t="str">
        <f>+VLOOKUP(C89,'PRECIOS IDU 2025'!$A$1:$E$3189,3,FALSE)</f>
        <v>M3</v>
      </c>
      <c r="G89" s="108">
        <f t="shared" si="14"/>
        <v>0</v>
      </c>
      <c r="H89" s="69">
        <f>+VLOOKUP(C89,'PRECIOS IDU 2025'!$A$1:$E$3189,4,FALSE)</f>
        <v>38781</v>
      </c>
      <c r="I89" s="69">
        <f t="shared" si="15"/>
        <v>50415</v>
      </c>
      <c r="J89" s="69">
        <f t="shared" si="16"/>
        <v>0</v>
      </c>
      <c r="K89" s="9"/>
      <c r="L89" s="3"/>
      <c r="M89" s="76"/>
      <c r="N89" s="78"/>
      <c r="O89" s="76"/>
      <c r="P89" s="78">
        <f t="shared" si="10"/>
        <v>0</v>
      </c>
      <c r="Q89" s="76"/>
      <c r="R89" s="78"/>
      <c r="S89" s="76"/>
      <c r="T89" s="78"/>
      <c r="U89" s="76"/>
      <c r="V89" s="78"/>
      <c r="W89" s="76"/>
      <c r="X89" s="78"/>
      <c r="Y89" s="76"/>
      <c r="Z89" s="78"/>
      <c r="AA89" s="76"/>
      <c r="AB89" s="78"/>
      <c r="AC89" s="76"/>
      <c r="AD89" s="78"/>
      <c r="AE89" s="76"/>
      <c r="AF89" s="78"/>
      <c r="AG89" s="76"/>
      <c r="AH89" s="78"/>
      <c r="AI89" s="76"/>
      <c r="AJ89" s="78"/>
      <c r="AK89" s="76"/>
      <c r="AL89" s="78"/>
      <c r="AM89" s="76"/>
      <c r="AN89" s="78"/>
      <c r="AO89" s="76"/>
      <c r="AP89" s="78"/>
      <c r="AQ89" s="76"/>
      <c r="AR89" s="78"/>
      <c r="AS89" s="76"/>
      <c r="AT89" s="78"/>
      <c r="AU89" s="76"/>
      <c r="AV89" s="78"/>
      <c r="AW89" s="76"/>
      <c r="AX89" s="78"/>
      <c r="AY89" s="76"/>
      <c r="AZ89" s="78"/>
      <c r="BA89" s="76"/>
      <c r="BB89" s="78"/>
      <c r="BC89" s="76"/>
      <c r="BD89" s="78"/>
      <c r="BE89" s="76"/>
      <c r="BF89" s="78"/>
      <c r="BG89" s="76"/>
      <c r="BH89" s="78"/>
      <c r="BI89" s="76"/>
      <c r="BJ89" s="78"/>
      <c r="BK89" s="76"/>
      <c r="BL89" s="78"/>
      <c r="BM89" s="76"/>
      <c r="BN89" s="78"/>
      <c r="BO89" s="76"/>
      <c r="BP89" s="78"/>
      <c r="BQ89" s="76"/>
      <c r="BR89" s="78"/>
      <c r="BS89" s="76"/>
      <c r="BT89" s="78"/>
      <c r="BU89" s="76"/>
      <c r="BV89" s="78"/>
    </row>
    <row r="90" spans="1:74" ht="30" customHeight="1" x14ac:dyDescent="0.3">
      <c r="A90" s="3"/>
      <c r="B90" s="8"/>
      <c r="C90" s="60">
        <v>3486</v>
      </c>
      <c r="D90" s="60">
        <v>4004</v>
      </c>
      <c r="E90" s="60" t="str">
        <f>+VLOOKUP(C90,'PRECIOS IDU 2025'!$A$1:$E$3189,2,FALSE)</f>
        <v>DEMOLICIÓN CONCRETO ESTRUCTURAL (INCLUYE CARGUE MANUAL). NO INCLUYE TRANSPORTE Y DISPOSICIÓN FINAL DE SOBRANTES.</v>
      </c>
      <c r="F90" s="60" t="str">
        <f>+VLOOKUP(C90,'PRECIOS IDU 2025'!$A$1:$E$3189,3,FALSE)</f>
        <v>M3</v>
      </c>
      <c r="G90" s="108">
        <f t="shared" si="14"/>
        <v>0</v>
      </c>
      <c r="H90" s="69">
        <f>+VLOOKUP(C90,'PRECIOS IDU 2025'!$A$1:$E$3189,4,FALSE)</f>
        <v>187178</v>
      </c>
      <c r="I90" s="69">
        <f t="shared" si="15"/>
        <v>243331</v>
      </c>
      <c r="J90" s="69">
        <f t="shared" si="16"/>
        <v>0</v>
      </c>
      <c r="K90" s="9"/>
      <c r="L90" s="3"/>
      <c r="M90" s="76"/>
      <c r="N90" s="78"/>
      <c r="O90" s="76"/>
      <c r="P90" s="78">
        <f t="shared" si="10"/>
        <v>0</v>
      </c>
      <c r="Q90" s="76"/>
      <c r="R90" s="78"/>
      <c r="S90" s="76"/>
      <c r="T90" s="78"/>
      <c r="U90" s="76"/>
      <c r="V90" s="78"/>
      <c r="W90" s="76"/>
      <c r="X90" s="78"/>
      <c r="Y90" s="76"/>
      <c r="Z90" s="78"/>
      <c r="AA90" s="76"/>
      <c r="AB90" s="78"/>
      <c r="AC90" s="76"/>
      <c r="AD90" s="78"/>
      <c r="AE90" s="76"/>
      <c r="AF90" s="78"/>
      <c r="AG90" s="76"/>
      <c r="AH90" s="78"/>
      <c r="AI90" s="76"/>
      <c r="AJ90" s="78"/>
      <c r="AK90" s="76"/>
      <c r="AL90" s="78"/>
      <c r="AM90" s="76"/>
      <c r="AN90" s="78"/>
      <c r="AO90" s="76"/>
      <c r="AP90" s="78"/>
      <c r="AQ90" s="76"/>
      <c r="AR90" s="78"/>
      <c r="AS90" s="76"/>
      <c r="AT90" s="78"/>
      <c r="AU90" s="76"/>
      <c r="AV90" s="78"/>
      <c r="AW90" s="76"/>
      <c r="AX90" s="78"/>
      <c r="AY90" s="76"/>
      <c r="AZ90" s="78"/>
      <c r="BA90" s="76"/>
      <c r="BB90" s="78"/>
      <c r="BC90" s="76"/>
      <c r="BD90" s="78"/>
      <c r="BE90" s="76"/>
      <c r="BF90" s="78"/>
      <c r="BG90" s="76"/>
      <c r="BH90" s="78"/>
      <c r="BI90" s="76"/>
      <c r="BJ90" s="78"/>
      <c r="BK90" s="76"/>
      <c r="BL90" s="78"/>
      <c r="BM90" s="76"/>
      <c r="BN90" s="78"/>
      <c r="BO90" s="76"/>
      <c r="BP90" s="78"/>
      <c r="BQ90" s="76"/>
      <c r="BR90" s="78"/>
      <c r="BS90" s="76"/>
      <c r="BT90" s="78"/>
      <c r="BU90" s="76"/>
      <c r="BV90" s="78"/>
    </row>
    <row r="91" spans="1:74" ht="30" customHeight="1" x14ac:dyDescent="0.3">
      <c r="A91" s="3"/>
      <c r="B91" s="8"/>
      <c r="C91" s="60">
        <v>3710</v>
      </c>
      <c r="D91" s="60">
        <v>4005</v>
      </c>
      <c r="E91" s="60" t="str">
        <f>+VLOOKUP(C91,'PRECIOS IDU 2025'!$A$1:$E$3189,2,FALSE)</f>
        <v>EXCAVACIÓN MECÁNICA EN MATERIAL COMÚN (INCLUYE CARGUE)</v>
      </c>
      <c r="F91" s="60" t="str">
        <f>+VLOOKUP(C91,'PRECIOS IDU 2025'!$A$1:$E$3189,3,FALSE)</f>
        <v>M3</v>
      </c>
      <c r="G91" s="108">
        <f t="shared" si="14"/>
        <v>0</v>
      </c>
      <c r="H91" s="69">
        <f>+VLOOKUP(C91,'PRECIOS IDU 2025'!$A$1:$E$3189,4,FALSE)</f>
        <v>5741</v>
      </c>
      <c r="I91" s="69">
        <f t="shared" si="15"/>
        <v>7463</v>
      </c>
      <c r="J91" s="69">
        <f t="shared" si="16"/>
        <v>0</v>
      </c>
      <c r="K91" s="9"/>
      <c r="L91" s="3"/>
      <c r="M91" s="76"/>
      <c r="N91" s="78"/>
      <c r="O91" s="76"/>
      <c r="P91" s="78">
        <f t="shared" si="10"/>
        <v>0</v>
      </c>
      <c r="Q91" s="76"/>
      <c r="R91" s="78"/>
      <c r="S91" s="76"/>
      <c r="T91" s="78"/>
      <c r="U91" s="76"/>
      <c r="V91" s="78"/>
      <c r="W91" s="76"/>
      <c r="X91" s="78"/>
      <c r="Y91" s="76"/>
      <c r="Z91" s="78"/>
      <c r="AA91" s="76"/>
      <c r="AB91" s="78"/>
      <c r="AC91" s="76"/>
      <c r="AD91" s="78"/>
      <c r="AE91" s="76"/>
      <c r="AF91" s="78"/>
      <c r="AG91" s="76"/>
      <c r="AH91" s="78"/>
      <c r="AI91" s="76"/>
      <c r="AJ91" s="78"/>
      <c r="AK91" s="76"/>
      <c r="AL91" s="78"/>
      <c r="AM91" s="76"/>
      <c r="AN91" s="78"/>
      <c r="AO91" s="76"/>
      <c r="AP91" s="78"/>
      <c r="AQ91" s="76"/>
      <c r="AR91" s="78"/>
      <c r="AS91" s="76"/>
      <c r="AT91" s="78"/>
      <c r="AU91" s="76"/>
      <c r="AV91" s="78"/>
      <c r="AW91" s="76"/>
      <c r="AX91" s="78"/>
      <c r="AY91" s="76"/>
      <c r="AZ91" s="78"/>
      <c r="BA91" s="76"/>
      <c r="BB91" s="78"/>
      <c r="BC91" s="76"/>
      <c r="BD91" s="78"/>
      <c r="BE91" s="76"/>
      <c r="BF91" s="78"/>
      <c r="BG91" s="76"/>
      <c r="BH91" s="78"/>
      <c r="BI91" s="76"/>
      <c r="BJ91" s="78"/>
      <c r="BK91" s="76"/>
      <c r="BL91" s="78"/>
      <c r="BM91" s="76"/>
      <c r="BN91" s="78"/>
      <c r="BO91" s="76"/>
      <c r="BP91" s="78"/>
      <c r="BQ91" s="76"/>
      <c r="BR91" s="78"/>
      <c r="BS91" s="76"/>
      <c r="BT91" s="78"/>
      <c r="BU91" s="76"/>
      <c r="BV91" s="78"/>
    </row>
    <row r="92" spans="1:74" ht="30" customHeight="1" x14ac:dyDescent="0.3">
      <c r="A92" s="3"/>
      <c r="B92" s="8"/>
      <c r="C92" s="60">
        <v>3464</v>
      </c>
      <c r="D92" s="60">
        <v>4006</v>
      </c>
      <c r="E92" s="60" t="str">
        <f>+VLOOKUP(C92,'PRECIOS IDU 2025'!$A$1:$E$3189,2,FALSE)</f>
        <v>EXCAVACION MANUAL EN MATERIAL COMUN. INCLUYE CARGUE.</v>
      </c>
      <c r="F92" s="60" t="str">
        <f>+VLOOKUP(C92,'PRECIOS IDU 2025'!$A$1:$E$3189,3,FALSE)</f>
        <v>M3</v>
      </c>
      <c r="G92" s="108">
        <f t="shared" si="14"/>
        <v>0</v>
      </c>
      <c r="H92" s="69">
        <f>+VLOOKUP(C92,'PRECIOS IDU 2025'!$A$1:$E$3189,4,FALSE)</f>
        <v>46379</v>
      </c>
      <c r="I92" s="69">
        <f t="shared" si="15"/>
        <v>60293</v>
      </c>
      <c r="J92" s="69">
        <f t="shared" si="16"/>
        <v>0</v>
      </c>
      <c r="K92" s="9"/>
      <c r="L92" s="3"/>
      <c r="M92" s="76"/>
      <c r="N92" s="78"/>
      <c r="O92" s="76"/>
      <c r="P92" s="78">
        <f t="shared" si="10"/>
        <v>0</v>
      </c>
      <c r="Q92" s="76"/>
      <c r="R92" s="78"/>
      <c r="S92" s="76"/>
      <c r="T92" s="78"/>
      <c r="U92" s="76"/>
      <c r="V92" s="78"/>
      <c r="W92" s="76"/>
      <c r="X92" s="78"/>
      <c r="Y92" s="76"/>
      <c r="Z92" s="78"/>
      <c r="AA92" s="76"/>
      <c r="AB92" s="78"/>
      <c r="AC92" s="76"/>
      <c r="AD92" s="78"/>
      <c r="AE92" s="76"/>
      <c r="AF92" s="78"/>
      <c r="AG92" s="76"/>
      <c r="AH92" s="78"/>
      <c r="AI92" s="76"/>
      <c r="AJ92" s="78"/>
      <c r="AK92" s="76"/>
      <c r="AL92" s="78"/>
      <c r="AM92" s="76"/>
      <c r="AN92" s="78"/>
      <c r="AO92" s="76"/>
      <c r="AP92" s="78"/>
      <c r="AQ92" s="76"/>
      <c r="AR92" s="78"/>
      <c r="AS92" s="76"/>
      <c r="AT92" s="78"/>
      <c r="AU92" s="76"/>
      <c r="AV92" s="78"/>
      <c r="AW92" s="76"/>
      <c r="AX92" s="78"/>
      <c r="AY92" s="76"/>
      <c r="AZ92" s="78"/>
      <c r="BA92" s="76"/>
      <c r="BB92" s="78"/>
      <c r="BC92" s="76"/>
      <c r="BD92" s="78"/>
      <c r="BE92" s="76"/>
      <c r="BF92" s="78"/>
      <c r="BG92" s="76"/>
      <c r="BH92" s="78"/>
      <c r="BI92" s="76"/>
      <c r="BJ92" s="78"/>
      <c r="BK92" s="76"/>
      <c r="BL92" s="78"/>
      <c r="BM92" s="76"/>
      <c r="BN92" s="78"/>
      <c r="BO92" s="76"/>
      <c r="BP92" s="78"/>
      <c r="BQ92" s="76"/>
      <c r="BR92" s="78"/>
      <c r="BS92" s="76"/>
      <c r="BT92" s="78"/>
      <c r="BU92" s="76"/>
      <c r="BV92" s="78"/>
    </row>
    <row r="93" spans="1:74" ht="30" customHeight="1" x14ac:dyDescent="0.3">
      <c r="A93" s="3"/>
      <c r="B93" s="8"/>
      <c r="C93" s="60">
        <v>3017</v>
      </c>
      <c r="D93" s="60">
        <v>4007</v>
      </c>
      <c r="E93" s="60" t="str">
        <f>+VLOOKUP(C93,'PRECIOS IDU 2025'!$A$1:$E$3189,2,FALSE)</f>
        <v>TRANSPORTE Y DISPOSICIÓN FINAL DE ESCOMBROS EN SITIO AUTORIZADO (DISTANCIA DE TRANSPORTE 21 KM). A DISTANCIA MAYOR DEL ACARREO LIBRE (90 M) EN SITIO AUTORIZADO POR LA ENTIDAD AMBIENTAL COMPETENTE.</v>
      </c>
      <c r="F93" s="60" t="str">
        <f>+VLOOKUP(C93,'PRECIOS IDU 2025'!$A$1:$E$3189,3,FALSE)</f>
        <v>M3</v>
      </c>
      <c r="G93" s="108">
        <f t="shared" si="14"/>
        <v>0</v>
      </c>
      <c r="H93" s="69">
        <f>+VLOOKUP(C93,'PRECIOS IDU 2025'!$A$1:$E$3189,4,FALSE)</f>
        <v>45600</v>
      </c>
      <c r="I93" s="69">
        <f t="shared" si="15"/>
        <v>59280</v>
      </c>
      <c r="J93" s="69">
        <f t="shared" si="16"/>
        <v>0</v>
      </c>
      <c r="K93" s="9"/>
      <c r="L93" s="3"/>
      <c r="M93" s="76"/>
      <c r="N93" s="78"/>
      <c r="O93" s="76"/>
      <c r="P93" s="78">
        <f t="shared" si="10"/>
        <v>0</v>
      </c>
      <c r="Q93" s="76"/>
      <c r="R93" s="78"/>
      <c r="S93" s="76"/>
      <c r="T93" s="78"/>
      <c r="U93" s="76"/>
      <c r="V93" s="78"/>
      <c r="W93" s="76"/>
      <c r="X93" s="78"/>
      <c r="Y93" s="76"/>
      <c r="Z93" s="78"/>
      <c r="AA93" s="76"/>
      <c r="AB93" s="78"/>
      <c r="AC93" s="76"/>
      <c r="AD93" s="78"/>
      <c r="AE93" s="76"/>
      <c r="AF93" s="78"/>
      <c r="AG93" s="76"/>
      <c r="AH93" s="78"/>
      <c r="AI93" s="76"/>
      <c r="AJ93" s="78"/>
      <c r="AK93" s="76"/>
      <c r="AL93" s="78"/>
      <c r="AM93" s="76"/>
      <c r="AN93" s="78"/>
      <c r="AO93" s="76"/>
      <c r="AP93" s="78"/>
      <c r="AQ93" s="76"/>
      <c r="AR93" s="78"/>
      <c r="AS93" s="76"/>
      <c r="AT93" s="78"/>
      <c r="AU93" s="76"/>
      <c r="AV93" s="78"/>
      <c r="AW93" s="76"/>
      <c r="AX93" s="78"/>
      <c r="AY93" s="76"/>
      <c r="AZ93" s="78"/>
      <c r="BA93" s="76"/>
      <c r="BB93" s="78"/>
      <c r="BC93" s="76"/>
      <c r="BD93" s="78"/>
      <c r="BE93" s="76"/>
      <c r="BF93" s="78"/>
      <c r="BG93" s="76"/>
      <c r="BH93" s="78"/>
      <c r="BI93" s="76"/>
      <c r="BJ93" s="78"/>
      <c r="BK93" s="76"/>
      <c r="BL93" s="78"/>
      <c r="BM93" s="76"/>
      <c r="BN93" s="78"/>
      <c r="BO93" s="76"/>
      <c r="BP93" s="78"/>
      <c r="BQ93" s="76"/>
      <c r="BR93" s="78"/>
      <c r="BS93" s="76"/>
      <c r="BT93" s="78"/>
      <c r="BU93" s="76"/>
      <c r="BV93" s="78"/>
    </row>
    <row r="94" spans="1:74" ht="30" customHeight="1" x14ac:dyDescent="0.3">
      <c r="A94" s="3"/>
      <c r="B94" s="8"/>
      <c r="C94" s="60">
        <v>3800</v>
      </c>
      <c r="D94" s="60">
        <v>4008</v>
      </c>
      <c r="E94" s="60" t="str">
        <f>+VLOOKUP(C94,'PRECIOS IDU 2025'!$A$1:$E$3189,2,FALSE)</f>
        <v>NIVELACION Y COMPACTACIÓN DE SUBRASANTE</v>
      </c>
      <c r="F94" s="60" t="str">
        <f>+VLOOKUP(C94,'PRECIOS IDU 2025'!$A$1:$E$3189,3,FALSE)</f>
        <v>M2</v>
      </c>
      <c r="G94" s="108">
        <f t="shared" si="14"/>
        <v>0</v>
      </c>
      <c r="H94" s="69">
        <f>+VLOOKUP(C94,'PRECIOS IDU 2025'!$A$1:$E$3189,4,FALSE)</f>
        <v>1757</v>
      </c>
      <c r="I94" s="69">
        <f t="shared" si="15"/>
        <v>2284</v>
      </c>
      <c r="J94" s="69">
        <f t="shared" si="16"/>
        <v>0</v>
      </c>
      <c r="K94" s="9"/>
      <c r="L94" s="3"/>
      <c r="M94" s="76"/>
      <c r="N94" s="78"/>
      <c r="O94" s="76"/>
      <c r="P94" s="78">
        <f t="shared" si="10"/>
        <v>0</v>
      </c>
      <c r="Q94" s="76"/>
      <c r="R94" s="78"/>
      <c r="S94" s="76"/>
      <c r="T94" s="78"/>
      <c r="U94" s="76"/>
      <c r="V94" s="78"/>
      <c r="W94" s="76"/>
      <c r="X94" s="78"/>
      <c r="Y94" s="76"/>
      <c r="Z94" s="78"/>
      <c r="AA94" s="76"/>
      <c r="AB94" s="78"/>
      <c r="AC94" s="76"/>
      <c r="AD94" s="78"/>
      <c r="AE94" s="76"/>
      <c r="AF94" s="78"/>
      <c r="AG94" s="76"/>
      <c r="AH94" s="78"/>
      <c r="AI94" s="76"/>
      <c r="AJ94" s="78"/>
      <c r="AK94" s="76"/>
      <c r="AL94" s="78"/>
      <c r="AM94" s="76"/>
      <c r="AN94" s="78"/>
      <c r="AO94" s="76"/>
      <c r="AP94" s="78"/>
      <c r="AQ94" s="76"/>
      <c r="AR94" s="78"/>
      <c r="AS94" s="76"/>
      <c r="AT94" s="78"/>
      <c r="AU94" s="76"/>
      <c r="AV94" s="78"/>
      <c r="AW94" s="76"/>
      <c r="AX94" s="78"/>
      <c r="AY94" s="76"/>
      <c r="AZ94" s="78"/>
      <c r="BA94" s="76"/>
      <c r="BB94" s="78"/>
      <c r="BC94" s="76"/>
      <c r="BD94" s="78"/>
      <c r="BE94" s="76"/>
      <c r="BF94" s="78"/>
      <c r="BG94" s="76"/>
      <c r="BH94" s="78"/>
      <c r="BI94" s="76"/>
      <c r="BJ94" s="78"/>
      <c r="BK94" s="76"/>
      <c r="BL94" s="78"/>
      <c r="BM94" s="76"/>
      <c r="BN94" s="78"/>
      <c r="BO94" s="76"/>
      <c r="BP94" s="78"/>
      <c r="BQ94" s="76"/>
      <c r="BR94" s="78"/>
      <c r="BS94" s="76"/>
      <c r="BT94" s="78"/>
      <c r="BU94" s="76"/>
      <c r="BV94" s="78"/>
    </row>
    <row r="95" spans="1:74" ht="30" customHeight="1" x14ac:dyDescent="0.3">
      <c r="A95" s="3"/>
      <c r="B95" s="8"/>
      <c r="C95" s="60">
        <v>3864</v>
      </c>
      <c r="D95" s="60">
        <v>4009</v>
      </c>
      <c r="E95" s="60" t="str">
        <f>+VLOOKUP(C95,'PRECIOS IDU 2025'!$A$1:$E$3189,2,FALSE)</f>
        <v>IMPRIMACION CON EMULSION ASFALTICA CRL-0 (SUMINISTRO, BARRIDO SUPERFICIE Y RIEGO MECANICO)</v>
      </c>
      <c r="F95" s="60" t="str">
        <f>+VLOOKUP(C95,'PRECIOS IDU 2025'!$A$1:$E$3189,3,FALSE)</f>
        <v>M2</v>
      </c>
      <c r="G95" s="108">
        <f t="shared" si="14"/>
        <v>0</v>
      </c>
      <c r="H95" s="69">
        <f>+VLOOKUP(C95,'PRECIOS IDU 2025'!$A$1:$E$3189,4,FALSE)</f>
        <v>3189</v>
      </c>
      <c r="I95" s="69">
        <f t="shared" si="15"/>
        <v>4146</v>
      </c>
      <c r="J95" s="69">
        <f t="shared" si="16"/>
        <v>0</v>
      </c>
      <c r="K95" s="9"/>
      <c r="L95" s="3"/>
      <c r="M95" s="76"/>
      <c r="N95" s="78"/>
      <c r="O95" s="76"/>
      <c r="P95" s="78">
        <f t="shared" si="10"/>
        <v>0</v>
      </c>
      <c r="Q95" s="76"/>
      <c r="R95" s="78"/>
      <c r="S95" s="76"/>
      <c r="T95" s="78"/>
      <c r="U95" s="76"/>
      <c r="V95" s="78"/>
      <c r="W95" s="76"/>
      <c r="X95" s="78"/>
      <c r="Y95" s="76"/>
      <c r="Z95" s="78"/>
      <c r="AA95" s="76"/>
      <c r="AB95" s="78"/>
      <c r="AC95" s="76"/>
      <c r="AD95" s="78"/>
      <c r="AE95" s="76"/>
      <c r="AF95" s="78"/>
      <c r="AG95" s="76"/>
      <c r="AH95" s="78"/>
      <c r="AI95" s="76"/>
      <c r="AJ95" s="78"/>
      <c r="AK95" s="76"/>
      <c r="AL95" s="78"/>
      <c r="AM95" s="76"/>
      <c r="AN95" s="78"/>
      <c r="AO95" s="76"/>
      <c r="AP95" s="78"/>
      <c r="AQ95" s="76"/>
      <c r="AR95" s="78"/>
      <c r="AS95" s="76"/>
      <c r="AT95" s="78"/>
      <c r="AU95" s="76"/>
      <c r="AV95" s="78"/>
      <c r="AW95" s="76"/>
      <c r="AX95" s="78"/>
      <c r="AY95" s="76"/>
      <c r="AZ95" s="78"/>
      <c r="BA95" s="76"/>
      <c r="BB95" s="78"/>
      <c r="BC95" s="76"/>
      <c r="BD95" s="78"/>
      <c r="BE95" s="76"/>
      <c r="BF95" s="78"/>
      <c r="BG95" s="76"/>
      <c r="BH95" s="78"/>
      <c r="BI95" s="76"/>
      <c r="BJ95" s="78"/>
      <c r="BK95" s="76"/>
      <c r="BL95" s="78"/>
      <c r="BM95" s="76"/>
      <c r="BN95" s="78"/>
      <c r="BO95" s="76"/>
      <c r="BP95" s="78"/>
      <c r="BQ95" s="76"/>
      <c r="BR95" s="78"/>
      <c r="BS95" s="76"/>
      <c r="BT95" s="78"/>
      <c r="BU95" s="76"/>
      <c r="BV95" s="78"/>
    </row>
    <row r="96" spans="1:74" ht="30" customHeight="1" x14ac:dyDescent="0.3">
      <c r="A96" s="3"/>
      <c r="B96" s="8"/>
      <c r="C96" s="60">
        <v>3867</v>
      </c>
      <c r="D96" s="60">
        <v>4010</v>
      </c>
      <c r="E96" s="60" t="str">
        <f>+VLOOKUP(C96,'PRECIOS IDU 2025'!$A$1:$E$3189,2,FALSE)</f>
        <v>RIEGO DE LIGA CON EMULSION ASFALTICA CRR-2 (SUMINISTRO, BARRIDO SUPERFICIE Y RIEGO MECANICO)</v>
      </c>
      <c r="F96" s="60" t="str">
        <f>+VLOOKUP(C96,'PRECIOS IDU 2025'!$A$1:$E$3189,3,FALSE)</f>
        <v>M2</v>
      </c>
      <c r="G96" s="108">
        <f t="shared" si="14"/>
        <v>0</v>
      </c>
      <c r="H96" s="69">
        <f>+VLOOKUP(C96,'PRECIOS IDU 2025'!$A$1:$E$3189,4,FALSE)</f>
        <v>3885</v>
      </c>
      <c r="I96" s="69">
        <f t="shared" si="15"/>
        <v>5051</v>
      </c>
      <c r="J96" s="69">
        <f t="shared" si="16"/>
        <v>0</v>
      </c>
      <c r="K96" s="9"/>
      <c r="L96" s="3"/>
      <c r="M96" s="76"/>
      <c r="N96" s="78"/>
      <c r="O96" s="76"/>
      <c r="P96" s="78">
        <f t="shared" si="10"/>
        <v>0</v>
      </c>
      <c r="Q96" s="76"/>
      <c r="R96" s="78"/>
      <c r="S96" s="76"/>
      <c r="T96" s="78"/>
      <c r="U96" s="76"/>
      <c r="V96" s="78"/>
      <c r="W96" s="76"/>
      <c r="X96" s="78"/>
      <c r="Y96" s="76"/>
      <c r="Z96" s="78"/>
      <c r="AA96" s="76"/>
      <c r="AB96" s="78"/>
      <c r="AC96" s="76"/>
      <c r="AD96" s="78"/>
      <c r="AE96" s="76"/>
      <c r="AF96" s="78"/>
      <c r="AG96" s="76"/>
      <c r="AH96" s="78"/>
      <c r="AI96" s="76"/>
      <c r="AJ96" s="78"/>
      <c r="AK96" s="76"/>
      <c r="AL96" s="78"/>
      <c r="AM96" s="76"/>
      <c r="AN96" s="78"/>
      <c r="AO96" s="76"/>
      <c r="AP96" s="78"/>
      <c r="AQ96" s="76"/>
      <c r="AR96" s="78"/>
      <c r="AS96" s="76"/>
      <c r="AT96" s="78"/>
      <c r="AU96" s="76"/>
      <c r="AV96" s="78"/>
      <c r="AW96" s="76"/>
      <c r="AX96" s="78"/>
      <c r="AY96" s="76"/>
      <c r="AZ96" s="78"/>
      <c r="BA96" s="76"/>
      <c r="BB96" s="78"/>
      <c r="BC96" s="76"/>
      <c r="BD96" s="78"/>
      <c r="BE96" s="76"/>
      <c r="BF96" s="78"/>
      <c r="BG96" s="76"/>
      <c r="BH96" s="78"/>
      <c r="BI96" s="76"/>
      <c r="BJ96" s="78"/>
      <c r="BK96" s="76"/>
      <c r="BL96" s="78"/>
      <c r="BM96" s="76"/>
      <c r="BN96" s="78"/>
      <c r="BO96" s="76"/>
      <c r="BP96" s="78"/>
      <c r="BQ96" s="76"/>
      <c r="BR96" s="78"/>
      <c r="BS96" s="76"/>
      <c r="BT96" s="78"/>
      <c r="BU96" s="76"/>
      <c r="BV96" s="78"/>
    </row>
    <row r="97" spans="1:74" ht="30" customHeight="1" x14ac:dyDescent="0.3">
      <c r="A97" s="3"/>
      <c r="B97" s="8"/>
      <c r="C97" s="60">
        <v>3841</v>
      </c>
      <c r="D97" s="60">
        <v>4011</v>
      </c>
      <c r="E97" s="60" t="str">
        <f>+VLOOKUP(C97,'PRECIOS IDU 2025'!$A$1:$E$3189,2,FALSE)</f>
        <v>MEZCLA DENSA EN CALIENTE MD20 ASFALTO 80-100 (SUMINISTRO, EXTENDIDO, NIVELACIÓN Y COMPACTACIÓN MECANICA)</v>
      </c>
      <c r="F97" s="60" t="str">
        <f>+VLOOKUP(C97,'PRECIOS IDU 2025'!$A$1:$E$3189,3,FALSE)</f>
        <v>M3</v>
      </c>
      <c r="G97" s="108">
        <f t="shared" si="14"/>
        <v>0</v>
      </c>
      <c r="H97" s="69">
        <f>+VLOOKUP(C97,'PRECIOS IDU 2025'!$A$1:$E$3189,4,FALSE)</f>
        <v>1341971</v>
      </c>
      <c r="I97" s="69">
        <f t="shared" si="15"/>
        <v>1744562</v>
      </c>
      <c r="J97" s="69">
        <f t="shared" si="16"/>
        <v>0</v>
      </c>
      <c r="K97" s="9"/>
      <c r="L97" s="3"/>
      <c r="M97" s="76"/>
      <c r="N97" s="78"/>
      <c r="O97" s="76"/>
      <c r="P97" s="78">
        <f t="shared" si="10"/>
        <v>0</v>
      </c>
      <c r="Q97" s="76"/>
      <c r="R97" s="78"/>
      <c r="S97" s="76"/>
      <c r="T97" s="78"/>
      <c r="U97" s="76"/>
      <c r="V97" s="78"/>
      <c r="W97" s="76"/>
      <c r="X97" s="78"/>
      <c r="Y97" s="76"/>
      <c r="Z97" s="78"/>
      <c r="AA97" s="76"/>
      <c r="AB97" s="78"/>
      <c r="AC97" s="76"/>
      <c r="AD97" s="78"/>
      <c r="AE97" s="76"/>
      <c r="AF97" s="78"/>
      <c r="AG97" s="76"/>
      <c r="AH97" s="78"/>
      <c r="AI97" s="76"/>
      <c r="AJ97" s="78"/>
      <c r="AK97" s="76"/>
      <c r="AL97" s="78"/>
      <c r="AM97" s="76"/>
      <c r="AN97" s="78"/>
      <c r="AO97" s="76"/>
      <c r="AP97" s="78"/>
      <c r="AQ97" s="76"/>
      <c r="AR97" s="78"/>
      <c r="AS97" s="76"/>
      <c r="AT97" s="78"/>
      <c r="AU97" s="76"/>
      <c r="AV97" s="78"/>
      <c r="AW97" s="76"/>
      <c r="AX97" s="78"/>
      <c r="AY97" s="76"/>
      <c r="AZ97" s="78"/>
      <c r="BA97" s="76"/>
      <c r="BB97" s="78"/>
      <c r="BC97" s="76"/>
      <c r="BD97" s="78"/>
      <c r="BE97" s="76"/>
      <c r="BF97" s="78"/>
      <c r="BG97" s="76"/>
      <c r="BH97" s="78"/>
      <c r="BI97" s="76"/>
      <c r="BJ97" s="78"/>
      <c r="BK97" s="76"/>
      <c r="BL97" s="78"/>
      <c r="BM97" s="76"/>
      <c r="BN97" s="78"/>
      <c r="BO97" s="76"/>
      <c r="BP97" s="78"/>
      <c r="BQ97" s="76"/>
      <c r="BR97" s="78"/>
      <c r="BS97" s="76"/>
      <c r="BT97" s="78"/>
      <c r="BU97" s="76"/>
      <c r="BV97" s="78"/>
    </row>
    <row r="98" spans="1:74" ht="30" customHeight="1" x14ac:dyDescent="0.3">
      <c r="A98" s="3"/>
      <c r="B98" s="8"/>
      <c r="C98" s="60">
        <v>6313</v>
      </c>
      <c r="D98" s="60">
        <v>4012</v>
      </c>
      <c r="E98" s="60" t="str">
        <f>+VLOOKUP(C98,'PRECIOS IDU 2025'!$A$1:$E$3189,2,FALSE)</f>
        <v>MEZCLA ASFÁLTICA DENSA EN CALIENTE MD12 CON CEMENTO ASFÁLTICO 60-70 (SUMINISTRO, EXTENDIDO, NIVELACIÓN Y COMPACTACIÓN MECANICA CON VIBROCOMPACTADOR Y COMPACTADOR DE LLANTAS)</v>
      </c>
      <c r="F98" s="60" t="str">
        <f>+VLOOKUP(C98,'PRECIOS IDU 2025'!$A$1:$E$3189,3,FALSE)</f>
        <v>M3</v>
      </c>
      <c r="G98" s="108">
        <f t="shared" si="14"/>
        <v>0</v>
      </c>
      <c r="H98" s="69">
        <f>+VLOOKUP(C98,'PRECIOS IDU 2025'!$A$1:$E$3189,4,FALSE)</f>
        <v>1241977</v>
      </c>
      <c r="I98" s="69">
        <f t="shared" si="15"/>
        <v>1614570</v>
      </c>
      <c r="J98" s="69">
        <f t="shared" si="16"/>
        <v>0</v>
      </c>
      <c r="K98" s="9"/>
      <c r="L98" s="3"/>
      <c r="M98" s="76"/>
      <c r="N98" s="78"/>
      <c r="O98" s="76"/>
      <c r="P98" s="78">
        <f t="shared" si="10"/>
        <v>0</v>
      </c>
      <c r="Q98" s="76"/>
      <c r="R98" s="78"/>
      <c r="S98" s="76"/>
      <c r="T98" s="78"/>
      <c r="U98" s="76"/>
      <c r="V98" s="78"/>
      <c r="W98" s="76"/>
      <c r="X98" s="78"/>
      <c r="Y98" s="76"/>
      <c r="Z98" s="78"/>
      <c r="AA98" s="76"/>
      <c r="AB98" s="78"/>
      <c r="AC98" s="76"/>
      <c r="AD98" s="78"/>
      <c r="AE98" s="76"/>
      <c r="AF98" s="78"/>
      <c r="AG98" s="76"/>
      <c r="AH98" s="78"/>
      <c r="AI98" s="76"/>
      <c r="AJ98" s="78"/>
      <c r="AK98" s="76"/>
      <c r="AL98" s="78"/>
      <c r="AM98" s="76"/>
      <c r="AN98" s="78"/>
      <c r="AO98" s="76"/>
      <c r="AP98" s="78"/>
      <c r="AQ98" s="76"/>
      <c r="AR98" s="78"/>
      <c r="AS98" s="76"/>
      <c r="AT98" s="78"/>
      <c r="AU98" s="76"/>
      <c r="AV98" s="78"/>
      <c r="AW98" s="76"/>
      <c r="AX98" s="78"/>
      <c r="AY98" s="76"/>
      <c r="AZ98" s="78"/>
      <c r="BA98" s="76"/>
      <c r="BB98" s="78"/>
      <c r="BC98" s="76"/>
      <c r="BD98" s="78"/>
      <c r="BE98" s="76"/>
      <c r="BF98" s="78"/>
      <c r="BG98" s="76"/>
      <c r="BH98" s="78"/>
      <c r="BI98" s="76"/>
      <c r="BJ98" s="78"/>
      <c r="BK98" s="76"/>
      <c r="BL98" s="78"/>
      <c r="BM98" s="76"/>
      <c r="BN98" s="78"/>
      <c r="BO98" s="76"/>
      <c r="BP98" s="78"/>
      <c r="BQ98" s="76"/>
      <c r="BR98" s="78"/>
      <c r="BS98" s="76"/>
      <c r="BT98" s="78"/>
      <c r="BU98" s="76"/>
      <c r="BV98" s="78"/>
    </row>
    <row r="99" spans="1:74" ht="30" customHeight="1" x14ac:dyDescent="0.3">
      <c r="A99" s="3"/>
      <c r="B99" s="8"/>
      <c r="C99" s="60">
        <v>4712</v>
      </c>
      <c r="D99" s="60">
        <v>4013</v>
      </c>
      <c r="E99" s="60" t="str">
        <f>+VLOOKUP(C99,'PRECIOS IDU 2025'!$A$1:$E$3189,2,FALSE)</f>
        <v>MEZCLA ASFALTICA CON ASFALTO CAUCHO (SUMINISTRO, EXTENDIDO, NIVELACIÓN Y COMPACTACIÓN MECANICA)</v>
      </c>
      <c r="F99" s="60" t="str">
        <f>+VLOOKUP(C99,'PRECIOS IDU 2025'!$A$1:$E$3189,3,FALSE)</f>
        <v>M3</v>
      </c>
      <c r="G99" s="108">
        <f t="shared" si="14"/>
        <v>0</v>
      </c>
      <c r="H99" s="69">
        <f>+VLOOKUP(C99,'PRECIOS IDU 2025'!$A$1:$E$3189,4,FALSE)</f>
        <v>1556215</v>
      </c>
      <c r="I99" s="69">
        <f t="shared" si="15"/>
        <v>2023080</v>
      </c>
      <c r="J99" s="69">
        <f t="shared" si="16"/>
        <v>0</v>
      </c>
      <c r="K99" s="9"/>
      <c r="L99" s="3"/>
      <c r="M99" s="76"/>
      <c r="N99" s="78"/>
      <c r="O99" s="76"/>
      <c r="P99" s="78">
        <f t="shared" si="10"/>
        <v>0</v>
      </c>
      <c r="Q99" s="76"/>
      <c r="R99" s="78"/>
      <c r="S99" s="76"/>
      <c r="T99" s="78"/>
      <c r="U99" s="76"/>
      <c r="V99" s="78"/>
      <c r="W99" s="76"/>
      <c r="X99" s="78"/>
      <c r="Y99" s="76"/>
      <c r="Z99" s="78"/>
      <c r="AA99" s="76"/>
      <c r="AB99" s="78"/>
      <c r="AC99" s="76"/>
      <c r="AD99" s="78"/>
      <c r="AE99" s="76"/>
      <c r="AF99" s="78"/>
      <c r="AG99" s="76"/>
      <c r="AH99" s="78"/>
      <c r="AI99" s="76"/>
      <c r="AJ99" s="78"/>
      <c r="AK99" s="76"/>
      <c r="AL99" s="78"/>
      <c r="AM99" s="76"/>
      <c r="AN99" s="78"/>
      <c r="AO99" s="76"/>
      <c r="AP99" s="78"/>
      <c r="AQ99" s="76"/>
      <c r="AR99" s="78"/>
      <c r="AS99" s="76"/>
      <c r="AT99" s="78"/>
      <c r="AU99" s="76"/>
      <c r="AV99" s="78"/>
      <c r="AW99" s="76"/>
      <c r="AX99" s="78"/>
      <c r="AY99" s="76"/>
      <c r="AZ99" s="78"/>
      <c r="BA99" s="76"/>
      <c r="BB99" s="78"/>
      <c r="BC99" s="76"/>
      <c r="BD99" s="78"/>
      <c r="BE99" s="76"/>
      <c r="BF99" s="78"/>
      <c r="BG99" s="76"/>
      <c r="BH99" s="78"/>
      <c r="BI99" s="76"/>
      <c r="BJ99" s="78"/>
      <c r="BK99" s="76"/>
      <c r="BL99" s="78"/>
      <c r="BM99" s="76"/>
      <c r="BN99" s="78"/>
      <c r="BO99" s="76"/>
      <c r="BP99" s="78"/>
      <c r="BQ99" s="76"/>
      <c r="BR99" s="78"/>
      <c r="BS99" s="76"/>
      <c r="BT99" s="78"/>
      <c r="BU99" s="76"/>
      <c r="BV99" s="78"/>
    </row>
    <row r="100" spans="1:74" ht="30" customHeight="1" x14ac:dyDescent="0.3">
      <c r="A100" s="3"/>
      <c r="B100" s="8"/>
      <c r="C100" s="60">
        <v>3708</v>
      </c>
      <c r="D100" s="60">
        <v>4013</v>
      </c>
      <c r="E100" s="60" t="str">
        <f>+VLOOKUP(C100,'PRECIOS IDU 2025'!$A$1:$E$3189,2,FALSE)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F100" s="60" t="str">
        <f>+VLOOKUP(C100,'PRECIOS IDU 2025'!$A$1:$E$3189,3,FALSE)</f>
        <v>KG</v>
      </c>
      <c r="G100" s="108">
        <f t="shared" si="14"/>
        <v>0</v>
      </c>
      <c r="H100" s="69">
        <f>+VLOOKUP(C100,'PRECIOS IDU 2025'!$A$1:$E$3189,4,FALSE)</f>
        <v>5591</v>
      </c>
      <c r="I100" s="69">
        <f t="shared" si="15"/>
        <v>7268</v>
      </c>
      <c r="J100" s="69">
        <f t="shared" si="16"/>
        <v>0</v>
      </c>
      <c r="K100" s="9"/>
      <c r="L100" s="3"/>
      <c r="M100" s="76"/>
      <c r="N100" s="78"/>
      <c r="O100" s="76"/>
      <c r="P100" s="78"/>
      <c r="Q100" s="76"/>
      <c r="R100" s="78"/>
      <c r="S100" s="76"/>
      <c r="T100" s="78"/>
      <c r="U100" s="76"/>
      <c r="V100" s="78"/>
      <c r="W100" s="76"/>
      <c r="X100" s="78"/>
      <c r="Y100" s="76"/>
      <c r="Z100" s="78"/>
      <c r="AA100" s="76"/>
      <c r="AB100" s="78"/>
      <c r="AC100" s="76"/>
      <c r="AD100" s="78"/>
      <c r="AE100" s="76"/>
      <c r="AF100" s="78"/>
      <c r="AG100" s="76"/>
      <c r="AH100" s="78"/>
      <c r="AI100" s="76"/>
      <c r="AJ100" s="78"/>
      <c r="AK100" s="76"/>
      <c r="AL100" s="78"/>
      <c r="AM100" s="76"/>
      <c r="AN100" s="78"/>
      <c r="AO100" s="76"/>
      <c r="AP100" s="78"/>
      <c r="AQ100" s="76"/>
      <c r="AR100" s="78"/>
      <c r="AS100" s="76"/>
      <c r="AT100" s="78"/>
      <c r="AU100" s="76"/>
      <c r="AV100" s="78"/>
      <c r="AW100" s="76"/>
      <c r="AX100" s="78"/>
      <c r="AY100" s="76"/>
      <c r="AZ100" s="78"/>
      <c r="BA100" s="76"/>
      <c r="BB100" s="78"/>
      <c r="BC100" s="76"/>
      <c r="BD100" s="78"/>
      <c r="BE100" s="76"/>
      <c r="BF100" s="78"/>
      <c r="BG100" s="76"/>
      <c r="BH100" s="78"/>
      <c r="BI100" s="76"/>
      <c r="BJ100" s="78"/>
      <c r="BK100" s="76"/>
      <c r="BL100" s="78"/>
      <c r="BM100" s="76"/>
      <c r="BN100" s="78"/>
      <c r="BO100" s="76"/>
      <c r="BP100" s="78"/>
      <c r="BQ100" s="76"/>
      <c r="BR100" s="78"/>
      <c r="BS100" s="76"/>
      <c r="BT100" s="78"/>
      <c r="BU100" s="76"/>
      <c r="BV100" s="78"/>
    </row>
    <row r="101" spans="1:74" ht="30" customHeight="1" x14ac:dyDescent="0.3">
      <c r="A101" s="3"/>
      <c r="B101" s="8"/>
      <c r="C101" s="60">
        <v>4959</v>
      </c>
      <c r="D101" s="60">
        <v>4014</v>
      </c>
      <c r="E101" s="60" t="str">
        <f>+VLOOKUP(C101,'PRECIOS IDU 2025'!$A$1:$E$3189,2,FALSE)</f>
        <v>ACERO LISO PARA TRANSFERENCIA DE LOSAS D= 1 1/4" (NO INCLUYE CANASTILLA). SUMINISTRO E INSTALACIÓN.</v>
      </c>
      <c r="F101" s="60" t="str">
        <f>+VLOOKUP(C101,'PRECIOS IDU 2025'!$A$1:$E$3189,3,FALSE)</f>
        <v>KG</v>
      </c>
      <c r="G101" s="108">
        <f t="shared" si="14"/>
        <v>0</v>
      </c>
      <c r="H101" s="69">
        <f>+VLOOKUP(C101,'PRECIOS IDU 2025'!$A$1:$E$3189,4,FALSE)</f>
        <v>8404</v>
      </c>
      <c r="I101" s="69">
        <f t="shared" si="15"/>
        <v>10925</v>
      </c>
      <c r="J101" s="69">
        <f t="shared" si="16"/>
        <v>0</v>
      </c>
      <c r="K101" s="9"/>
      <c r="L101" s="3"/>
      <c r="M101" s="76"/>
      <c r="N101" s="78"/>
      <c r="O101" s="76"/>
      <c r="P101" s="78">
        <f t="shared" ref="P101:P164" si="17">+ROUND(O101*$I101,0)</f>
        <v>0</v>
      </c>
      <c r="Q101" s="76"/>
      <c r="R101" s="78"/>
      <c r="S101" s="76"/>
      <c r="T101" s="78"/>
      <c r="U101" s="76"/>
      <c r="V101" s="78"/>
      <c r="W101" s="76"/>
      <c r="X101" s="78"/>
      <c r="Y101" s="76"/>
      <c r="Z101" s="78"/>
      <c r="AA101" s="76"/>
      <c r="AB101" s="78"/>
      <c r="AC101" s="76"/>
      <c r="AD101" s="78"/>
      <c r="AE101" s="76"/>
      <c r="AF101" s="78"/>
      <c r="AG101" s="76"/>
      <c r="AH101" s="78"/>
      <c r="AI101" s="76"/>
      <c r="AJ101" s="78"/>
      <c r="AK101" s="76"/>
      <c r="AL101" s="78"/>
      <c r="AM101" s="76"/>
      <c r="AN101" s="78"/>
      <c r="AO101" s="76"/>
      <c r="AP101" s="78"/>
      <c r="AQ101" s="76"/>
      <c r="AR101" s="78"/>
      <c r="AS101" s="76"/>
      <c r="AT101" s="78"/>
      <c r="AU101" s="76"/>
      <c r="AV101" s="78"/>
      <c r="AW101" s="76"/>
      <c r="AX101" s="78"/>
      <c r="AY101" s="76"/>
      <c r="AZ101" s="78"/>
      <c r="BA101" s="76"/>
      <c r="BB101" s="78"/>
      <c r="BC101" s="76"/>
      <c r="BD101" s="78"/>
      <c r="BE101" s="76"/>
      <c r="BF101" s="78"/>
      <c r="BG101" s="76"/>
      <c r="BH101" s="78"/>
      <c r="BI101" s="76"/>
      <c r="BJ101" s="78"/>
      <c r="BK101" s="76"/>
      <c r="BL101" s="78"/>
      <c r="BM101" s="76"/>
      <c r="BN101" s="78"/>
      <c r="BO101" s="76"/>
      <c r="BP101" s="78"/>
      <c r="BQ101" s="76"/>
      <c r="BR101" s="78"/>
      <c r="BS101" s="76"/>
      <c r="BT101" s="78"/>
      <c r="BU101" s="76"/>
      <c r="BV101" s="78"/>
    </row>
    <row r="102" spans="1:74" ht="30" customHeight="1" x14ac:dyDescent="0.3">
      <c r="A102" s="3"/>
      <c r="B102" s="8"/>
      <c r="C102" s="60">
        <v>7713</v>
      </c>
      <c r="D102" s="60">
        <v>4015</v>
      </c>
      <c r="E102" s="60" t="str">
        <f>+VLOOKUP(C102,'PRECIOS IDU 2025'!$A$1:$E$3189,2,FALSE)</f>
        <v>(DOVELAS) ACERO LISO PARA TRANSFERENCIA DE LOSAS D= 1 1/2" (NO INCLUYE CANASTILLA). SUMINISTRO E INSTALACIÓN.</v>
      </c>
      <c r="F102" s="60" t="str">
        <f>+VLOOKUP(C102,'PRECIOS IDU 2025'!$A$1:$E$3189,3,FALSE)</f>
        <v>KG</v>
      </c>
      <c r="G102" s="108">
        <f t="shared" si="14"/>
        <v>0</v>
      </c>
      <c r="H102" s="69">
        <f>+VLOOKUP(C102,'PRECIOS IDU 2025'!$A$1:$E$3189,4,FALSE)</f>
        <v>7882</v>
      </c>
      <c r="I102" s="69">
        <f t="shared" si="15"/>
        <v>10247</v>
      </c>
      <c r="J102" s="69">
        <f t="shared" si="16"/>
        <v>0</v>
      </c>
      <c r="K102" s="9"/>
      <c r="L102" s="3"/>
      <c r="M102" s="76"/>
      <c r="N102" s="78"/>
      <c r="O102" s="76"/>
      <c r="P102" s="78">
        <f t="shared" si="17"/>
        <v>0</v>
      </c>
      <c r="Q102" s="76"/>
      <c r="R102" s="78"/>
      <c r="S102" s="76"/>
      <c r="T102" s="78"/>
      <c r="U102" s="76"/>
      <c r="V102" s="78"/>
      <c r="W102" s="76"/>
      <c r="X102" s="78"/>
      <c r="Y102" s="76"/>
      <c r="Z102" s="78"/>
      <c r="AA102" s="76"/>
      <c r="AB102" s="78"/>
      <c r="AC102" s="76"/>
      <c r="AD102" s="78"/>
      <c r="AE102" s="76"/>
      <c r="AF102" s="78"/>
      <c r="AG102" s="76"/>
      <c r="AH102" s="78"/>
      <c r="AI102" s="76"/>
      <c r="AJ102" s="78"/>
      <c r="AK102" s="76"/>
      <c r="AL102" s="78"/>
      <c r="AM102" s="76"/>
      <c r="AN102" s="78"/>
      <c r="AO102" s="76"/>
      <c r="AP102" s="78"/>
      <c r="AQ102" s="76"/>
      <c r="AR102" s="78"/>
      <c r="AS102" s="76"/>
      <c r="AT102" s="78"/>
      <c r="AU102" s="76"/>
      <c r="AV102" s="78"/>
      <c r="AW102" s="76"/>
      <c r="AX102" s="78"/>
      <c r="AY102" s="76"/>
      <c r="AZ102" s="78"/>
      <c r="BA102" s="76"/>
      <c r="BB102" s="78"/>
      <c r="BC102" s="76"/>
      <c r="BD102" s="78"/>
      <c r="BE102" s="76"/>
      <c r="BF102" s="78"/>
      <c r="BG102" s="76"/>
      <c r="BH102" s="78"/>
      <c r="BI102" s="76"/>
      <c r="BJ102" s="78"/>
      <c r="BK102" s="76"/>
      <c r="BL102" s="78"/>
      <c r="BM102" s="76"/>
      <c r="BN102" s="78"/>
      <c r="BO102" s="76"/>
      <c r="BP102" s="78"/>
      <c r="BQ102" s="76"/>
      <c r="BR102" s="78"/>
      <c r="BS102" s="76"/>
      <c r="BT102" s="78"/>
      <c r="BU102" s="76"/>
      <c r="BV102" s="78"/>
    </row>
    <row r="103" spans="1:74" ht="30" customHeight="1" x14ac:dyDescent="0.3">
      <c r="A103" s="3"/>
      <c r="B103" s="8"/>
      <c r="C103" s="60">
        <v>7714</v>
      </c>
      <c r="D103" s="60">
        <v>4016</v>
      </c>
      <c r="E103" s="60" t="str">
        <f>+VLOOKUP(C103,'PRECIOS IDU 2025'!$A$1:$E$3189,2,FALSE)</f>
        <v>(DOVELAS) ACERO LISO PARA TRANSFERENCIA DE LOSAS D= 1" (NO INCLUYE CANASTILLA). SUMINISTRO E INSTALACIÓN.</v>
      </c>
      <c r="F103" s="60" t="str">
        <f>+VLOOKUP(C103,'PRECIOS IDU 2025'!$A$1:$E$3189,3,FALSE)</f>
        <v>KG</v>
      </c>
      <c r="G103" s="108">
        <f t="shared" si="14"/>
        <v>0</v>
      </c>
      <c r="H103" s="69">
        <f>+VLOOKUP(C103,'PRECIOS IDU 2025'!$A$1:$E$3189,4,FALSE)</f>
        <v>7882</v>
      </c>
      <c r="I103" s="69">
        <f t="shared" si="15"/>
        <v>10247</v>
      </c>
      <c r="J103" s="69">
        <f t="shared" si="16"/>
        <v>0</v>
      </c>
      <c r="K103" s="9"/>
      <c r="L103" s="3"/>
      <c r="M103" s="76"/>
      <c r="N103" s="78"/>
      <c r="O103" s="76"/>
      <c r="P103" s="78">
        <f t="shared" si="17"/>
        <v>0</v>
      </c>
      <c r="Q103" s="76"/>
      <c r="R103" s="78"/>
      <c r="S103" s="76"/>
      <c r="T103" s="78"/>
      <c r="U103" s="76"/>
      <c r="V103" s="78"/>
      <c r="W103" s="76"/>
      <c r="X103" s="78"/>
      <c r="Y103" s="76"/>
      <c r="Z103" s="78"/>
      <c r="AA103" s="76"/>
      <c r="AB103" s="78"/>
      <c r="AC103" s="76"/>
      <c r="AD103" s="78"/>
      <c r="AE103" s="76"/>
      <c r="AF103" s="78"/>
      <c r="AG103" s="76"/>
      <c r="AH103" s="78"/>
      <c r="AI103" s="76"/>
      <c r="AJ103" s="78"/>
      <c r="AK103" s="76"/>
      <c r="AL103" s="78"/>
      <c r="AM103" s="76"/>
      <c r="AN103" s="78"/>
      <c r="AO103" s="76"/>
      <c r="AP103" s="78"/>
      <c r="AQ103" s="76"/>
      <c r="AR103" s="78"/>
      <c r="AS103" s="76"/>
      <c r="AT103" s="78"/>
      <c r="AU103" s="76"/>
      <c r="AV103" s="78"/>
      <c r="AW103" s="76"/>
      <c r="AX103" s="78"/>
      <c r="AY103" s="76"/>
      <c r="AZ103" s="78"/>
      <c r="BA103" s="76"/>
      <c r="BB103" s="78"/>
      <c r="BC103" s="76"/>
      <c r="BD103" s="78"/>
      <c r="BE103" s="76"/>
      <c r="BF103" s="78"/>
      <c r="BG103" s="76"/>
      <c r="BH103" s="78"/>
      <c r="BI103" s="76"/>
      <c r="BJ103" s="78"/>
      <c r="BK103" s="76"/>
      <c r="BL103" s="78"/>
      <c r="BM103" s="76"/>
      <c r="BN103" s="78"/>
      <c r="BO103" s="76"/>
      <c r="BP103" s="78"/>
      <c r="BQ103" s="76"/>
      <c r="BR103" s="78"/>
      <c r="BS103" s="76"/>
      <c r="BT103" s="78"/>
      <c r="BU103" s="76"/>
      <c r="BV103" s="78"/>
    </row>
    <row r="104" spans="1:74" ht="30" customHeight="1" x14ac:dyDescent="0.3">
      <c r="A104" s="3"/>
      <c r="B104" s="8"/>
      <c r="C104" s="60">
        <v>3394</v>
      </c>
      <c r="D104" s="60">
        <v>4017</v>
      </c>
      <c r="E104" s="60" t="str">
        <f>+VLOOKUP(C104,'PRECIOS IDU 2025'!$A$1:$E$3189,2,FALSE)</f>
        <v>LOSA DE CONCRETO MR41 (SUMINISTRO, FORMALETEADO, COLOCACIÓN Y ACABADO. NO INCLUYE ACERO, CURADO, JUNTAS)</v>
      </c>
      <c r="F104" s="60" t="str">
        <f>+VLOOKUP(C104,'PRECIOS IDU 2025'!$A$1:$E$3189,3,FALSE)</f>
        <v>M3</v>
      </c>
      <c r="G104" s="108">
        <f t="shared" si="14"/>
        <v>0</v>
      </c>
      <c r="H104" s="69">
        <f>+VLOOKUP(C104,'PRECIOS IDU 2025'!$A$1:$E$3189,4,FALSE)</f>
        <v>875661</v>
      </c>
      <c r="I104" s="69">
        <f t="shared" si="15"/>
        <v>1138359</v>
      </c>
      <c r="J104" s="69">
        <f t="shared" si="16"/>
        <v>0</v>
      </c>
      <c r="K104" s="9"/>
      <c r="L104" s="3"/>
      <c r="M104" s="76"/>
      <c r="N104" s="78"/>
      <c r="O104" s="76"/>
      <c r="P104" s="78">
        <f t="shared" si="17"/>
        <v>0</v>
      </c>
      <c r="Q104" s="76"/>
      <c r="R104" s="78"/>
      <c r="S104" s="76"/>
      <c r="T104" s="78"/>
      <c r="U104" s="76"/>
      <c r="V104" s="78"/>
      <c r="W104" s="76"/>
      <c r="X104" s="78"/>
      <c r="Y104" s="76"/>
      <c r="Z104" s="78"/>
      <c r="AA104" s="76"/>
      <c r="AB104" s="78"/>
      <c r="AC104" s="76"/>
      <c r="AD104" s="78"/>
      <c r="AE104" s="76"/>
      <c r="AF104" s="78"/>
      <c r="AG104" s="76"/>
      <c r="AH104" s="78"/>
      <c r="AI104" s="76"/>
      <c r="AJ104" s="78"/>
      <c r="AK104" s="76"/>
      <c r="AL104" s="78"/>
      <c r="AM104" s="76"/>
      <c r="AN104" s="78"/>
      <c r="AO104" s="76"/>
      <c r="AP104" s="78"/>
      <c r="AQ104" s="76"/>
      <c r="AR104" s="78"/>
      <c r="AS104" s="76"/>
      <c r="AT104" s="78"/>
      <c r="AU104" s="76"/>
      <c r="AV104" s="78"/>
      <c r="AW104" s="76"/>
      <c r="AX104" s="78"/>
      <c r="AY104" s="76"/>
      <c r="AZ104" s="78"/>
      <c r="BA104" s="76"/>
      <c r="BB104" s="78"/>
      <c r="BC104" s="76"/>
      <c r="BD104" s="78"/>
      <c r="BE104" s="76"/>
      <c r="BF104" s="78"/>
      <c r="BG104" s="76"/>
      <c r="BH104" s="78"/>
      <c r="BI104" s="76"/>
      <c r="BJ104" s="78"/>
      <c r="BK104" s="76"/>
      <c r="BL104" s="78"/>
      <c r="BM104" s="76"/>
      <c r="BN104" s="78"/>
      <c r="BO104" s="76"/>
      <c r="BP104" s="78"/>
      <c r="BQ104" s="76"/>
      <c r="BR104" s="78"/>
      <c r="BS104" s="76"/>
      <c r="BT104" s="78"/>
      <c r="BU104" s="76"/>
      <c r="BV104" s="78"/>
    </row>
    <row r="105" spans="1:74" ht="30" customHeight="1" x14ac:dyDescent="0.3">
      <c r="A105" s="3"/>
      <c r="B105" s="8"/>
      <c r="C105" s="60">
        <v>3204</v>
      </c>
      <c r="D105" s="60">
        <v>4018</v>
      </c>
      <c r="E105" s="60" t="str">
        <f>+VLOOKUP(C105,'PRECIOS IDU 2025'!$A$1:$E$3189,2,FALSE)</f>
        <v>LOSA DE CONCRETO MR43 (SUMINISTRO, FORMALETEADO, COLOCACIÓN Y ACABADO. NO INCLUYE ACERO, CURADO, JUNTAS)</v>
      </c>
      <c r="F105" s="60" t="str">
        <f>+VLOOKUP(C105,'PRECIOS IDU 2025'!$A$1:$E$3189,3,FALSE)</f>
        <v>M3</v>
      </c>
      <c r="G105" s="108">
        <f t="shared" si="14"/>
        <v>0</v>
      </c>
      <c r="H105" s="69">
        <f>+VLOOKUP(C105,'PRECIOS IDU 2025'!$A$1:$E$3189,4,FALSE)</f>
        <v>890453</v>
      </c>
      <c r="I105" s="69">
        <f t="shared" si="15"/>
        <v>1157589</v>
      </c>
      <c r="J105" s="69">
        <f t="shared" si="16"/>
        <v>0</v>
      </c>
      <c r="K105" s="9"/>
      <c r="L105" s="3"/>
      <c r="M105" s="76"/>
      <c r="N105" s="78"/>
      <c r="O105" s="76"/>
      <c r="P105" s="78">
        <f t="shared" si="17"/>
        <v>0</v>
      </c>
      <c r="Q105" s="76"/>
      <c r="R105" s="78"/>
      <c r="S105" s="76"/>
      <c r="T105" s="78"/>
      <c r="U105" s="76"/>
      <c r="V105" s="78"/>
      <c r="W105" s="76"/>
      <c r="X105" s="78"/>
      <c r="Y105" s="76"/>
      <c r="Z105" s="78"/>
      <c r="AA105" s="76"/>
      <c r="AB105" s="78"/>
      <c r="AC105" s="76"/>
      <c r="AD105" s="78"/>
      <c r="AE105" s="76"/>
      <c r="AF105" s="78"/>
      <c r="AG105" s="76"/>
      <c r="AH105" s="78"/>
      <c r="AI105" s="76"/>
      <c r="AJ105" s="78"/>
      <c r="AK105" s="76"/>
      <c r="AL105" s="78"/>
      <c r="AM105" s="76"/>
      <c r="AN105" s="78"/>
      <c r="AO105" s="76"/>
      <c r="AP105" s="78"/>
      <c r="AQ105" s="76"/>
      <c r="AR105" s="78"/>
      <c r="AS105" s="76"/>
      <c r="AT105" s="78"/>
      <c r="AU105" s="76"/>
      <c r="AV105" s="78"/>
      <c r="AW105" s="76"/>
      <c r="AX105" s="78"/>
      <c r="AY105" s="76"/>
      <c r="AZ105" s="78"/>
      <c r="BA105" s="76"/>
      <c r="BB105" s="78"/>
      <c r="BC105" s="76"/>
      <c r="BD105" s="78"/>
      <c r="BE105" s="76"/>
      <c r="BF105" s="78"/>
      <c r="BG105" s="76"/>
      <c r="BH105" s="78"/>
      <c r="BI105" s="76"/>
      <c r="BJ105" s="78"/>
      <c r="BK105" s="76"/>
      <c r="BL105" s="78"/>
      <c r="BM105" s="76"/>
      <c r="BN105" s="78"/>
      <c r="BO105" s="76"/>
      <c r="BP105" s="78"/>
      <c r="BQ105" s="76"/>
      <c r="BR105" s="78"/>
      <c r="BS105" s="76"/>
      <c r="BT105" s="78"/>
      <c r="BU105" s="76"/>
      <c r="BV105" s="78"/>
    </row>
    <row r="106" spans="1:74" ht="30" customHeight="1" x14ac:dyDescent="0.3">
      <c r="A106" s="3"/>
      <c r="B106" s="8"/>
      <c r="C106" s="60">
        <v>3806</v>
      </c>
      <c r="D106" s="60">
        <v>4019</v>
      </c>
      <c r="E106" s="60" t="str">
        <f>+VLOOKUP(C106,'PRECIOS IDU 2025'!$A$1:$E$3189,2,FALSE)</f>
        <v>CURADO DE LOSAS DE CONCRETO (SUMINISTRO Y APLICACIÓN)</v>
      </c>
      <c r="F106" s="60" t="str">
        <f>+VLOOKUP(C106,'PRECIOS IDU 2025'!$A$1:$E$3189,3,FALSE)</f>
        <v>M2</v>
      </c>
      <c r="G106" s="108">
        <f t="shared" si="14"/>
        <v>0</v>
      </c>
      <c r="H106" s="69">
        <f>+VLOOKUP(C106,'PRECIOS IDU 2025'!$A$1:$E$3189,4,FALSE)</f>
        <v>2554</v>
      </c>
      <c r="I106" s="69">
        <f t="shared" si="15"/>
        <v>3320</v>
      </c>
      <c r="J106" s="69">
        <f t="shared" si="16"/>
        <v>0</v>
      </c>
      <c r="K106" s="9"/>
      <c r="L106" s="3"/>
      <c r="M106" s="76"/>
      <c r="N106" s="78"/>
      <c r="O106" s="76"/>
      <c r="P106" s="78">
        <f t="shared" si="17"/>
        <v>0</v>
      </c>
      <c r="Q106" s="76"/>
      <c r="R106" s="78"/>
      <c r="S106" s="76"/>
      <c r="T106" s="78"/>
      <c r="U106" s="76"/>
      <c r="V106" s="78"/>
      <c r="W106" s="76"/>
      <c r="X106" s="78"/>
      <c r="Y106" s="76"/>
      <c r="Z106" s="78"/>
      <c r="AA106" s="76"/>
      <c r="AB106" s="78"/>
      <c r="AC106" s="76"/>
      <c r="AD106" s="78"/>
      <c r="AE106" s="76"/>
      <c r="AF106" s="78"/>
      <c r="AG106" s="76"/>
      <c r="AH106" s="78"/>
      <c r="AI106" s="76"/>
      <c r="AJ106" s="78"/>
      <c r="AK106" s="76"/>
      <c r="AL106" s="78"/>
      <c r="AM106" s="76"/>
      <c r="AN106" s="78"/>
      <c r="AO106" s="76"/>
      <c r="AP106" s="78"/>
      <c r="AQ106" s="76"/>
      <c r="AR106" s="78"/>
      <c r="AS106" s="76"/>
      <c r="AT106" s="78"/>
      <c r="AU106" s="76"/>
      <c r="AV106" s="78"/>
      <c r="AW106" s="76"/>
      <c r="AX106" s="78"/>
      <c r="AY106" s="76"/>
      <c r="AZ106" s="78"/>
      <c r="BA106" s="76"/>
      <c r="BB106" s="78"/>
      <c r="BC106" s="76"/>
      <c r="BD106" s="78"/>
      <c r="BE106" s="76"/>
      <c r="BF106" s="78"/>
      <c r="BG106" s="76"/>
      <c r="BH106" s="78"/>
      <c r="BI106" s="76"/>
      <c r="BJ106" s="78"/>
      <c r="BK106" s="76"/>
      <c r="BL106" s="78"/>
      <c r="BM106" s="76"/>
      <c r="BN106" s="78"/>
      <c r="BO106" s="76"/>
      <c r="BP106" s="78"/>
      <c r="BQ106" s="76"/>
      <c r="BR106" s="78"/>
      <c r="BS106" s="76"/>
      <c r="BT106" s="78"/>
      <c r="BU106" s="76"/>
      <c r="BV106" s="78"/>
    </row>
    <row r="107" spans="1:74" ht="30" customHeight="1" x14ac:dyDescent="0.3">
      <c r="A107" s="3"/>
      <c r="B107" s="8"/>
      <c r="C107" s="60">
        <v>3837</v>
      </c>
      <c r="D107" s="60">
        <v>4020</v>
      </c>
      <c r="E107" s="60" t="str">
        <f>+VLOOKUP(C107,'PRECIOS IDU 2025'!$A$1:$E$3189,2,FALSE)</f>
        <v>SELLADO DE JUNTAS EN PAVIMENTO DE CONCRETO HIDRAULICO (INCLUYE LIMPIEZA, SUMINISTRO E INSTALACIÓN DE FONDO Y SELLANTE)</v>
      </c>
      <c r="F107" s="60" t="str">
        <f>+VLOOKUP(C107,'PRECIOS IDU 2025'!$A$1:$E$3189,3,FALSE)</f>
        <v>ML</v>
      </c>
      <c r="G107" s="108">
        <f t="shared" si="14"/>
        <v>0</v>
      </c>
      <c r="H107" s="69">
        <f>+VLOOKUP(C107,'PRECIOS IDU 2025'!$A$1:$E$3189,4,FALSE)</f>
        <v>13778</v>
      </c>
      <c r="I107" s="69">
        <f t="shared" si="15"/>
        <v>17911</v>
      </c>
      <c r="J107" s="69">
        <f t="shared" si="16"/>
        <v>0</v>
      </c>
      <c r="K107" s="9"/>
      <c r="L107" s="3"/>
      <c r="M107" s="76"/>
      <c r="N107" s="78"/>
      <c r="O107" s="76"/>
      <c r="P107" s="78">
        <f t="shared" si="17"/>
        <v>0</v>
      </c>
      <c r="Q107" s="76"/>
      <c r="R107" s="78"/>
      <c r="S107" s="76"/>
      <c r="T107" s="78"/>
      <c r="U107" s="76"/>
      <c r="V107" s="78"/>
      <c r="W107" s="76"/>
      <c r="X107" s="78"/>
      <c r="Y107" s="76"/>
      <c r="Z107" s="78"/>
      <c r="AA107" s="76"/>
      <c r="AB107" s="78"/>
      <c r="AC107" s="76"/>
      <c r="AD107" s="78"/>
      <c r="AE107" s="76"/>
      <c r="AF107" s="78"/>
      <c r="AG107" s="76"/>
      <c r="AH107" s="78"/>
      <c r="AI107" s="76"/>
      <c r="AJ107" s="78"/>
      <c r="AK107" s="76"/>
      <c r="AL107" s="78"/>
      <c r="AM107" s="76"/>
      <c r="AN107" s="78"/>
      <c r="AO107" s="76"/>
      <c r="AP107" s="78"/>
      <c r="AQ107" s="76"/>
      <c r="AR107" s="78"/>
      <c r="AS107" s="76"/>
      <c r="AT107" s="78"/>
      <c r="AU107" s="76"/>
      <c r="AV107" s="78"/>
      <c r="AW107" s="76"/>
      <c r="AX107" s="78"/>
      <c r="AY107" s="76"/>
      <c r="AZ107" s="78"/>
      <c r="BA107" s="76"/>
      <c r="BB107" s="78"/>
      <c r="BC107" s="76"/>
      <c r="BD107" s="78"/>
      <c r="BE107" s="76"/>
      <c r="BF107" s="78"/>
      <c r="BG107" s="76"/>
      <c r="BH107" s="78"/>
      <c r="BI107" s="76"/>
      <c r="BJ107" s="78"/>
      <c r="BK107" s="76"/>
      <c r="BL107" s="78"/>
      <c r="BM107" s="76"/>
      <c r="BN107" s="78"/>
      <c r="BO107" s="76"/>
      <c r="BP107" s="78"/>
      <c r="BQ107" s="76"/>
      <c r="BR107" s="78"/>
      <c r="BS107" s="76"/>
      <c r="BT107" s="78"/>
      <c r="BU107" s="76"/>
      <c r="BV107" s="78"/>
    </row>
    <row r="108" spans="1:74" ht="30" customHeight="1" x14ac:dyDescent="0.3">
      <c r="A108" s="3"/>
      <c r="B108" s="8"/>
      <c r="C108" s="60">
        <v>5404</v>
      </c>
      <c r="D108" s="60">
        <v>4021</v>
      </c>
      <c r="E108" s="60" t="str">
        <f>+VLOOKUP(C108,'PRECIOS IDU 2025'!$A$1:$E$3189,2,FALSE)</f>
        <v>CANASTILLA PASAJUNTAS (INCLUYE SUMINISTRO Y FIJACIÓN)</v>
      </c>
      <c r="F108" s="60" t="str">
        <f>+VLOOKUP(C108,'PRECIOS IDU 2025'!$A$1:$E$3189,3,FALSE)</f>
        <v>KG</v>
      </c>
      <c r="G108" s="108">
        <f t="shared" si="14"/>
        <v>0</v>
      </c>
      <c r="H108" s="69">
        <f>+VLOOKUP(C108,'PRECIOS IDU 2025'!$A$1:$E$3189,4,FALSE)</f>
        <v>10578</v>
      </c>
      <c r="I108" s="69">
        <f t="shared" si="15"/>
        <v>13751</v>
      </c>
      <c r="J108" s="69">
        <f t="shared" si="16"/>
        <v>0</v>
      </c>
      <c r="K108" s="9"/>
      <c r="L108" s="3"/>
      <c r="M108" s="76"/>
      <c r="N108" s="78"/>
      <c r="O108" s="76"/>
      <c r="P108" s="78">
        <f t="shared" si="17"/>
        <v>0</v>
      </c>
      <c r="Q108" s="76"/>
      <c r="R108" s="78"/>
      <c r="S108" s="76"/>
      <c r="T108" s="78"/>
      <c r="U108" s="76"/>
      <c r="V108" s="78"/>
      <c r="W108" s="76"/>
      <c r="X108" s="78"/>
      <c r="Y108" s="76"/>
      <c r="Z108" s="78"/>
      <c r="AA108" s="76"/>
      <c r="AB108" s="78"/>
      <c r="AC108" s="76"/>
      <c r="AD108" s="78"/>
      <c r="AE108" s="76"/>
      <c r="AF108" s="78"/>
      <c r="AG108" s="76"/>
      <c r="AH108" s="78"/>
      <c r="AI108" s="76"/>
      <c r="AJ108" s="78"/>
      <c r="AK108" s="76"/>
      <c r="AL108" s="78"/>
      <c r="AM108" s="76"/>
      <c r="AN108" s="78"/>
      <c r="AO108" s="76"/>
      <c r="AP108" s="78"/>
      <c r="AQ108" s="76"/>
      <c r="AR108" s="78"/>
      <c r="AS108" s="76"/>
      <c r="AT108" s="78"/>
      <c r="AU108" s="76"/>
      <c r="AV108" s="78"/>
      <c r="AW108" s="76"/>
      <c r="AX108" s="78"/>
      <c r="AY108" s="76"/>
      <c r="AZ108" s="78"/>
      <c r="BA108" s="76"/>
      <c r="BB108" s="78"/>
      <c r="BC108" s="76"/>
      <c r="BD108" s="78"/>
      <c r="BE108" s="76"/>
      <c r="BF108" s="78"/>
      <c r="BG108" s="76"/>
      <c r="BH108" s="78"/>
      <c r="BI108" s="76"/>
      <c r="BJ108" s="78"/>
      <c r="BK108" s="76"/>
      <c r="BL108" s="78"/>
      <c r="BM108" s="76"/>
      <c r="BN108" s="78"/>
      <c r="BO108" s="76"/>
      <c r="BP108" s="78"/>
      <c r="BQ108" s="76"/>
      <c r="BR108" s="78"/>
      <c r="BS108" s="76"/>
      <c r="BT108" s="78"/>
      <c r="BU108" s="76"/>
      <c r="BV108" s="78"/>
    </row>
    <row r="109" spans="1:74" ht="30" customHeight="1" x14ac:dyDescent="0.3">
      <c r="A109" s="3"/>
      <c r="B109" s="8"/>
      <c r="C109" s="60">
        <v>3723</v>
      </c>
      <c r="D109" s="60">
        <v>4022</v>
      </c>
      <c r="E109" s="60" t="str">
        <f>+VLOOKUP(C109,'PRECIOS IDU 2025'!$A$1:$E$3189,2,FALSE)</f>
        <v>LIMPIEZA DE POZOS (INCLUYE CARGUE, RETIRO Y DISPOSICIÓN FINAL DE SOBRANTES)</v>
      </c>
      <c r="F109" s="60" t="str">
        <f>+VLOOKUP(C109,'PRECIOS IDU 2025'!$A$1:$E$3189,3,FALSE)</f>
        <v>UN</v>
      </c>
      <c r="G109" s="108">
        <f t="shared" si="14"/>
        <v>0</v>
      </c>
      <c r="H109" s="69">
        <f>+VLOOKUP(C109,'PRECIOS IDU 2025'!$A$1:$E$3189,4,FALSE)</f>
        <v>104695</v>
      </c>
      <c r="I109" s="69">
        <f t="shared" si="15"/>
        <v>136104</v>
      </c>
      <c r="J109" s="69">
        <f t="shared" si="16"/>
        <v>0</v>
      </c>
      <c r="K109" s="9"/>
      <c r="L109" s="3"/>
      <c r="M109" s="76"/>
      <c r="N109" s="78"/>
      <c r="O109" s="76"/>
      <c r="P109" s="78">
        <f t="shared" si="17"/>
        <v>0</v>
      </c>
      <c r="Q109" s="76"/>
      <c r="R109" s="78"/>
      <c r="S109" s="76"/>
      <c r="T109" s="78"/>
      <c r="U109" s="76"/>
      <c r="V109" s="78"/>
      <c r="W109" s="76"/>
      <c r="X109" s="78"/>
      <c r="Y109" s="76"/>
      <c r="Z109" s="78"/>
      <c r="AA109" s="76"/>
      <c r="AB109" s="78"/>
      <c r="AC109" s="76"/>
      <c r="AD109" s="78"/>
      <c r="AE109" s="76"/>
      <c r="AF109" s="78"/>
      <c r="AG109" s="76"/>
      <c r="AH109" s="78"/>
      <c r="AI109" s="76"/>
      <c r="AJ109" s="78"/>
      <c r="AK109" s="76"/>
      <c r="AL109" s="78"/>
      <c r="AM109" s="76"/>
      <c r="AN109" s="78"/>
      <c r="AO109" s="76"/>
      <c r="AP109" s="78"/>
      <c r="AQ109" s="76"/>
      <c r="AR109" s="78"/>
      <c r="AS109" s="76"/>
      <c r="AT109" s="78"/>
      <c r="AU109" s="76"/>
      <c r="AV109" s="78"/>
      <c r="AW109" s="76"/>
      <c r="AX109" s="78"/>
      <c r="AY109" s="76"/>
      <c r="AZ109" s="78"/>
      <c r="BA109" s="76"/>
      <c r="BB109" s="78"/>
      <c r="BC109" s="76"/>
      <c r="BD109" s="78"/>
      <c r="BE109" s="76"/>
      <c r="BF109" s="78"/>
      <c r="BG109" s="76"/>
      <c r="BH109" s="78"/>
      <c r="BI109" s="76"/>
      <c r="BJ109" s="78"/>
      <c r="BK109" s="76"/>
      <c r="BL109" s="78"/>
      <c r="BM109" s="76"/>
      <c r="BN109" s="78"/>
      <c r="BO109" s="76"/>
      <c r="BP109" s="78"/>
      <c r="BQ109" s="76"/>
      <c r="BR109" s="78"/>
      <c r="BS109" s="76"/>
      <c r="BT109" s="78"/>
      <c r="BU109" s="76"/>
      <c r="BV109" s="78"/>
    </row>
    <row r="110" spans="1:74" ht="30" customHeight="1" x14ac:dyDescent="0.3">
      <c r="A110" s="3"/>
      <c r="B110" s="8"/>
      <c r="C110" s="60">
        <v>3724</v>
      </c>
      <c r="D110" s="60">
        <v>4023</v>
      </c>
      <c r="E110" s="60" t="str">
        <f>+VLOOKUP(C110,'PRECIOS IDU 2025'!$A$1:$E$3189,2,FALSE)</f>
        <v>LIMPIEZA DE SUMIDEROS (INCLUYE CARGUE, RETIRO Y DISPOSICIÓN FINAL DE SOBRANTES)</v>
      </c>
      <c r="F110" s="60" t="str">
        <f>+VLOOKUP(C110,'PRECIOS IDU 2025'!$A$1:$E$3189,3,FALSE)</f>
        <v>UN</v>
      </c>
      <c r="G110" s="108">
        <f t="shared" si="14"/>
        <v>0</v>
      </c>
      <c r="H110" s="69">
        <f>+VLOOKUP(C110,'PRECIOS IDU 2025'!$A$1:$E$3189,4,FALSE)</f>
        <v>104695</v>
      </c>
      <c r="I110" s="69">
        <f t="shared" si="15"/>
        <v>136104</v>
      </c>
      <c r="J110" s="69">
        <f t="shared" si="16"/>
        <v>0</v>
      </c>
      <c r="K110" s="9"/>
      <c r="L110" s="3"/>
      <c r="M110" s="76"/>
      <c r="N110" s="78"/>
      <c r="O110" s="76"/>
      <c r="P110" s="78">
        <f t="shared" si="17"/>
        <v>0</v>
      </c>
      <c r="Q110" s="76"/>
      <c r="R110" s="78"/>
      <c r="S110" s="76"/>
      <c r="T110" s="78"/>
      <c r="U110" s="76"/>
      <c r="V110" s="78"/>
      <c r="W110" s="76"/>
      <c r="X110" s="78"/>
      <c r="Y110" s="76"/>
      <c r="Z110" s="78"/>
      <c r="AA110" s="76"/>
      <c r="AB110" s="78"/>
      <c r="AC110" s="76"/>
      <c r="AD110" s="78"/>
      <c r="AE110" s="76"/>
      <c r="AF110" s="78"/>
      <c r="AG110" s="76"/>
      <c r="AH110" s="78"/>
      <c r="AI110" s="76"/>
      <c r="AJ110" s="78"/>
      <c r="AK110" s="76"/>
      <c r="AL110" s="78"/>
      <c r="AM110" s="76"/>
      <c r="AN110" s="78"/>
      <c r="AO110" s="76"/>
      <c r="AP110" s="78"/>
      <c r="AQ110" s="76"/>
      <c r="AR110" s="78"/>
      <c r="AS110" s="76"/>
      <c r="AT110" s="78"/>
      <c r="AU110" s="76"/>
      <c r="AV110" s="78"/>
      <c r="AW110" s="76"/>
      <c r="AX110" s="78"/>
      <c r="AY110" s="76"/>
      <c r="AZ110" s="78"/>
      <c r="BA110" s="76"/>
      <c r="BB110" s="78"/>
      <c r="BC110" s="76"/>
      <c r="BD110" s="78"/>
      <c r="BE110" s="76"/>
      <c r="BF110" s="78"/>
      <c r="BG110" s="76"/>
      <c r="BH110" s="78"/>
      <c r="BI110" s="76"/>
      <c r="BJ110" s="78"/>
      <c r="BK110" s="76"/>
      <c r="BL110" s="78"/>
      <c r="BM110" s="76"/>
      <c r="BN110" s="78"/>
      <c r="BO110" s="76"/>
      <c r="BP110" s="78"/>
      <c r="BQ110" s="76"/>
      <c r="BR110" s="78"/>
      <c r="BS110" s="76"/>
      <c r="BT110" s="78"/>
      <c r="BU110" s="76"/>
      <c r="BV110" s="78"/>
    </row>
    <row r="111" spans="1:74" ht="30" customHeight="1" x14ac:dyDescent="0.3">
      <c r="A111" s="3"/>
      <c r="B111" s="8"/>
      <c r="C111" s="66" t="s">
        <v>6080</v>
      </c>
      <c r="D111" s="67"/>
      <c r="E111" s="67"/>
      <c r="F111" s="67"/>
      <c r="G111" s="67"/>
      <c r="H111" s="67"/>
      <c r="I111" s="67"/>
      <c r="J111" s="68"/>
      <c r="K111" s="9"/>
      <c r="L111" s="3"/>
      <c r="M111" s="76"/>
      <c r="N111" s="78"/>
      <c r="O111" s="76"/>
      <c r="P111" s="78">
        <f t="shared" si="17"/>
        <v>0</v>
      </c>
      <c r="Q111" s="76"/>
      <c r="R111" s="78"/>
      <c r="S111" s="76"/>
      <c r="T111" s="78"/>
      <c r="U111" s="76"/>
      <c r="V111" s="78"/>
      <c r="W111" s="76"/>
      <c r="X111" s="78"/>
      <c r="Y111" s="76"/>
      <c r="Z111" s="78"/>
      <c r="AA111" s="76"/>
      <c r="AB111" s="78"/>
      <c r="AC111" s="76"/>
      <c r="AD111" s="78"/>
      <c r="AE111" s="76"/>
      <c r="AF111" s="78"/>
      <c r="AG111" s="76"/>
      <c r="AH111" s="78"/>
      <c r="AI111" s="76"/>
      <c r="AJ111" s="78"/>
      <c r="AK111" s="76"/>
      <c r="AL111" s="78"/>
      <c r="AM111" s="76"/>
      <c r="AN111" s="78"/>
      <c r="AO111" s="76"/>
      <c r="AP111" s="78"/>
      <c r="AQ111" s="76"/>
      <c r="AR111" s="78"/>
      <c r="AS111" s="76"/>
      <c r="AT111" s="78"/>
      <c r="AU111" s="76"/>
      <c r="AV111" s="78"/>
      <c r="AW111" s="76"/>
      <c r="AX111" s="78"/>
      <c r="AY111" s="76"/>
      <c r="AZ111" s="78"/>
      <c r="BA111" s="76"/>
      <c r="BB111" s="78"/>
      <c r="BC111" s="76"/>
      <c r="BD111" s="78"/>
      <c r="BE111" s="76"/>
      <c r="BF111" s="78"/>
      <c r="BG111" s="76"/>
      <c r="BH111" s="78"/>
      <c r="BI111" s="76"/>
      <c r="BJ111" s="78"/>
      <c r="BK111" s="76"/>
      <c r="BL111" s="78"/>
      <c r="BM111" s="76"/>
      <c r="BN111" s="78"/>
      <c r="BO111" s="76"/>
      <c r="BP111" s="78"/>
      <c r="BQ111" s="76"/>
      <c r="BR111" s="78"/>
      <c r="BS111" s="76"/>
      <c r="BT111" s="78"/>
      <c r="BU111" s="76"/>
      <c r="BV111" s="78"/>
    </row>
    <row r="112" spans="1:74" ht="30" customHeight="1" x14ac:dyDescent="0.3">
      <c r="A112" s="3"/>
      <c r="B112" s="8"/>
      <c r="C112" s="60">
        <v>3012</v>
      </c>
      <c r="D112" s="60">
        <v>5001</v>
      </c>
      <c r="E112" s="60" t="str">
        <f>+VLOOKUP(C112,'PRECIOS IDU 2025'!$A$1:$E$3189,2,FALSE)</f>
        <v>DEMOLICIÓN PISOS DE CONCRETO (ESPESOR VARIABLE HASTA 0.10 M. INCLUYE CARGUE). NO INCLUYE TRANSPORTE Y DISPOSICIÓN FINAL DE SOBRANTES.</v>
      </c>
      <c r="F112" s="60" t="str">
        <f>+VLOOKUP(C112,'PRECIOS IDU 2025'!$A$1:$E$3189,3,FALSE)</f>
        <v>M2</v>
      </c>
      <c r="G112" s="108">
        <f t="shared" ref="G112:G128" si="18">+ROUND(M112+O112+Q112+S112+U112+W112+Y112+AA112+AC112+AE112+AG112+AI112+AK112+AM112+AO112+AQ112+AS112+AU112+AW112+AY112+BA112+BC112+BE112+BG112+BI112+BK112+BM112+BO112+BQ112+BS112+BU112,2)</f>
        <v>0</v>
      </c>
      <c r="H112" s="69">
        <f>+VLOOKUP(C112,'PRECIOS IDU 2025'!$A$1:$E$3189,4,FALSE)</f>
        <v>8262</v>
      </c>
      <c r="I112" s="69">
        <f t="shared" ref="I112:I128" si="19">+ROUND(H112*(1+$J$192),0)</f>
        <v>10741</v>
      </c>
      <c r="J112" s="69">
        <f t="shared" ref="J112:J128" si="20">+ROUND(I112*G112,0)</f>
        <v>0</v>
      </c>
      <c r="K112" s="9"/>
      <c r="L112" s="3"/>
      <c r="M112" s="76"/>
      <c r="N112" s="78"/>
      <c r="O112" s="76"/>
      <c r="P112" s="78"/>
      <c r="Q112" s="76"/>
      <c r="R112" s="78"/>
      <c r="S112" s="76"/>
      <c r="T112" s="78"/>
      <c r="U112" s="76"/>
      <c r="V112" s="78"/>
      <c r="W112" s="76"/>
      <c r="X112" s="78"/>
      <c r="Y112" s="76"/>
      <c r="Z112" s="78"/>
      <c r="AA112" s="76"/>
      <c r="AB112" s="78"/>
      <c r="AC112" s="76"/>
      <c r="AD112" s="78"/>
      <c r="AE112" s="76"/>
      <c r="AF112" s="78"/>
      <c r="AG112" s="76"/>
      <c r="AH112" s="78"/>
      <c r="AI112" s="76"/>
      <c r="AJ112" s="78"/>
      <c r="AK112" s="76"/>
      <c r="AL112" s="78"/>
      <c r="AM112" s="76"/>
      <c r="AN112" s="78"/>
      <c r="AO112" s="76"/>
      <c r="AP112" s="78"/>
      <c r="AQ112" s="76"/>
      <c r="AR112" s="78"/>
      <c r="AS112" s="76"/>
      <c r="AT112" s="78"/>
      <c r="AU112" s="76"/>
      <c r="AV112" s="78"/>
      <c r="AW112" s="76"/>
      <c r="AX112" s="78"/>
      <c r="AY112" s="76"/>
      <c r="AZ112" s="78"/>
      <c r="BA112" s="76"/>
      <c r="BB112" s="78"/>
      <c r="BC112" s="76"/>
      <c r="BD112" s="78"/>
      <c r="BE112" s="76"/>
      <c r="BF112" s="78"/>
      <c r="BG112" s="76"/>
      <c r="BH112" s="78"/>
      <c r="BI112" s="76"/>
      <c r="BJ112" s="78"/>
      <c r="BK112" s="76"/>
      <c r="BL112" s="78"/>
      <c r="BM112" s="76"/>
      <c r="BN112" s="78"/>
      <c r="BO112" s="76"/>
      <c r="BP112" s="78"/>
      <c r="BQ112" s="76"/>
      <c r="BR112" s="78"/>
      <c r="BS112" s="76"/>
      <c r="BT112" s="78"/>
      <c r="BU112" s="76"/>
      <c r="BV112" s="78"/>
    </row>
    <row r="113" spans="1:74" ht="30" customHeight="1" x14ac:dyDescent="0.3">
      <c r="A113" s="3"/>
      <c r="B113" s="8"/>
      <c r="C113" s="60">
        <v>3011</v>
      </c>
      <c r="D113" s="60">
        <v>5002</v>
      </c>
      <c r="E113" s="60" t="str">
        <f>+VLOOKUP(C113,'PRECIOS IDU 2025'!$A$1:$E$3189,2,FALSE)</f>
        <v>DEMOLICION MANUAL SARDINEL EXISTENTE (INCLUYE CARGUE). NO INCLUYE TRANSPORTE Y DISPOSICIÓN FINAL DE SOBRANTES.</v>
      </c>
      <c r="F113" s="60" t="str">
        <f>+VLOOKUP(C113,'PRECIOS IDU 2025'!$A$1:$E$3189,3,FALSE)</f>
        <v>ML</v>
      </c>
      <c r="G113" s="108">
        <f t="shared" si="18"/>
        <v>0</v>
      </c>
      <c r="H113" s="69">
        <f>+VLOOKUP(C113,'PRECIOS IDU 2025'!$A$1:$E$3189,4,FALSE)</f>
        <v>6417</v>
      </c>
      <c r="I113" s="69">
        <f t="shared" si="19"/>
        <v>8342</v>
      </c>
      <c r="J113" s="69">
        <f t="shared" si="20"/>
        <v>0</v>
      </c>
      <c r="K113" s="9"/>
      <c r="L113" s="3"/>
      <c r="M113" s="76"/>
      <c r="N113" s="78"/>
      <c r="O113" s="76"/>
      <c r="P113" s="78"/>
      <c r="Q113" s="76"/>
      <c r="R113" s="78"/>
      <c r="S113" s="76"/>
      <c r="T113" s="78"/>
      <c r="U113" s="76"/>
      <c r="V113" s="78"/>
      <c r="W113" s="76"/>
      <c r="X113" s="78"/>
      <c r="Y113" s="76"/>
      <c r="Z113" s="78"/>
      <c r="AA113" s="76"/>
      <c r="AB113" s="78"/>
      <c r="AC113" s="76"/>
      <c r="AD113" s="78"/>
      <c r="AE113" s="76"/>
      <c r="AF113" s="78"/>
      <c r="AG113" s="76"/>
      <c r="AH113" s="78"/>
      <c r="AI113" s="76"/>
      <c r="AJ113" s="78"/>
      <c r="AK113" s="76"/>
      <c r="AL113" s="78"/>
      <c r="AM113" s="76"/>
      <c r="AN113" s="78"/>
      <c r="AO113" s="76"/>
      <c r="AP113" s="78"/>
      <c r="AQ113" s="76"/>
      <c r="AR113" s="78"/>
      <c r="AS113" s="76"/>
      <c r="AT113" s="78"/>
      <c r="AU113" s="76"/>
      <c r="AV113" s="78"/>
      <c r="AW113" s="76"/>
      <c r="AX113" s="78"/>
      <c r="AY113" s="76"/>
      <c r="AZ113" s="78"/>
      <c r="BA113" s="76"/>
      <c r="BB113" s="78"/>
      <c r="BC113" s="76"/>
      <c r="BD113" s="78"/>
      <c r="BE113" s="76"/>
      <c r="BF113" s="78"/>
      <c r="BG113" s="76"/>
      <c r="BH113" s="78"/>
      <c r="BI113" s="76"/>
      <c r="BJ113" s="78"/>
      <c r="BK113" s="76"/>
      <c r="BL113" s="78"/>
      <c r="BM113" s="76"/>
      <c r="BN113" s="78"/>
      <c r="BO113" s="76"/>
      <c r="BP113" s="78"/>
      <c r="BQ113" s="76"/>
      <c r="BR113" s="78"/>
      <c r="BS113" s="76"/>
      <c r="BT113" s="78"/>
      <c r="BU113" s="76"/>
      <c r="BV113" s="78"/>
    </row>
    <row r="114" spans="1:74" ht="30" customHeight="1" x14ac:dyDescent="0.3">
      <c r="A114" s="3"/>
      <c r="B114" s="8"/>
      <c r="C114" s="60">
        <v>3464</v>
      </c>
      <c r="D114" s="60">
        <v>5003</v>
      </c>
      <c r="E114" s="60" t="str">
        <f>+VLOOKUP(C114,'PRECIOS IDU 2025'!$A$1:$E$3189,2,FALSE)</f>
        <v>EXCAVACION MANUAL EN MATERIAL COMUN. INCLUYE CARGUE.</v>
      </c>
      <c r="F114" s="60" t="str">
        <f>+VLOOKUP(C114,'PRECIOS IDU 2025'!$A$1:$E$3189,3,FALSE)</f>
        <v>M3</v>
      </c>
      <c r="G114" s="108">
        <f t="shared" si="18"/>
        <v>0</v>
      </c>
      <c r="H114" s="69">
        <f>+VLOOKUP(C114,'PRECIOS IDU 2025'!$A$1:$E$3189,4,FALSE)</f>
        <v>46379</v>
      </c>
      <c r="I114" s="69">
        <f t="shared" si="19"/>
        <v>60293</v>
      </c>
      <c r="J114" s="69">
        <f t="shared" si="20"/>
        <v>0</v>
      </c>
      <c r="K114" s="9"/>
      <c r="L114" s="3"/>
      <c r="M114" s="76"/>
      <c r="N114" s="78"/>
      <c r="O114" s="76"/>
      <c r="P114" s="78"/>
      <c r="Q114" s="76"/>
      <c r="R114" s="78"/>
      <c r="S114" s="76"/>
      <c r="T114" s="78"/>
      <c r="U114" s="76"/>
      <c r="V114" s="78"/>
      <c r="W114" s="76"/>
      <c r="X114" s="78"/>
      <c r="Y114" s="76"/>
      <c r="Z114" s="78"/>
      <c r="AA114" s="76"/>
      <c r="AB114" s="78"/>
      <c r="AC114" s="76"/>
      <c r="AD114" s="78"/>
      <c r="AE114" s="76"/>
      <c r="AF114" s="78"/>
      <c r="AG114" s="76"/>
      <c r="AH114" s="78"/>
      <c r="AI114" s="76"/>
      <c r="AJ114" s="78"/>
      <c r="AK114" s="76"/>
      <c r="AL114" s="78"/>
      <c r="AM114" s="76"/>
      <c r="AN114" s="78"/>
      <c r="AO114" s="76"/>
      <c r="AP114" s="78"/>
      <c r="AQ114" s="76"/>
      <c r="AR114" s="78"/>
      <c r="AS114" s="76"/>
      <c r="AT114" s="78"/>
      <c r="AU114" s="76"/>
      <c r="AV114" s="78"/>
      <c r="AW114" s="76"/>
      <c r="AX114" s="78"/>
      <c r="AY114" s="76"/>
      <c r="AZ114" s="78"/>
      <c r="BA114" s="76"/>
      <c r="BB114" s="78"/>
      <c r="BC114" s="76"/>
      <c r="BD114" s="78"/>
      <c r="BE114" s="76"/>
      <c r="BF114" s="78"/>
      <c r="BG114" s="76"/>
      <c r="BH114" s="78"/>
      <c r="BI114" s="76"/>
      <c r="BJ114" s="78"/>
      <c r="BK114" s="76"/>
      <c r="BL114" s="78"/>
      <c r="BM114" s="76"/>
      <c r="BN114" s="78"/>
      <c r="BO114" s="76"/>
      <c r="BP114" s="78"/>
      <c r="BQ114" s="76"/>
      <c r="BR114" s="78"/>
      <c r="BS114" s="76"/>
      <c r="BT114" s="78"/>
      <c r="BU114" s="76"/>
      <c r="BV114" s="78"/>
    </row>
    <row r="115" spans="1:74" ht="30" customHeight="1" x14ac:dyDescent="0.3">
      <c r="A115" s="3"/>
      <c r="B115" s="8"/>
      <c r="C115" s="60">
        <v>3017</v>
      </c>
      <c r="D115" s="60">
        <v>5004</v>
      </c>
      <c r="E115" s="60" t="str">
        <f>+VLOOKUP(C115,'PRECIOS IDU 2025'!$A$1:$E$3189,2,FALSE)</f>
        <v>TRANSPORTE Y DISPOSICIÓN FINAL DE ESCOMBROS EN SITIO AUTORIZADO (DISTANCIA DE TRANSPORTE 21 KM). A DISTANCIA MAYOR DEL ACARREO LIBRE (90 M) EN SITIO AUTORIZADO POR LA ENTIDAD AMBIENTAL COMPETENTE.</v>
      </c>
      <c r="F115" s="60" t="str">
        <f>+VLOOKUP(C115,'PRECIOS IDU 2025'!$A$1:$E$3189,3,FALSE)</f>
        <v>M3</v>
      </c>
      <c r="G115" s="108">
        <f t="shared" si="18"/>
        <v>0</v>
      </c>
      <c r="H115" s="69">
        <f>+VLOOKUP(C115,'PRECIOS IDU 2025'!$A$1:$E$3189,4,FALSE)</f>
        <v>45600</v>
      </c>
      <c r="I115" s="69">
        <f t="shared" si="19"/>
        <v>59280</v>
      </c>
      <c r="J115" s="69">
        <f t="shared" si="20"/>
        <v>0</v>
      </c>
      <c r="K115" s="9"/>
      <c r="L115" s="3"/>
      <c r="M115" s="76"/>
      <c r="N115" s="78"/>
      <c r="O115" s="76"/>
      <c r="P115" s="78"/>
      <c r="Q115" s="76"/>
      <c r="R115" s="78"/>
      <c r="S115" s="76"/>
      <c r="T115" s="78"/>
      <c r="U115" s="76"/>
      <c r="V115" s="78"/>
      <c r="W115" s="76"/>
      <c r="X115" s="78"/>
      <c r="Y115" s="76"/>
      <c r="Z115" s="78"/>
      <c r="AA115" s="76"/>
      <c r="AB115" s="78"/>
      <c r="AC115" s="76"/>
      <c r="AD115" s="78"/>
      <c r="AE115" s="76"/>
      <c r="AF115" s="78"/>
      <c r="AG115" s="76"/>
      <c r="AH115" s="78"/>
      <c r="AI115" s="76"/>
      <c r="AJ115" s="78"/>
      <c r="AK115" s="76"/>
      <c r="AL115" s="78"/>
      <c r="AM115" s="76"/>
      <c r="AN115" s="78"/>
      <c r="AO115" s="76"/>
      <c r="AP115" s="78"/>
      <c r="AQ115" s="76"/>
      <c r="AR115" s="78"/>
      <c r="AS115" s="76"/>
      <c r="AT115" s="78"/>
      <c r="AU115" s="76"/>
      <c r="AV115" s="78"/>
      <c r="AW115" s="76"/>
      <c r="AX115" s="78"/>
      <c r="AY115" s="76"/>
      <c r="AZ115" s="78"/>
      <c r="BA115" s="76"/>
      <c r="BB115" s="78"/>
      <c r="BC115" s="76"/>
      <c r="BD115" s="78"/>
      <c r="BE115" s="76"/>
      <c r="BF115" s="78"/>
      <c r="BG115" s="76"/>
      <c r="BH115" s="78"/>
      <c r="BI115" s="76"/>
      <c r="BJ115" s="78"/>
      <c r="BK115" s="76"/>
      <c r="BL115" s="78"/>
      <c r="BM115" s="76"/>
      <c r="BN115" s="78"/>
      <c r="BO115" s="76"/>
      <c r="BP115" s="78"/>
      <c r="BQ115" s="76"/>
      <c r="BR115" s="78"/>
      <c r="BS115" s="76"/>
      <c r="BT115" s="78"/>
      <c r="BU115" s="76"/>
      <c r="BV115" s="78"/>
    </row>
    <row r="116" spans="1:74" ht="30" customHeight="1" x14ac:dyDescent="0.3">
      <c r="A116" s="3"/>
      <c r="B116" s="8"/>
      <c r="C116" s="60">
        <v>4159</v>
      </c>
      <c r="D116" s="60">
        <v>5005</v>
      </c>
      <c r="E116" s="60" t="str">
        <f>+VLOOKUP(C116,'PRECIOS IDU 2025'!$A$1:$E$3189,2,FALSE)</f>
        <v>SUBBASE GRANULAR CLASE C (SBG_C) (SUMINISTRO, EXTENDIDO, NIVELACIÓN, HUMEDECIMIENTO Y COMPACTACIÓN CON VIBROCOMPACTADOR)</v>
      </c>
      <c r="F116" s="60" t="str">
        <f>+VLOOKUP(C116,'PRECIOS IDU 2025'!$A$1:$E$3189,3,FALSE)</f>
        <v>M3</v>
      </c>
      <c r="G116" s="108">
        <f t="shared" si="18"/>
        <v>0</v>
      </c>
      <c r="H116" s="69">
        <f>+VLOOKUP(C116,'PRECIOS IDU 2025'!$A$1:$E$3189,4,FALSE)</f>
        <v>167049</v>
      </c>
      <c r="I116" s="69">
        <f t="shared" si="19"/>
        <v>217164</v>
      </c>
      <c r="J116" s="69">
        <f t="shared" si="20"/>
        <v>0</v>
      </c>
      <c r="K116" s="9"/>
      <c r="L116" s="3"/>
      <c r="M116" s="76"/>
      <c r="N116" s="78"/>
      <c r="O116" s="76"/>
      <c r="P116" s="78"/>
      <c r="Q116" s="76"/>
      <c r="R116" s="78"/>
      <c r="S116" s="76"/>
      <c r="T116" s="78"/>
      <c r="U116" s="76"/>
      <c r="V116" s="78"/>
      <c r="W116" s="76"/>
      <c r="X116" s="78"/>
      <c r="Y116" s="76"/>
      <c r="Z116" s="78"/>
      <c r="AA116" s="76"/>
      <c r="AB116" s="78"/>
      <c r="AC116" s="76"/>
      <c r="AD116" s="78"/>
      <c r="AE116" s="76"/>
      <c r="AF116" s="78"/>
      <c r="AG116" s="76"/>
      <c r="AH116" s="78"/>
      <c r="AI116" s="76"/>
      <c r="AJ116" s="78"/>
      <c r="AK116" s="76"/>
      <c r="AL116" s="78"/>
      <c r="AM116" s="76"/>
      <c r="AN116" s="78"/>
      <c r="AO116" s="76"/>
      <c r="AP116" s="78"/>
      <c r="AQ116" s="76"/>
      <c r="AR116" s="78"/>
      <c r="AS116" s="76"/>
      <c r="AT116" s="78"/>
      <c r="AU116" s="76"/>
      <c r="AV116" s="78"/>
      <c r="AW116" s="76"/>
      <c r="AX116" s="78"/>
      <c r="AY116" s="76"/>
      <c r="AZ116" s="78"/>
      <c r="BA116" s="76"/>
      <c r="BB116" s="78"/>
      <c r="BC116" s="76"/>
      <c r="BD116" s="78"/>
      <c r="BE116" s="76"/>
      <c r="BF116" s="78"/>
      <c r="BG116" s="76"/>
      <c r="BH116" s="78"/>
      <c r="BI116" s="76"/>
      <c r="BJ116" s="78"/>
      <c r="BK116" s="76"/>
      <c r="BL116" s="78"/>
      <c r="BM116" s="76"/>
      <c r="BN116" s="78"/>
      <c r="BO116" s="76"/>
      <c r="BP116" s="78"/>
      <c r="BQ116" s="76"/>
      <c r="BR116" s="78"/>
      <c r="BS116" s="76"/>
      <c r="BT116" s="78"/>
      <c r="BU116" s="76"/>
      <c r="BV116" s="78"/>
    </row>
    <row r="117" spans="1:74" ht="30" customHeight="1" x14ac:dyDescent="0.3">
      <c r="A117" s="3"/>
      <c r="B117" s="8"/>
      <c r="C117" s="60">
        <v>4755</v>
      </c>
      <c r="D117" s="60">
        <v>5006</v>
      </c>
      <c r="E117" s="60" t="str">
        <f>+VLOOKUP(C117,'PRECIOS IDU 2025'!$A$1:$E$3189,2,FALSE)</f>
        <v>SUBBASE GRANULAR CLASE C (SBG_C) CON RECICLADO DE CONCRETO HIDRAULICO (SUMINISTRO, EXTENDIDO MANUAL, HUMEDECIMIENTO Y COMPACTACIÓN)</v>
      </c>
      <c r="F117" s="60" t="str">
        <f>+VLOOKUP(C117,'PRECIOS IDU 2025'!$A$1:$E$3189,3,FALSE)</f>
        <v>M3</v>
      </c>
      <c r="G117" s="108">
        <f t="shared" si="18"/>
        <v>0</v>
      </c>
      <c r="H117" s="69">
        <f>+VLOOKUP(C117,'PRECIOS IDU 2025'!$A$1:$E$3189,4,FALSE)</f>
        <v>162047</v>
      </c>
      <c r="I117" s="69">
        <f t="shared" si="19"/>
        <v>210661</v>
      </c>
      <c r="J117" s="69">
        <f t="shared" si="20"/>
        <v>0</v>
      </c>
      <c r="K117" s="9"/>
      <c r="L117" s="3"/>
      <c r="M117" s="76"/>
      <c r="N117" s="78"/>
      <c r="O117" s="76"/>
      <c r="P117" s="78"/>
      <c r="Q117" s="76"/>
      <c r="R117" s="78"/>
      <c r="S117" s="76"/>
      <c r="T117" s="78"/>
      <c r="U117" s="76"/>
      <c r="V117" s="78"/>
      <c r="W117" s="76"/>
      <c r="X117" s="78"/>
      <c r="Y117" s="76"/>
      <c r="Z117" s="78"/>
      <c r="AA117" s="76"/>
      <c r="AB117" s="78"/>
      <c r="AC117" s="76"/>
      <c r="AD117" s="78"/>
      <c r="AE117" s="76"/>
      <c r="AF117" s="78"/>
      <c r="AG117" s="76"/>
      <c r="AH117" s="78"/>
      <c r="AI117" s="76"/>
      <c r="AJ117" s="78"/>
      <c r="AK117" s="76"/>
      <c r="AL117" s="78"/>
      <c r="AM117" s="76"/>
      <c r="AN117" s="78"/>
      <c r="AO117" s="76"/>
      <c r="AP117" s="78"/>
      <c r="AQ117" s="76"/>
      <c r="AR117" s="78"/>
      <c r="AS117" s="76"/>
      <c r="AT117" s="78"/>
      <c r="AU117" s="76"/>
      <c r="AV117" s="78"/>
      <c r="AW117" s="76"/>
      <c r="AX117" s="78"/>
      <c r="AY117" s="76"/>
      <c r="AZ117" s="78"/>
      <c r="BA117" s="76"/>
      <c r="BB117" s="78"/>
      <c r="BC117" s="76"/>
      <c r="BD117" s="78"/>
      <c r="BE117" s="76"/>
      <c r="BF117" s="78"/>
      <c r="BG117" s="76"/>
      <c r="BH117" s="78"/>
      <c r="BI117" s="76"/>
      <c r="BJ117" s="78"/>
      <c r="BK117" s="76"/>
      <c r="BL117" s="78"/>
      <c r="BM117" s="76"/>
      <c r="BN117" s="78"/>
      <c r="BO117" s="76"/>
      <c r="BP117" s="78"/>
      <c r="BQ117" s="76"/>
      <c r="BR117" s="78"/>
      <c r="BS117" s="76"/>
      <c r="BT117" s="78"/>
      <c r="BU117" s="76"/>
      <c r="BV117" s="78"/>
    </row>
    <row r="118" spans="1:74" ht="30" customHeight="1" x14ac:dyDescent="0.3">
      <c r="A118" s="3"/>
      <c r="B118" s="8"/>
      <c r="C118" s="60">
        <v>3425</v>
      </c>
      <c r="D118" s="60">
        <v>5007</v>
      </c>
      <c r="E118" s="60" t="str">
        <f>+VLOOKUP(C118,'PRECIOS IDU 2025'!$A$1:$E$3189,2,FALSE)</f>
        <v>ANDEN CONCRETO GRAVA COMÚN DE 3000 PSI (210 KG/CM2) PREMEZCLADO E=0.10M (INCLUYE SUMINISTRO, FORMALETEO, FUNDIDA Y CURADO)</v>
      </c>
      <c r="F118" s="60" t="str">
        <f>+VLOOKUP(C118,'PRECIOS IDU 2025'!$A$1:$E$3189,3,FALSE)</f>
        <v>M2</v>
      </c>
      <c r="G118" s="108">
        <f t="shared" si="18"/>
        <v>0</v>
      </c>
      <c r="H118" s="69">
        <f>+VLOOKUP(C118,'PRECIOS IDU 2025'!$A$1:$E$3189,4,FALSE)</f>
        <v>83828</v>
      </c>
      <c r="I118" s="69">
        <f t="shared" si="19"/>
        <v>108976</v>
      </c>
      <c r="J118" s="69">
        <f t="shared" si="20"/>
        <v>0</v>
      </c>
      <c r="K118" s="9"/>
      <c r="L118" s="3"/>
      <c r="M118" s="76"/>
      <c r="N118" s="78"/>
      <c r="O118" s="76"/>
      <c r="P118" s="78"/>
      <c r="Q118" s="76"/>
      <c r="R118" s="78"/>
      <c r="S118" s="76"/>
      <c r="T118" s="78"/>
      <c r="U118" s="76"/>
      <c r="V118" s="78"/>
      <c r="W118" s="76"/>
      <c r="X118" s="78"/>
      <c r="Y118" s="76"/>
      <c r="Z118" s="78"/>
      <c r="AA118" s="76"/>
      <c r="AB118" s="78"/>
      <c r="AC118" s="76"/>
      <c r="AD118" s="78"/>
      <c r="AE118" s="76"/>
      <c r="AF118" s="78"/>
      <c r="AG118" s="76"/>
      <c r="AH118" s="78"/>
      <c r="AI118" s="76"/>
      <c r="AJ118" s="78"/>
      <c r="AK118" s="76"/>
      <c r="AL118" s="78"/>
      <c r="AM118" s="76"/>
      <c r="AN118" s="78"/>
      <c r="AO118" s="76"/>
      <c r="AP118" s="78"/>
      <c r="AQ118" s="76"/>
      <c r="AR118" s="78"/>
      <c r="AS118" s="76"/>
      <c r="AT118" s="78"/>
      <c r="AU118" s="76"/>
      <c r="AV118" s="78"/>
      <c r="AW118" s="76"/>
      <c r="AX118" s="78"/>
      <c r="AY118" s="76"/>
      <c r="AZ118" s="78"/>
      <c r="BA118" s="76"/>
      <c r="BB118" s="78"/>
      <c r="BC118" s="76"/>
      <c r="BD118" s="78"/>
      <c r="BE118" s="76"/>
      <c r="BF118" s="78"/>
      <c r="BG118" s="76"/>
      <c r="BH118" s="78"/>
      <c r="BI118" s="76"/>
      <c r="BJ118" s="78"/>
      <c r="BK118" s="76"/>
      <c r="BL118" s="78"/>
      <c r="BM118" s="76"/>
      <c r="BN118" s="78"/>
      <c r="BO118" s="76"/>
      <c r="BP118" s="78"/>
      <c r="BQ118" s="76"/>
      <c r="BR118" s="78"/>
      <c r="BS118" s="76"/>
      <c r="BT118" s="78"/>
      <c r="BU118" s="76"/>
      <c r="BV118" s="78"/>
    </row>
    <row r="119" spans="1:74" ht="30" customHeight="1" x14ac:dyDescent="0.3">
      <c r="A119" s="3"/>
      <c r="B119" s="8"/>
      <c r="C119" s="60">
        <v>4238</v>
      </c>
      <c r="D119" s="60">
        <v>5008</v>
      </c>
      <c r="E119" s="60" t="str">
        <f>+VLOOKUP(C119,'PRECIOS IDU 2025'!$A$1:$E$3189,2,FALSE)</f>
        <v>MALLA ELECTROSOLDADA 0.25X0.25M, D=4MM, 4MM (INCLUYE SUMINISTRO, FIJACIÓN E INSTALACIÓN)</v>
      </c>
      <c r="F119" s="60" t="str">
        <f>+VLOOKUP(C119,'PRECIOS IDU 2025'!$A$1:$E$3189,3,FALSE)</f>
        <v>KG</v>
      </c>
      <c r="G119" s="108">
        <f t="shared" si="18"/>
        <v>0</v>
      </c>
      <c r="H119" s="69">
        <f>+VLOOKUP(C119,'PRECIOS IDU 2025'!$A$1:$E$3189,4,FALSE)</f>
        <v>7346</v>
      </c>
      <c r="I119" s="69">
        <f t="shared" si="19"/>
        <v>9550</v>
      </c>
      <c r="J119" s="69">
        <f t="shared" si="20"/>
        <v>0</v>
      </c>
      <c r="K119" s="9"/>
      <c r="L119" s="3"/>
      <c r="M119" s="76"/>
      <c r="N119" s="78"/>
      <c r="O119" s="76"/>
      <c r="P119" s="78"/>
      <c r="Q119" s="76"/>
      <c r="R119" s="78"/>
      <c r="S119" s="76"/>
      <c r="T119" s="78"/>
      <c r="U119" s="76"/>
      <c r="V119" s="78"/>
      <c r="W119" s="76"/>
      <c r="X119" s="78"/>
      <c r="Y119" s="76"/>
      <c r="Z119" s="78"/>
      <c r="AA119" s="76"/>
      <c r="AB119" s="78"/>
      <c r="AC119" s="76"/>
      <c r="AD119" s="78"/>
      <c r="AE119" s="76"/>
      <c r="AF119" s="78"/>
      <c r="AG119" s="76"/>
      <c r="AH119" s="78"/>
      <c r="AI119" s="76"/>
      <c r="AJ119" s="78"/>
      <c r="AK119" s="76"/>
      <c r="AL119" s="78"/>
      <c r="AM119" s="76"/>
      <c r="AN119" s="78"/>
      <c r="AO119" s="76"/>
      <c r="AP119" s="78"/>
      <c r="AQ119" s="76"/>
      <c r="AR119" s="78"/>
      <c r="AS119" s="76"/>
      <c r="AT119" s="78"/>
      <c r="AU119" s="76"/>
      <c r="AV119" s="78"/>
      <c r="AW119" s="76"/>
      <c r="AX119" s="78"/>
      <c r="AY119" s="76"/>
      <c r="AZ119" s="78"/>
      <c r="BA119" s="76"/>
      <c r="BB119" s="78"/>
      <c r="BC119" s="76"/>
      <c r="BD119" s="78"/>
      <c r="BE119" s="76"/>
      <c r="BF119" s="78"/>
      <c r="BG119" s="76"/>
      <c r="BH119" s="78"/>
      <c r="BI119" s="76"/>
      <c r="BJ119" s="78"/>
      <c r="BK119" s="76"/>
      <c r="BL119" s="78"/>
      <c r="BM119" s="76"/>
      <c r="BN119" s="78"/>
      <c r="BO119" s="76"/>
      <c r="BP119" s="78"/>
      <c r="BQ119" s="76"/>
      <c r="BR119" s="78"/>
      <c r="BS119" s="76"/>
      <c r="BT119" s="78"/>
      <c r="BU119" s="76"/>
      <c r="BV119" s="78"/>
    </row>
    <row r="120" spans="1:74" ht="59.25" customHeight="1" x14ac:dyDescent="0.3">
      <c r="A120" s="3"/>
      <c r="B120" s="8"/>
      <c r="C120" s="60">
        <v>10016</v>
      </c>
      <c r="D120" s="60">
        <v>5009</v>
      </c>
      <c r="E120" s="60" t="str">
        <f>+VLOOKUP(C120,'PRECIOS IDU 2025'!$A$1:$E$3189,2,FALSE)</f>
        <v>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v>
      </c>
      <c r="F120" s="60" t="str">
        <f>+VLOOKUP(C120,'PRECIOS IDU 2025'!$A$1:$E$3189,3,FALSE)</f>
        <v>M3</v>
      </c>
      <c r="G120" s="108">
        <f t="shared" si="18"/>
        <v>0</v>
      </c>
      <c r="H120" s="69">
        <f>+VLOOKUP(C120,'PRECIOS IDU 2025'!$A$1:$E$3189,4,FALSE)</f>
        <v>184030</v>
      </c>
      <c r="I120" s="69">
        <f t="shared" si="19"/>
        <v>239239</v>
      </c>
      <c r="J120" s="69">
        <f t="shared" si="20"/>
        <v>0</v>
      </c>
      <c r="K120" s="9"/>
      <c r="L120" s="3"/>
      <c r="M120" s="76"/>
      <c r="N120" s="78"/>
      <c r="O120" s="76"/>
      <c r="P120" s="78"/>
      <c r="Q120" s="76"/>
      <c r="R120" s="78"/>
      <c r="S120" s="76"/>
      <c r="T120" s="78"/>
      <c r="U120" s="76"/>
      <c r="V120" s="78"/>
      <c r="W120" s="76"/>
      <c r="X120" s="78"/>
      <c r="Y120" s="76"/>
      <c r="Z120" s="78"/>
      <c r="AA120" s="76"/>
      <c r="AB120" s="78"/>
      <c r="AC120" s="76"/>
      <c r="AD120" s="78"/>
      <c r="AE120" s="76"/>
      <c r="AF120" s="78"/>
      <c r="AG120" s="76"/>
      <c r="AH120" s="78"/>
      <c r="AI120" s="76"/>
      <c r="AJ120" s="78"/>
      <c r="AK120" s="76"/>
      <c r="AL120" s="78"/>
      <c r="AM120" s="76"/>
      <c r="AN120" s="78"/>
      <c r="AO120" s="76"/>
      <c r="AP120" s="78"/>
      <c r="AQ120" s="76"/>
      <c r="AR120" s="78"/>
      <c r="AS120" s="76"/>
      <c r="AT120" s="78"/>
      <c r="AU120" s="76"/>
      <c r="AV120" s="78"/>
      <c r="AW120" s="76"/>
      <c r="AX120" s="78"/>
      <c r="AY120" s="76"/>
      <c r="AZ120" s="78"/>
      <c r="BA120" s="76"/>
      <c r="BB120" s="78"/>
      <c r="BC120" s="76"/>
      <c r="BD120" s="78"/>
      <c r="BE120" s="76"/>
      <c r="BF120" s="78"/>
      <c r="BG120" s="76"/>
      <c r="BH120" s="78"/>
      <c r="BI120" s="76"/>
      <c r="BJ120" s="78"/>
      <c r="BK120" s="76"/>
      <c r="BL120" s="78"/>
      <c r="BM120" s="76"/>
      <c r="BN120" s="78"/>
      <c r="BO120" s="76"/>
      <c r="BP120" s="78"/>
      <c r="BQ120" s="76"/>
      <c r="BR120" s="78"/>
      <c r="BS120" s="76"/>
      <c r="BT120" s="78"/>
      <c r="BU120" s="76"/>
      <c r="BV120" s="78"/>
    </row>
    <row r="121" spans="1:74" ht="30" customHeight="1" x14ac:dyDescent="0.3">
      <c r="A121" s="3"/>
      <c r="B121" s="8"/>
      <c r="C121" s="60">
        <v>3621</v>
      </c>
      <c r="D121" s="60">
        <v>5010</v>
      </c>
      <c r="E121" s="60" t="str">
        <f>+VLOOKUP(C121,'PRECIOS IDU 2025'!$A$1:$E$3189,2,FALSE)</f>
        <v>RAMPA TIPO A B10 INCLUYE BASE EN MORTERO 1:5, DESARROLLO: 1M.</v>
      </c>
      <c r="F121" s="60" t="str">
        <f>+VLOOKUP(C121,'PRECIOS IDU 2025'!$A$1:$E$3189,3,FALSE)</f>
        <v>UN</v>
      </c>
      <c r="G121" s="108">
        <f t="shared" si="18"/>
        <v>0</v>
      </c>
      <c r="H121" s="69">
        <f>+VLOOKUP(C121,'PRECIOS IDU 2025'!$A$1:$E$3189,4,FALSE)</f>
        <v>966133</v>
      </c>
      <c r="I121" s="69">
        <f t="shared" si="19"/>
        <v>1255973</v>
      </c>
      <c r="J121" s="69">
        <f t="shared" si="20"/>
        <v>0</v>
      </c>
      <c r="K121" s="9"/>
      <c r="L121" s="3"/>
      <c r="M121" s="76"/>
      <c r="N121" s="78"/>
      <c r="O121" s="76"/>
      <c r="P121" s="78"/>
      <c r="Q121" s="76"/>
      <c r="R121" s="78"/>
      <c r="S121" s="76"/>
      <c r="T121" s="78"/>
      <c r="U121" s="76"/>
      <c r="V121" s="78"/>
      <c r="W121" s="76"/>
      <c r="X121" s="78"/>
      <c r="Y121" s="76"/>
      <c r="Z121" s="78"/>
      <c r="AA121" s="76"/>
      <c r="AB121" s="78"/>
      <c r="AC121" s="76"/>
      <c r="AD121" s="78"/>
      <c r="AE121" s="76"/>
      <c r="AF121" s="78"/>
      <c r="AG121" s="76"/>
      <c r="AH121" s="78"/>
      <c r="AI121" s="76"/>
      <c r="AJ121" s="78"/>
      <c r="AK121" s="76"/>
      <c r="AL121" s="78"/>
      <c r="AM121" s="76"/>
      <c r="AN121" s="78"/>
      <c r="AO121" s="76"/>
      <c r="AP121" s="78"/>
      <c r="AQ121" s="76"/>
      <c r="AR121" s="78"/>
      <c r="AS121" s="76"/>
      <c r="AT121" s="78"/>
      <c r="AU121" s="76"/>
      <c r="AV121" s="78"/>
      <c r="AW121" s="76"/>
      <c r="AX121" s="78"/>
      <c r="AY121" s="76"/>
      <c r="AZ121" s="78"/>
      <c r="BA121" s="76"/>
      <c r="BB121" s="78"/>
      <c r="BC121" s="76"/>
      <c r="BD121" s="78"/>
      <c r="BE121" s="76"/>
      <c r="BF121" s="78"/>
      <c r="BG121" s="76"/>
      <c r="BH121" s="78"/>
      <c r="BI121" s="76"/>
      <c r="BJ121" s="78"/>
      <c r="BK121" s="76"/>
      <c r="BL121" s="78"/>
      <c r="BM121" s="76"/>
      <c r="BN121" s="78"/>
      <c r="BO121" s="76"/>
      <c r="BP121" s="78"/>
      <c r="BQ121" s="76"/>
      <c r="BR121" s="78"/>
      <c r="BS121" s="76"/>
      <c r="BT121" s="78"/>
      <c r="BU121" s="76"/>
      <c r="BV121" s="78"/>
    </row>
    <row r="122" spans="1:74" ht="30" customHeight="1" x14ac:dyDescent="0.3">
      <c r="A122" s="3"/>
      <c r="B122" s="8"/>
      <c r="C122" s="60">
        <v>5181</v>
      </c>
      <c r="D122" s="60">
        <v>5011</v>
      </c>
      <c r="E122" s="60" t="str">
        <f>+VLOOKUP(C122,'PRECIOS IDU 2025'!$A$1:$E$3189,2,FALSE)</f>
        <v>SARDINEL FUNDIDO EN SITIO EN CONCRETO PREMEZCLADO DE 3000PSI. SUMINISTRO Y CONSTRUCCION. (GRAVA COMÚN) E=0.20M H=0.35M (INCLUYE FORMALETA METÁLICA, ACERO DE REFUERZO Y ALAMBRE NEGRO).</v>
      </c>
      <c r="F122" s="60" t="str">
        <f>+VLOOKUP(C122,'PRECIOS IDU 2025'!$A$1:$E$3189,3,FALSE)</f>
        <v>ML</v>
      </c>
      <c r="G122" s="108">
        <f t="shared" si="18"/>
        <v>0</v>
      </c>
      <c r="H122" s="69">
        <f>+VLOOKUP(C122,'PRECIOS IDU 2025'!$A$1:$E$3189,4,FALSE)</f>
        <v>62386</v>
      </c>
      <c r="I122" s="69">
        <f t="shared" si="19"/>
        <v>81102</v>
      </c>
      <c r="J122" s="69">
        <f t="shared" si="20"/>
        <v>0</v>
      </c>
      <c r="K122" s="9"/>
      <c r="L122" s="3"/>
      <c r="M122" s="76"/>
      <c r="N122" s="78"/>
      <c r="O122" s="76"/>
      <c r="P122" s="78"/>
      <c r="Q122" s="76"/>
      <c r="R122" s="78"/>
      <c r="S122" s="76"/>
      <c r="T122" s="78"/>
      <c r="U122" s="76"/>
      <c r="V122" s="78"/>
      <c r="W122" s="76"/>
      <c r="X122" s="78"/>
      <c r="Y122" s="76"/>
      <c r="Z122" s="78"/>
      <c r="AA122" s="76"/>
      <c r="AB122" s="78"/>
      <c r="AC122" s="76"/>
      <c r="AD122" s="78"/>
      <c r="AE122" s="76"/>
      <c r="AF122" s="78"/>
      <c r="AG122" s="76"/>
      <c r="AH122" s="78"/>
      <c r="AI122" s="76"/>
      <c r="AJ122" s="78"/>
      <c r="AK122" s="76"/>
      <c r="AL122" s="78"/>
      <c r="AM122" s="76"/>
      <c r="AN122" s="78"/>
      <c r="AO122" s="76"/>
      <c r="AP122" s="78"/>
      <c r="AQ122" s="76"/>
      <c r="AR122" s="78"/>
      <c r="AS122" s="76"/>
      <c r="AT122" s="78"/>
      <c r="AU122" s="76"/>
      <c r="AV122" s="78"/>
      <c r="AW122" s="76"/>
      <c r="AX122" s="78"/>
      <c r="AY122" s="76"/>
      <c r="AZ122" s="78"/>
      <c r="BA122" s="76"/>
      <c r="BB122" s="78"/>
      <c r="BC122" s="76"/>
      <c r="BD122" s="78"/>
      <c r="BE122" s="76"/>
      <c r="BF122" s="78"/>
      <c r="BG122" s="76"/>
      <c r="BH122" s="78"/>
      <c r="BI122" s="76"/>
      <c r="BJ122" s="78"/>
      <c r="BK122" s="76"/>
      <c r="BL122" s="78"/>
      <c r="BM122" s="76"/>
      <c r="BN122" s="78"/>
      <c r="BO122" s="76"/>
      <c r="BP122" s="78"/>
      <c r="BQ122" s="76"/>
      <c r="BR122" s="78"/>
      <c r="BS122" s="76"/>
      <c r="BT122" s="78"/>
      <c r="BU122" s="76"/>
      <c r="BV122" s="78"/>
    </row>
    <row r="123" spans="1:74" ht="30" customHeight="1" x14ac:dyDescent="0.3">
      <c r="A123" s="3"/>
      <c r="B123" s="8"/>
      <c r="C123" s="60">
        <v>4054</v>
      </c>
      <c r="D123" s="60">
        <v>5012</v>
      </c>
      <c r="E123" s="60" t="str">
        <f>+VLOOKUP(C123,'PRECIOS IDU 2025'!$A$1:$E$3189,2,FALSE)</f>
        <v>SARDINEL TIPO A10 (SUMINISTRO E INSTALACIÓN. INCLUYE 3CM MORTERO 2000 PSI)</v>
      </c>
      <c r="F123" s="60" t="str">
        <f>+VLOOKUP(C123,'PRECIOS IDU 2025'!$A$1:$E$3189,3,FALSE)</f>
        <v>ML</v>
      </c>
      <c r="G123" s="108">
        <f t="shared" si="18"/>
        <v>0</v>
      </c>
      <c r="H123" s="69">
        <f>+VLOOKUP(C123,'PRECIOS IDU 2025'!$A$1:$E$3189,4,FALSE)</f>
        <v>82015</v>
      </c>
      <c r="I123" s="69">
        <f t="shared" si="19"/>
        <v>106620</v>
      </c>
      <c r="J123" s="69">
        <f t="shared" si="20"/>
        <v>0</v>
      </c>
      <c r="K123" s="9"/>
      <c r="L123" s="3"/>
      <c r="M123" s="76"/>
      <c r="N123" s="78"/>
      <c r="O123" s="76"/>
      <c r="P123" s="78"/>
      <c r="Q123" s="76"/>
      <c r="R123" s="78"/>
      <c r="S123" s="76"/>
      <c r="T123" s="78"/>
      <c r="U123" s="76"/>
      <c r="V123" s="78"/>
      <c r="W123" s="76"/>
      <c r="X123" s="78"/>
      <c r="Y123" s="76"/>
      <c r="Z123" s="78"/>
      <c r="AA123" s="76"/>
      <c r="AB123" s="78"/>
      <c r="AC123" s="76"/>
      <c r="AD123" s="78"/>
      <c r="AE123" s="76"/>
      <c r="AF123" s="78"/>
      <c r="AG123" s="76"/>
      <c r="AH123" s="78"/>
      <c r="AI123" s="76"/>
      <c r="AJ123" s="78"/>
      <c r="AK123" s="76"/>
      <c r="AL123" s="78"/>
      <c r="AM123" s="76"/>
      <c r="AN123" s="78"/>
      <c r="AO123" s="76"/>
      <c r="AP123" s="78"/>
      <c r="AQ123" s="76"/>
      <c r="AR123" s="78"/>
      <c r="AS123" s="76"/>
      <c r="AT123" s="78"/>
      <c r="AU123" s="76"/>
      <c r="AV123" s="78"/>
      <c r="AW123" s="76"/>
      <c r="AX123" s="78"/>
      <c r="AY123" s="76"/>
      <c r="AZ123" s="78"/>
      <c r="BA123" s="76"/>
      <c r="BB123" s="78"/>
      <c r="BC123" s="76"/>
      <c r="BD123" s="78"/>
      <c r="BE123" s="76"/>
      <c r="BF123" s="78"/>
      <c r="BG123" s="76"/>
      <c r="BH123" s="78"/>
      <c r="BI123" s="76"/>
      <c r="BJ123" s="78"/>
      <c r="BK123" s="76"/>
      <c r="BL123" s="78"/>
      <c r="BM123" s="76"/>
      <c r="BN123" s="78"/>
      <c r="BO123" s="76"/>
      <c r="BP123" s="78"/>
      <c r="BQ123" s="76"/>
      <c r="BR123" s="78"/>
      <c r="BS123" s="76"/>
      <c r="BT123" s="78"/>
      <c r="BU123" s="76"/>
      <c r="BV123" s="78"/>
    </row>
    <row r="124" spans="1:74" ht="30" customHeight="1" x14ac:dyDescent="0.3">
      <c r="A124" s="3"/>
      <c r="B124" s="8"/>
      <c r="C124" s="60">
        <v>3210</v>
      </c>
      <c r="D124" s="60">
        <v>5013</v>
      </c>
      <c r="E124" s="60" t="str">
        <f>+VLOOKUP(C124,'PRECIOS IDU 2025'!$A$1:$E$3189,2,FALSE)</f>
        <v>BORDILLO PREFABRICADO A80 (SUMINISTRO E INSTALACIÓN. INCLUYE 3CM MORTERO DE NIVELACIÓN 2000 PSI)</v>
      </c>
      <c r="F124" s="60" t="str">
        <f>+VLOOKUP(C124,'PRECIOS IDU 2025'!$A$1:$E$3189,3,FALSE)</f>
        <v>ML</v>
      </c>
      <c r="G124" s="108">
        <f t="shared" si="18"/>
        <v>0</v>
      </c>
      <c r="H124" s="69">
        <f>+VLOOKUP(C124,'PRECIOS IDU 2025'!$A$1:$E$3189,4,FALSE)</f>
        <v>69041</v>
      </c>
      <c r="I124" s="69">
        <f t="shared" si="19"/>
        <v>89753</v>
      </c>
      <c r="J124" s="69">
        <f t="shared" si="20"/>
        <v>0</v>
      </c>
      <c r="K124" s="9"/>
      <c r="L124" s="3"/>
      <c r="M124" s="76"/>
      <c r="N124" s="78"/>
      <c r="O124" s="76"/>
      <c r="P124" s="78"/>
      <c r="Q124" s="76"/>
      <c r="R124" s="78"/>
      <c r="S124" s="76"/>
      <c r="T124" s="78"/>
      <c r="U124" s="76"/>
      <c r="V124" s="78"/>
      <c r="W124" s="76"/>
      <c r="X124" s="78"/>
      <c r="Y124" s="76"/>
      <c r="Z124" s="78"/>
      <c r="AA124" s="76"/>
      <c r="AB124" s="78"/>
      <c r="AC124" s="76"/>
      <c r="AD124" s="78"/>
      <c r="AE124" s="76"/>
      <c r="AF124" s="78"/>
      <c r="AG124" s="76"/>
      <c r="AH124" s="78"/>
      <c r="AI124" s="76"/>
      <c r="AJ124" s="78"/>
      <c r="AK124" s="76"/>
      <c r="AL124" s="78"/>
      <c r="AM124" s="76"/>
      <c r="AN124" s="78"/>
      <c r="AO124" s="76"/>
      <c r="AP124" s="78"/>
      <c r="AQ124" s="76"/>
      <c r="AR124" s="78"/>
      <c r="AS124" s="76"/>
      <c r="AT124" s="78"/>
      <c r="AU124" s="76"/>
      <c r="AV124" s="78"/>
      <c r="AW124" s="76"/>
      <c r="AX124" s="78"/>
      <c r="AY124" s="76"/>
      <c r="AZ124" s="78"/>
      <c r="BA124" s="76"/>
      <c r="BB124" s="78"/>
      <c r="BC124" s="76"/>
      <c r="BD124" s="78"/>
      <c r="BE124" s="76"/>
      <c r="BF124" s="78"/>
      <c r="BG124" s="76"/>
      <c r="BH124" s="78"/>
      <c r="BI124" s="76"/>
      <c r="BJ124" s="78"/>
      <c r="BK124" s="76"/>
      <c r="BL124" s="78"/>
      <c r="BM124" s="76"/>
      <c r="BN124" s="78"/>
      <c r="BO124" s="76"/>
      <c r="BP124" s="78"/>
      <c r="BQ124" s="76"/>
      <c r="BR124" s="78"/>
      <c r="BS124" s="76"/>
      <c r="BT124" s="78"/>
      <c r="BU124" s="76"/>
      <c r="BV124" s="78"/>
    </row>
    <row r="125" spans="1:74" ht="30" customHeight="1" x14ac:dyDescent="0.3">
      <c r="A125" s="3"/>
      <c r="B125" s="8"/>
      <c r="C125" s="60">
        <v>9997</v>
      </c>
      <c r="D125" s="60">
        <v>5014</v>
      </c>
      <c r="E125" s="60" t="str">
        <f>+VLOOKUP(C125,'PRECIOS IDU 2025'!$A$1:$E$3189,2,FALSE)</f>
        <v>NIVELACIÓN Y COMPACTACIÓN DE SUBRASANTE PARA ESPACIO PÚBLICO</v>
      </c>
      <c r="F125" s="60" t="str">
        <f>+VLOOKUP(C125,'PRECIOS IDU 2025'!$A$1:$E$3189,3,FALSE)</f>
        <v>M2</v>
      </c>
      <c r="G125" s="108">
        <f t="shared" si="18"/>
        <v>0</v>
      </c>
      <c r="H125" s="69">
        <f>+VLOOKUP(C125,'PRECIOS IDU 2025'!$A$1:$E$3189,4,FALSE)</f>
        <v>2560</v>
      </c>
      <c r="I125" s="69">
        <f t="shared" si="19"/>
        <v>3328</v>
      </c>
      <c r="J125" s="69">
        <f t="shared" si="20"/>
        <v>0</v>
      </c>
      <c r="K125" s="9"/>
      <c r="L125" s="3"/>
      <c r="M125" s="76"/>
      <c r="N125" s="78"/>
      <c r="O125" s="76"/>
      <c r="P125" s="78"/>
      <c r="Q125" s="76"/>
      <c r="R125" s="78"/>
      <c r="S125" s="76"/>
      <c r="T125" s="78"/>
      <c r="U125" s="76"/>
      <c r="V125" s="78"/>
      <c r="W125" s="76"/>
      <c r="X125" s="78"/>
      <c r="Y125" s="76"/>
      <c r="Z125" s="78"/>
      <c r="AA125" s="76"/>
      <c r="AB125" s="78"/>
      <c r="AC125" s="76"/>
      <c r="AD125" s="78"/>
      <c r="AE125" s="76"/>
      <c r="AF125" s="78"/>
      <c r="AG125" s="76"/>
      <c r="AH125" s="78"/>
      <c r="AI125" s="76"/>
      <c r="AJ125" s="78"/>
      <c r="AK125" s="76"/>
      <c r="AL125" s="78"/>
      <c r="AM125" s="76"/>
      <c r="AN125" s="78"/>
      <c r="AO125" s="76"/>
      <c r="AP125" s="78"/>
      <c r="AQ125" s="76"/>
      <c r="AR125" s="78"/>
      <c r="AS125" s="76"/>
      <c r="AT125" s="78"/>
      <c r="AU125" s="76"/>
      <c r="AV125" s="78"/>
      <c r="AW125" s="76"/>
      <c r="AX125" s="78"/>
      <c r="AY125" s="76"/>
      <c r="AZ125" s="78"/>
      <c r="BA125" s="76"/>
      <c r="BB125" s="78"/>
      <c r="BC125" s="76"/>
      <c r="BD125" s="78"/>
      <c r="BE125" s="76"/>
      <c r="BF125" s="78"/>
      <c r="BG125" s="76"/>
      <c r="BH125" s="78"/>
      <c r="BI125" s="76"/>
      <c r="BJ125" s="78"/>
      <c r="BK125" s="76"/>
      <c r="BL125" s="78"/>
      <c r="BM125" s="76"/>
      <c r="BN125" s="78"/>
      <c r="BO125" s="76"/>
      <c r="BP125" s="78"/>
      <c r="BQ125" s="76"/>
      <c r="BR125" s="78"/>
      <c r="BS125" s="76"/>
      <c r="BT125" s="78"/>
      <c r="BU125" s="76"/>
      <c r="BV125" s="78"/>
    </row>
    <row r="126" spans="1:74" ht="30" customHeight="1" x14ac:dyDescent="0.3">
      <c r="A126" s="3"/>
      <c r="B126" s="8"/>
      <c r="C126" s="60">
        <v>8158</v>
      </c>
      <c r="D126" s="60">
        <v>5015</v>
      </c>
      <c r="E126" s="60" t="str">
        <f>+VLOOKUP(C126,'PRECIOS IDU 2025'!$A$1:$E$3189,2,FALSE)</f>
        <v>CONCRETO 3000 PSI GRAVA COMÚN PARA PIEZA REMATE TIPO HOMBROS PARA RAMPA (PREMEZCLADO. INCLUYE SUMIN., BOMBEO CON AUTOBOMBA, FORMALETEO Y COLOCACIÓN. NO INCL. REFUERZO, CURADO).</v>
      </c>
      <c r="F126" s="60" t="str">
        <f>+VLOOKUP(C126,'PRECIOS IDU 2025'!$A$1:$E$3189,3,FALSE)</f>
        <v>M3</v>
      </c>
      <c r="G126" s="108">
        <f t="shared" si="18"/>
        <v>0</v>
      </c>
      <c r="H126" s="69">
        <f>+VLOOKUP(C126,'PRECIOS IDU 2025'!$A$1:$E$3189,4,FALSE)</f>
        <v>738210</v>
      </c>
      <c r="I126" s="69">
        <f t="shared" si="19"/>
        <v>959673</v>
      </c>
      <c r="J126" s="69">
        <f t="shared" si="20"/>
        <v>0</v>
      </c>
      <c r="K126" s="9"/>
      <c r="L126" s="3"/>
      <c r="M126" s="76"/>
      <c r="N126" s="78"/>
      <c r="O126" s="76"/>
      <c r="P126" s="78"/>
      <c r="Q126" s="76"/>
      <c r="R126" s="78"/>
      <c r="S126" s="76"/>
      <c r="T126" s="78"/>
      <c r="U126" s="76"/>
      <c r="V126" s="78"/>
      <c r="W126" s="76"/>
      <c r="X126" s="78"/>
      <c r="Y126" s="76"/>
      <c r="Z126" s="78"/>
      <c r="AA126" s="76"/>
      <c r="AB126" s="78"/>
      <c r="AC126" s="76"/>
      <c r="AD126" s="78"/>
      <c r="AE126" s="76"/>
      <c r="AF126" s="78"/>
      <c r="AG126" s="76"/>
      <c r="AH126" s="78"/>
      <c r="AI126" s="76"/>
      <c r="AJ126" s="78"/>
      <c r="AK126" s="76"/>
      <c r="AL126" s="78"/>
      <c r="AM126" s="76"/>
      <c r="AN126" s="78"/>
      <c r="AO126" s="76"/>
      <c r="AP126" s="78"/>
      <c r="AQ126" s="76"/>
      <c r="AR126" s="78"/>
      <c r="AS126" s="76"/>
      <c r="AT126" s="78"/>
      <c r="AU126" s="76"/>
      <c r="AV126" s="78"/>
      <c r="AW126" s="76"/>
      <c r="AX126" s="78"/>
      <c r="AY126" s="76"/>
      <c r="AZ126" s="78"/>
      <c r="BA126" s="76"/>
      <c r="BB126" s="78"/>
      <c r="BC126" s="76"/>
      <c r="BD126" s="78"/>
      <c r="BE126" s="76"/>
      <c r="BF126" s="78"/>
      <c r="BG126" s="76"/>
      <c r="BH126" s="78"/>
      <c r="BI126" s="76"/>
      <c r="BJ126" s="78"/>
      <c r="BK126" s="76"/>
      <c r="BL126" s="78"/>
      <c r="BM126" s="76"/>
      <c r="BN126" s="78"/>
      <c r="BO126" s="76"/>
      <c r="BP126" s="78"/>
      <c r="BQ126" s="76"/>
      <c r="BR126" s="78"/>
      <c r="BS126" s="76"/>
      <c r="BT126" s="78"/>
      <c r="BU126" s="76"/>
      <c r="BV126" s="78"/>
    </row>
    <row r="127" spans="1:74" ht="30" customHeight="1" x14ac:dyDescent="0.3">
      <c r="A127" s="3"/>
      <c r="B127" s="8"/>
      <c r="C127" s="60">
        <v>4089</v>
      </c>
      <c r="D127" s="60">
        <v>5016</v>
      </c>
      <c r="E127" s="60" t="str">
        <f>+VLOOKUP(C127,'PRECIOS IDU 2025'!$A$1:$E$3189,2,FALSE)</f>
        <v>SARDINEL BAJO A85 PARA RAMPAS (SUMINISTRO E INSTALACIÓN. INCLUYE 3CM MORTERO 1:5)</v>
      </c>
      <c r="F127" s="60" t="str">
        <f>+VLOOKUP(C127,'PRECIOS IDU 2025'!$A$1:$E$3189,3,FALSE)</f>
        <v>ML</v>
      </c>
      <c r="G127" s="108">
        <f t="shared" si="18"/>
        <v>0</v>
      </c>
      <c r="H127" s="69">
        <f>+VLOOKUP(C127,'PRECIOS IDU 2025'!$A$1:$E$3189,4,FALSE)</f>
        <v>63798</v>
      </c>
      <c r="I127" s="69">
        <f t="shared" si="19"/>
        <v>82937</v>
      </c>
      <c r="J127" s="69">
        <f t="shared" si="20"/>
        <v>0</v>
      </c>
      <c r="K127" s="9"/>
      <c r="L127" s="3"/>
      <c r="M127" s="76"/>
      <c r="N127" s="78"/>
      <c r="O127" s="76"/>
      <c r="P127" s="78"/>
      <c r="Q127" s="76"/>
      <c r="R127" s="78"/>
      <c r="S127" s="76"/>
      <c r="T127" s="78"/>
      <c r="U127" s="76"/>
      <c r="V127" s="78"/>
      <c r="W127" s="76"/>
      <c r="X127" s="78"/>
      <c r="Y127" s="76"/>
      <c r="Z127" s="78"/>
      <c r="AA127" s="76"/>
      <c r="AB127" s="78"/>
      <c r="AC127" s="76"/>
      <c r="AD127" s="78"/>
      <c r="AE127" s="76"/>
      <c r="AF127" s="78"/>
      <c r="AG127" s="76"/>
      <c r="AH127" s="78"/>
      <c r="AI127" s="76"/>
      <c r="AJ127" s="78"/>
      <c r="AK127" s="76"/>
      <c r="AL127" s="78"/>
      <c r="AM127" s="76"/>
      <c r="AN127" s="78"/>
      <c r="AO127" s="76"/>
      <c r="AP127" s="78"/>
      <c r="AQ127" s="76"/>
      <c r="AR127" s="78"/>
      <c r="AS127" s="76"/>
      <c r="AT127" s="78"/>
      <c r="AU127" s="76"/>
      <c r="AV127" s="78"/>
      <c r="AW127" s="76"/>
      <c r="AX127" s="78"/>
      <c r="AY127" s="76"/>
      <c r="AZ127" s="78"/>
      <c r="BA127" s="76"/>
      <c r="BB127" s="78"/>
      <c r="BC127" s="76"/>
      <c r="BD127" s="78"/>
      <c r="BE127" s="76"/>
      <c r="BF127" s="78"/>
      <c r="BG127" s="76"/>
      <c r="BH127" s="78"/>
      <c r="BI127" s="76"/>
      <c r="BJ127" s="78"/>
      <c r="BK127" s="76"/>
      <c r="BL127" s="78"/>
      <c r="BM127" s="76"/>
      <c r="BN127" s="78"/>
      <c r="BO127" s="76"/>
      <c r="BP127" s="78"/>
      <c r="BQ127" s="76"/>
      <c r="BR127" s="78"/>
      <c r="BS127" s="76"/>
      <c r="BT127" s="78"/>
      <c r="BU127" s="76"/>
      <c r="BV127" s="78"/>
    </row>
    <row r="128" spans="1:74" ht="30" customHeight="1" x14ac:dyDescent="0.3">
      <c r="A128" s="3"/>
      <c r="B128" s="8"/>
      <c r="C128" s="60">
        <v>8166</v>
      </c>
      <c r="D128" s="60">
        <v>5017</v>
      </c>
      <c r="E128" s="60" t="str">
        <f>+VLOOKUP(C128,'PRECIOS IDU 2025'!$A$1:$E$3189,2,FALSE)</f>
        <v>CENEFA EN LOSETA PREFABRICADA A58 GUIA (20X20X6) CM. SUMINISTRO E INSTALACIÓN. (INCLUYE 4CM DE MORTERO 1:5 HECHO EN OBRA PARA BASE Y ARENA DE PEÑA PARA SELLO)</v>
      </c>
      <c r="F128" s="60" t="str">
        <f>+VLOOKUP(C128,'PRECIOS IDU 2025'!$A$1:$E$3189,3,FALSE)</f>
        <v>M2</v>
      </c>
      <c r="G128" s="108">
        <f t="shared" si="18"/>
        <v>0</v>
      </c>
      <c r="H128" s="69">
        <f>+VLOOKUP(C128,'PRECIOS IDU 2025'!$A$1:$E$3189,4,FALSE)</f>
        <v>112423</v>
      </c>
      <c r="I128" s="69">
        <f t="shared" si="19"/>
        <v>146150</v>
      </c>
      <c r="J128" s="69">
        <f t="shared" si="20"/>
        <v>0</v>
      </c>
      <c r="K128" s="9"/>
      <c r="L128" s="3"/>
      <c r="M128" s="76"/>
      <c r="N128" s="78"/>
      <c r="O128" s="76"/>
      <c r="P128" s="78"/>
      <c r="Q128" s="76"/>
      <c r="R128" s="78"/>
      <c r="S128" s="76"/>
      <c r="T128" s="78"/>
      <c r="U128" s="76"/>
      <c r="V128" s="78"/>
      <c r="W128" s="76"/>
      <c r="X128" s="78"/>
      <c r="Y128" s="76"/>
      <c r="Z128" s="78"/>
      <c r="AA128" s="76"/>
      <c r="AB128" s="78"/>
      <c r="AC128" s="76"/>
      <c r="AD128" s="78"/>
      <c r="AE128" s="76"/>
      <c r="AF128" s="78"/>
      <c r="AG128" s="76"/>
      <c r="AH128" s="78"/>
      <c r="AI128" s="76"/>
      <c r="AJ128" s="78"/>
      <c r="AK128" s="76"/>
      <c r="AL128" s="78"/>
      <c r="AM128" s="76"/>
      <c r="AN128" s="78"/>
      <c r="AO128" s="76"/>
      <c r="AP128" s="78"/>
      <c r="AQ128" s="76"/>
      <c r="AR128" s="78"/>
      <c r="AS128" s="76"/>
      <c r="AT128" s="78"/>
      <c r="AU128" s="76"/>
      <c r="AV128" s="78"/>
      <c r="AW128" s="76"/>
      <c r="AX128" s="78"/>
      <c r="AY128" s="76"/>
      <c r="AZ128" s="78"/>
      <c r="BA128" s="76"/>
      <c r="BB128" s="78"/>
      <c r="BC128" s="76"/>
      <c r="BD128" s="78"/>
      <c r="BE128" s="76"/>
      <c r="BF128" s="78"/>
      <c r="BG128" s="76"/>
      <c r="BH128" s="78"/>
      <c r="BI128" s="76"/>
      <c r="BJ128" s="78"/>
      <c r="BK128" s="76"/>
      <c r="BL128" s="78"/>
      <c r="BM128" s="76"/>
      <c r="BN128" s="78"/>
      <c r="BO128" s="76"/>
      <c r="BP128" s="78"/>
      <c r="BQ128" s="76"/>
      <c r="BR128" s="78"/>
      <c r="BS128" s="76"/>
      <c r="BT128" s="78"/>
      <c r="BU128" s="76"/>
      <c r="BV128" s="78"/>
    </row>
    <row r="129" spans="1:74" ht="30" customHeight="1" x14ac:dyDescent="0.3">
      <c r="A129" s="3"/>
      <c r="B129" s="8"/>
      <c r="C129" s="66" t="s">
        <v>6081</v>
      </c>
      <c r="D129" s="67"/>
      <c r="E129" s="67"/>
      <c r="F129" s="67"/>
      <c r="G129" s="67"/>
      <c r="H129" s="67"/>
      <c r="I129" s="67"/>
      <c r="J129" s="68"/>
      <c r="K129" s="9"/>
      <c r="L129" s="3"/>
      <c r="M129" s="76"/>
      <c r="N129" s="78"/>
      <c r="O129" s="76"/>
      <c r="P129" s="78">
        <f t="shared" si="17"/>
        <v>0</v>
      </c>
      <c r="Q129" s="76"/>
      <c r="R129" s="78"/>
      <c r="S129" s="76"/>
      <c r="T129" s="78"/>
      <c r="U129" s="76"/>
      <c r="V129" s="78"/>
      <c r="W129" s="76"/>
      <c r="X129" s="78"/>
      <c r="Y129" s="76"/>
      <c r="Z129" s="78"/>
      <c r="AA129" s="76"/>
      <c r="AB129" s="78"/>
      <c r="AC129" s="76"/>
      <c r="AD129" s="78"/>
      <c r="AE129" s="76"/>
      <c r="AF129" s="78"/>
      <c r="AG129" s="76"/>
      <c r="AH129" s="78"/>
      <c r="AI129" s="76"/>
      <c r="AJ129" s="78"/>
      <c r="AK129" s="76"/>
      <c r="AL129" s="78"/>
      <c r="AM129" s="76"/>
      <c r="AN129" s="78"/>
      <c r="AO129" s="76"/>
      <c r="AP129" s="78"/>
      <c r="AQ129" s="76"/>
      <c r="AR129" s="78"/>
      <c r="AS129" s="76"/>
      <c r="AT129" s="78"/>
      <c r="AU129" s="76"/>
      <c r="AV129" s="78"/>
      <c r="AW129" s="76"/>
      <c r="AX129" s="78"/>
      <c r="AY129" s="76"/>
      <c r="AZ129" s="78"/>
      <c r="BA129" s="76"/>
      <c r="BB129" s="78"/>
      <c r="BC129" s="76"/>
      <c r="BD129" s="78"/>
      <c r="BE129" s="76"/>
      <c r="BF129" s="78"/>
      <c r="BG129" s="76"/>
      <c r="BH129" s="78"/>
      <c r="BI129" s="76"/>
      <c r="BJ129" s="78"/>
      <c r="BK129" s="76"/>
      <c r="BL129" s="78"/>
      <c r="BM129" s="76"/>
      <c r="BN129" s="78"/>
      <c r="BO129" s="76"/>
      <c r="BP129" s="78"/>
      <c r="BQ129" s="76"/>
      <c r="BR129" s="78"/>
      <c r="BS129" s="76"/>
      <c r="BT129" s="78"/>
      <c r="BU129" s="76"/>
      <c r="BV129" s="78"/>
    </row>
    <row r="130" spans="1:74" ht="30" customHeight="1" x14ac:dyDescent="0.3">
      <c r="A130" s="3"/>
      <c r="B130" s="8"/>
      <c r="C130" s="60">
        <v>3009</v>
      </c>
      <c r="D130" s="60">
        <v>6001</v>
      </c>
      <c r="E130" s="60" t="str">
        <f>+VLOOKUP(C130,'PRECIOS IDU 2025'!$A$1:$E$3189,2,FALSE)</f>
        <v>EXCAVACION MANUAL PARA REDES PROFUNDIDAD 0M - 2M (INCLUYE CARGUE)</v>
      </c>
      <c r="F130" s="60" t="str">
        <f>+VLOOKUP(C130,'PRECIOS IDU 2025'!$A$1:$E$3189,3,FALSE)</f>
        <v>M3</v>
      </c>
      <c r="G130" s="108">
        <f t="shared" ref="G130:G163" si="21">+ROUND(M130+O130+Q130+S130+U130+W130+Y130+AA130+AC130+AE130+AG130+AI130+AK130+AM130+AO130+AQ130+AS130+AU130+AW130+AY130+BA130+BC130+BE130+BG130+BI130+BK130+BM130+BO130+BQ130+BS130+BU130,2)</f>
        <v>0</v>
      </c>
      <c r="H130" s="69">
        <f>+VLOOKUP(C130,'PRECIOS IDU 2025'!$A$1:$E$3189,4,FALSE)</f>
        <v>46379</v>
      </c>
      <c r="I130" s="69">
        <f t="shared" ref="I130:I163" si="22">+ROUND(H130*(1+$J$192),0)</f>
        <v>60293</v>
      </c>
      <c r="J130" s="69">
        <f t="shared" ref="J130:J163" si="23">+ROUND(I130*G130,0)</f>
        <v>0</v>
      </c>
      <c r="K130" s="9"/>
      <c r="L130" s="3"/>
      <c r="M130" s="76"/>
      <c r="N130" s="78"/>
      <c r="O130" s="76"/>
      <c r="P130" s="78">
        <f t="shared" si="17"/>
        <v>0</v>
      </c>
      <c r="Q130" s="76"/>
      <c r="R130" s="78"/>
      <c r="S130" s="76"/>
      <c r="T130" s="78"/>
      <c r="U130" s="76"/>
      <c r="V130" s="78"/>
      <c r="W130" s="76"/>
      <c r="X130" s="78"/>
      <c r="Y130" s="76"/>
      <c r="Z130" s="78"/>
      <c r="AA130" s="76"/>
      <c r="AB130" s="78"/>
      <c r="AC130" s="76"/>
      <c r="AD130" s="78"/>
      <c r="AE130" s="76"/>
      <c r="AF130" s="78"/>
      <c r="AG130" s="76"/>
      <c r="AH130" s="78"/>
      <c r="AI130" s="76"/>
      <c r="AJ130" s="78"/>
      <c r="AK130" s="76"/>
      <c r="AL130" s="78"/>
      <c r="AM130" s="76"/>
      <c r="AN130" s="78"/>
      <c r="AO130" s="76"/>
      <c r="AP130" s="78"/>
      <c r="AQ130" s="76"/>
      <c r="AR130" s="78"/>
      <c r="AS130" s="76"/>
      <c r="AT130" s="78"/>
      <c r="AU130" s="76"/>
      <c r="AV130" s="78"/>
      <c r="AW130" s="76"/>
      <c r="AX130" s="78"/>
      <c r="AY130" s="76"/>
      <c r="AZ130" s="78"/>
      <c r="BA130" s="76"/>
      <c r="BB130" s="78"/>
      <c r="BC130" s="76"/>
      <c r="BD130" s="78"/>
      <c r="BE130" s="76"/>
      <c r="BF130" s="78"/>
      <c r="BG130" s="76"/>
      <c r="BH130" s="78"/>
      <c r="BI130" s="76"/>
      <c r="BJ130" s="78"/>
      <c r="BK130" s="76"/>
      <c r="BL130" s="78"/>
      <c r="BM130" s="76"/>
      <c r="BN130" s="78"/>
      <c r="BO130" s="76"/>
      <c r="BP130" s="78"/>
      <c r="BQ130" s="76"/>
      <c r="BR130" s="78"/>
      <c r="BS130" s="76"/>
      <c r="BT130" s="78"/>
      <c r="BU130" s="76"/>
      <c r="BV130" s="78"/>
    </row>
    <row r="131" spans="1:74" ht="30" customHeight="1" x14ac:dyDescent="0.3">
      <c r="A131" s="3"/>
      <c r="B131" s="8"/>
      <c r="C131" s="60">
        <v>7893</v>
      </c>
      <c r="D131" s="60">
        <v>6002</v>
      </c>
      <c r="E131" s="60" t="str">
        <f>+VLOOKUP(C131,'PRECIOS IDU 2025'!$A$1:$E$3189,2,FALSE)</f>
        <v>DEMOLICIÓN MANUAL DE TAPA EXISTENTE DE POZO DE INSPECCIÓN Y REPOSICIÓN TAPA PARA POZO DE D= 0.70 M. SUMINISTRO E INSTALACIÓN.</v>
      </c>
      <c r="F131" s="60" t="str">
        <f>+VLOOKUP(C131,'PRECIOS IDU 2025'!$A$1:$E$3189,3,FALSE)</f>
        <v>UN</v>
      </c>
      <c r="G131" s="108">
        <f t="shared" si="21"/>
        <v>0</v>
      </c>
      <c r="H131" s="69">
        <f>+VLOOKUP(C131,'PRECIOS IDU 2025'!$A$1:$E$3189,4,FALSE)</f>
        <v>268852</v>
      </c>
      <c r="I131" s="69">
        <f t="shared" si="22"/>
        <v>349508</v>
      </c>
      <c r="J131" s="69">
        <f t="shared" si="23"/>
        <v>0</v>
      </c>
      <c r="K131" s="9"/>
      <c r="L131" s="3"/>
      <c r="M131" s="76"/>
      <c r="N131" s="78"/>
      <c r="O131" s="76"/>
      <c r="P131" s="78">
        <f t="shared" si="17"/>
        <v>0</v>
      </c>
      <c r="Q131" s="76"/>
      <c r="R131" s="78"/>
      <c r="S131" s="76"/>
      <c r="T131" s="78"/>
      <c r="U131" s="76"/>
      <c r="V131" s="78"/>
      <c r="W131" s="76"/>
      <c r="X131" s="78"/>
      <c r="Y131" s="76"/>
      <c r="Z131" s="78"/>
      <c r="AA131" s="76"/>
      <c r="AB131" s="78"/>
      <c r="AC131" s="76"/>
      <c r="AD131" s="78"/>
      <c r="AE131" s="76"/>
      <c r="AF131" s="78"/>
      <c r="AG131" s="76"/>
      <c r="AH131" s="78"/>
      <c r="AI131" s="76"/>
      <c r="AJ131" s="78"/>
      <c r="AK131" s="76"/>
      <c r="AL131" s="78"/>
      <c r="AM131" s="76"/>
      <c r="AN131" s="78"/>
      <c r="AO131" s="76"/>
      <c r="AP131" s="78"/>
      <c r="AQ131" s="76"/>
      <c r="AR131" s="78"/>
      <c r="AS131" s="76"/>
      <c r="AT131" s="78"/>
      <c r="AU131" s="76"/>
      <c r="AV131" s="78"/>
      <c r="AW131" s="76"/>
      <c r="AX131" s="78"/>
      <c r="AY131" s="76"/>
      <c r="AZ131" s="78"/>
      <c r="BA131" s="76"/>
      <c r="BB131" s="78"/>
      <c r="BC131" s="76"/>
      <c r="BD131" s="78"/>
      <c r="BE131" s="76"/>
      <c r="BF131" s="78"/>
      <c r="BG131" s="76"/>
      <c r="BH131" s="78"/>
      <c r="BI131" s="76"/>
      <c r="BJ131" s="78"/>
      <c r="BK131" s="76"/>
      <c r="BL131" s="78"/>
      <c r="BM131" s="76"/>
      <c r="BN131" s="78"/>
      <c r="BO131" s="76"/>
      <c r="BP131" s="78"/>
      <c r="BQ131" s="76"/>
      <c r="BR131" s="78"/>
      <c r="BS131" s="76"/>
      <c r="BT131" s="78"/>
      <c r="BU131" s="76"/>
      <c r="BV131" s="78"/>
    </row>
    <row r="132" spans="1:74" ht="30" customHeight="1" x14ac:dyDescent="0.3">
      <c r="A132" s="3"/>
      <c r="B132" s="8"/>
      <c r="C132" s="60">
        <v>4848</v>
      </c>
      <c r="D132" s="60">
        <v>6003</v>
      </c>
      <c r="E132" s="60" t="str">
        <f>+VLOOKUP(C132,'PRECIOS IDU 2025'!$A$1:$E$3189,2,FALSE)</f>
        <v>DEMOLICION DE TUBERIAS DE ACUEDUCTO Y ALCANTARILLADO Ø &lt; 36" (INCLUYE MARTILLO NEUMÁTICO DE 60 LB Y CARGUE).</v>
      </c>
      <c r="F132" s="60" t="str">
        <f>+VLOOKUP(C132,'PRECIOS IDU 2025'!$A$1:$E$3189,3,FALSE)</f>
        <v>ML</v>
      </c>
      <c r="G132" s="108">
        <f t="shared" si="21"/>
        <v>0</v>
      </c>
      <c r="H132" s="69">
        <f>+VLOOKUP(C132,'PRECIOS IDU 2025'!$A$1:$E$3189,4,FALSE)</f>
        <v>10836</v>
      </c>
      <c r="I132" s="69">
        <f t="shared" si="22"/>
        <v>14087</v>
      </c>
      <c r="J132" s="69">
        <f t="shared" si="23"/>
        <v>0</v>
      </c>
      <c r="K132" s="9"/>
      <c r="L132" s="3"/>
      <c r="M132" s="76"/>
      <c r="N132" s="78"/>
      <c r="O132" s="76"/>
      <c r="P132" s="78">
        <f t="shared" si="17"/>
        <v>0</v>
      </c>
      <c r="Q132" s="76"/>
      <c r="R132" s="78"/>
      <c r="S132" s="76"/>
      <c r="T132" s="78"/>
      <c r="U132" s="76"/>
      <c r="V132" s="78"/>
      <c r="W132" s="76"/>
      <c r="X132" s="78"/>
      <c r="Y132" s="76"/>
      <c r="Z132" s="78"/>
      <c r="AA132" s="76"/>
      <c r="AB132" s="78"/>
      <c r="AC132" s="76"/>
      <c r="AD132" s="78"/>
      <c r="AE132" s="76"/>
      <c r="AF132" s="78"/>
      <c r="AG132" s="76"/>
      <c r="AH132" s="78"/>
      <c r="AI132" s="76"/>
      <c r="AJ132" s="78"/>
      <c r="AK132" s="76"/>
      <c r="AL132" s="78"/>
      <c r="AM132" s="76"/>
      <c r="AN132" s="78"/>
      <c r="AO132" s="76"/>
      <c r="AP132" s="78"/>
      <c r="AQ132" s="76"/>
      <c r="AR132" s="78"/>
      <c r="AS132" s="76"/>
      <c r="AT132" s="78"/>
      <c r="AU132" s="76"/>
      <c r="AV132" s="78"/>
      <c r="AW132" s="76"/>
      <c r="AX132" s="78"/>
      <c r="AY132" s="76"/>
      <c r="AZ132" s="78"/>
      <c r="BA132" s="76"/>
      <c r="BB132" s="78"/>
      <c r="BC132" s="76"/>
      <c r="BD132" s="78"/>
      <c r="BE132" s="76"/>
      <c r="BF132" s="78"/>
      <c r="BG132" s="76"/>
      <c r="BH132" s="78"/>
      <c r="BI132" s="76"/>
      <c r="BJ132" s="78"/>
      <c r="BK132" s="76"/>
      <c r="BL132" s="78"/>
      <c r="BM132" s="76"/>
      <c r="BN132" s="78"/>
      <c r="BO132" s="76"/>
      <c r="BP132" s="78"/>
      <c r="BQ132" s="76"/>
      <c r="BR132" s="78"/>
      <c r="BS132" s="76"/>
      <c r="BT132" s="78"/>
      <c r="BU132" s="76"/>
      <c r="BV132" s="78"/>
    </row>
    <row r="133" spans="1:74" ht="30" customHeight="1" x14ac:dyDescent="0.3">
      <c r="A133" s="3"/>
      <c r="B133" s="8"/>
      <c r="C133" s="60">
        <v>3155</v>
      </c>
      <c r="D133" s="60">
        <v>6004</v>
      </c>
      <c r="E133" s="60" t="str">
        <f>+VLOOKUP(C133,'PRECIOS IDU 2025'!$A$1:$E$3189,2,FALSE)</f>
        <v>DEMOLICION SUMIDERO EXISTENTE (INCLUYE CARGUE)</v>
      </c>
      <c r="F133" s="60" t="str">
        <f>+VLOOKUP(C133,'PRECIOS IDU 2025'!$A$1:$E$3189,3,FALSE)</f>
        <v>UN</v>
      </c>
      <c r="G133" s="108">
        <f t="shared" si="21"/>
        <v>0</v>
      </c>
      <c r="H133" s="69">
        <f>+VLOOKUP(C133,'PRECIOS IDU 2025'!$A$1:$E$3189,4,FALSE)</f>
        <v>189054</v>
      </c>
      <c r="I133" s="69">
        <f t="shared" si="22"/>
        <v>245770</v>
      </c>
      <c r="J133" s="69">
        <f t="shared" si="23"/>
        <v>0</v>
      </c>
      <c r="K133" s="9"/>
      <c r="L133" s="3"/>
      <c r="M133" s="76"/>
      <c r="N133" s="78"/>
      <c r="O133" s="76"/>
      <c r="P133" s="78">
        <f t="shared" si="17"/>
        <v>0</v>
      </c>
      <c r="Q133" s="76"/>
      <c r="R133" s="78"/>
      <c r="S133" s="76"/>
      <c r="T133" s="78"/>
      <c r="U133" s="76"/>
      <c r="V133" s="78"/>
      <c r="W133" s="76"/>
      <c r="X133" s="78"/>
      <c r="Y133" s="76"/>
      <c r="Z133" s="78"/>
      <c r="AA133" s="76"/>
      <c r="AB133" s="78"/>
      <c r="AC133" s="76"/>
      <c r="AD133" s="78"/>
      <c r="AE133" s="76"/>
      <c r="AF133" s="78"/>
      <c r="AG133" s="76"/>
      <c r="AH133" s="78"/>
      <c r="AI133" s="76"/>
      <c r="AJ133" s="78"/>
      <c r="AK133" s="76"/>
      <c r="AL133" s="78"/>
      <c r="AM133" s="76"/>
      <c r="AN133" s="78"/>
      <c r="AO133" s="76"/>
      <c r="AP133" s="78"/>
      <c r="AQ133" s="76"/>
      <c r="AR133" s="78"/>
      <c r="AS133" s="76"/>
      <c r="AT133" s="78"/>
      <c r="AU133" s="76"/>
      <c r="AV133" s="78"/>
      <c r="AW133" s="76"/>
      <c r="AX133" s="78"/>
      <c r="AY133" s="76"/>
      <c r="AZ133" s="78"/>
      <c r="BA133" s="76"/>
      <c r="BB133" s="78"/>
      <c r="BC133" s="76"/>
      <c r="BD133" s="78"/>
      <c r="BE133" s="76"/>
      <c r="BF133" s="78"/>
      <c r="BG133" s="76"/>
      <c r="BH133" s="78"/>
      <c r="BI133" s="76"/>
      <c r="BJ133" s="78"/>
      <c r="BK133" s="76"/>
      <c r="BL133" s="78"/>
      <c r="BM133" s="76"/>
      <c r="BN133" s="78"/>
      <c r="BO133" s="76"/>
      <c r="BP133" s="78"/>
      <c r="BQ133" s="76"/>
      <c r="BR133" s="78"/>
      <c r="BS133" s="76"/>
      <c r="BT133" s="78"/>
      <c r="BU133" s="76"/>
      <c r="BV133" s="78"/>
    </row>
    <row r="134" spans="1:74" ht="30" customHeight="1" x14ac:dyDescent="0.3">
      <c r="A134" s="3"/>
      <c r="B134" s="8"/>
      <c r="C134" s="60">
        <v>3017</v>
      </c>
      <c r="D134" s="60">
        <v>6005</v>
      </c>
      <c r="E134" s="60" t="str">
        <f>+VLOOKUP(C134,'PRECIOS IDU 2025'!$A$1:$E$3189,2,FALSE)</f>
        <v>TRANSPORTE Y DISPOSICIÓN FINAL DE ESCOMBROS EN SITIO AUTORIZADO (DISTANCIA DE TRANSPORTE 21 KM). A DISTANCIA MAYOR DEL ACARREO LIBRE (90 M) EN SITIO AUTORIZADO POR LA ENTIDAD AMBIENTAL COMPETENTE.</v>
      </c>
      <c r="F134" s="60" t="str">
        <f>+VLOOKUP(C134,'PRECIOS IDU 2025'!$A$1:$E$3189,3,FALSE)</f>
        <v>M3</v>
      </c>
      <c r="G134" s="108">
        <f t="shared" si="21"/>
        <v>0</v>
      </c>
      <c r="H134" s="69">
        <f>+VLOOKUP(C134,'PRECIOS IDU 2025'!$A$1:$E$3189,4,FALSE)</f>
        <v>45600</v>
      </c>
      <c r="I134" s="69">
        <f t="shared" si="22"/>
        <v>59280</v>
      </c>
      <c r="J134" s="69">
        <f t="shared" si="23"/>
        <v>0</v>
      </c>
      <c r="K134" s="9"/>
      <c r="L134" s="3"/>
      <c r="M134" s="76"/>
      <c r="N134" s="78"/>
      <c r="O134" s="76"/>
      <c r="P134" s="78">
        <f t="shared" si="17"/>
        <v>0</v>
      </c>
      <c r="Q134" s="76"/>
      <c r="R134" s="78"/>
      <c r="S134" s="76"/>
      <c r="T134" s="78"/>
      <c r="U134" s="76"/>
      <c r="V134" s="78"/>
      <c r="W134" s="76"/>
      <c r="X134" s="78"/>
      <c r="Y134" s="76"/>
      <c r="Z134" s="78"/>
      <c r="AA134" s="76"/>
      <c r="AB134" s="78"/>
      <c r="AC134" s="76"/>
      <c r="AD134" s="78"/>
      <c r="AE134" s="76"/>
      <c r="AF134" s="78"/>
      <c r="AG134" s="76"/>
      <c r="AH134" s="78"/>
      <c r="AI134" s="76"/>
      <c r="AJ134" s="78"/>
      <c r="AK134" s="76"/>
      <c r="AL134" s="78"/>
      <c r="AM134" s="76"/>
      <c r="AN134" s="78"/>
      <c r="AO134" s="76"/>
      <c r="AP134" s="78"/>
      <c r="AQ134" s="76"/>
      <c r="AR134" s="78"/>
      <c r="AS134" s="76"/>
      <c r="AT134" s="78"/>
      <c r="AU134" s="76"/>
      <c r="AV134" s="78"/>
      <c r="AW134" s="76"/>
      <c r="AX134" s="78"/>
      <c r="AY134" s="76"/>
      <c r="AZ134" s="78"/>
      <c r="BA134" s="76"/>
      <c r="BB134" s="78"/>
      <c r="BC134" s="76"/>
      <c r="BD134" s="78"/>
      <c r="BE134" s="76"/>
      <c r="BF134" s="78"/>
      <c r="BG134" s="76"/>
      <c r="BH134" s="78"/>
      <c r="BI134" s="76"/>
      <c r="BJ134" s="78"/>
      <c r="BK134" s="76"/>
      <c r="BL134" s="78"/>
      <c r="BM134" s="76"/>
      <c r="BN134" s="78"/>
      <c r="BO134" s="76"/>
      <c r="BP134" s="78"/>
      <c r="BQ134" s="76"/>
      <c r="BR134" s="78"/>
      <c r="BS134" s="76"/>
      <c r="BT134" s="78"/>
      <c r="BU134" s="76"/>
      <c r="BV134" s="78"/>
    </row>
    <row r="135" spans="1:74" ht="30" customHeight="1" x14ac:dyDescent="0.3">
      <c r="A135" s="3"/>
      <c r="B135" s="8"/>
      <c r="C135" s="60">
        <v>4613</v>
      </c>
      <c r="D135" s="60">
        <v>6006</v>
      </c>
      <c r="E135" s="60" t="str">
        <f>+VLOOKUP(C135,'PRECIOS IDU 2025'!$A$1:$E$3189,2,FALSE)</f>
        <v>TRANSPORTE Y DISPOSICION FINAL DE ESCOMBROS EN SITIO AUTORIZADO (DISTANCIA DE TRANSPORTE 28 KM)</v>
      </c>
      <c r="F135" s="60" t="str">
        <f>+VLOOKUP(C135,'PRECIOS IDU 2025'!$A$1:$E$3189,3,FALSE)</f>
        <v>M3</v>
      </c>
      <c r="G135" s="108">
        <f t="shared" si="21"/>
        <v>0</v>
      </c>
      <c r="H135" s="69">
        <f>+VLOOKUP(C135,'PRECIOS IDU 2025'!$A$1:$E$3189,4,FALSE)</f>
        <v>58200</v>
      </c>
      <c r="I135" s="69">
        <f t="shared" si="22"/>
        <v>75660</v>
      </c>
      <c r="J135" s="69">
        <f t="shared" si="23"/>
        <v>0</v>
      </c>
      <c r="K135" s="9"/>
      <c r="L135" s="3"/>
      <c r="M135" s="76"/>
      <c r="N135" s="78"/>
      <c r="O135" s="76"/>
      <c r="P135" s="78">
        <f t="shared" si="17"/>
        <v>0</v>
      </c>
      <c r="Q135" s="76"/>
      <c r="R135" s="78"/>
      <c r="S135" s="76"/>
      <c r="T135" s="78"/>
      <c r="U135" s="76"/>
      <c r="V135" s="78"/>
      <c r="W135" s="76"/>
      <c r="X135" s="78"/>
      <c r="Y135" s="76"/>
      <c r="Z135" s="78"/>
      <c r="AA135" s="76"/>
      <c r="AB135" s="78"/>
      <c r="AC135" s="76"/>
      <c r="AD135" s="78"/>
      <c r="AE135" s="76"/>
      <c r="AF135" s="78"/>
      <c r="AG135" s="76"/>
      <c r="AH135" s="78"/>
      <c r="AI135" s="76"/>
      <c r="AJ135" s="78"/>
      <c r="AK135" s="76"/>
      <c r="AL135" s="78"/>
      <c r="AM135" s="76"/>
      <c r="AN135" s="78"/>
      <c r="AO135" s="76"/>
      <c r="AP135" s="78"/>
      <c r="AQ135" s="76"/>
      <c r="AR135" s="78"/>
      <c r="AS135" s="76"/>
      <c r="AT135" s="78"/>
      <c r="AU135" s="76"/>
      <c r="AV135" s="78"/>
      <c r="AW135" s="76"/>
      <c r="AX135" s="78"/>
      <c r="AY135" s="76"/>
      <c r="AZ135" s="78"/>
      <c r="BA135" s="76"/>
      <c r="BB135" s="78"/>
      <c r="BC135" s="76"/>
      <c r="BD135" s="78"/>
      <c r="BE135" s="76"/>
      <c r="BF135" s="78"/>
      <c r="BG135" s="76"/>
      <c r="BH135" s="78"/>
      <c r="BI135" s="76"/>
      <c r="BJ135" s="78"/>
      <c r="BK135" s="76"/>
      <c r="BL135" s="78"/>
      <c r="BM135" s="76"/>
      <c r="BN135" s="78"/>
      <c r="BO135" s="76"/>
      <c r="BP135" s="78"/>
      <c r="BQ135" s="76"/>
      <c r="BR135" s="78"/>
      <c r="BS135" s="76"/>
      <c r="BT135" s="78"/>
      <c r="BU135" s="76"/>
      <c r="BV135" s="78"/>
    </row>
    <row r="136" spans="1:74" ht="30" customHeight="1" x14ac:dyDescent="0.3">
      <c r="A136" s="3"/>
      <c r="B136" s="8"/>
      <c r="C136" s="60">
        <v>3050</v>
      </c>
      <c r="D136" s="60">
        <v>6007</v>
      </c>
      <c r="E136" s="60" t="str">
        <f>+VLOOKUP(C136,'PRECIOS IDU 2025'!$A$1:$E$3189,2,FALSE)</f>
        <v>RELLENO EN MATERIAL SELECCIONADO PROVENIENTE DE LA EXCAVACIÓN (EXTENDIDO MANUAL, HUMEDECIMIENTO Y COMPACTACIÓN)</v>
      </c>
      <c r="F136" s="60" t="str">
        <f>+VLOOKUP(C136,'PRECIOS IDU 2025'!$A$1:$E$3189,3,FALSE)</f>
        <v>M3</v>
      </c>
      <c r="G136" s="108">
        <f t="shared" si="21"/>
        <v>0</v>
      </c>
      <c r="H136" s="69">
        <f>+VLOOKUP(C136,'PRECIOS IDU 2025'!$A$1:$E$3189,4,FALSE)</f>
        <v>39211</v>
      </c>
      <c r="I136" s="69">
        <f t="shared" si="22"/>
        <v>50974</v>
      </c>
      <c r="J136" s="69">
        <f t="shared" si="23"/>
        <v>0</v>
      </c>
      <c r="K136" s="9"/>
      <c r="L136" s="3"/>
      <c r="M136" s="76"/>
      <c r="N136" s="78"/>
      <c r="O136" s="76"/>
      <c r="P136" s="78">
        <f t="shared" si="17"/>
        <v>0</v>
      </c>
      <c r="Q136" s="76"/>
      <c r="R136" s="78"/>
      <c r="S136" s="76"/>
      <c r="T136" s="78"/>
      <c r="U136" s="76"/>
      <c r="V136" s="78"/>
      <c r="W136" s="76"/>
      <c r="X136" s="78"/>
      <c r="Y136" s="76"/>
      <c r="Z136" s="78"/>
      <c r="AA136" s="76"/>
      <c r="AB136" s="78"/>
      <c r="AC136" s="76"/>
      <c r="AD136" s="78"/>
      <c r="AE136" s="76"/>
      <c r="AF136" s="78"/>
      <c r="AG136" s="76"/>
      <c r="AH136" s="78"/>
      <c r="AI136" s="76"/>
      <c r="AJ136" s="78"/>
      <c r="AK136" s="76"/>
      <c r="AL136" s="78"/>
      <c r="AM136" s="76"/>
      <c r="AN136" s="78"/>
      <c r="AO136" s="76"/>
      <c r="AP136" s="78"/>
      <c r="AQ136" s="76"/>
      <c r="AR136" s="78"/>
      <c r="AS136" s="76"/>
      <c r="AT136" s="78"/>
      <c r="AU136" s="76"/>
      <c r="AV136" s="78"/>
      <c r="AW136" s="76"/>
      <c r="AX136" s="78"/>
      <c r="AY136" s="76"/>
      <c r="AZ136" s="78"/>
      <c r="BA136" s="76"/>
      <c r="BB136" s="78"/>
      <c r="BC136" s="76"/>
      <c r="BD136" s="78"/>
      <c r="BE136" s="76"/>
      <c r="BF136" s="78"/>
      <c r="BG136" s="76"/>
      <c r="BH136" s="78"/>
      <c r="BI136" s="76"/>
      <c r="BJ136" s="78"/>
      <c r="BK136" s="76"/>
      <c r="BL136" s="78"/>
      <c r="BM136" s="76"/>
      <c r="BN136" s="78"/>
      <c r="BO136" s="76"/>
      <c r="BP136" s="78"/>
      <c r="BQ136" s="76"/>
      <c r="BR136" s="78"/>
      <c r="BS136" s="76"/>
      <c r="BT136" s="78"/>
      <c r="BU136" s="76"/>
      <c r="BV136" s="78"/>
    </row>
    <row r="137" spans="1:74" ht="30" customHeight="1" x14ac:dyDescent="0.3">
      <c r="A137" s="3"/>
      <c r="B137" s="8"/>
      <c r="C137" s="60">
        <v>5412</v>
      </c>
      <c r="D137" s="60">
        <v>6008</v>
      </c>
      <c r="E137" s="60" t="str">
        <f>+VLOOKUP(C137,'PRECIOS IDU 2025'!$A$1:$E$3189,2,FALSE)</f>
        <v>RELLENO EN TRITURADO DE 3/4`` (INCLUYE TRANSPORTE, SUMINISTRO, EXTENDIDO MANUAL Y COLOCACIÓN)</v>
      </c>
      <c r="F137" s="60" t="str">
        <f>+VLOOKUP(C137,'PRECIOS IDU 2025'!$A$1:$E$3189,3,FALSE)</f>
        <v>M3</v>
      </c>
      <c r="G137" s="108">
        <f t="shared" si="21"/>
        <v>0</v>
      </c>
      <c r="H137" s="69">
        <f>+VLOOKUP(C137,'PRECIOS IDU 2025'!$A$1:$E$3189,4,FALSE)</f>
        <v>167159</v>
      </c>
      <c r="I137" s="69">
        <f t="shared" si="22"/>
        <v>217307</v>
      </c>
      <c r="J137" s="69">
        <f t="shared" si="23"/>
        <v>0</v>
      </c>
      <c r="K137" s="9"/>
      <c r="L137" s="3"/>
      <c r="M137" s="76"/>
      <c r="N137" s="78"/>
      <c r="O137" s="76"/>
      <c r="P137" s="78">
        <f t="shared" si="17"/>
        <v>0</v>
      </c>
      <c r="Q137" s="76"/>
      <c r="R137" s="78"/>
      <c r="S137" s="76"/>
      <c r="T137" s="78"/>
      <c r="U137" s="76"/>
      <c r="V137" s="78"/>
      <c r="W137" s="76"/>
      <c r="X137" s="78"/>
      <c r="Y137" s="76"/>
      <c r="Z137" s="78"/>
      <c r="AA137" s="76"/>
      <c r="AB137" s="78"/>
      <c r="AC137" s="76"/>
      <c r="AD137" s="78"/>
      <c r="AE137" s="76"/>
      <c r="AF137" s="78"/>
      <c r="AG137" s="76"/>
      <c r="AH137" s="78"/>
      <c r="AI137" s="76"/>
      <c r="AJ137" s="78"/>
      <c r="AK137" s="76"/>
      <c r="AL137" s="78"/>
      <c r="AM137" s="76"/>
      <c r="AN137" s="78"/>
      <c r="AO137" s="76"/>
      <c r="AP137" s="78"/>
      <c r="AQ137" s="76"/>
      <c r="AR137" s="78"/>
      <c r="AS137" s="76"/>
      <c r="AT137" s="78"/>
      <c r="AU137" s="76"/>
      <c r="AV137" s="78"/>
      <c r="AW137" s="76"/>
      <c r="AX137" s="78"/>
      <c r="AY137" s="76"/>
      <c r="AZ137" s="78"/>
      <c r="BA137" s="76"/>
      <c r="BB137" s="78"/>
      <c r="BC137" s="76"/>
      <c r="BD137" s="78"/>
      <c r="BE137" s="76"/>
      <c r="BF137" s="78"/>
      <c r="BG137" s="76"/>
      <c r="BH137" s="78"/>
      <c r="BI137" s="76"/>
      <c r="BJ137" s="78"/>
      <c r="BK137" s="76"/>
      <c r="BL137" s="78"/>
      <c r="BM137" s="76"/>
      <c r="BN137" s="78"/>
      <c r="BO137" s="76"/>
      <c r="BP137" s="78"/>
      <c r="BQ137" s="76"/>
      <c r="BR137" s="78"/>
      <c r="BS137" s="76"/>
      <c r="BT137" s="78"/>
      <c r="BU137" s="76"/>
      <c r="BV137" s="78"/>
    </row>
    <row r="138" spans="1:74" ht="30" customHeight="1" x14ac:dyDescent="0.3">
      <c r="A138" s="3"/>
      <c r="B138" s="8"/>
      <c r="C138" s="60">
        <v>4792</v>
      </c>
      <c r="D138" s="60">
        <v>6009</v>
      </c>
      <c r="E138" s="60" t="str">
        <f>+VLOOKUP(C138,'PRECIOS IDU 2025'!$A$1:$E$3189,2,FALSE)</f>
        <v>RELLENO EN RECEBO COMUN (SUMINISTRO E INSTALACIÓN EXTENDIDO MANUAL, HUMEDECIMIENTO Y COMPACTACIÓN TRANSPORTE A 28 KM).</v>
      </c>
      <c r="F138" s="60" t="str">
        <f>+VLOOKUP(C138,'PRECIOS IDU 2025'!$A$1:$E$3189,3,FALSE)</f>
        <v>M3</v>
      </c>
      <c r="G138" s="108">
        <f t="shared" si="21"/>
        <v>0</v>
      </c>
      <c r="H138" s="69">
        <f>+VLOOKUP(C138,'PRECIOS IDU 2025'!$A$1:$E$3189,4,FALSE)</f>
        <v>100367</v>
      </c>
      <c r="I138" s="69">
        <f t="shared" si="22"/>
        <v>130477</v>
      </c>
      <c r="J138" s="69">
        <f t="shared" si="23"/>
        <v>0</v>
      </c>
      <c r="K138" s="9"/>
      <c r="L138" s="3"/>
      <c r="M138" s="76"/>
      <c r="N138" s="78"/>
      <c r="O138" s="76"/>
      <c r="P138" s="78">
        <f t="shared" si="17"/>
        <v>0</v>
      </c>
      <c r="Q138" s="76"/>
      <c r="R138" s="78"/>
      <c r="S138" s="76"/>
      <c r="T138" s="78"/>
      <c r="U138" s="76"/>
      <c r="V138" s="78"/>
      <c r="W138" s="76"/>
      <c r="X138" s="78"/>
      <c r="Y138" s="76"/>
      <c r="Z138" s="78"/>
      <c r="AA138" s="76"/>
      <c r="AB138" s="78"/>
      <c r="AC138" s="76"/>
      <c r="AD138" s="78"/>
      <c r="AE138" s="76"/>
      <c r="AF138" s="78"/>
      <c r="AG138" s="76"/>
      <c r="AH138" s="78"/>
      <c r="AI138" s="76"/>
      <c r="AJ138" s="78"/>
      <c r="AK138" s="76"/>
      <c r="AL138" s="78"/>
      <c r="AM138" s="76"/>
      <c r="AN138" s="78"/>
      <c r="AO138" s="76"/>
      <c r="AP138" s="78"/>
      <c r="AQ138" s="76"/>
      <c r="AR138" s="78"/>
      <c r="AS138" s="76"/>
      <c r="AT138" s="78"/>
      <c r="AU138" s="76"/>
      <c r="AV138" s="78"/>
      <c r="AW138" s="76"/>
      <c r="AX138" s="78"/>
      <c r="AY138" s="76"/>
      <c r="AZ138" s="78"/>
      <c r="BA138" s="76"/>
      <c r="BB138" s="78"/>
      <c r="BC138" s="76"/>
      <c r="BD138" s="78"/>
      <c r="BE138" s="76"/>
      <c r="BF138" s="78"/>
      <c r="BG138" s="76"/>
      <c r="BH138" s="78"/>
      <c r="BI138" s="76"/>
      <c r="BJ138" s="78"/>
      <c r="BK138" s="76"/>
      <c r="BL138" s="78"/>
      <c r="BM138" s="76"/>
      <c r="BN138" s="78"/>
      <c r="BO138" s="76"/>
      <c r="BP138" s="78"/>
      <c r="BQ138" s="76"/>
      <c r="BR138" s="78"/>
      <c r="BS138" s="76"/>
      <c r="BT138" s="78"/>
      <c r="BU138" s="76"/>
      <c r="BV138" s="78"/>
    </row>
    <row r="139" spans="1:74" ht="30" customHeight="1" x14ac:dyDescent="0.3">
      <c r="A139" s="3"/>
      <c r="B139" s="8"/>
      <c r="C139" s="60">
        <v>4837</v>
      </c>
      <c r="D139" s="60">
        <v>6010</v>
      </c>
      <c r="E139" s="60" t="str">
        <f>+VLOOKUP(C139,'PRECIOS IDU 2025'!$A$1:$E$3189,2,FALSE)</f>
        <v>RELLENO CON MEZCLA DE GRAVILLA DE 3/4" Y ARENA DE RIO (RELACIÓN 1:1) SUMINISTRO Y COLOCACIÓN. (INCLUYE TRANSPORTE, SUMINISTRO, EXTENDIDO MANUAL Y COLOCACIÓN).</v>
      </c>
      <c r="F139" s="60" t="str">
        <f>+VLOOKUP(C139,'PRECIOS IDU 2025'!$A$1:$E$3189,3,FALSE)</f>
        <v>M3</v>
      </c>
      <c r="G139" s="108">
        <f t="shared" si="21"/>
        <v>0</v>
      </c>
      <c r="H139" s="69">
        <f>+VLOOKUP(C139,'PRECIOS IDU 2025'!$A$1:$E$3189,4,FALSE)</f>
        <v>214107</v>
      </c>
      <c r="I139" s="69">
        <f t="shared" si="22"/>
        <v>278339</v>
      </c>
      <c r="J139" s="69">
        <f t="shared" si="23"/>
        <v>0</v>
      </c>
      <c r="K139" s="9"/>
      <c r="L139" s="3"/>
      <c r="M139" s="76"/>
      <c r="N139" s="78"/>
      <c r="O139" s="76"/>
      <c r="P139" s="78">
        <f t="shared" si="17"/>
        <v>0</v>
      </c>
      <c r="Q139" s="76"/>
      <c r="R139" s="78"/>
      <c r="S139" s="76"/>
      <c r="T139" s="78"/>
      <c r="U139" s="76"/>
      <c r="V139" s="78"/>
      <c r="W139" s="76"/>
      <c r="X139" s="78"/>
      <c r="Y139" s="76"/>
      <c r="Z139" s="78"/>
      <c r="AA139" s="76"/>
      <c r="AB139" s="78"/>
      <c r="AC139" s="76"/>
      <c r="AD139" s="78"/>
      <c r="AE139" s="76"/>
      <c r="AF139" s="78"/>
      <c r="AG139" s="76"/>
      <c r="AH139" s="78"/>
      <c r="AI139" s="76"/>
      <c r="AJ139" s="78"/>
      <c r="AK139" s="76"/>
      <c r="AL139" s="78"/>
      <c r="AM139" s="76"/>
      <c r="AN139" s="78"/>
      <c r="AO139" s="76"/>
      <c r="AP139" s="78"/>
      <c r="AQ139" s="76"/>
      <c r="AR139" s="78"/>
      <c r="AS139" s="76"/>
      <c r="AT139" s="78"/>
      <c r="AU139" s="76"/>
      <c r="AV139" s="78"/>
      <c r="AW139" s="76"/>
      <c r="AX139" s="78"/>
      <c r="AY139" s="76"/>
      <c r="AZ139" s="78"/>
      <c r="BA139" s="76"/>
      <c r="BB139" s="78"/>
      <c r="BC139" s="76"/>
      <c r="BD139" s="78"/>
      <c r="BE139" s="76"/>
      <c r="BF139" s="78"/>
      <c r="BG139" s="76"/>
      <c r="BH139" s="78"/>
      <c r="BI139" s="76"/>
      <c r="BJ139" s="78"/>
      <c r="BK139" s="76"/>
      <c r="BL139" s="78"/>
      <c r="BM139" s="76"/>
      <c r="BN139" s="78"/>
      <c r="BO139" s="76"/>
      <c r="BP139" s="78"/>
      <c r="BQ139" s="76"/>
      <c r="BR139" s="78"/>
      <c r="BS139" s="76"/>
      <c r="BT139" s="78"/>
      <c r="BU139" s="76"/>
      <c r="BV139" s="78"/>
    </row>
    <row r="140" spans="1:74" ht="30" customHeight="1" x14ac:dyDescent="0.3">
      <c r="A140" s="3"/>
      <c r="B140" s="8"/>
      <c r="C140" s="60">
        <v>3024</v>
      </c>
      <c r="D140" s="60">
        <v>6011</v>
      </c>
      <c r="E140" s="60" t="str">
        <f>+VLOOKUP(C140,'PRECIOS IDU 2025'!$A$1:$E$3189,2,FALSE)</f>
        <v>RELLENO PARA REDES EN ARENA DE PEÑA (SUMINISTRO, EXTENDIDO, HUMEDECIMIENTO Y COMPACTACIÓN)</v>
      </c>
      <c r="F140" s="60" t="str">
        <f>+VLOOKUP(C140,'PRECIOS IDU 2025'!$A$1:$E$3189,3,FALSE)</f>
        <v>M3</v>
      </c>
      <c r="G140" s="108">
        <f t="shared" si="21"/>
        <v>0</v>
      </c>
      <c r="H140" s="69">
        <f>+VLOOKUP(C140,'PRECIOS IDU 2025'!$A$1:$E$3189,4,FALSE)</f>
        <v>155503</v>
      </c>
      <c r="I140" s="69">
        <f t="shared" si="22"/>
        <v>202154</v>
      </c>
      <c r="J140" s="69">
        <f t="shared" si="23"/>
        <v>0</v>
      </c>
      <c r="K140" s="9"/>
      <c r="L140" s="3"/>
      <c r="M140" s="76"/>
      <c r="N140" s="78"/>
      <c r="O140" s="76"/>
      <c r="P140" s="78">
        <f t="shared" si="17"/>
        <v>0</v>
      </c>
      <c r="Q140" s="76"/>
      <c r="R140" s="78"/>
      <c r="S140" s="76"/>
      <c r="T140" s="78"/>
      <c r="U140" s="76"/>
      <c r="V140" s="78"/>
      <c r="W140" s="76"/>
      <c r="X140" s="78"/>
      <c r="Y140" s="76"/>
      <c r="Z140" s="78"/>
      <c r="AA140" s="76"/>
      <c r="AB140" s="78"/>
      <c r="AC140" s="76"/>
      <c r="AD140" s="78"/>
      <c r="AE140" s="76"/>
      <c r="AF140" s="78"/>
      <c r="AG140" s="76"/>
      <c r="AH140" s="78"/>
      <c r="AI140" s="76"/>
      <c r="AJ140" s="78"/>
      <c r="AK140" s="76"/>
      <c r="AL140" s="78"/>
      <c r="AM140" s="76"/>
      <c r="AN140" s="78"/>
      <c r="AO140" s="76"/>
      <c r="AP140" s="78"/>
      <c r="AQ140" s="76"/>
      <c r="AR140" s="78"/>
      <c r="AS140" s="76"/>
      <c r="AT140" s="78"/>
      <c r="AU140" s="76"/>
      <c r="AV140" s="78"/>
      <c r="AW140" s="76"/>
      <c r="AX140" s="78"/>
      <c r="AY140" s="76"/>
      <c r="AZ140" s="78"/>
      <c r="BA140" s="76"/>
      <c r="BB140" s="78"/>
      <c r="BC140" s="76"/>
      <c r="BD140" s="78"/>
      <c r="BE140" s="76"/>
      <c r="BF140" s="78"/>
      <c r="BG140" s="76"/>
      <c r="BH140" s="78"/>
      <c r="BI140" s="76"/>
      <c r="BJ140" s="78"/>
      <c r="BK140" s="76"/>
      <c r="BL140" s="78"/>
      <c r="BM140" s="76"/>
      <c r="BN140" s="78"/>
      <c r="BO140" s="76"/>
      <c r="BP140" s="78"/>
      <c r="BQ140" s="76"/>
      <c r="BR140" s="78"/>
      <c r="BS140" s="76"/>
      <c r="BT140" s="78"/>
      <c r="BU140" s="76"/>
      <c r="BV140" s="78"/>
    </row>
    <row r="141" spans="1:74" ht="30" customHeight="1" x14ac:dyDescent="0.3">
      <c r="A141" s="3"/>
      <c r="B141" s="8"/>
      <c r="C141" s="60">
        <v>3878</v>
      </c>
      <c r="D141" s="60">
        <v>6012</v>
      </c>
      <c r="E141" s="60" t="str">
        <f>+VLOOKUP(C141,'PRECIOS IDU 2025'!$A$1:$E$3189,2,FALSE)</f>
        <v>PLACA CUBIERTA D=1.70M POZO INSPEC. (PREFABRICADA. INCLUYE SUMINISTRO E INSTALACIÓN. INCLUYE TAPA)</v>
      </c>
      <c r="F141" s="60" t="str">
        <f>+VLOOKUP(C141,'PRECIOS IDU 2025'!$A$1:$E$3189,3,FALSE)</f>
        <v>UN</v>
      </c>
      <c r="G141" s="108">
        <f t="shared" si="21"/>
        <v>0</v>
      </c>
      <c r="H141" s="69">
        <f>+VLOOKUP(C141,'PRECIOS IDU 2025'!$A$1:$E$3189,4,FALSE)</f>
        <v>1895915</v>
      </c>
      <c r="I141" s="69">
        <f t="shared" si="22"/>
        <v>2464690</v>
      </c>
      <c r="J141" s="69">
        <f t="shared" si="23"/>
        <v>0</v>
      </c>
      <c r="K141" s="9"/>
      <c r="L141" s="3"/>
      <c r="M141" s="76"/>
      <c r="N141" s="78"/>
      <c r="O141" s="76"/>
      <c r="P141" s="78">
        <f t="shared" si="17"/>
        <v>0</v>
      </c>
      <c r="Q141" s="76"/>
      <c r="R141" s="78"/>
      <c r="S141" s="76"/>
      <c r="T141" s="78"/>
      <c r="U141" s="76"/>
      <c r="V141" s="78"/>
      <c r="W141" s="76"/>
      <c r="X141" s="78"/>
      <c r="Y141" s="76"/>
      <c r="Z141" s="78"/>
      <c r="AA141" s="76"/>
      <c r="AB141" s="78"/>
      <c r="AC141" s="76"/>
      <c r="AD141" s="78"/>
      <c r="AE141" s="76"/>
      <c r="AF141" s="78"/>
      <c r="AG141" s="76"/>
      <c r="AH141" s="78"/>
      <c r="AI141" s="76"/>
      <c r="AJ141" s="78"/>
      <c r="AK141" s="76"/>
      <c r="AL141" s="78"/>
      <c r="AM141" s="76"/>
      <c r="AN141" s="78"/>
      <c r="AO141" s="76"/>
      <c r="AP141" s="78"/>
      <c r="AQ141" s="76"/>
      <c r="AR141" s="78"/>
      <c r="AS141" s="76"/>
      <c r="AT141" s="78"/>
      <c r="AU141" s="76"/>
      <c r="AV141" s="78"/>
      <c r="AW141" s="76"/>
      <c r="AX141" s="78"/>
      <c r="AY141" s="76"/>
      <c r="AZ141" s="78"/>
      <c r="BA141" s="76"/>
      <c r="BB141" s="78"/>
      <c r="BC141" s="76"/>
      <c r="BD141" s="78"/>
      <c r="BE141" s="76"/>
      <c r="BF141" s="78"/>
      <c r="BG141" s="76"/>
      <c r="BH141" s="78"/>
      <c r="BI141" s="76"/>
      <c r="BJ141" s="78"/>
      <c r="BK141" s="76"/>
      <c r="BL141" s="78"/>
      <c r="BM141" s="76"/>
      <c r="BN141" s="78"/>
      <c r="BO141" s="76"/>
      <c r="BP141" s="78"/>
      <c r="BQ141" s="76"/>
      <c r="BR141" s="78"/>
      <c r="BS141" s="76"/>
      <c r="BT141" s="78"/>
      <c r="BU141" s="76"/>
      <c r="BV141" s="78"/>
    </row>
    <row r="142" spans="1:74" ht="30" customHeight="1" x14ac:dyDescent="0.3">
      <c r="A142" s="3"/>
      <c r="B142" s="8"/>
      <c r="C142" s="60">
        <v>3471</v>
      </c>
      <c r="D142" s="60">
        <v>6013</v>
      </c>
      <c r="E142" s="60" t="str">
        <f>+VLOOKUP(C142,'PRECIOS IDU 2025'!$A$1:$E$3189,2,FALSE)</f>
        <v>CILINDRO POZO INSP. EN MAMPOSTERIA E=0.25M (INC. SUMIN. Y CONST, ACERO PARA ESCALERAS, GEOTEXTIL NO TEJIDO CON RESISTENCIA A LA TENSION GRAB: ENTRE 450 N Y 500 N Y PAÑETE IMPERMEAB.)</v>
      </c>
      <c r="F142" s="60" t="str">
        <f>+VLOOKUP(C142,'PRECIOS IDU 2025'!$A$1:$E$3189,3,FALSE)</f>
        <v>ML</v>
      </c>
      <c r="G142" s="108">
        <f t="shared" si="21"/>
        <v>0</v>
      </c>
      <c r="H142" s="69">
        <f>+VLOOKUP(C142,'PRECIOS IDU 2025'!$A$1:$E$3189,4,FALSE)</f>
        <v>739808</v>
      </c>
      <c r="I142" s="69">
        <f t="shared" si="22"/>
        <v>961750</v>
      </c>
      <c r="J142" s="69">
        <f t="shared" si="23"/>
        <v>0</v>
      </c>
      <c r="K142" s="9"/>
      <c r="L142" s="3"/>
      <c r="M142" s="76"/>
      <c r="N142" s="78"/>
      <c r="O142" s="76"/>
      <c r="P142" s="78">
        <f t="shared" si="17"/>
        <v>0</v>
      </c>
      <c r="Q142" s="76"/>
      <c r="R142" s="78"/>
      <c r="S142" s="76"/>
      <c r="T142" s="78"/>
      <c r="U142" s="76"/>
      <c r="V142" s="78"/>
      <c r="W142" s="76"/>
      <c r="X142" s="78"/>
      <c r="Y142" s="76"/>
      <c r="Z142" s="78"/>
      <c r="AA142" s="76"/>
      <c r="AB142" s="78"/>
      <c r="AC142" s="76"/>
      <c r="AD142" s="78"/>
      <c r="AE142" s="76"/>
      <c r="AF142" s="78"/>
      <c r="AG142" s="76"/>
      <c r="AH142" s="78"/>
      <c r="AI142" s="76"/>
      <c r="AJ142" s="78"/>
      <c r="AK142" s="76"/>
      <c r="AL142" s="78"/>
      <c r="AM142" s="76"/>
      <c r="AN142" s="78"/>
      <c r="AO142" s="76"/>
      <c r="AP142" s="78"/>
      <c r="AQ142" s="76"/>
      <c r="AR142" s="78"/>
      <c r="AS142" s="76"/>
      <c r="AT142" s="78"/>
      <c r="AU142" s="76"/>
      <c r="AV142" s="78"/>
      <c r="AW142" s="76"/>
      <c r="AX142" s="78"/>
      <c r="AY142" s="76"/>
      <c r="AZ142" s="78"/>
      <c r="BA142" s="76"/>
      <c r="BB142" s="78"/>
      <c r="BC142" s="76"/>
      <c r="BD142" s="78"/>
      <c r="BE142" s="76"/>
      <c r="BF142" s="78"/>
      <c r="BG142" s="76"/>
      <c r="BH142" s="78"/>
      <c r="BI142" s="76"/>
      <c r="BJ142" s="78"/>
      <c r="BK142" s="76"/>
      <c r="BL142" s="78"/>
      <c r="BM142" s="76"/>
      <c r="BN142" s="78"/>
      <c r="BO142" s="76"/>
      <c r="BP142" s="78"/>
      <c r="BQ142" s="76"/>
      <c r="BR142" s="78"/>
      <c r="BS142" s="76"/>
      <c r="BT142" s="78"/>
      <c r="BU142" s="76"/>
      <c r="BV142" s="78"/>
    </row>
    <row r="143" spans="1:74" ht="30" customHeight="1" x14ac:dyDescent="0.3">
      <c r="A143" s="3"/>
      <c r="B143" s="8"/>
      <c r="C143" s="60">
        <v>3722</v>
      </c>
      <c r="D143" s="60">
        <v>6014</v>
      </c>
      <c r="E143" s="60" t="str">
        <f>+VLOOKUP(C143,'PRECIOS IDU 2025'!$A$1:$E$3189,2,FALSE)</f>
        <v>NIVELACIÓN DE POZO (HASTA RASANTE EN CONCRETO 3000 PSI HECHO EN OBRA, H=0.15M. INCLUYE SUMINISTRO Y CONSTRUCCIÓN)</v>
      </c>
      <c r="F143" s="60" t="str">
        <f>+VLOOKUP(C143,'PRECIOS IDU 2025'!$A$1:$E$3189,3,FALSE)</f>
        <v>UN</v>
      </c>
      <c r="G143" s="108">
        <f t="shared" si="21"/>
        <v>0</v>
      </c>
      <c r="H143" s="69">
        <f>+VLOOKUP(C143,'PRECIOS IDU 2025'!$A$1:$E$3189,4,FALSE)</f>
        <v>135984</v>
      </c>
      <c r="I143" s="69">
        <f t="shared" si="22"/>
        <v>176779</v>
      </c>
      <c r="J143" s="69">
        <f t="shared" si="23"/>
        <v>0</v>
      </c>
      <c r="K143" s="9"/>
      <c r="L143" s="3"/>
      <c r="M143" s="76"/>
      <c r="N143" s="78"/>
      <c r="O143" s="76"/>
      <c r="P143" s="78">
        <f t="shared" si="17"/>
        <v>0</v>
      </c>
      <c r="Q143" s="76"/>
      <c r="R143" s="78"/>
      <c r="S143" s="76"/>
      <c r="T143" s="78"/>
      <c r="U143" s="76"/>
      <c r="V143" s="78"/>
      <c r="W143" s="76"/>
      <c r="X143" s="78"/>
      <c r="Y143" s="76"/>
      <c r="Z143" s="78"/>
      <c r="AA143" s="76"/>
      <c r="AB143" s="78"/>
      <c r="AC143" s="76"/>
      <c r="AD143" s="78"/>
      <c r="AE143" s="76"/>
      <c r="AF143" s="78"/>
      <c r="AG143" s="76"/>
      <c r="AH143" s="78"/>
      <c r="AI143" s="76"/>
      <c r="AJ143" s="78"/>
      <c r="AK143" s="76"/>
      <c r="AL143" s="78"/>
      <c r="AM143" s="76"/>
      <c r="AN143" s="78"/>
      <c r="AO143" s="76"/>
      <c r="AP143" s="78"/>
      <c r="AQ143" s="76"/>
      <c r="AR143" s="78"/>
      <c r="AS143" s="76"/>
      <c r="AT143" s="78"/>
      <c r="AU143" s="76"/>
      <c r="AV143" s="78"/>
      <c r="AW143" s="76"/>
      <c r="AX143" s="78"/>
      <c r="AY143" s="76"/>
      <c r="AZ143" s="78"/>
      <c r="BA143" s="76"/>
      <c r="BB143" s="78"/>
      <c r="BC143" s="76"/>
      <c r="BD143" s="78"/>
      <c r="BE143" s="76"/>
      <c r="BF143" s="78"/>
      <c r="BG143" s="76"/>
      <c r="BH143" s="78"/>
      <c r="BI143" s="76"/>
      <c r="BJ143" s="78"/>
      <c r="BK143" s="76"/>
      <c r="BL143" s="78"/>
      <c r="BM143" s="76"/>
      <c r="BN143" s="78"/>
      <c r="BO143" s="76"/>
      <c r="BP143" s="78"/>
      <c r="BQ143" s="76"/>
      <c r="BR143" s="78"/>
      <c r="BS143" s="76"/>
      <c r="BT143" s="78"/>
      <c r="BU143" s="76"/>
      <c r="BV143" s="78"/>
    </row>
    <row r="144" spans="1:74" ht="30" customHeight="1" x14ac:dyDescent="0.3">
      <c r="A144" s="3"/>
      <c r="B144" s="8"/>
      <c r="C144" s="60">
        <v>3041</v>
      </c>
      <c r="D144" s="60">
        <v>6015</v>
      </c>
      <c r="E144" s="60" t="str">
        <f>+VLOOKUP(C144,'PRECIOS IDU 2025'!$A$1:$E$3189,2,FALSE)</f>
        <v>TUBERIA PVC U.M. EXT CORRUGADO/INT LISO U.M. NORMA NTC 3722-1 D=4" (INCLUYE SUMINISTRO E INSTALACIÓN)</v>
      </c>
      <c r="F144" s="60" t="str">
        <f>+VLOOKUP(C144,'PRECIOS IDU 2025'!$A$1:$E$3189,3,FALSE)</f>
        <v>ML</v>
      </c>
      <c r="G144" s="108">
        <f t="shared" si="21"/>
        <v>0</v>
      </c>
      <c r="H144" s="69">
        <f>+VLOOKUP(C144,'PRECIOS IDU 2025'!$A$1:$E$3189,4,FALSE)</f>
        <v>37349</v>
      </c>
      <c r="I144" s="69">
        <f t="shared" si="22"/>
        <v>48554</v>
      </c>
      <c r="J144" s="69">
        <f t="shared" si="23"/>
        <v>0</v>
      </c>
      <c r="K144" s="9"/>
      <c r="L144" s="3"/>
      <c r="M144" s="76"/>
      <c r="N144" s="78"/>
      <c r="O144" s="76"/>
      <c r="P144" s="78">
        <f t="shared" si="17"/>
        <v>0</v>
      </c>
      <c r="Q144" s="76"/>
      <c r="R144" s="78"/>
      <c r="S144" s="76"/>
      <c r="T144" s="78"/>
      <c r="U144" s="76"/>
      <c r="V144" s="78"/>
      <c r="W144" s="76"/>
      <c r="X144" s="78"/>
      <c r="Y144" s="76"/>
      <c r="Z144" s="78"/>
      <c r="AA144" s="76"/>
      <c r="AB144" s="78"/>
      <c r="AC144" s="76"/>
      <c r="AD144" s="78"/>
      <c r="AE144" s="76"/>
      <c r="AF144" s="78"/>
      <c r="AG144" s="76"/>
      <c r="AH144" s="78"/>
      <c r="AI144" s="76"/>
      <c r="AJ144" s="78"/>
      <c r="AK144" s="76"/>
      <c r="AL144" s="78"/>
      <c r="AM144" s="76"/>
      <c r="AN144" s="78"/>
      <c r="AO144" s="76"/>
      <c r="AP144" s="78"/>
      <c r="AQ144" s="76"/>
      <c r="AR144" s="78"/>
      <c r="AS144" s="76"/>
      <c r="AT144" s="78"/>
      <c r="AU144" s="76"/>
      <c r="AV144" s="78"/>
      <c r="AW144" s="76"/>
      <c r="AX144" s="78"/>
      <c r="AY144" s="76"/>
      <c r="AZ144" s="78"/>
      <c r="BA144" s="76"/>
      <c r="BB144" s="78"/>
      <c r="BC144" s="76"/>
      <c r="BD144" s="78"/>
      <c r="BE144" s="76"/>
      <c r="BF144" s="78"/>
      <c r="BG144" s="76"/>
      <c r="BH144" s="78"/>
      <c r="BI144" s="76"/>
      <c r="BJ144" s="78"/>
      <c r="BK144" s="76"/>
      <c r="BL144" s="78"/>
      <c r="BM144" s="76"/>
      <c r="BN144" s="78"/>
      <c r="BO144" s="76"/>
      <c r="BP144" s="78"/>
      <c r="BQ144" s="76"/>
      <c r="BR144" s="78"/>
      <c r="BS144" s="76"/>
      <c r="BT144" s="78"/>
      <c r="BU144" s="76"/>
      <c r="BV144" s="78"/>
    </row>
    <row r="145" spans="1:74" ht="30" customHeight="1" x14ac:dyDescent="0.3">
      <c r="A145" s="3"/>
      <c r="B145" s="8"/>
      <c r="C145" s="60">
        <v>3042</v>
      </c>
      <c r="D145" s="60">
        <v>6016</v>
      </c>
      <c r="E145" s="60" t="str">
        <f>+VLOOKUP(C145,'PRECIOS IDU 2025'!$A$1:$E$3189,2,FALSE)</f>
        <v>TUBERIA PVC U.M. EXT CORRUGADO/INT LISO U.M. NORMA NTC 3722-1 D=6" (INCLUYE SUMINISTRO E INSTALACIÓN)</v>
      </c>
      <c r="F145" s="60" t="str">
        <f>+VLOOKUP(C145,'PRECIOS IDU 2025'!$A$1:$E$3189,3,FALSE)</f>
        <v>ML</v>
      </c>
      <c r="G145" s="108">
        <f t="shared" si="21"/>
        <v>0</v>
      </c>
      <c r="H145" s="69">
        <f>+VLOOKUP(C145,'PRECIOS IDU 2025'!$A$1:$E$3189,4,FALSE)</f>
        <v>63957</v>
      </c>
      <c r="I145" s="69">
        <f t="shared" si="22"/>
        <v>83144</v>
      </c>
      <c r="J145" s="69">
        <f t="shared" si="23"/>
        <v>0</v>
      </c>
      <c r="K145" s="9"/>
      <c r="L145" s="3"/>
      <c r="M145" s="76"/>
      <c r="N145" s="78"/>
      <c r="O145" s="76"/>
      <c r="P145" s="78">
        <f t="shared" si="17"/>
        <v>0</v>
      </c>
      <c r="Q145" s="76"/>
      <c r="R145" s="78"/>
      <c r="S145" s="76"/>
      <c r="T145" s="78"/>
      <c r="U145" s="76"/>
      <c r="V145" s="78"/>
      <c r="W145" s="76"/>
      <c r="X145" s="78"/>
      <c r="Y145" s="76"/>
      <c r="Z145" s="78"/>
      <c r="AA145" s="76"/>
      <c r="AB145" s="78"/>
      <c r="AC145" s="76"/>
      <c r="AD145" s="78"/>
      <c r="AE145" s="76"/>
      <c r="AF145" s="78"/>
      <c r="AG145" s="76"/>
      <c r="AH145" s="78"/>
      <c r="AI145" s="76"/>
      <c r="AJ145" s="78"/>
      <c r="AK145" s="76"/>
      <c r="AL145" s="78"/>
      <c r="AM145" s="76"/>
      <c r="AN145" s="78"/>
      <c r="AO145" s="76"/>
      <c r="AP145" s="78"/>
      <c r="AQ145" s="76"/>
      <c r="AR145" s="78"/>
      <c r="AS145" s="76"/>
      <c r="AT145" s="78"/>
      <c r="AU145" s="76"/>
      <c r="AV145" s="78"/>
      <c r="AW145" s="76"/>
      <c r="AX145" s="78"/>
      <c r="AY145" s="76"/>
      <c r="AZ145" s="78"/>
      <c r="BA145" s="76"/>
      <c r="BB145" s="78"/>
      <c r="BC145" s="76"/>
      <c r="BD145" s="78"/>
      <c r="BE145" s="76"/>
      <c r="BF145" s="78"/>
      <c r="BG145" s="76"/>
      <c r="BH145" s="78"/>
      <c r="BI145" s="76"/>
      <c r="BJ145" s="78"/>
      <c r="BK145" s="76"/>
      <c r="BL145" s="78"/>
      <c r="BM145" s="76"/>
      <c r="BN145" s="78"/>
      <c r="BO145" s="76"/>
      <c r="BP145" s="78"/>
      <c r="BQ145" s="76"/>
      <c r="BR145" s="78"/>
      <c r="BS145" s="76"/>
      <c r="BT145" s="78"/>
      <c r="BU145" s="76"/>
      <c r="BV145" s="78"/>
    </row>
    <row r="146" spans="1:74" ht="30" customHeight="1" x14ac:dyDescent="0.3">
      <c r="A146" s="3"/>
      <c r="B146" s="8"/>
      <c r="C146" s="60">
        <v>3043</v>
      </c>
      <c r="D146" s="60">
        <v>6017</v>
      </c>
      <c r="E146" s="60" t="str">
        <f>+VLOOKUP(C146,'PRECIOS IDU 2025'!$A$1:$E$3189,2,FALSE)</f>
        <v>TUBERIA PVC U.M. EXT CORRUGADO/INT LISO U.M. NORMA NTC 3722-1 D=8" (INCLUYE SUMINISTRO E INSTALACIÓN)</v>
      </c>
      <c r="F146" s="60" t="str">
        <f>+VLOOKUP(C146,'PRECIOS IDU 2025'!$A$1:$E$3189,3,FALSE)</f>
        <v>ML</v>
      </c>
      <c r="G146" s="108">
        <f t="shared" si="21"/>
        <v>0</v>
      </c>
      <c r="H146" s="69">
        <f>+VLOOKUP(C146,'PRECIOS IDU 2025'!$A$1:$E$3189,4,FALSE)</f>
        <v>88930</v>
      </c>
      <c r="I146" s="69">
        <f t="shared" si="22"/>
        <v>115609</v>
      </c>
      <c r="J146" s="69">
        <f t="shared" si="23"/>
        <v>0</v>
      </c>
      <c r="K146" s="9"/>
      <c r="L146" s="3"/>
      <c r="M146" s="76"/>
      <c r="N146" s="78"/>
      <c r="O146" s="76"/>
      <c r="P146" s="78">
        <f t="shared" si="17"/>
        <v>0</v>
      </c>
      <c r="Q146" s="76"/>
      <c r="R146" s="78"/>
      <c r="S146" s="76"/>
      <c r="T146" s="78"/>
      <c r="U146" s="76"/>
      <c r="V146" s="78"/>
      <c r="W146" s="76"/>
      <c r="X146" s="78"/>
      <c r="Y146" s="76"/>
      <c r="Z146" s="78"/>
      <c r="AA146" s="76"/>
      <c r="AB146" s="78"/>
      <c r="AC146" s="76"/>
      <c r="AD146" s="78"/>
      <c r="AE146" s="76"/>
      <c r="AF146" s="78"/>
      <c r="AG146" s="76"/>
      <c r="AH146" s="78"/>
      <c r="AI146" s="76"/>
      <c r="AJ146" s="78"/>
      <c r="AK146" s="76"/>
      <c r="AL146" s="78"/>
      <c r="AM146" s="76"/>
      <c r="AN146" s="78"/>
      <c r="AO146" s="76"/>
      <c r="AP146" s="78"/>
      <c r="AQ146" s="76"/>
      <c r="AR146" s="78"/>
      <c r="AS146" s="76"/>
      <c r="AT146" s="78"/>
      <c r="AU146" s="76"/>
      <c r="AV146" s="78"/>
      <c r="AW146" s="76"/>
      <c r="AX146" s="78"/>
      <c r="AY146" s="76"/>
      <c r="AZ146" s="78"/>
      <c r="BA146" s="76"/>
      <c r="BB146" s="78"/>
      <c r="BC146" s="76"/>
      <c r="BD146" s="78"/>
      <c r="BE146" s="76"/>
      <c r="BF146" s="78"/>
      <c r="BG146" s="76"/>
      <c r="BH146" s="78"/>
      <c r="BI146" s="76"/>
      <c r="BJ146" s="78"/>
      <c r="BK146" s="76"/>
      <c r="BL146" s="78"/>
      <c r="BM146" s="76"/>
      <c r="BN146" s="78"/>
      <c r="BO146" s="76"/>
      <c r="BP146" s="78"/>
      <c r="BQ146" s="76"/>
      <c r="BR146" s="78"/>
      <c r="BS146" s="76"/>
      <c r="BT146" s="78"/>
      <c r="BU146" s="76"/>
      <c r="BV146" s="78"/>
    </row>
    <row r="147" spans="1:74" ht="30" customHeight="1" x14ac:dyDescent="0.3">
      <c r="A147" s="3"/>
      <c r="B147" s="8"/>
      <c r="C147" s="60">
        <v>3044</v>
      </c>
      <c r="D147" s="60">
        <v>6018</v>
      </c>
      <c r="E147" s="60" t="str">
        <f>+VLOOKUP(C147,'PRECIOS IDU 2025'!$A$1:$E$3189,2,FALSE)</f>
        <v>TUBERIA PVC U.M. EXT CORRUGADO/INT LISO U.M. NORMA NTC 3722-1 D=10" (INCLUYE SUMINISTRO E INSTALACIÓN)</v>
      </c>
      <c r="F147" s="60" t="str">
        <f>+VLOOKUP(C147,'PRECIOS IDU 2025'!$A$1:$E$3189,3,FALSE)</f>
        <v>ML</v>
      </c>
      <c r="G147" s="108">
        <f t="shared" si="21"/>
        <v>0</v>
      </c>
      <c r="H147" s="69">
        <f>+VLOOKUP(C147,'PRECIOS IDU 2025'!$A$1:$E$3189,4,FALSE)</f>
        <v>125950</v>
      </c>
      <c r="I147" s="69">
        <f t="shared" si="22"/>
        <v>163735</v>
      </c>
      <c r="J147" s="69">
        <f t="shared" si="23"/>
        <v>0</v>
      </c>
      <c r="K147" s="9"/>
      <c r="L147" s="3"/>
      <c r="M147" s="76"/>
      <c r="N147" s="78"/>
      <c r="O147" s="76"/>
      <c r="P147" s="78">
        <f t="shared" si="17"/>
        <v>0</v>
      </c>
      <c r="Q147" s="76"/>
      <c r="R147" s="78"/>
      <c r="S147" s="76"/>
      <c r="T147" s="78"/>
      <c r="U147" s="76"/>
      <c r="V147" s="78"/>
      <c r="W147" s="76"/>
      <c r="X147" s="78"/>
      <c r="Y147" s="76"/>
      <c r="Z147" s="78"/>
      <c r="AA147" s="76"/>
      <c r="AB147" s="78"/>
      <c r="AC147" s="76"/>
      <c r="AD147" s="78"/>
      <c r="AE147" s="76"/>
      <c r="AF147" s="78"/>
      <c r="AG147" s="76"/>
      <c r="AH147" s="78"/>
      <c r="AI147" s="76"/>
      <c r="AJ147" s="78"/>
      <c r="AK147" s="76"/>
      <c r="AL147" s="78"/>
      <c r="AM147" s="76"/>
      <c r="AN147" s="78"/>
      <c r="AO147" s="76"/>
      <c r="AP147" s="78"/>
      <c r="AQ147" s="76"/>
      <c r="AR147" s="78"/>
      <c r="AS147" s="76"/>
      <c r="AT147" s="78"/>
      <c r="AU147" s="76"/>
      <c r="AV147" s="78"/>
      <c r="AW147" s="76"/>
      <c r="AX147" s="78"/>
      <c r="AY147" s="76"/>
      <c r="AZ147" s="78"/>
      <c r="BA147" s="76"/>
      <c r="BB147" s="78"/>
      <c r="BC147" s="76"/>
      <c r="BD147" s="78"/>
      <c r="BE147" s="76"/>
      <c r="BF147" s="78"/>
      <c r="BG147" s="76"/>
      <c r="BH147" s="78"/>
      <c r="BI147" s="76"/>
      <c r="BJ147" s="78"/>
      <c r="BK147" s="76"/>
      <c r="BL147" s="78"/>
      <c r="BM147" s="76"/>
      <c r="BN147" s="78"/>
      <c r="BO147" s="76"/>
      <c r="BP147" s="78"/>
      <c r="BQ147" s="76"/>
      <c r="BR147" s="78"/>
      <c r="BS147" s="76"/>
      <c r="BT147" s="78"/>
      <c r="BU147" s="76"/>
      <c r="BV147" s="78"/>
    </row>
    <row r="148" spans="1:74" ht="30" customHeight="1" x14ac:dyDescent="0.3">
      <c r="A148" s="3"/>
      <c r="B148" s="8"/>
      <c r="C148" s="60">
        <v>3045</v>
      </c>
      <c r="D148" s="60">
        <v>6019</v>
      </c>
      <c r="E148" s="60" t="str">
        <f>+VLOOKUP(C148,'PRECIOS IDU 2025'!$A$1:$E$3189,2,FALSE)</f>
        <v>TUBERIA PVC U.M. EXT CORRUGADO/INT LISO U.M. NORMA NTC 3722-1 D=12" (INCLUYE SUMINISTRO E INSTALACIÓN)</v>
      </c>
      <c r="F148" s="60" t="str">
        <f>+VLOOKUP(C148,'PRECIOS IDU 2025'!$A$1:$E$3189,3,FALSE)</f>
        <v>ML</v>
      </c>
      <c r="G148" s="108">
        <f t="shared" si="21"/>
        <v>0</v>
      </c>
      <c r="H148" s="69">
        <f>+VLOOKUP(C148,'PRECIOS IDU 2025'!$A$1:$E$3189,4,FALSE)</f>
        <v>176674</v>
      </c>
      <c r="I148" s="69">
        <f t="shared" si="22"/>
        <v>229676</v>
      </c>
      <c r="J148" s="69">
        <f t="shared" si="23"/>
        <v>0</v>
      </c>
      <c r="K148" s="9"/>
      <c r="L148" s="3"/>
      <c r="M148" s="76"/>
      <c r="N148" s="78"/>
      <c r="O148" s="76"/>
      <c r="P148" s="78">
        <f t="shared" si="17"/>
        <v>0</v>
      </c>
      <c r="Q148" s="76"/>
      <c r="R148" s="78"/>
      <c r="S148" s="76"/>
      <c r="T148" s="78"/>
      <c r="U148" s="76"/>
      <c r="V148" s="78"/>
      <c r="W148" s="76"/>
      <c r="X148" s="78"/>
      <c r="Y148" s="76"/>
      <c r="Z148" s="78"/>
      <c r="AA148" s="76"/>
      <c r="AB148" s="78"/>
      <c r="AC148" s="76"/>
      <c r="AD148" s="78"/>
      <c r="AE148" s="76"/>
      <c r="AF148" s="78"/>
      <c r="AG148" s="76"/>
      <c r="AH148" s="78"/>
      <c r="AI148" s="76"/>
      <c r="AJ148" s="78"/>
      <c r="AK148" s="76"/>
      <c r="AL148" s="78"/>
      <c r="AM148" s="76"/>
      <c r="AN148" s="78"/>
      <c r="AO148" s="76"/>
      <c r="AP148" s="78"/>
      <c r="AQ148" s="76"/>
      <c r="AR148" s="78"/>
      <c r="AS148" s="76"/>
      <c r="AT148" s="78"/>
      <c r="AU148" s="76"/>
      <c r="AV148" s="78"/>
      <c r="AW148" s="76"/>
      <c r="AX148" s="78"/>
      <c r="AY148" s="76"/>
      <c r="AZ148" s="78"/>
      <c r="BA148" s="76"/>
      <c r="BB148" s="78"/>
      <c r="BC148" s="76"/>
      <c r="BD148" s="78"/>
      <c r="BE148" s="76"/>
      <c r="BF148" s="78"/>
      <c r="BG148" s="76"/>
      <c r="BH148" s="78"/>
      <c r="BI148" s="76"/>
      <c r="BJ148" s="78"/>
      <c r="BK148" s="76"/>
      <c r="BL148" s="78"/>
      <c r="BM148" s="76"/>
      <c r="BN148" s="78"/>
      <c r="BO148" s="76"/>
      <c r="BP148" s="78"/>
      <c r="BQ148" s="76"/>
      <c r="BR148" s="78"/>
      <c r="BS148" s="76"/>
      <c r="BT148" s="78"/>
      <c r="BU148" s="76"/>
      <c r="BV148" s="78"/>
    </row>
    <row r="149" spans="1:74" ht="30" customHeight="1" x14ac:dyDescent="0.3">
      <c r="A149" s="3"/>
      <c r="B149" s="8"/>
      <c r="C149" s="60">
        <v>3046</v>
      </c>
      <c r="D149" s="60">
        <v>6020</v>
      </c>
      <c r="E149" s="60" t="str">
        <f>+VLOOKUP(C149,'PRECIOS IDU 2025'!$A$1:$E$3189,2,FALSE)</f>
        <v>TUBERIA PVC U.M. EXT CORRUGADO/INT LISO U.M. NORMA NTC 3722-1 D=16" (INCLUYE SUMINISTRO E INSTALACIÓN)</v>
      </c>
      <c r="F149" s="60" t="str">
        <f>+VLOOKUP(C149,'PRECIOS IDU 2025'!$A$1:$E$3189,3,FALSE)</f>
        <v>ML</v>
      </c>
      <c r="G149" s="108">
        <f t="shared" si="21"/>
        <v>0</v>
      </c>
      <c r="H149" s="69">
        <f>+VLOOKUP(C149,'PRECIOS IDU 2025'!$A$1:$E$3189,4,FALSE)</f>
        <v>314109</v>
      </c>
      <c r="I149" s="69">
        <f t="shared" si="22"/>
        <v>408342</v>
      </c>
      <c r="J149" s="69">
        <f t="shared" si="23"/>
        <v>0</v>
      </c>
      <c r="K149" s="9"/>
      <c r="L149" s="3"/>
      <c r="M149" s="76"/>
      <c r="N149" s="78"/>
      <c r="O149" s="76"/>
      <c r="P149" s="78">
        <f t="shared" si="17"/>
        <v>0</v>
      </c>
      <c r="Q149" s="76"/>
      <c r="R149" s="78"/>
      <c r="S149" s="76"/>
      <c r="T149" s="78"/>
      <c r="U149" s="76"/>
      <c r="V149" s="78"/>
      <c r="W149" s="76"/>
      <c r="X149" s="78"/>
      <c r="Y149" s="76"/>
      <c r="Z149" s="78"/>
      <c r="AA149" s="76"/>
      <c r="AB149" s="78"/>
      <c r="AC149" s="76"/>
      <c r="AD149" s="78"/>
      <c r="AE149" s="76"/>
      <c r="AF149" s="78"/>
      <c r="AG149" s="76"/>
      <c r="AH149" s="78"/>
      <c r="AI149" s="76"/>
      <c r="AJ149" s="78"/>
      <c r="AK149" s="76"/>
      <c r="AL149" s="78"/>
      <c r="AM149" s="76"/>
      <c r="AN149" s="78"/>
      <c r="AO149" s="76"/>
      <c r="AP149" s="78"/>
      <c r="AQ149" s="76"/>
      <c r="AR149" s="78"/>
      <c r="AS149" s="76"/>
      <c r="AT149" s="78"/>
      <c r="AU149" s="76"/>
      <c r="AV149" s="78"/>
      <c r="AW149" s="76"/>
      <c r="AX149" s="78"/>
      <c r="AY149" s="76"/>
      <c r="AZ149" s="78"/>
      <c r="BA149" s="76"/>
      <c r="BB149" s="78"/>
      <c r="BC149" s="76"/>
      <c r="BD149" s="78"/>
      <c r="BE149" s="76"/>
      <c r="BF149" s="78"/>
      <c r="BG149" s="76"/>
      <c r="BH149" s="78"/>
      <c r="BI149" s="76"/>
      <c r="BJ149" s="78"/>
      <c r="BK149" s="76"/>
      <c r="BL149" s="78"/>
      <c r="BM149" s="76"/>
      <c r="BN149" s="78"/>
      <c r="BO149" s="76"/>
      <c r="BP149" s="78"/>
      <c r="BQ149" s="76"/>
      <c r="BR149" s="78"/>
      <c r="BS149" s="76"/>
      <c r="BT149" s="78"/>
      <c r="BU149" s="76"/>
      <c r="BV149" s="78"/>
    </row>
    <row r="150" spans="1:74" ht="30" customHeight="1" x14ac:dyDescent="0.3">
      <c r="A150" s="3"/>
      <c r="B150" s="8"/>
      <c r="C150" s="60">
        <v>3047</v>
      </c>
      <c r="D150" s="60">
        <v>6021</v>
      </c>
      <c r="E150" s="60" t="str">
        <f>+VLOOKUP(C150,'PRECIOS IDU 2025'!$A$1:$E$3189,2,FALSE)</f>
        <v>TUBERIA PVC U.M. EXT CORRUGADO/INT LISO U.M. NORMA NTC 3722-1 D=18" (INCLUYE SUMINISTRO E INSTALACIÓN)</v>
      </c>
      <c r="F150" s="60" t="str">
        <f>+VLOOKUP(C150,'PRECIOS IDU 2025'!$A$1:$E$3189,3,FALSE)</f>
        <v>ML</v>
      </c>
      <c r="G150" s="108">
        <f t="shared" si="21"/>
        <v>0</v>
      </c>
      <c r="H150" s="69">
        <f>+VLOOKUP(C150,'PRECIOS IDU 2025'!$A$1:$E$3189,4,FALSE)</f>
        <v>426915</v>
      </c>
      <c r="I150" s="69">
        <f t="shared" si="22"/>
        <v>554990</v>
      </c>
      <c r="J150" s="69">
        <f t="shared" si="23"/>
        <v>0</v>
      </c>
      <c r="K150" s="9"/>
      <c r="L150" s="3"/>
      <c r="M150" s="76"/>
      <c r="N150" s="78"/>
      <c r="O150" s="76"/>
      <c r="P150" s="78">
        <f t="shared" si="17"/>
        <v>0</v>
      </c>
      <c r="Q150" s="76"/>
      <c r="R150" s="78"/>
      <c r="S150" s="76"/>
      <c r="T150" s="78"/>
      <c r="U150" s="76"/>
      <c r="V150" s="78"/>
      <c r="W150" s="76"/>
      <c r="X150" s="78"/>
      <c r="Y150" s="76"/>
      <c r="Z150" s="78"/>
      <c r="AA150" s="76"/>
      <c r="AB150" s="78"/>
      <c r="AC150" s="76"/>
      <c r="AD150" s="78"/>
      <c r="AE150" s="76"/>
      <c r="AF150" s="78"/>
      <c r="AG150" s="76"/>
      <c r="AH150" s="78"/>
      <c r="AI150" s="76"/>
      <c r="AJ150" s="78"/>
      <c r="AK150" s="76"/>
      <c r="AL150" s="78"/>
      <c r="AM150" s="76"/>
      <c r="AN150" s="78"/>
      <c r="AO150" s="76"/>
      <c r="AP150" s="78"/>
      <c r="AQ150" s="76"/>
      <c r="AR150" s="78"/>
      <c r="AS150" s="76"/>
      <c r="AT150" s="78"/>
      <c r="AU150" s="76"/>
      <c r="AV150" s="78"/>
      <c r="AW150" s="76"/>
      <c r="AX150" s="78"/>
      <c r="AY150" s="76"/>
      <c r="AZ150" s="78"/>
      <c r="BA150" s="76"/>
      <c r="BB150" s="78"/>
      <c r="BC150" s="76"/>
      <c r="BD150" s="78"/>
      <c r="BE150" s="76"/>
      <c r="BF150" s="78"/>
      <c r="BG150" s="76"/>
      <c r="BH150" s="78"/>
      <c r="BI150" s="76"/>
      <c r="BJ150" s="78"/>
      <c r="BK150" s="76"/>
      <c r="BL150" s="78"/>
      <c r="BM150" s="76"/>
      <c r="BN150" s="78"/>
      <c r="BO150" s="76"/>
      <c r="BP150" s="78"/>
      <c r="BQ150" s="76"/>
      <c r="BR150" s="78"/>
      <c r="BS150" s="76"/>
      <c r="BT150" s="78"/>
      <c r="BU150" s="76"/>
      <c r="BV150" s="78"/>
    </row>
    <row r="151" spans="1:74" ht="30" customHeight="1" x14ac:dyDescent="0.3">
      <c r="A151" s="3"/>
      <c r="B151" s="8"/>
      <c r="C151" s="60">
        <v>3048</v>
      </c>
      <c r="D151" s="60">
        <v>6022</v>
      </c>
      <c r="E151" s="60" t="str">
        <f>+VLOOKUP(C151,'PRECIOS IDU 2025'!$A$1:$E$3189,2,FALSE)</f>
        <v>TUBERIA PVC U.M. EXT CORRUGADO/INT LISO U.M. NORMA NTC 3722-1 D=20" (INCLUYE SUMINISTRO E INSTALACIÓN)</v>
      </c>
      <c r="F151" s="60" t="str">
        <f>+VLOOKUP(C151,'PRECIOS IDU 2025'!$A$1:$E$3189,3,FALSE)</f>
        <v>ML</v>
      </c>
      <c r="G151" s="108">
        <f t="shared" si="21"/>
        <v>0</v>
      </c>
      <c r="H151" s="69">
        <f>+VLOOKUP(C151,'PRECIOS IDU 2025'!$A$1:$E$3189,4,FALSE)</f>
        <v>520777</v>
      </c>
      <c r="I151" s="69">
        <f t="shared" si="22"/>
        <v>677010</v>
      </c>
      <c r="J151" s="69">
        <f t="shared" si="23"/>
        <v>0</v>
      </c>
      <c r="K151" s="9"/>
      <c r="L151" s="3"/>
      <c r="M151" s="76"/>
      <c r="N151" s="78"/>
      <c r="O151" s="76"/>
      <c r="P151" s="78">
        <f t="shared" si="17"/>
        <v>0</v>
      </c>
      <c r="Q151" s="76"/>
      <c r="R151" s="78"/>
      <c r="S151" s="76"/>
      <c r="T151" s="78"/>
      <c r="U151" s="76"/>
      <c r="V151" s="78"/>
      <c r="W151" s="76"/>
      <c r="X151" s="78"/>
      <c r="Y151" s="76"/>
      <c r="Z151" s="78"/>
      <c r="AA151" s="76"/>
      <c r="AB151" s="78"/>
      <c r="AC151" s="76"/>
      <c r="AD151" s="78"/>
      <c r="AE151" s="76"/>
      <c r="AF151" s="78"/>
      <c r="AG151" s="76"/>
      <c r="AH151" s="78"/>
      <c r="AI151" s="76"/>
      <c r="AJ151" s="78"/>
      <c r="AK151" s="76"/>
      <c r="AL151" s="78"/>
      <c r="AM151" s="76"/>
      <c r="AN151" s="78"/>
      <c r="AO151" s="76"/>
      <c r="AP151" s="78"/>
      <c r="AQ151" s="76"/>
      <c r="AR151" s="78"/>
      <c r="AS151" s="76"/>
      <c r="AT151" s="78"/>
      <c r="AU151" s="76"/>
      <c r="AV151" s="78"/>
      <c r="AW151" s="76"/>
      <c r="AX151" s="78"/>
      <c r="AY151" s="76"/>
      <c r="AZ151" s="78"/>
      <c r="BA151" s="76"/>
      <c r="BB151" s="78"/>
      <c r="BC151" s="76"/>
      <c r="BD151" s="78"/>
      <c r="BE151" s="76"/>
      <c r="BF151" s="78"/>
      <c r="BG151" s="76"/>
      <c r="BH151" s="78"/>
      <c r="BI151" s="76"/>
      <c r="BJ151" s="78"/>
      <c r="BK151" s="76"/>
      <c r="BL151" s="78"/>
      <c r="BM151" s="76"/>
      <c r="BN151" s="78"/>
      <c r="BO151" s="76"/>
      <c r="BP151" s="78"/>
      <c r="BQ151" s="76"/>
      <c r="BR151" s="78"/>
      <c r="BS151" s="76"/>
      <c r="BT151" s="78"/>
      <c r="BU151" s="76"/>
      <c r="BV151" s="78"/>
    </row>
    <row r="152" spans="1:74" ht="30" customHeight="1" x14ac:dyDescent="0.3">
      <c r="A152" s="3"/>
      <c r="B152" s="8"/>
      <c r="C152" s="60">
        <v>4611</v>
      </c>
      <c r="D152" s="60">
        <v>6023</v>
      </c>
      <c r="E152" s="60" t="str">
        <f>+VLOOKUP(C152,'PRECIOS IDU 2025'!$A$1:$E$3189,2,FALSE)</f>
        <v>CARCAMO PROTECCIÓN DE TUBERÍA Ø 8" (TIPO PLACA) NORMA EAAB NS-090</v>
      </c>
      <c r="F152" s="60" t="str">
        <f>+VLOOKUP(C152,'PRECIOS IDU 2025'!$A$1:$E$3189,3,FALSE)</f>
        <v>ML</v>
      </c>
      <c r="G152" s="108">
        <f t="shared" si="21"/>
        <v>0</v>
      </c>
      <c r="H152" s="69">
        <f>+VLOOKUP(C152,'PRECIOS IDU 2025'!$A$1:$E$3189,4,FALSE)</f>
        <v>235700</v>
      </c>
      <c r="I152" s="69">
        <f t="shared" si="22"/>
        <v>306410</v>
      </c>
      <c r="J152" s="69">
        <f t="shared" si="23"/>
        <v>0</v>
      </c>
      <c r="K152" s="9"/>
      <c r="L152" s="3"/>
      <c r="M152" s="76"/>
      <c r="N152" s="78"/>
      <c r="O152" s="76"/>
      <c r="P152" s="78">
        <f t="shared" si="17"/>
        <v>0</v>
      </c>
      <c r="Q152" s="76"/>
      <c r="R152" s="78"/>
      <c r="S152" s="76"/>
      <c r="T152" s="78"/>
      <c r="U152" s="76"/>
      <c r="V152" s="78"/>
      <c r="W152" s="76"/>
      <c r="X152" s="78"/>
      <c r="Y152" s="76"/>
      <c r="Z152" s="78"/>
      <c r="AA152" s="76"/>
      <c r="AB152" s="78"/>
      <c r="AC152" s="76"/>
      <c r="AD152" s="78"/>
      <c r="AE152" s="76"/>
      <c r="AF152" s="78"/>
      <c r="AG152" s="76"/>
      <c r="AH152" s="78"/>
      <c r="AI152" s="76"/>
      <c r="AJ152" s="78"/>
      <c r="AK152" s="76"/>
      <c r="AL152" s="78"/>
      <c r="AM152" s="76"/>
      <c r="AN152" s="78"/>
      <c r="AO152" s="76"/>
      <c r="AP152" s="78"/>
      <c r="AQ152" s="76"/>
      <c r="AR152" s="78"/>
      <c r="AS152" s="76"/>
      <c r="AT152" s="78"/>
      <c r="AU152" s="76"/>
      <c r="AV152" s="78"/>
      <c r="AW152" s="76"/>
      <c r="AX152" s="78"/>
      <c r="AY152" s="76"/>
      <c r="AZ152" s="78"/>
      <c r="BA152" s="76"/>
      <c r="BB152" s="78"/>
      <c r="BC152" s="76"/>
      <c r="BD152" s="78"/>
      <c r="BE152" s="76"/>
      <c r="BF152" s="78"/>
      <c r="BG152" s="76"/>
      <c r="BH152" s="78"/>
      <c r="BI152" s="76"/>
      <c r="BJ152" s="78"/>
      <c r="BK152" s="76"/>
      <c r="BL152" s="78"/>
      <c r="BM152" s="76"/>
      <c r="BN152" s="78"/>
      <c r="BO152" s="76"/>
      <c r="BP152" s="78"/>
      <c r="BQ152" s="76"/>
      <c r="BR152" s="78"/>
      <c r="BS152" s="76"/>
      <c r="BT152" s="78"/>
      <c r="BU152" s="76"/>
      <c r="BV152" s="78"/>
    </row>
    <row r="153" spans="1:74" ht="30" customHeight="1" x14ac:dyDescent="0.3">
      <c r="A153" s="3"/>
      <c r="B153" s="8"/>
      <c r="C153" s="60">
        <v>4612</v>
      </c>
      <c r="D153" s="60">
        <v>6024</v>
      </c>
      <c r="E153" s="60" t="str">
        <f>+VLOOKUP(C153,'PRECIOS IDU 2025'!$A$1:$E$3189,2,FALSE)</f>
        <v>CARCAMO PROTECCIÓN DE TUBERÍA Ø 10" (TIPO PLACA) NORMA EAAB NS-090</v>
      </c>
      <c r="F153" s="60" t="str">
        <f>+VLOOKUP(C153,'PRECIOS IDU 2025'!$A$1:$E$3189,3,FALSE)</f>
        <v>ML</v>
      </c>
      <c r="G153" s="108">
        <f t="shared" si="21"/>
        <v>0</v>
      </c>
      <c r="H153" s="69">
        <f>+VLOOKUP(C153,'PRECIOS IDU 2025'!$A$1:$E$3189,4,FALSE)</f>
        <v>235700</v>
      </c>
      <c r="I153" s="69">
        <f t="shared" si="22"/>
        <v>306410</v>
      </c>
      <c r="J153" s="69">
        <f t="shared" si="23"/>
        <v>0</v>
      </c>
      <c r="K153" s="9"/>
      <c r="L153" s="3"/>
      <c r="M153" s="76"/>
      <c r="N153" s="78"/>
      <c r="O153" s="76"/>
      <c r="P153" s="78">
        <f t="shared" si="17"/>
        <v>0</v>
      </c>
      <c r="Q153" s="76"/>
      <c r="R153" s="78"/>
      <c r="S153" s="76"/>
      <c r="T153" s="78"/>
      <c r="U153" s="76"/>
      <c r="V153" s="78"/>
      <c r="W153" s="76"/>
      <c r="X153" s="78"/>
      <c r="Y153" s="76"/>
      <c r="Z153" s="78"/>
      <c r="AA153" s="76"/>
      <c r="AB153" s="78"/>
      <c r="AC153" s="76"/>
      <c r="AD153" s="78"/>
      <c r="AE153" s="76"/>
      <c r="AF153" s="78"/>
      <c r="AG153" s="76"/>
      <c r="AH153" s="78"/>
      <c r="AI153" s="76"/>
      <c r="AJ153" s="78"/>
      <c r="AK153" s="76"/>
      <c r="AL153" s="78"/>
      <c r="AM153" s="76"/>
      <c r="AN153" s="78"/>
      <c r="AO153" s="76"/>
      <c r="AP153" s="78"/>
      <c r="AQ153" s="76"/>
      <c r="AR153" s="78"/>
      <c r="AS153" s="76"/>
      <c r="AT153" s="78"/>
      <c r="AU153" s="76"/>
      <c r="AV153" s="78"/>
      <c r="AW153" s="76"/>
      <c r="AX153" s="78"/>
      <c r="AY153" s="76"/>
      <c r="AZ153" s="78"/>
      <c r="BA153" s="76"/>
      <c r="BB153" s="78"/>
      <c r="BC153" s="76"/>
      <c r="BD153" s="78"/>
      <c r="BE153" s="76"/>
      <c r="BF153" s="78"/>
      <c r="BG153" s="76"/>
      <c r="BH153" s="78"/>
      <c r="BI153" s="76"/>
      <c r="BJ153" s="78"/>
      <c r="BK153" s="76"/>
      <c r="BL153" s="78"/>
      <c r="BM153" s="76"/>
      <c r="BN153" s="78"/>
      <c r="BO153" s="76"/>
      <c r="BP153" s="78"/>
      <c r="BQ153" s="76"/>
      <c r="BR153" s="78"/>
      <c r="BS153" s="76"/>
      <c r="BT153" s="78"/>
      <c r="BU153" s="76"/>
      <c r="BV153" s="78"/>
    </row>
    <row r="154" spans="1:74" ht="30" customHeight="1" x14ac:dyDescent="0.3">
      <c r="A154" s="3"/>
      <c r="B154" s="8"/>
      <c r="C154" s="60">
        <v>4614</v>
      </c>
      <c r="D154" s="60">
        <v>6025</v>
      </c>
      <c r="E154" s="60" t="str">
        <f>+VLOOKUP(C154,'PRECIOS IDU 2025'!$A$1:$E$3189,2,FALSE)</f>
        <v>CARCAMO PROTECCIÓN DE TUBERÍA Ø 12" (TIPO PLACA) NORMA EAAB NS-090</v>
      </c>
      <c r="F154" s="60" t="str">
        <f>+VLOOKUP(C154,'PRECIOS IDU 2025'!$A$1:$E$3189,3,FALSE)</f>
        <v>ML</v>
      </c>
      <c r="G154" s="108">
        <f t="shared" si="21"/>
        <v>0</v>
      </c>
      <c r="H154" s="69">
        <f>+VLOOKUP(C154,'PRECIOS IDU 2025'!$A$1:$E$3189,4,FALSE)</f>
        <v>238084</v>
      </c>
      <c r="I154" s="69">
        <f t="shared" si="22"/>
        <v>309509</v>
      </c>
      <c r="J154" s="69">
        <f t="shared" si="23"/>
        <v>0</v>
      </c>
      <c r="K154" s="9"/>
      <c r="L154" s="3"/>
      <c r="M154" s="76"/>
      <c r="N154" s="78"/>
      <c r="O154" s="76"/>
      <c r="P154" s="78">
        <f t="shared" si="17"/>
        <v>0</v>
      </c>
      <c r="Q154" s="76"/>
      <c r="R154" s="78"/>
      <c r="S154" s="76"/>
      <c r="T154" s="78"/>
      <c r="U154" s="76"/>
      <c r="V154" s="78"/>
      <c r="W154" s="76"/>
      <c r="X154" s="78"/>
      <c r="Y154" s="76"/>
      <c r="Z154" s="78"/>
      <c r="AA154" s="76"/>
      <c r="AB154" s="78"/>
      <c r="AC154" s="76"/>
      <c r="AD154" s="78"/>
      <c r="AE154" s="76"/>
      <c r="AF154" s="78"/>
      <c r="AG154" s="76"/>
      <c r="AH154" s="78"/>
      <c r="AI154" s="76"/>
      <c r="AJ154" s="78"/>
      <c r="AK154" s="76"/>
      <c r="AL154" s="78"/>
      <c r="AM154" s="76"/>
      <c r="AN154" s="78"/>
      <c r="AO154" s="76"/>
      <c r="AP154" s="78"/>
      <c r="AQ154" s="76"/>
      <c r="AR154" s="78"/>
      <c r="AS154" s="76"/>
      <c r="AT154" s="78"/>
      <c r="AU154" s="76"/>
      <c r="AV154" s="78"/>
      <c r="AW154" s="76"/>
      <c r="AX154" s="78"/>
      <c r="AY154" s="76"/>
      <c r="AZ154" s="78"/>
      <c r="BA154" s="76"/>
      <c r="BB154" s="78"/>
      <c r="BC154" s="76"/>
      <c r="BD154" s="78"/>
      <c r="BE154" s="76"/>
      <c r="BF154" s="78"/>
      <c r="BG154" s="76"/>
      <c r="BH154" s="78"/>
      <c r="BI154" s="76"/>
      <c r="BJ154" s="78"/>
      <c r="BK154" s="76"/>
      <c r="BL154" s="78"/>
      <c r="BM154" s="76"/>
      <c r="BN154" s="78"/>
      <c r="BO154" s="76"/>
      <c r="BP154" s="78"/>
      <c r="BQ154" s="76"/>
      <c r="BR154" s="78"/>
      <c r="BS154" s="76"/>
      <c r="BT154" s="78"/>
      <c r="BU154" s="76"/>
      <c r="BV154" s="78"/>
    </row>
    <row r="155" spans="1:74" ht="30" customHeight="1" x14ac:dyDescent="0.3">
      <c r="A155" s="3"/>
      <c r="B155" s="8"/>
      <c r="C155" s="60">
        <v>4615</v>
      </c>
      <c r="D155" s="60">
        <v>6026</v>
      </c>
      <c r="E155" s="60" t="str">
        <f>+VLOOKUP(C155,'PRECIOS IDU 2025'!$A$1:$E$3189,2,FALSE)</f>
        <v>CARCAMO PROTECCIÓN DE TUBERÍA Ø 16" (TIPO PLACA) NORMA EAAB NS-090</v>
      </c>
      <c r="F155" s="60" t="str">
        <f>+VLOOKUP(C155,'PRECIOS IDU 2025'!$A$1:$E$3189,3,FALSE)</f>
        <v>ML</v>
      </c>
      <c r="G155" s="108">
        <f t="shared" si="21"/>
        <v>0</v>
      </c>
      <c r="H155" s="69">
        <f>+VLOOKUP(C155,'PRECIOS IDU 2025'!$A$1:$E$3189,4,FALSE)</f>
        <v>298533</v>
      </c>
      <c r="I155" s="69">
        <f t="shared" si="22"/>
        <v>388093</v>
      </c>
      <c r="J155" s="69">
        <f t="shared" si="23"/>
        <v>0</v>
      </c>
      <c r="K155" s="9"/>
      <c r="L155" s="3"/>
      <c r="M155" s="76"/>
      <c r="N155" s="78"/>
      <c r="O155" s="76"/>
      <c r="P155" s="78">
        <f t="shared" si="17"/>
        <v>0</v>
      </c>
      <c r="Q155" s="76"/>
      <c r="R155" s="78"/>
      <c r="S155" s="76"/>
      <c r="T155" s="78"/>
      <c r="U155" s="76"/>
      <c r="V155" s="78"/>
      <c r="W155" s="76"/>
      <c r="X155" s="78"/>
      <c r="Y155" s="76"/>
      <c r="Z155" s="78"/>
      <c r="AA155" s="76"/>
      <c r="AB155" s="78"/>
      <c r="AC155" s="76"/>
      <c r="AD155" s="78"/>
      <c r="AE155" s="76"/>
      <c r="AF155" s="78"/>
      <c r="AG155" s="76"/>
      <c r="AH155" s="78"/>
      <c r="AI155" s="76"/>
      <c r="AJ155" s="78"/>
      <c r="AK155" s="76"/>
      <c r="AL155" s="78"/>
      <c r="AM155" s="76"/>
      <c r="AN155" s="78"/>
      <c r="AO155" s="76"/>
      <c r="AP155" s="78"/>
      <c r="AQ155" s="76"/>
      <c r="AR155" s="78"/>
      <c r="AS155" s="76"/>
      <c r="AT155" s="78"/>
      <c r="AU155" s="76"/>
      <c r="AV155" s="78"/>
      <c r="AW155" s="76"/>
      <c r="AX155" s="78"/>
      <c r="AY155" s="76"/>
      <c r="AZ155" s="78"/>
      <c r="BA155" s="76"/>
      <c r="BB155" s="78"/>
      <c r="BC155" s="76"/>
      <c r="BD155" s="78"/>
      <c r="BE155" s="76"/>
      <c r="BF155" s="78"/>
      <c r="BG155" s="76"/>
      <c r="BH155" s="78"/>
      <c r="BI155" s="76"/>
      <c r="BJ155" s="78"/>
      <c r="BK155" s="76"/>
      <c r="BL155" s="78"/>
      <c r="BM155" s="76"/>
      <c r="BN155" s="78"/>
      <c r="BO155" s="76"/>
      <c r="BP155" s="78"/>
      <c r="BQ155" s="76"/>
      <c r="BR155" s="78"/>
      <c r="BS155" s="76"/>
      <c r="BT155" s="78"/>
      <c r="BU155" s="76"/>
      <c r="BV155" s="78"/>
    </row>
    <row r="156" spans="1:74" ht="30" customHeight="1" x14ac:dyDescent="0.3">
      <c r="A156" s="3"/>
      <c r="B156" s="8"/>
      <c r="C156" s="60">
        <v>4616</v>
      </c>
      <c r="D156" s="60">
        <v>6027</v>
      </c>
      <c r="E156" s="60" t="str">
        <f>+VLOOKUP(C156,'PRECIOS IDU 2025'!$A$1:$E$3189,2,FALSE)</f>
        <v>CARCAMO PROTECCIÓN DE TUBERÍA Ø 18" (TIPO PLACA) NORMA EAAB NS-090</v>
      </c>
      <c r="F156" s="60" t="str">
        <f>+VLOOKUP(C156,'PRECIOS IDU 2025'!$A$1:$E$3189,3,FALSE)</f>
        <v>ML</v>
      </c>
      <c r="G156" s="108">
        <f t="shared" si="21"/>
        <v>0</v>
      </c>
      <c r="H156" s="69">
        <f>+VLOOKUP(C156,'PRECIOS IDU 2025'!$A$1:$E$3189,4,FALSE)</f>
        <v>298533</v>
      </c>
      <c r="I156" s="69">
        <f t="shared" si="22"/>
        <v>388093</v>
      </c>
      <c r="J156" s="69">
        <f t="shared" si="23"/>
        <v>0</v>
      </c>
      <c r="K156" s="9"/>
      <c r="L156" s="3"/>
      <c r="M156" s="76"/>
      <c r="N156" s="78"/>
      <c r="O156" s="76"/>
      <c r="P156" s="78">
        <f t="shared" si="17"/>
        <v>0</v>
      </c>
      <c r="Q156" s="76"/>
      <c r="R156" s="78"/>
      <c r="S156" s="76"/>
      <c r="T156" s="78"/>
      <c r="U156" s="76"/>
      <c r="V156" s="78"/>
      <c r="W156" s="76"/>
      <c r="X156" s="78"/>
      <c r="Y156" s="76"/>
      <c r="Z156" s="78"/>
      <c r="AA156" s="76"/>
      <c r="AB156" s="78"/>
      <c r="AC156" s="76"/>
      <c r="AD156" s="78"/>
      <c r="AE156" s="76"/>
      <c r="AF156" s="78"/>
      <c r="AG156" s="76"/>
      <c r="AH156" s="78"/>
      <c r="AI156" s="76"/>
      <c r="AJ156" s="78"/>
      <c r="AK156" s="76"/>
      <c r="AL156" s="78"/>
      <c r="AM156" s="76"/>
      <c r="AN156" s="78"/>
      <c r="AO156" s="76"/>
      <c r="AP156" s="78"/>
      <c r="AQ156" s="76"/>
      <c r="AR156" s="78"/>
      <c r="AS156" s="76"/>
      <c r="AT156" s="78"/>
      <c r="AU156" s="76"/>
      <c r="AV156" s="78"/>
      <c r="AW156" s="76"/>
      <c r="AX156" s="78"/>
      <c r="AY156" s="76"/>
      <c r="AZ156" s="78"/>
      <c r="BA156" s="76"/>
      <c r="BB156" s="78"/>
      <c r="BC156" s="76"/>
      <c r="BD156" s="78"/>
      <c r="BE156" s="76"/>
      <c r="BF156" s="78"/>
      <c r="BG156" s="76"/>
      <c r="BH156" s="78"/>
      <c r="BI156" s="76"/>
      <c r="BJ156" s="78"/>
      <c r="BK156" s="76"/>
      <c r="BL156" s="78"/>
      <c r="BM156" s="76"/>
      <c r="BN156" s="78"/>
      <c r="BO156" s="76"/>
      <c r="BP156" s="78"/>
      <c r="BQ156" s="76"/>
      <c r="BR156" s="78"/>
      <c r="BS156" s="76"/>
      <c r="BT156" s="78"/>
      <c r="BU156" s="76"/>
      <c r="BV156" s="78"/>
    </row>
    <row r="157" spans="1:74" ht="30" customHeight="1" x14ac:dyDescent="0.3">
      <c r="A157" s="3"/>
      <c r="B157" s="8"/>
      <c r="C157" s="60">
        <v>4617</v>
      </c>
      <c r="D157" s="60">
        <v>6028</v>
      </c>
      <c r="E157" s="60" t="str">
        <f>+VLOOKUP(C157,'PRECIOS IDU 2025'!$A$1:$E$3189,2,FALSE)</f>
        <v>CARCAMO PROTECCIÓN DE TUBERÍA Ø 20" (TIPO PLACA) NORMA EAAB NS-090</v>
      </c>
      <c r="F157" s="60" t="str">
        <f>+VLOOKUP(C157,'PRECIOS IDU 2025'!$A$1:$E$3189,3,FALSE)</f>
        <v>ML</v>
      </c>
      <c r="G157" s="108">
        <f t="shared" si="21"/>
        <v>0</v>
      </c>
      <c r="H157" s="69">
        <f>+VLOOKUP(C157,'PRECIOS IDU 2025'!$A$1:$E$3189,4,FALSE)</f>
        <v>309435</v>
      </c>
      <c r="I157" s="69">
        <f t="shared" si="22"/>
        <v>402266</v>
      </c>
      <c r="J157" s="69">
        <f t="shared" si="23"/>
        <v>0</v>
      </c>
      <c r="K157" s="9"/>
      <c r="L157" s="3"/>
      <c r="M157" s="76"/>
      <c r="N157" s="78"/>
      <c r="O157" s="76"/>
      <c r="P157" s="78">
        <f t="shared" si="17"/>
        <v>0</v>
      </c>
      <c r="Q157" s="76"/>
      <c r="R157" s="78"/>
      <c r="S157" s="76"/>
      <c r="T157" s="78"/>
      <c r="U157" s="76"/>
      <c r="V157" s="78"/>
      <c r="W157" s="76"/>
      <c r="X157" s="78"/>
      <c r="Y157" s="76"/>
      <c r="Z157" s="78"/>
      <c r="AA157" s="76"/>
      <c r="AB157" s="78"/>
      <c r="AC157" s="76"/>
      <c r="AD157" s="78"/>
      <c r="AE157" s="76"/>
      <c r="AF157" s="78"/>
      <c r="AG157" s="76"/>
      <c r="AH157" s="78"/>
      <c r="AI157" s="76"/>
      <c r="AJ157" s="78"/>
      <c r="AK157" s="76"/>
      <c r="AL157" s="78"/>
      <c r="AM157" s="76"/>
      <c r="AN157" s="78"/>
      <c r="AO157" s="76"/>
      <c r="AP157" s="78"/>
      <c r="AQ157" s="76"/>
      <c r="AR157" s="78"/>
      <c r="AS157" s="76"/>
      <c r="AT157" s="78"/>
      <c r="AU157" s="76"/>
      <c r="AV157" s="78"/>
      <c r="AW157" s="76"/>
      <c r="AX157" s="78"/>
      <c r="AY157" s="76"/>
      <c r="AZ157" s="78"/>
      <c r="BA157" s="76"/>
      <c r="BB157" s="78"/>
      <c r="BC157" s="76"/>
      <c r="BD157" s="78"/>
      <c r="BE157" s="76"/>
      <c r="BF157" s="78"/>
      <c r="BG157" s="76"/>
      <c r="BH157" s="78"/>
      <c r="BI157" s="76"/>
      <c r="BJ157" s="78"/>
      <c r="BK157" s="76"/>
      <c r="BL157" s="78"/>
      <c r="BM157" s="76"/>
      <c r="BN157" s="78"/>
      <c r="BO157" s="76"/>
      <c r="BP157" s="78"/>
      <c r="BQ157" s="76"/>
      <c r="BR157" s="78"/>
      <c r="BS157" s="76"/>
      <c r="BT157" s="78"/>
      <c r="BU157" s="76"/>
      <c r="BV157" s="78"/>
    </row>
    <row r="158" spans="1:74" ht="30" customHeight="1" x14ac:dyDescent="0.3">
      <c r="A158" s="3"/>
      <c r="B158" s="8"/>
      <c r="C158" s="60">
        <v>4982</v>
      </c>
      <c r="D158" s="60">
        <v>6029</v>
      </c>
      <c r="E158" s="60" t="str">
        <f>+VLOOKUP(C158,'PRECIOS IDU 2025'!$A$1:$E$3189,2,FALSE)</f>
        <v>ACOMETIDA DOMICILIARIA DE 1/2". SUMINISTRO E INSTALACIÓN. (INCLUYE TUBERIA PF D=1/2", REGISTROS Y ACCESORIOS, LOG. PROM. = 6.50M).</v>
      </c>
      <c r="F158" s="60" t="str">
        <f>+VLOOKUP(C158,'PRECIOS IDU 2025'!$A$1:$E$3189,3,FALSE)</f>
        <v>UN</v>
      </c>
      <c r="G158" s="108">
        <f t="shared" si="21"/>
        <v>0</v>
      </c>
      <c r="H158" s="69">
        <f>+VLOOKUP(C158,'PRECIOS IDU 2025'!$A$1:$E$3189,4,FALSE)</f>
        <v>191968</v>
      </c>
      <c r="I158" s="69">
        <f t="shared" si="22"/>
        <v>249558</v>
      </c>
      <c r="J158" s="69">
        <f t="shared" si="23"/>
        <v>0</v>
      </c>
      <c r="K158" s="9"/>
      <c r="L158" s="3"/>
      <c r="M158" s="76"/>
      <c r="N158" s="78"/>
      <c r="O158" s="76"/>
      <c r="P158" s="78">
        <f t="shared" si="17"/>
        <v>0</v>
      </c>
      <c r="Q158" s="76"/>
      <c r="R158" s="78"/>
      <c r="S158" s="76"/>
      <c r="T158" s="78"/>
      <c r="U158" s="76"/>
      <c r="V158" s="78"/>
      <c r="W158" s="76"/>
      <c r="X158" s="78"/>
      <c r="Y158" s="76"/>
      <c r="Z158" s="78"/>
      <c r="AA158" s="76"/>
      <c r="AB158" s="78"/>
      <c r="AC158" s="76"/>
      <c r="AD158" s="78"/>
      <c r="AE158" s="76"/>
      <c r="AF158" s="78"/>
      <c r="AG158" s="76"/>
      <c r="AH158" s="78"/>
      <c r="AI158" s="76"/>
      <c r="AJ158" s="78"/>
      <c r="AK158" s="76"/>
      <c r="AL158" s="78"/>
      <c r="AM158" s="76"/>
      <c r="AN158" s="78"/>
      <c r="AO158" s="76"/>
      <c r="AP158" s="78"/>
      <c r="AQ158" s="76"/>
      <c r="AR158" s="78"/>
      <c r="AS158" s="76"/>
      <c r="AT158" s="78"/>
      <c r="AU158" s="76"/>
      <c r="AV158" s="78"/>
      <c r="AW158" s="76"/>
      <c r="AX158" s="78"/>
      <c r="AY158" s="76"/>
      <c r="AZ158" s="78"/>
      <c r="BA158" s="76"/>
      <c r="BB158" s="78"/>
      <c r="BC158" s="76"/>
      <c r="BD158" s="78"/>
      <c r="BE158" s="76"/>
      <c r="BF158" s="78"/>
      <c r="BG158" s="76"/>
      <c r="BH158" s="78"/>
      <c r="BI158" s="76"/>
      <c r="BJ158" s="78"/>
      <c r="BK158" s="76"/>
      <c r="BL158" s="78"/>
      <c r="BM158" s="76"/>
      <c r="BN158" s="78"/>
      <c r="BO158" s="76"/>
      <c r="BP158" s="78"/>
      <c r="BQ158" s="76"/>
      <c r="BR158" s="78"/>
      <c r="BS158" s="76"/>
      <c r="BT158" s="78"/>
      <c r="BU158" s="76"/>
      <c r="BV158" s="78"/>
    </row>
    <row r="159" spans="1:74" ht="30" customHeight="1" x14ac:dyDescent="0.3">
      <c r="A159" s="3"/>
      <c r="B159" s="8"/>
      <c r="C159" s="60">
        <v>5015</v>
      </c>
      <c r="D159" s="60">
        <v>6030</v>
      </c>
      <c r="E159" s="60" t="str">
        <f>+VLOOKUP(C159,'PRECIOS IDU 2025'!$A$1:$E$3189,2,FALSE)</f>
        <v>CAJA DE INSPECCION 0.80X0.8M. SUMINISTRO Y CONSTRUCCION. (H=0.6M. INCLUYE MARCO Y TAPA, NO INCLUYE BASE Y CAÑUELA).</v>
      </c>
      <c r="F159" s="60" t="str">
        <f>+VLOOKUP(C159,'PRECIOS IDU 2025'!$A$1:$E$3189,3,FALSE)</f>
        <v>UN</v>
      </c>
      <c r="G159" s="108">
        <f t="shared" si="21"/>
        <v>0</v>
      </c>
      <c r="H159" s="69">
        <f>+VLOOKUP(C159,'PRECIOS IDU 2025'!$A$1:$E$3189,4,FALSE)</f>
        <v>622071</v>
      </c>
      <c r="I159" s="69">
        <f t="shared" si="22"/>
        <v>808692</v>
      </c>
      <c r="J159" s="69">
        <f t="shared" si="23"/>
        <v>0</v>
      </c>
      <c r="K159" s="9"/>
      <c r="L159" s="3"/>
      <c r="M159" s="76"/>
      <c r="N159" s="78"/>
      <c r="O159" s="76"/>
      <c r="P159" s="78">
        <f t="shared" si="17"/>
        <v>0</v>
      </c>
      <c r="Q159" s="76"/>
      <c r="R159" s="78"/>
      <c r="S159" s="76"/>
      <c r="T159" s="78"/>
      <c r="U159" s="76"/>
      <c r="V159" s="78"/>
      <c r="W159" s="76"/>
      <c r="X159" s="78"/>
      <c r="Y159" s="76"/>
      <c r="Z159" s="78"/>
      <c r="AA159" s="76"/>
      <c r="AB159" s="78"/>
      <c r="AC159" s="76"/>
      <c r="AD159" s="78"/>
      <c r="AE159" s="76"/>
      <c r="AF159" s="78"/>
      <c r="AG159" s="76"/>
      <c r="AH159" s="78"/>
      <c r="AI159" s="76"/>
      <c r="AJ159" s="78"/>
      <c r="AK159" s="76"/>
      <c r="AL159" s="78"/>
      <c r="AM159" s="76"/>
      <c r="AN159" s="78"/>
      <c r="AO159" s="76"/>
      <c r="AP159" s="78"/>
      <c r="AQ159" s="76"/>
      <c r="AR159" s="78"/>
      <c r="AS159" s="76"/>
      <c r="AT159" s="78"/>
      <c r="AU159" s="76"/>
      <c r="AV159" s="78"/>
      <c r="AW159" s="76"/>
      <c r="AX159" s="78"/>
      <c r="AY159" s="76"/>
      <c r="AZ159" s="78"/>
      <c r="BA159" s="76"/>
      <c r="BB159" s="78"/>
      <c r="BC159" s="76"/>
      <c r="BD159" s="78"/>
      <c r="BE159" s="76"/>
      <c r="BF159" s="78"/>
      <c r="BG159" s="76"/>
      <c r="BH159" s="78"/>
      <c r="BI159" s="76"/>
      <c r="BJ159" s="78"/>
      <c r="BK159" s="76"/>
      <c r="BL159" s="78"/>
      <c r="BM159" s="76"/>
      <c r="BN159" s="78"/>
      <c r="BO159" s="76"/>
      <c r="BP159" s="78"/>
      <c r="BQ159" s="76"/>
      <c r="BR159" s="78"/>
      <c r="BS159" s="76"/>
      <c r="BT159" s="78"/>
      <c r="BU159" s="76"/>
      <c r="BV159" s="78"/>
    </row>
    <row r="160" spans="1:74" ht="30" customHeight="1" x14ac:dyDescent="0.3">
      <c r="A160" s="3"/>
      <c r="B160" s="8"/>
      <c r="C160" s="60">
        <v>7830</v>
      </c>
      <c r="D160" s="60">
        <v>6031</v>
      </c>
      <c r="E160" s="60" t="e">
        <f>+VLOOKUP(C160,'PRECIOS IDU 2025'!$A$1:$E$3189,2,FALSE)</f>
        <v>#N/A</v>
      </c>
      <c r="F160" s="60" t="e">
        <f>+VLOOKUP(C160,'PRECIOS IDU 2025'!$A$1:$E$3189,3,FALSE)</f>
        <v>#N/A</v>
      </c>
      <c r="G160" s="108">
        <f t="shared" si="21"/>
        <v>0</v>
      </c>
      <c r="H160" s="69" t="e">
        <f>+VLOOKUP(C160,'PRECIOS IDU 2025'!$A$1:$E$3189,4,FALSE)</f>
        <v>#N/A</v>
      </c>
      <c r="I160" s="69" t="e">
        <f t="shared" si="22"/>
        <v>#N/A</v>
      </c>
      <c r="J160" s="69" t="e">
        <f t="shared" si="23"/>
        <v>#N/A</v>
      </c>
      <c r="K160" s="9"/>
      <c r="L160" s="3"/>
      <c r="M160" s="76"/>
      <c r="N160" s="78"/>
      <c r="O160" s="76"/>
      <c r="P160" s="78" t="e">
        <f t="shared" si="17"/>
        <v>#N/A</v>
      </c>
      <c r="Q160" s="76"/>
      <c r="R160" s="78"/>
      <c r="S160" s="76"/>
      <c r="T160" s="78"/>
      <c r="U160" s="76"/>
      <c r="V160" s="78"/>
      <c r="W160" s="76"/>
      <c r="X160" s="78"/>
      <c r="Y160" s="76"/>
      <c r="Z160" s="78"/>
      <c r="AA160" s="76"/>
      <c r="AB160" s="78"/>
      <c r="AC160" s="76"/>
      <c r="AD160" s="78"/>
      <c r="AE160" s="76"/>
      <c r="AF160" s="78"/>
      <c r="AG160" s="76"/>
      <c r="AH160" s="78"/>
      <c r="AI160" s="76"/>
      <c r="AJ160" s="78"/>
      <c r="AK160" s="76"/>
      <c r="AL160" s="78"/>
      <c r="AM160" s="76"/>
      <c r="AN160" s="78"/>
      <c r="AO160" s="76"/>
      <c r="AP160" s="78"/>
      <c r="AQ160" s="76"/>
      <c r="AR160" s="78"/>
      <c r="AS160" s="76"/>
      <c r="AT160" s="78"/>
      <c r="AU160" s="76"/>
      <c r="AV160" s="78"/>
      <c r="AW160" s="76"/>
      <c r="AX160" s="78"/>
      <c r="AY160" s="76"/>
      <c r="AZ160" s="78"/>
      <c r="BA160" s="76"/>
      <c r="BB160" s="78"/>
      <c r="BC160" s="76"/>
      <c r="BD160" s="78"/>
      <c r="BE160" s="76"/>
      <c r="BF160" s="78"/>
      <c r="BG160" s="76"/>
      <c r="BH160" s="78"/>
      <c r="BI160" s="76"/>
      <c r="BJ160" s="78"/>
      <c r="BK160" s="76"/>
      <c r="BL160" s="78"/>
      <c r="BM160" s="76"/>
      <c r="BN160" s="78"/>
      <c r="BO160" s="76"/>
      <c r="BP160" s="78"/>
      <c r="BQ160" s="76"/>
      <c r="BR160" s="78"/>
      <c r="BS160" s="76"/>
      <c r="BT160" s="78"/>
      <c r="BU160" s="76"/>
      <c r="BV160" s="78"/>
    </row>
    <row r="161" spans="1:74" ht="30" customHeight="1" x14ac:dyDescent="0.3">
      <c r="A161" s="3"/>
      <c r="B161" s="8"/>
      <c r="C161" s="60">
        <v>7831</v>
      </c>
      <c r="D161" s="60">
        <v>6032</v>
      </c>
      <c r="E161" s="60" t="e">
        <f>+VLOOKUP(C161,'PRECIOS IDU 2025'!$A$1:$E$3189,2,FALSE)</f>
        <v>#N/A</v>
      </c>
      <c r="F161" s="60" t="e">
        <f>+VLOOKUP(C161,'PRECIOS IDU 2025'!$A$1:$E$3189,3,FALSE)</f>
        <v>#N/A</v>
      </c>
      <c r="G161" s="108">
        <f t="shared" si="21"/>
        <v>0</v>
      </c>
      <c r="H161" s="69" t="e">
        <f>+VLOOKUP(C161,'PRECIOS IDU 2025'!$A$1:$E$3189,4,FALSE)</f>
        <v>#N/A</v>
      </c>
      <c r="I161" s="69" t="e">
        <f t="shared" si="22"/>
        <v>#N/A</v>
      </c>
      <c r="J161" s="69" t="e">
        <f t="shared" si="23"/>
        <v>#N/A</v>
      </c>
      <c r="K161" s="9"/>
      <c r="L161" s="3"/>
      <c r="M161" s="76"/>
      <c r="N161" s="78"/>
      <c r="O161" s="76"/>
      <c r="P161" s="78" t="e">
        <f t="shared" si="17"/>
        <v>#N/A</v>
      </c>
      <c r="Q161" s="76"/>
      <c r="R161" s="78"/>
      <c r="S161" s="76"/>
      <c r="T161" s="78"/>
      <c r="U161" s="76"/>
      <c r="V161" s="78"/>
      <c r="W161" s="76"/>
      <c r="X161" s="78"/>
      <c r="Y161" s="76"/>
      <c r="Z161" s="78"/>
      <c r="AA161" s="76"/>
      <c r="AB161" s="78"/>
      <c r="AC161" s="76"/>
      <c r="AD161" s="78"/>
      <c r="AE161" s="76"/>
      <c r="AF161" s="78"/>
      <c r="AG161" s="76"/>
      <c r="AH161" s="78"/>
      <c r="AI161" s="76"/>
      <c r="AJ161" s="78"/>
      <c r="AK161" s="76"/>
      <c r="AL161" s="78"/>
      <c r="AM161" s="76"/>
      <c r="AN161" s="78"/>
      <c r="AO161" s="76"/>
      <c r="AP161" s="78"/>
      <c r="AQ161" s="76"/>
      <c r="AR161" s="78"/>
      <c r="AS161" s="76"/>
      <c r="AT161" s="78"/>
      <c r="AU161" s="76"/>
      <c r="AV161" s="78"/>
      <c r="AW161" s="76"/>
      <c r="AX161" s="78"/>
      <c r="AY161" s="76"/>
      <c r="AZ161" s="78"/>
      <c r="BA161" s="76"/>
      <c r="BB161" s="78"/>
      <c r="BC161" s="76"/>
      <c r="BD161" s="78"/>
      <c r="BE161" s="76"/>
      <c r="BF161" s="78"/>
      <c r="BG161" s="76"/>
      <c r="BH161" s="78"/>
      <c r="BI161" s="76"/>
      <c r="BJ161" s="78"/>
      <c r="BK161" s="76"/>
      <c r="BL161" s="78"/>
      <c r="BM161" s="76"/>
      <c r="BN161" s="78"/>
      <c r="BO161" s="76"/>
      <c r="BP161" s="78"/>
      <c r="BQ161" s="76"/>
      <c r="BR161" s="78"/>
      <c r="BS161" s="76"/>
      <c r="BT161" s="78"/>
      <c r="BU161" s="76"/>
      <c r="BV161" s="78"/>
    </row>
    <row r="162" spans="1:74" ht="30" customHeight="1" x14ac:dyDescent="0.3">
      <c r="A162" s="3"/>
      <c r="B162" s="8"/>
      <c r="C162" s="60">
        <v>8970</v>
      </c>
      <c r="D162" s="60">
        <v>6033</v>
      </c>
      <c r="E162" s="60" t="str">
        <f>+VLOOKUP(C162,'PRECIOS IDU 2025'!$A$1:$E$3189,2,FALSE)</f>
        <v>CAJILLA PLASTICA Y TAPA EN POLIPROPILENO PARA MEDIDOR. SUMINISTRO E INSTALACION</v>
      </c>
      <c r="F162" s="60" t="str">
        <f>+VLOOKUP(C162,'PRECIOS IDU 2025'!$A$1:$E$3189,3,FALSE)</f>
        <v>UN</v>
      </c>
      <c r="G162" s="108">
        <f t="shared" si="21"/>
        <v>0</v>
      </c>
      <c r="H162" s="69">
        <f>+VLOOKUP(C162,'PRECIOS IDU 2025'!$A$1:$E$3189,4,FALSE)</f>
        <v>407062</v>
      </c>
      <c r="I162" s="69">
        <f t="shared" si="22"/>
        <v>529181</v>
      </c>
      <c r="J162" s="69">
        <f t="shared" si="23"/>
        <v>0</v>
      </c>
      <c r="K162" s="9"/>
      <c r="L162" s="3"/>
      <c r="M162" s="76"/>
      <c r="N162" s="78"/>
      <c r="O162" s="76"/>
      <c r="P162" s="78">
        <f t="shared" si="17"/>
        <v>0</v>
      </c>
      <c r="Q162" s="76"/>
      <c r="R162" s="78"/>
      <c r="S162" s="76"/>
      <c r="T162" s="78"/>
      <c r="U162" s="76"/>
      <c r="V162" s="78"/>
      <c r="W162" s="76"/>
      <c r="X162" s="78"/>
      <c r="Y162" s="76"/>
      <c r="Z162" s="78"/>
      <c r="AA162" s="76"/>
      <c r="AB162" s="78"/>
      <c r="AC162" s="76"/>
      <c r="AD162" s="78"/>
      <c r="AE162" s="76"/>
      <c r="AF162" s="78"/>
      <c r="AG162" s="76"/>
      <c r="AH162" s="78"/>
      <c r="AI162" s="76"/>
      <c r="AJ162" s="78"/>
      <c r="AK162" s="76"/>
      <c r="AL162" s="78"/>
      <c r="AM162" s="76"/>
      <c r="AN162" s="78"/>
      <c r="AO162" s="76"/>
      <c r="AP162" s="78"/>
      <c r="AQ162" s="76"/>
      <c r="AR162" s="78"/>
      <c r="AS162" s="76"/>
      <c r="AT162" s="78"/>
      <c r="AU162" s="76"/>
      <c r="AV162" s="78"/>
      <c r="AW162" s="76"/>
      <c r="AX162" s="78"/>
      <c r="AY162" s="76"/>
      <c r="AZ162" s="78"/>
      <c r="BA162" s="76"/>
      <c r="BB162" s="78"/>
      <c r="BC162" s="76"/>
      <c r="BD162" s="78"/>
      <c r="BE162" s="76"/>
      <c r="BF162" s="78"/>
      <c r="BG162" s="76"/>
      <c r="BH162" s="78"/>
      <c r="BI162" s="76"/>
      <c r="BJ162" s="78"/>
      <c r="BK162" s="76"/>
      <c r="BL162" s="78"/>
      <c r="BM162" s="76"/>
      <c r="BN162" s="78"/>
      <c r="BO162" s="76"/>
      <c r="BP162" s="78"/>
      <c r="BQ162" s="76"/>
      <c r="BR162" s="78"/>
      <c r="BS162" s="76"/>
      <c r="BT162" s="78"/>
      <c r="BU162" s="76"/>
      <c r="BV162" s="78"/>
    </row>
    <row r="163" spans="1:74" ht="30" customHeight="1" x14ac:dyDescent="0.3">
      <c r="A163" s="3"/>
      <c r="B163" s="8"/>
      <c r="C163" s="60">
        <v>4558</v>
      </c>
      <c r="D163" s="60">
        <v>6034</v>
      </c>
      <c r="E163" s="60" t="str">
        <f>+VLOOKUP(C163,'PRECIOS IDU 2025'!$A$1:$E$3189,2,FALSE)</f>
        <v>SUMIDERO ALCANTARILLADO PLUVIAL EN VIA NS-047-1V4 EAAB</v>
      </c>
      <c r="F163" s="60" t="str">
        <f>+VLOOKUP(C163,'PRECIOS IDU 2025'!$A$1:$E$3189,3,FALSE)</f>
        <v>UN</v>
      </c>
      <c r="G163" s="108">
        <f t="shared" si="21"/>
        <v>0</v>
      </c>
      <c r="H163" s="69">
        <f>+VLOOKUP(C163,'PRECIOS IDU 2025'!$A$1:$E$3189,4,FALSE)</f>
        <v>7624362</v>
      </c>
      <c r="I163" s="69">
        <f t="shared" si="22"/>
        <v>9911671</v>
      </c>
      <c r="J163" s="69">
        <f t="shared" si="23"/>
        <v>0</v>
      </c>
      <c r="K163" s="9"/>
      <c r="L163" s="3"/>
      <c r="M163" s="76"/>
      <c r="N163" s="78"/>
      <c r="O163" s="76"/>
      <c r="P163" s="78">
        <f t="shared" si="17"/>
        <v>0</v>
      </c>
      <c r="Q163" s="76"/>
      <c r="R163" s="78"/>
      <c r="S163" s="76"/>
      <c r="T163" s="78"/>
      <c r="U163" s="76"/>
      <c r="V163" s="78"/>
      <c r="W163" s="76"/>
      <c r="X163" s="78"/>
      <c r="Y163" s="76"/>
      <c r="Z163" s="78"/>
      <c r="AA163" s="76"/>
      <c r="AB163" s="78"/>
      <c r="AC163" s="76"/>
      <c r="AD163" s="78"/>
      <c r="AE163" s="76"/>
      <c r="AF163" s="78"/>
      <c r="AG163" s="76"/>
      <c r="AH163" s="78"/>
      <c r="AI163" s="76"/>
      <c r="AJ163" s="78"/>
      <c r="AK163" s="76"/>
      <c r="AL163" s="78"/>
      <c r="AM163" s="76"/>
      <c r="AN163" s="78"/>
      <c r="AO163" s="76"/>
      <c r="AP163" s="78"/>
      <c r="AQ163" s="76"/>
      <c r="AR163" s="78"/>
      <c r="AS163" s="76"/>
      <c r="AT163" s="78"/>
      <c r="AU163" s="76"/>
      <c r="AV163" s="78"/>
      <c r="AW163" s="76"/>
      <c r="AX163" s="78"/>
      <c r="AY163" s="76"/>
      <c r="AZ163" s="78"/>
      <c r="BA163" s="76"/>
      <c r="BB163" s="78"/>
      <c r="BC163" s="76"/>
      <c r="BD163" s="78"/>
      <c r="BE163" s="76"/>
      <c r="BF163" s="78"/>
      <c r="BG163" s="76"/>
      <c r="BH163" s="78"/>
      <c r="BI163" s="76"/>
      <c r="BJ163" s="78"/>
      <c r="BK163" s="76"/>
      <c r="BL163" s="78"/>
      <c r="BM163" s="76"/>
      <c r="BN163" s="78"/>
      <c r="BO163" s="76"/>
      <c r="BP163" s="78"/>
      <c r="BQ163" s="76"/>
      <c r="BR163" s="78"/>
      <c r="BS163" s="76"/>
      <c r="BT163" s="78"/>
      <c r="BU163" s="76"/>
      <c r="BV163" s="78"/>
    </row>
    <row r="164" spans="1:74" ht="30" customHeight="1" x14ac:dyDescent="0.3">
      <c r="A164" s="3"/>
      <c r="B164" s="8"/>
      <c r="C164" s="66" t="s">
        <v>6082</v>
      </c>
      <c r="D164" s="67"/>
      <c r="E164" s="67"/>
      <c r="F164" s="67"/>
      <c r="G164" s="67"/>
      <c r="H164" s="67"/>
      <c r="I164" s="67"/>
      <c r="J164" s="68"/>
      <c r="K164" s="9"/>
      <c r="L164" s="3"/>
      <c r="M164" s="76"/>
      <c r="N164" s="78"/>
      <c r="O164" s="76"/>
      <c r="P164" s="78">
        <f t="shared" si="17"/>
        <v>0</v>
      </c>
      <c r="Q164" s="76"/>
      <c r="R164" s="78"/>
      <c r="S164" s="76"/>
      <c r="T164" s="78"/>
      <c r="U164" s="76"/>
      <c r="V164" s="78"/>
      <c r="W164" s="76"/>
      <c r="X164" s="78"/>
      <c r="Y164" s="76"/>
      <c r="Z164" s="78"/>
      <c r="AA164" s="76"/>
      <c r="AB164" s="78"/>
      <c r="AC164" s="76"/>
      <c r="AD164" s="78"/>
      <c r="AE164" s="76"/>
      <c r="AF164" s="78"/>
      <c r="AG164" s="76"/>
      <c r="AH164" s="78"/>
      <c r="AI164" s="76"/>
      <c r="AJ164" s="78"/>
      <c r="AK164" s="76"/>
      <c r="AL164" s="78"/>
      <c r="AM164" s="76"/>
      <c r="AN164" s="78"/>
      <c r="AO164" s="76"/>
      <c r="AP164" s="78"/>
      <c r="AQ164" s="76"/>
      <c r="AR164" s="78"/>
      <c r="AS164" s="76"/>
      <c r="AT164" s="78"/>
      <c r="AU164" s="76"/>
      <c r="AV164" s="78"/>
      <c r="AW164" s="76"/>
      <c r="AX164" s="78"/>
      <c r="AY164" s="76"/>
      <c r="AZ164" s="78"/>
      <c r="BA164" s="76"/>
      <c r="BB164" s="78"/>
      <c r="BC164" s="76"/>
      <c r="BD164" s="78"/>
      <c r="BE164" s="76"/>
      <c r="BF164" s="78"/>
      <c r="BG164" s="76"/>
      <c r="BH164" s="78"/>
      <c r="BI164" s="76"/>
      <c r="BJ164" s="78"/>
      <c r="BK164" s="76"/>
      <c r="BL164" s="78"/>
      <c r="BM164" s="76"/>
      <c r="BN164" s="78"/>
      <c r="BO164" s="76"/>
      <c r="BP164" s="78"/>
      <c r="BQ164" s="76"/>
      <c r="BR164" s="78"/>
      <c r="BS164" s="76"/>
      <c r="BT164" s="78"/>
      <c r="BU164" s="76"/>
      <c r="BV164" s="78"/>
    </row>
    <row r="165" spans="1:74" ht="30" customHeight="1" x14ac:dyDescent="0.3">
      <c r="A165" s="3"/>
      <c r="B165" s="8"/>
      <c r="C165" s="60">
        <v>4240</v>
      </c>
      <c r="D165" s="60">
        <v>7001</v>
      </c>
      <c r="E165" s="60" t="str">
        <f>+VLOOKUP(C165,'PRECIOS IDU 2025'!$A$1:$E$3189,2,FALSE)</f>
        <v>DEMARCACION LINEA CONTINUA A=0.12M (E=2.3MM,TERMOPLÁSTICA. INC. SUMINISTRO Y APLICACIÓN CON EQUIPO. INCL. MICROESFERAS)</v>
      </c>
      <c r="F165" s="60" t="str">
        <f>+VLOOKUP(C165,'PRECIOS IDU 2025'!$A$1:$E$3189,3,FALSE)</f>
        <v>ML</v>
      </c>
      <c r="G165" s="108">
        <f t="shared" ref="G165:G179" si="24">+ROUND(M165+O165+Q165+S165+U165+W165+Y165+AA165+AC165+AE165+AG165+AI165+AK165+AM165+AO165+AQ165+AS165+AU165+AW165+AY165+BA165+BC165+BE165+BG165+BI165+BK165+BM165+BO165+BQ165+BS165+BU165,2)</f>
        <v>134.56</v>
      </c>
      <c r="H165" s="69">
        <f>+VLOOKUP(C165,'PRECIOS IDU 2025'!$A$1:$E$3189,4,FALSE)</f>
        <v>18177</v>
      </c>
      <c r="I165" s="69">
        <f t="shared" ref="I165:I179" si="25">+ROUND(H165*(1+$J$192),0)</f>
        <v>23630</v>
      </c>
      <c r="J165" s="69">
        <f t="shared" ref="J165:J179" si="26">+ROUND(I165*G165,0)</f>
        <v>3179653</v>
      </c>
      <c r="K165" s="9"/>
      <c r="L165" s="3"/>
      <c r="M165" s="76"/>
      <c r="N165" s="78"/>
      <c r="O165" s="76">
        <v>134.56</v>
      </c>
      <c r="P165" s="78">
        <f t="shared" ref="P165:P179" si="27">+ROUND(O165*$I165,0)</f>
        <v>3179653</v>
      </c>
      <c r="Q165" s="76"/>
      <c r="R165" s="78"/>
      <c r="S165" s="76"/>
      <c r="T165" s="78"/>
      <c r="U165" s="76"/>
      <c r="V165" s="78"/>
      <c r="W165" s="76"/>
      <c r="X165" s="78"/>
      <c r="Y165" s="76"/>
      <c r="Z165" s="78"/>
      <c r="AA165" s="76"/>
      <c r="AB165" s="78"/>
      <c r="AC165" s="76"/>
      <c r="AD165" s="78"/>
      <c r="AE165" s="76"/>
      <c r="AF165" s="78"/>
      <c r="AG165" s="76"/>
      <c r="AH165" s="78"/>
      <c r="AI165" s="76"/>
      <c r="AJ165" s="78"/>
      <c r="AK165" s="76"/>
      <c r="AL165" s="78"/>
      <c r="AM165" s="76"/>
      <c r="AN165" s="78"/>
      <c r="AO165" s="76"/>
      <c r="AP165" s="78"/>
      <c r="AQ165" s="76"/>
      <c r="AR165" s="78"/>
      <c r="AS165" s="76"/>
      <c r="AT165" s="78"/>
      <c r="AU165" s="76"/>
      <c r="AV165" s="78"/>
      <c r="AW165" s="76"/>
      <c r="AX165" s="78"/>
      <c r="AY165" s="76"/>
      <c r="AZ165" s="78"/>
      <c r="BA165" s="76"/>
      <c r="BB165" s="78"/>
      <c r="BC165" s="76"/>
      <c r="BD165" s="78"/>
      <c r="BE165" s="76"/>
      <c r="BF165" s="78"/>
      <c r="BG165" s="76"/>
      <c r="BH165" s="78"/>
      <c r="BI165" s="76"/>
      <c r="BJ165" s="78"/>
      <c r="BK165" s="76"/>
      <c r="BL165" s="78"/>
      <c r="BM165" s="76"/>
      <c r="BN165" s="78"/>
      <c r="BO165" s="76"/>
      <c r="BP165" s="78"/>
      <c r="BQ165" s="76"/>
      <c r="BR165" s="78"/>
      <c r="BS165" s="76"/>
      <c r="BT165" s="78"/>
      <c r="BU165" s="76"/>
      <c r="BV165" s="78"/>
    </row>
    <row r="166" spans="1:74" ht="30" customHeight="1" x14ac:dyDescent="0.3">
      <c r="A166" s="3"/>
      <c r="B166" s="8"/>
      <c r="C166" s="60">
        <v>4246</v>
      </c>
      <c r="D166" s="60">
        <v>7002</v>
      </c>
      <c r="E166" s="60" t="str">
        <f>+VLOOKUP(C166,'PRECIOS IDU 2025'!$A$1:$E$3189,2,FALSE)</f>
        <v>FLECHA DIRECCIONAL "DE FRENTE" (E=2.3MM,TERMOPLÁSTICA. INC. SUMINISTRO Y APLICACIÓN CON EQUIPO. INC MICROESFERAS). MARCA VIAL PARA VELOCIDADES MENORES O IGUALES A 60 KM/H AREA DE LA MARCA: 1.20 M2.</v>
      </c>
      <c r="F166" s="60" t="str">
        <f>+VLOOKUP(C166,'PRECIOS IDU 2025'!$A$1:$E$3189,3,FALSE)</f>
        <v>UN</v>
      </c>
      <c r="G166" s="108">
        <f t="shared" si="24"/>
        <v>1</v>
      </c>
      <c r="H166" s="69">
        <f>+VLOOKUP(C166,'PRECIOS IDU 2025'!$A$1:$E$3189,4,FALSE)</f>
        <v>181765</v>
      </c>
      <c r="I166" s="69">
        <f t="shared" si="25"/>
        <v>236295</v>
      </c>
      <c r="J166" s="69">
        <f t="shared" si="26"/>
        <v>236295</v>
      </c>
      <c r="K166" s="9"/>
      <c r="L166" s="3"/>
      <c r="M166" s="76"/>
      <c r="N166" s="78"/>
      <c r="O166" s="76">
        <v>1</v>
      </c>
      <c r="P166" s="78">
        <f t="shared" si="27"/>
        <v>236295</v>
      </c>
      <c r="Q166" s="76"/>
      <c r="R166" s="78"/>
      <c r="S166" s="76"/>
      <c r="T166" s="78"/>
      <c r="U166" s="76"/>
      <c r="V166" s="78"/>
      <c r="W166" s="76"/>
      <c r="X166" s="78"/>
      <c r="Y166" s="76"/>
      <c r="Z166" s="78"/>
      <c r="AA166" s="76"/>
      <c r="AB166" s="78"/>
      <c r="AC166" s="76"/>
      <c r="AD166" s="78"/>
      <c r="AE166" s="76"/>
      <c r="AF166" s="78"/>
      <c r="AG166" s="76"/>
      <c r="AH166" s="78"/>
      <c r="AI166" s="76"/>
      <c r="AJ166" s="78"/>
      <c r="AK166" s="76"/>
      <c r="AL166" s="78"/>
      <c r="AM166" s="76"/>
      <c r="AN166" s="78"/>
      <c r="AO166" s="76"/>
      <c r="AP166" s="78"/>
      <c r="AQ166" s="76"/>
      <c r="AR166" s="78"/>
      <c r="AS166" s="76"/>
      <c r="AT166" s="78"/>
      <c r="AU166" s="76"/>
      <c r="AV166" s="78"/>
      <c r="AW166" s="76"/>
      <c r="AX166" s="78"/>
      <c r="AY166" s="76"/>
      <c r="AZ166" s="78"/>
      <c r="BA166" s="76"/>
      <c r="BB166" s="78"/>
      <c r="BC166" s="76"/>
      <c r="BD166" s="78"/>
      <c r="BE166" s="76"/>
      <c r="BF166" s="78"/>
      <c r="BG166" s="76"/>
      <c r="BH166" s="78"/>
      <c r="BI166" s="76"/>
      <c r="BJ166" s="78"/>
      <c r="BK166" s="76"/>
      <c r="BL166" s="78"/>
      <c r="BM166" s="76"/>
      <c r="BN166" s="78"/>
      <c r="BO166" s="76"/>
      <c r="BP166" s="78"/>
      <c r="BQ166" s="76"/>
      <c r="BR166" s="78"/>
      <c r="BS166" s="76"/>
      <c r="BT166" s="78"/>
      <c r="BU166" s="76"/>
      <c r="BV166" s="78"/>
    </row>
    <row r="167" spans="1:74" ht="30" customHeight="1" x14ac:dyDescent="0.3">
      <c r="A167" s="3"/>
      <c r="B167" s="8"/>
      <c r="C167" s="60">
        <v>4248</v>
      </c>
      <c r="D167" s="60">
        <v>7003</v>
      </c>
      <c r="E167" s="60" t="str">
        <f>+VLOOKUP(C167,'PRECIOS IDU 2025'!$A$1:$E$3189,2,FALSE)</f>
        <v>DEMARCACION PASO PEATONAL-CEBRA (E=2.3MM,TERMOPLÁSTICA. INC. SUMINISTRO Y APLICACIÓN CON EQUIPO. INC MICROESFERAS)</v>
      </c>
      <c r="F167" s="60" t="str">
        <f>+VLOOKUP(C167,'PRECIOS IDU 2025'!$A$1:$E$3189,3,FALSE)</f>
        <v>M2</v>
      </c>
      <c r="G167" s="108">
        <f t="shared" si="24"/>
        <v>16.649999999999999</v>
      </c>
      <c r="H167" s="69">
        <f>+VLOOKUP(C167,'PRECIOS IDU 2025'!$A$1:$E$3189,4,FALSE)</f>
        <v>151470</v>
      </c>
      <c r="I167" s="69">
        <f t="shared" si="25"/>
        <v>196911</v>
      </c>
      <c r="J167" s="69">
        <f t="shared" si="26"/>
        <v>3278568</v>
      </c>
      <c r="K167" s="9"/>
      <c r="L167" s="3"/>
      <c r="M167" s="76"/>
      <c r="N167" s="78"/>
      <c r="O167" s="76">
        <v>16.649999999999999</v>
      </c>
      <c r="P167" s="78">
        <f t="shared" si="27"/>
        <v>3278568</v>
      </c>
      <c r="Q167" s="76"/>
      <c r="R167" s="78"/>
      <c r="S167" s="76"/>
      <c r="T167" s="78"/>
      <c r="U167" s="76"/>
      <c r="V167" s="78"/>
      <c r="W167" s="76"/>
      <c r="X167" s="78"/>
      <c r="Y167" s="76"/>
      <c r="Z167" s="78"/>
      <c r="AA167" s="76"/>
      <c r="AB167" s="78"/>
      <c r="AC167" s="76"/>
      <c r="AD167" s="78"/>
      <c r="AE167" s="76"/>
      <c r="AF167" s="78"/>
      <c r="AG167" s="76"/>
      <c r="AH167" s="78"/>
      <c r="AI167" s="76"/>
      <c r="AJ167" s="78"/>
      <c r="AK167" s="76"/>
      <c r="AL167" s="78"/>
      <c r="AM167" s="76"/>
      <c r="AN167" s="78"/>
      <c r="AO167" s="76"/>
      <c r="AP167" s="78"/>
      <c r="AQ167" s="76"/>
      <c r="AR167" s="78"/>
      <c r="AS167" s="76"/>
      <c r="AT167" s="78"/>
      <c r="AU167" s="76"/>
      <c r="AV167" s="78"/>
      <c r="AW167" s="76"/>
      <c r="AX167" s="78"/>
      <c r="AY167" s="76"/>
      <c r="AZ167" s="78"/>
      <c r="BA167" s="76"/>
      <c r="BB167" s="78"/>
      <c r="BC167" s="76"/>
      <c r="BD167" s="78"/>
      <c r="BE167" s="76"/>
      <c r="BF167" s="78"/>
      <c r="BG167" s="76"/>
      <c r="BH167" s="78"/>
      <c r="BI167" s="76"/>
      <c r="BJ167" s="78"/>
      <c r="BK167" s="76"/>
      <c r="BL167" s="78"/>
      <c r="BM167" s="76"/>
      <c r="BN167" s="78"/>
      <c r="BO167" s="76"/>
      <c r="BP167" s="78"/>
      <c r="BQ167" s="76"/>
      <c r="BR167" s="78"/>
      <c r="BS167" s="76"/>
      <c r="BT167" s="78"/>
      <c r="BU167" s="76"/>
      <c r="BV167" s="78"/>
    </row>
    <row r="168" spans="1:74" ht="30" customHeight="1" x14ac:dyDescent="0.3">
      <c r="A168" s="3"/>
      <c r="B168" s="8"/>
      <c r="C168" s="60">
        <v>3872</v>
      </c>
      <c r="D168" s="60">
        <v>7004</v>
      </c>
      <c r="E168" s="60" t="str">
        <f>+VLOOKUP(C168,'PRECIOS IDU 2025'!$A$1:$E$3189,2,FALSE)</f>
        <v>DEMARCACION LINEA DISCONTINUA A=0.12M (E=15 MILS, ACRÍLICA BASE AGUA. INC. SUMIN. Y APLIC. CON EQUIPO. INC MICROESFERAS)</v>
      </c>
      <c r="F168" s="60" t="str">
        <f>+VLOOKUP(C168,'PRECIOS IDU 2025'!$A$1:$E$3189,3,FALSE)</f>
        <v>ML</v>
      </c>
      <c r="G168" s="108">
        <f t="shared" si="24"/>
        <v>67.28</v>
      </c>
      <c r="H168" s="69">
        <f>+VLOOKUP(C168,'PRECIOS IDU 2025'!$A$1:$E$3189,4,FALSE)</f>
        <v>2505</v>
      </c>
      <c r="I168" s="69">
        <f t="shared" si="25"/>
        <v>3257</v>
      </c>
      <c r="J168" s="69">
        <f t="shared" si="26"/>
        <v>219131</v>
      </c>
      <c r="K168" s="9"/>
      <c r="L168" s="3"/>
      <c r="M168" s="76"/>
      <c r="N168" s="78"/>
      <c r="O168" s="76">
        <v>67.28</v>
      </c>
      <c r="P168" s="78">
        <f t="shared" si="27"/>
        <v>219131</v>
      </c>
      <c r="Q168" s="76"/>
      <c r="R168" s="78"/>
      <c r="S168" s="76"/>
      <c r="T168" s="78"/>
      <c r="U168" s="76"/>
      <c r="V168" s="78"/>
      <c r="W168" s="76"/>
      <c r="X168" s="78"/>
      <c r="Y168" s="76"/>
      <c r="Z168" s="78"/>
      <c r="AA168" s="76"/>
      <c r="AB168" s="78"/>
      <c r="AC168" s="76"/>
      <c r="AD168" s="78"/>
      <c r="AE168" s="76"/>
      <c r="AF168" s="78"/>
      <c r="AG168" s="76"/>
      <c r="AH168" s="78"/>
      <c r="AI168" s="76"/>
      <c r="AJ168" s="78"/>
      <c r="AK168" s="76"/>
      <c r="AL168" s="78"/>
      <c r="AM168" s="76"/>
      <c r="AN168" s="78"/>
      <c r="AO168" s="76"/>
      <c r="AP168" s="78"/>
      <c r="AQ168" s="76"/>
      <c r="AR168" s="78"/>
      <c r="AS168" s="76"/>
      <c r="AT168" s="78"/>
      <c r="AU168" s="76"/>
      <c r="AV168" s="78"/>
      <c r="AW168" s="76"/>
      <c r="AX168" s="78"/>
      <c r="AY168" s="76"/>
      <c r="AZ168" s="78"/>
      <c r="BA168" s="76"/>
      <c r="BB168" s="78"/>
      <c r="BC168" s="76"/>
      <c r="BD168" s="78"/>
      <c r="BE168" s="76"/>
      <c r="BF168" s="78"/>
      <c r="BG168" s="76"/>
      <c r="BH168" s="78"/>
      <c r="BI168" s="76"/>
      <c r="BJ168" s="78"/>
      <c r="BK168" s="76"/>
      <c r="BL168" s="78"/>
      <c r="BM168" s="76"/>
      <c r="BN168" s="78"/>
      <c r="BO168" s="76"/>
      <c r="BP168" s="78"/>
      <c r="BQ168" s="76"/>
      <c r="BR168" s="78"/>
      <c r="BS168" s="76"/>
      <c r="BT168" s="78"/>
      <c r="BU168" s="76"/>
      <c r="BV168" s="78"/>
    </row>
    <row r="169" spans="1:74" ht="30" customHeight="1" x14ac:dyDescent="0.3">
      <c r="A169" s="3"/>
      <c r="B169" s="8"/>
      <c r="C169" s="60">
        <v>4244</v>
      </c>
      <c r="D169" s="60">
        <v>7005</v>
      </c>
      <c r="E169" s="60" t="str">
        <f>+VLOOKUP(C169,'PRECIOS IDU 2025'!$A$1:$E$3189,2,FALSE)</f>
        <v>FLECHA DIRECCIONAL "A LA DERECHA" (E=2.3MM,TERMOPLÁSTICA. INC. SUMINISTRO Y APLICACIÓN CON EQUIPO. INC MICROESFERAS). MARCA VIAL PARA VELOCIDADES MENORES O IGUALES A 60 KM/H AREA DE LA MARCA: 1.51M2</v>
      </c>
      <c r="F169" s="60" t="str">
        <f>+VLOOKUP(C169,'PRECIOS IDU 2025'!$A$1:$E$3189,3,FALSE)</f>
        <v>UN</v>
      </c>
      <c r="G169" s="108">
        <f t="shared" si="24"/>
        <v>1</v>
      </c>
      <c r="H169" s="69">
        <f>+VLOOKUP(C169,'PRECIOS IDU 2025'!$A$1:$E$3189,4,FALSE)</f>
        <v>228720</v>
      </c>
      <c r="I169" s="69">
        <f t="shared" si="25"/>
        <v>297336</v>
      </c>
      <c r="J169" s="69">
        <f t="shared" si="26"/>
        <v>297336</v>
      </c>
      <c r="K169" s="9"/>
      <c r="L169" s="3"/>
      <c r="M169" s="76"/>
      <c r="N169" s="78"/>
      <c r="O169" s="76">
        <v>1</v>
      </c>
      <c r="P169" s="78">
        <f t="shared" si="27"/>
        <v>297336</v>
      </c>
      <c r="Q169" s="76"/>
      <c r="R169" s="78"/>
      <c r="S169" s="76"/>
      <c r="T169" s="78"/>
      <c r="U169" s="76"/>
      <c r="V169" s="78"/>
      <c r="W169" s="76"/>
      <c r="X169" s="78"/>
      <c r="Y169" s="76"/>
      <c r="Z169" s="78"/>
      <c r="AA169" s="76"/>
      <c r="AB169" s="78"/>
      <c r="AC169" s="76"/>
      <c r="AD169" s="78"/>
      <c r="AE169" s="76"/>
      <c r="AF169" s="78"/>
      <c r="AG169" s="76"/>
      <c r="AH169" s="78"/>
      <c r="AI169" s="76"/>
      <c r="AJ169" s="78"/>
      <c r="AK169" s="76"/>
      <c r="AL169" s="78"/>
      <c r="AM169" s="76"/>
      <c r="AN169" s="78"/>
      <c r="AO169" s="76"/>
      <c r="AP169" s="78"/>
      <c r="AQ169" s="76"/>
      <c r="AR169" s="78"/>
      <c r="AS169" s="76"/>
      <c r="AT169" s="78"/>
      <c r="AU169" s="76"/>
      <c r="AV169" s="78"/>
      <c r="AW169" s="76"/>
      <c r="AX169" s="78"/>
      <c r="AY169" s="76"/>
      <c r="AZ169" s="78"/>
      <c r="BA169" s="76"/>
      <c r="BB169" s="78"/>
      <c r="BC169" s="76"/>
      <c r="BD169" s="78"/>
      <c r="BE169" s="76"/>
      <c r="BF169" s="78"/>
      <c r="BG169" s="76"/>
      <c r="BH169" s="78"/>
      <c r="BI169" s="76"/>
      <c r="BJ169" s="78"/>
      <c r="BK169" s="76"/>
      <c r="BL169" s="78"/>
      <c r="BM169" s="76"/>
      <c r="BN169" s="78"/>
      <c r="BO169" s="76"/>
      <c r="BP169" s="78"/>
      <c r="BQ169" s="76"/>
      <c r="BR169" s="78"/>
      <c r="BS169" s="76"/>
      <c r="BT169" s="78"/>
      <c r="BU169" s="76"/>
      <c r="BV169" s="78"/>
    </row>
    <row r="170" spans="1:74" ht="30" customHeight="1" x14ac:dyDescent="0.3">
      <c r="A170" s="3"/>
      <c r="B170" s="8"/>
      <c r="C170" s="60">
        <v>4245</v>
      </c>
      <c r="D170" s="60">
        <v>7006</v>
      </c>
      <c r="E170" s="60" t="str">
        <f>+VLOOKUP(C170,'PRECIOS IDU 2025'!$A$1:$E$3189,2,FALSE)</f>
        <v>FLECHA DIRECCIONAL "DE FRENTE A LA DERECHA" (E=2.3MM,TERMOPLÁSTICA. INC. SUMIN. Y APLIC. CON EQUIPO. INC. MICROESFERAS). MARCA VIAL PARA VELOCIDADES MENORES O IGUALES A 60 KM/H AREA DE LA MARCA: 2.18M2</v>
      </c>
      <c r="F170" s="60" t="str">
        <f>+VLOOKUP(C170,'PRECIOS IDU 2025'!$A$1:$E$3189,3,FALSE)</f>
        <v>UN</v>
      </c>
      <c r="G170" s="108">
        <f t="shared" si="24"/>
        <v>1</v>
      </c>
      <c r="H170" s="69">
        <f>+VLOOKUP(C170,'PRECIOS IDU 2025'!$A$1:$E$3189,4,FALSE)</f>
        <v>330205</v>
      </c>
      <c r="I170" s="69">
        <f t="shared" si="25"/>
        <v>429267</v>
      </c>
      <c r="J170" s="69">
        <f t="shared" si="26"/>
        <v>429267</v>
      </c>
      <c r="K170" s="9"/>
      <c r="L170" s="3"/>
      <c r="M170" s="76"/>
      <c r="N170" s="78"/>
      <c r="O170" s="76">
        <v>1</v>
      </c>
      <c r="P170" s="78">
        <f t="shared" si="27"/>
        <v>429267</v>
      </c>
      <c r="Q170" s="76"/>
      <c r="R170" s="78"/>
      <c r="S170" s="76"/>
      <c r="T170" s="78"/>
      <c r="U170" s="76"/>
      <c r="V170" s="78"/>
      <c r="W170" s="76"/>
      <c r="X170" s="78"/>
      <c r="Y170" s="76"/>
      <c r="Z170" s="78"/>
      <c r="AA170" s="76"/>
      <c r="AB170" s="78"/>
      <c r="AC170" s="76"/>
      <c r="AD170" s="78"/>
      <c r="AE170" s="76"/>
      <c r="AF170" s="78"/>
      <c r="AG170" s="76"/>
      <c r="AH170" s="78"/>
      <c r="AI170" s="76"/>
      <c r="AJ170" s="78"/>
      <c r="AK170" s="76"/>
      <c r="AL170" s="78"/>
      <c r="AM170" s="76"/>
      <c r="AN170" s="78"/>
      <c r="AO170" s="76"/>
      <c r="AP170" s="78"/>
      <c r="AQ170" s="76"/>
      <c r="AR170" s="78"/>
      <c r="AS170" s="76"/>
      <c r="AT170" s="78"/>
      <c r="AU170" s="76"/>
      <c r="AV170" s="78"/>
      <c r="AW170" s="76"/>
      <c r="AX170" s="78"/>
      <c r="AY170" s="76"/>
      <c r="AZ170" s="78"/>
      <c r="BA170" s="76"/>
      <c r="BB170" s="78"/>
      <c r="BC170" s="76"/>
      <c r="BD170" s="78"/>
      <c r="BE170" s="76"/>
      <c r="BF170" s="78"/>
      <c r="BG170" s="76"/>
      <c r="BH170" s="78"/>
      <c r="BI170" s="76"/>
      <c r="BJ170" s="78"/>
      <c r="BK170" s="76"/>
      <c r="BL170" s="78"/>
      <c r="BM170" s="76"/>
      <c r="BN170" s="78"/>
      <c r="BO170" s="76"/>
      <c r="BP170" s="78"/>
      <c r="BQ170" s="76"/>
      <c r="BR170" s="78"/>
      <c r="BS170" s="76"/>
      <c r="BT170" s="78"/>
      <c r="BU170" s="76"/>
      <c r="BV170" s="78"/>
    </row>
    <row r="171" spans="1:74" ht="30" customHeight="1" x14ac:dyDescent="0.3">
      <c r="A171" s="3"/>
      <c r="B171" s="8"/>
      <c r="C171" s="60">
        <v>4247</v>
      </c>
      <c r="D171" s="60">
        <v>7008</v>
      </c>
      <c r="E171" s="60" t="str">
        <f>+VLOOKUP(C171,'PRECIOS IDU 2025'!$A$1:$E$3189,2,FALSE)</f>
        <v>PINTURA TERMOPLASTICA (E=2.3MM. INCLUYE SUMINISTRO Y APLICACIÓN CON EQUIPO. INCLUYE MICROESFERAS)</v>
      </c>
      <c r="F171" s="60" t="str">
        <f>+VLOOKUP(C171,'PRECIOS IDU 2025'!$A$1:$E$3189,3,FALSE)</f>
        <v>M2</v>
      </c>
      <c r="G171" s="108">
        <f t="shared" si="24"/>
        <v>10.09</v>
      </c>
      <c r="H171" s="69">
        <f>+VLOOKUP(C171,'PRECIOS IDU 2025'!$A$1:$E$3189,4,FALSE)</f>
        <v>151470</v>
      </c>
      <c r="I171" s="69">
        <f t="shared" si="25"/>
        <v>196911</v>
      </c>
      <c r="J171" s="69">
        <f t="shared" si="26"/>
        <v>1986832</v>
      </c>
      <c r="K171" s="9"/>
      <c r="L171" s="3"/>
      <c r="M171" s="76"/>
      <c r="N171" s="78"/>
      <c r="O171" s="76">
        <v>10.092000000000001</v>
      </c>
      <c r="P171" s="78">
        <f t="shared" si="27"/>
        <v>1987226</v>
      </c>
      <c r="Q171" s="76"/>
      <c r="R171" s="78"/>
      <c r="S171" s="76"/>
      <c r="T171" s="78"/>
      <c r="U171" s="76"/>
      <c r="V171" s="78"/>
      <c r="W171" s="76"/>
      <c r="X171" s="78"/>
      <c r="Y171" s="76"/>
      <c r="Z171" s="78"/>
      <c r="AA171" s="76"/>
      <c r="AB171" s="78"/>
      <c r="AC171" s="76"/>
      <c r="AD171" s="78"/>
      <c r="AE171" s="76"/>
      <c r="AF171" s="78"/>
      <c r="AG171" s="76"/>
      <c r="AH171" s="78"/>
      <c r="AI171" s="76"/>
      <c r="AJ171" s="78"/>
      <c r="AK171" s="76"/>
      <c r="AL171" s="78"/>
      <c r="AM171" s="76"/>
      <c r="AN171" s="78"/>
      <c r="AO171" s="76"/>
      <c r="AP171" s="78"/>
      <c r="AQ171" s="76"/>
      <c r="AR171" s="78"/>
      <c r="AS171" s="76"/>
      <c r="AT171" s="78"/>
      <c r="AU171" s="76"/>
      <c r="AV171" s="78"/>
      <c r="AW171" s="76"/>
      <c r="AX171" s="78"/>
      <c r="AY171" s="76"/>
      <c r="AZ171" s="78"/>
      <c r="BA171" s="76"/>
      <c r="BB171" s="78"/>
      <c r="BC171" s="76"/>
      <c r="BD171" s="78"/>
      <c r="BE171" s="76"/>
      <c r="BF171" s="78"/>
      <c r="BG171" s="76"/>
      <c r="BH171" s="78"/>
      <c r="BI171" s="76"/>
      <c r="BJ171" s="78"/>
      <c r="BK171" s="76"/>
      <c r="BL171" s="78"/>
      <c r="BM171" s="76"/>
      <c r="BN171" s="78"/>
      <c r="BO171" s="76"/>
      <c r="BP171" s="78"/>
      <c r="BQ171" s="76"/>
      <c r="BR171" s="78"/>
      <c r="BS171" s="76"/>
      <c r="BT171" s="78"/>
      <c r="BU171" s="76"/>
      <c r="BV171" s="78"/>
    </row>
    <row r="172" spans="1:74" ht="30" customHeight="1" x14ac:dyDescent="0.3">
      <c r="A172" s="3"/>
      <c r="B172" s="8"/>
      <c r="C172" s="60">
        <v>4569</v>
      </c>
      <c r="D172" s="60">
        <v>7010</v>
      </c>
      <c r="E172" s="60" t="str">
        <f>+VLOOKUP(C172,'PRECIOS IDU 2025'!$A$1:$E$3189,2,FALSE)</f>
        <v>ESTOPEROLES DE 10 CM X 2.5 CM. SUMINISTRO E INSTALACION.</v>
      </c>
      <c r="F172" s="60" t="str">
        <f>+VLOOKUP(C172,'PRECIOS IDU 2025'!$A$1:$E$3189,3,FALSE)</f>
        <v>UN</v>
      </c>
      <c r="G172" s="108">
        <f t="shared" si="24"/>
        <v>50</v>
      </c>
      <c r="H172" s="69">
        <f>+VLOOKUP(C172,'PRECIOS IDU 2025'!$A$1:$E$3189,4,FALSE)</f>
        <v>10907</v>
      </c>
      <c r="I172" s="69">
        <f t="shared" si="25"/>
        <v>14179</v>
      </c>
      <c r="J172" s="69">
        <f t="shared" si="26"/>
        <v>708950</v>
      </c>
      <c r="K172" s="9"/>
      <c r="L172" s="3"/>
      <c r="M172" s="76"/>
      <c r="N172" s="78"/>
      <c r="O172" s="76">
        <v>50</v>
      </c>
      <c r="P172" s="78">
        <f t="shared" si="27"/>
        <v>708950</v>
      </c>
      <c r="Q172" s="76"/>
      <c r="R172" s="78"/>
      <c r="S172" s="76"/>
      <c r="T172" s="78"/>
      <c r="U172" s="76"/>
      <c r="V172" s="78"/>
      <c r="W172" s="76"/>
      <c r="X172" s="78"/>
      <c r="Y172" s="76"/>
      <c r="Z172" s="78"/>
      <c r="AA172" s="76"/>
      <c r="AB172" s="78"/>
      <c r="AC172" s="76"/>
      <c r="AD172" s="78"/>
      <c r="AE172" s="76"/>
      <c r="AF172" s="78"/>
      <c r="AG172" s="76"/>
      <c r="AH172" s="78"/>
      <c r="AI172" s="76"/>
      <c r="AJ172" s="78"/>
      <c r="AK172" s="76"/>
      <c r="AL172" s="78"/>
      <c r="AM172" s="76"/>
      <c r="AN172" s="78"/>
      <c r="AO172" s="76"/>
      <c r="AP172" s="78"/>
      <c r="AQ172" s="76"/>
      <c r="AR172" s="78"/>
      <c r="AS172" s="76"/>
      <c r="AT172" s="78"/>
      <c r="AU172" s="76"/>
      <c r="AV172" s="78"/>
      <c r="AW172" s="76"/>
      <c r="AX172" s="78"/>
      <c r="AY172" s="76"/>
      <c r="AZ172" s="78"/>
      <c r="BA172" s="76"/>
      <c r="BB172" s="78"/>
      <c r="BC172" s="76"/>
      <c r="BD172" s="78"/>
      <c r="BE172" s="76"/>
      <c r="BF172" s="78"/>
      <c r="BG172" s="76"/>
      <c r="BH172" s="78"/>
      <c r="BI172" s="76"/>
      <c r="BJ172" s="78"/>
      <c r="BK172" s="76"/>
      <c r="BL172" s="78"/>
      <c r="BM172" s="76"/>
      <c r="BN172" s="78"/>
      <c r="BO172" s="76"/>
      <c r="BP172" s="78"/>
      <c r="BQ172" s="76"/>
      <c r="BR172" s="78"/>
      <c r="BS172" s="76"/>
      <c r="BT172" s="78"/>
      <c r="BU172" s="76"/>
      <c r="BV172" s="78"/>
    </row>
    <row r="173" spans="1:74" ht="30" customHeight="1" x14ac:dyDescent="0.3">
      <c r="A173" s="3"/>
      <c r="B173" s="8"/>
      <c r="C173" s="60">
        <v>5220</v>
      </c>
      <c r="D173" s="60">
        <v>7011</v>
      </c>
      <c r="E173" s="60" t="str">
        <f>+VLOOKUP(C173,'PRECIOS IDU 2025'!$A$1:$E$3189,2,FALSE)</f>
        <v>PINTURA EN PLASTICO EN FRIO METILMETACRILATO DE A=12CM PARA LINEAS DE DEMARCACIÓN, CON MICROESFERAS Y ESPESOR SECO SEGÚN NORMA NTC 4744. SUMINISTRO Y APLICACIÓN.</v>
      </c>
      <c r="F173" s="60" t="str">
        <f>+VLOOKUP(C173,'PRECIOS IDU 2025'!$A$1:$E$3189,3,FALSE)</f>
        <v>ML</v>
      </c>
      <c r="G173" s="108">
        <f t="shared" si="24"/>
        <v>67.28</v>
      </c>
      <c r="H173" s="69">
        <f>+VLOOKUP(C173,'PRECIOS IDU 2025'!$A$1:$E$3189,4,FALSE)</f>
        <v>18776</v>
      </c>
      <c r="I173" s="69">
        <f t="shared" si="25"/>
        <v>24409</v>
      </c>
      <c r="J173" s="69">
        <f t="shared" si="26"/>
        <v>1642238</v>
      </c>
      <c r="K173" s="9"/>
      <c r="L173" s="3"/>
      <c r="M173" s="76"/>
      <c r="N173" s="78"/>
      <c r="O173" s="76">
        <v>67.28</v>
      </c>
      <c r="P173" s="78">
        <f t="shared" si="27"/>
        <v>1642238</v>
      </c>
      <c r="Q173" s="76"/>
      <c r="R173" s="78"/>
      <c r="S173" s="76"/>
      <c r="T173" s="78"/>
      <c r="U173" s="76"/>
      <c r="V173" s="78"/>
      <c r="W173" s="76"/>
      <c r="X173" s="78"/>
      <c r="Y173" s="76"/>
      <c r="Z173" s="78"/>
      <c r="AA173" s="76"/>
      <c r="AB173" s="78"/>
      <c r="AC173" s="76"/>
      <c r="AD173" s="78"/>
      <c r="AE173" s="76"/>
      <c r="AF173" s="78"/>
      <c r="AG173" s="76"/>
      <c r="AH173" s="78"/>
      <c r="AI173" s="76"/>
      <c r="AJ173" s="78"/>
      <c r="AK173" s="76"/>
      <c r="AL173" s="78"/>
      <c r="AM173" s="76"/>
      <c r="AN173" s="78"/>
      <c r="AO173" s="76"/>
      <c r="AP173" s="78"/>
      <c r="AQ173" s="76"/>
      <c r="AR173" s="78"/>
      <c r="AS173" s="76"/>
      <c r="AT173" s="78"/>
      <c r="AU173" s="76"/>
      <c r="AV173" s="78"/>
      <c r="AW173" s="76"/>
      <c r="AX173" s="78"/>
      <c r="AY173" s="76"/>
      <c r="AZ173" s="78"/>
      <c r="BA173" s="76"/>
      <c r="BB173" s="78"/>
      <c r="BC173" s="76"/>
      <c r="BD173" s="78"/>
      <c r="BE173" s="76"/>
      <c r="BF173" s="78"/>
      <c r="BG173" s="76"/>
      <c r="BH173" s="78"/>
      <c r="BI173" s="76"/>
      <c r="BJ173" s="78"/>
      <c r="BK173" s="76"/>
      <c r="BL173" s="78"/>
      <c r="BM173" s="76"/>
      <c r="BN173" s="78"/>
      <c r="BO173" s="76"/>
      <c r="BP173" s="78"/>
      <c r="BQ173" s="76"/>
      <c r="BR173" s="78"/>
      <c r="BS173" s="76"/>
      <c r="BT173" s="78"/>
      <c r="BU173" s="76"/>
      <c r="BV173" s="78"/>
    </row>
    <row r="174" spans="1:74" ht="30" customHeight="1" x14ac:dyDescent="0.3">
      <c r="A174" s="3"/>
      <c r="B174" s="8"/>
      <c r="C174" s="60">
        <v>5225</v>
      </c>
      <c r="D174" s="60">
        <v>7012</v>
      </c>
      <c r="E174" s="60" t="str">
        <f>+VLOOKUP(C174,'PRECIOS IDU 2025'!$A$1:$E$3189,2,FALSE)</f>
        <v>PINTURA DE TRÁFICO - IMPRIMANTE NEGRO A=15CM. SUMINISTRO Y APLICACIÓN.</v>
      </c>
      <c r="F174" s="60" t="str">
        <f>+VLOOKUP(C174,'PRECIOS IDU 2025'!$A$1:$E$3189,3,FALSE)</f>
        <v>ML</v>
      </c>
      <c r="G174" s="108">
        <f t="shared" si="24"/>
        <v>67.28</v>
      </c>
      <c r="H174" s="69">
        <f>+VLOOKUP(C174,'PRECIOS IDU 2025'!$A$1:$E$3189,4,FALSE)</f>
        <v>4323</v>
      </c>
      <c r="I174" s="69">
        <f t="shared" si="25"/>
        <v>5620</v>
      </c>
      <c r="J174" s="69">
        <f t="shared" si="26"/>
        <v>378114</v>
      </c>
      <c r="K174" s="9"/>
      <c r="L174" s="3"/>
      <c r="M174" s="76"/>
      <c r="N174" s="78"/>
      <c r="O174" s="76">
        <v>67.28</v>
      </c>
      <c r="P174" s="78">
        <f t="shared" si="27"/>
        <v>378114</v>
      </c>
      <c r="Q174" s="76"/>
      <c r="R174" s="78"/>
      <c r="S174" s="76"/>
      <c r="T174" s="78"/>
      <c r="U174" s="76"/>
      <c r="V174" s="78"/>
      <c r="W174" s="76"/>
      <c r="X174" s="78"/>
      <c r="Y174" s="76"/>
      <c r="Z174" s="78"/>
      <c r="AA174" s="76"/>
      <c r="AB174" s="78"/>
      <c r="AC174" s="76"/>
      <c r="AD174" s="78"/>
      <c r="AE174" s="76"/>
      <c r="AF174" s="78"/>
      <c r="AG174" s="76"/>
      <c r="AH174" s="78"/>
      <c r="AI174" s="76"/>
      <c r="AJ174" s="78"/>
      <c r="AK174" s="76"/>
      <c r="AL174" s="78"/>
      <c r="AM174" s="76"/>
      <c r="AN174" s="78"/>
      <c r="AO174" s="76"/>
      <c r="AP174" s="78"/>
      <c r="AQ174" s="76"/>
      <c r="AR174" s="78"/>
      <c r="AS174" s="76"/>
      <c r="AT174" s="78"/>
      <c r="AU174" s="76"/>
      <c r="AV174" s="78"/>
      <c r="AW174" s="76"/>
      <c r="AX174" s="78"/>
      <c r="AY174" s="76"/>
      <c r="AZ174" s="78"/>
      <c r="BA174" s="76"/>
      <c r="BB174" s="78"/>
      <c r="BC174" s="76"/>
      <c r="BD174" s="78"/>
      <c r="BE174" s="76"/>
      <c r="BF174" s="78"/>
      <c r="BG174" s="76"/>
      <c r="BH174" s="78"/>
      <c r="BI174" s="76"/>
      <c r="BJ174" s="78"/>
      <c r="BK174" s="76"/>
      <c r="BL174" s="78"/>
      <c r="BM174" s="76"/>
      <c r="BN174" s="78"/>
      <c r="BO174" s="76"/>
      <c r="BP174" s="78"/>
      <c r="BQ174" s="76"/>
      <c r="BR174" s="78"/>
      <c r="BS174" s="76"/>
      <c r="BT174" s="78"/>
      <c r="BU174" s="76"/>
      <c r="BV174" s="78"/>
    </row>
    <row r="175" spans="1:74" ht="30" customHeight="1" x14ac:dyDescent="0.3">
      <c r="A175" s="3"/>
      <c r="B175" s="8"/>
      <c r="C175" s="60">
        <v>5226</v>
      </c>
      <c r="D175" s="60">
        <v>7013</v>
      </c>
      <c r="E175" s="60" t="str">
        <f>+VLOOKUP(C175,'PRECIOS IDU 2025'!$A$1:$E$3189,2,FALSE)</f>
        <v>PINTURA DE TRÁFICO - IMPRIMANTE NEGRO A=20CM. SUMINISTRO Y APLICACIÓN.</v>
      </c>
      <c r="F175" s="60" t="str">
        <f>+VLOOKUP(C175,'PRECIOS IDU 2025'!$A$1:$E$3189,3,FALSE)</f>
        <v>ML</v>
      </c>
      <c r="G175" s="108">
        <f t="shared" si="24"/>
        <v>67.28</v>
      </c>
      <c r="H175" s="69">
        <f>+VLOOKUP(C175,'PRECIOS IDU 2025'!$A$1:$E$3189,4,FALSE)</f>
        <v>5850</v>
      </c>
      <c r="I175" s="69">
        <f t="shared" si="25"/>
        <v>7605</v>
      </c>
      <c r="J175" s="69">
        <f t="shared" si="26"/>
        <v>511664</v>
      </c>
      <c r="K175" s="9"/>
      <c r="L175" s="3"/>
      <c r="M175" s="76"/>
      <c r="N175" s="78"/>
      <c r="O175" s="76">
        <v>67.28</v>
      </c>
      <c r="P175" s="78">
        <f t="shared" si="27"/>
        <v>511664</v>
      </c>
      <c r="Q175" s="76"/>
      <c r="R175" s="78"/>
      <c r="S175" s="76"/>
      <c r="T175" s="78"/>
      <c r="U175" s="76"/>
      <c r="V175" s="78"/>
      <c r="W175" s="76"/>
      <c r="X175" s="78"/>
      <c r="Y175" s="76"/>
      <c r="Z175" s="78"/>
      <c r="AA175" s="76"/>
      <c r="AB175" s="78"/>
      <c r="AC175" s="76"/>
      <c r="AD175" s="78"/>
      <c r="AE175" s="76"/>
      <c r="AF175" s="78"/>
      <c r="AG175" s="76"/>
      <c r="AH175" s="78"/>
      <c r="AI175" s="76"/>
      <c r="AJ175" s="78"/>
      <c r="AK175" s="76"/>
      <c r="AL175" s="78"/>
      <c r="AM175" s="76"/>
      <c r="AN175" s="78"/>
      <c r="AO175" s="76"/>
      <c r="AP175" s="78"/>
      <c r="AQ175" s="76"/>
      <c r="AR175" s="78"/>
      <c r="AS175" s="76"/>
      <c r="AT175" s="78"/>
      <c r="AU175" s="76"/>
      <c r="AV175" s="78"/>
      <c r="AW175" s="76"/>
      <c r="AX175" s="78"/>
      <c r="AY175" s="76"/>
      <c r="AZ175" s="78"/>
      <c r="BA175" s="76"/>
      <c r="BB175" s="78"/>
      <c r="BC175" s="76"/>
      <c r="BD175" s="78"/>
      <c r="BE175" s="76"/>
      <c r="BF175" s="78"/>
      <c r="BG175" s="76"/>
      <c r="BH175" s="78"/>
      <c r="BI175" s="76"/>
      <c r="BJ175" s="78"/>
      <c r="BK175" s="76"/>
      <c r="BL175" s="78"/>
      <c r="BM175" s="76"/>
      <c r="BN175" s="78"/>
      <c r="BO175" s="76"/>
      <c r="BP175" s="78"/>
      <c r="BQ175" s="76"/>
      <c r="BR175" s="78"/>
      <c r="BS175" s="76"/>
      <c r="BT175" s="78"/>
      <c r="BU175" s="76"/>
      <c r="BV175" s="78"/>
    </row>
    <row r="176" spans="1:74" ht="30" customHeight="1" x14ac:dyDescent="0.3">
      <c r="A176" s="3"/>
      <c r="B176" s="8"/>
      <c r="C176" s="60">
        <v>5227</v>
      </c>
      <c r="D176" s="60">
        <v>7014</v>
      </c>
      <c r="E176" s="60" t="str">
        <f>+VLOOKUP(C176,'PRECIOS IDU 2025'!$A$1:$E$3189,2,FALSE)</f>
        <v>PINTURA DE TRÁFICO - IMPRIMANTE NEGRO. SUMINISTRO Y APLICACIÓN.</v>
      </c>
      <c r="F176" s="60" t="str">
        <f>+VLOOKUP(C176,'PRECIOS IDU 2025'!$A$1:$E$3189,3,FALSE)</f>
        <v>M2</v>
      </c>
      <c r="G176" s="108">
        <f t="shared" si="24"/>
        <v>67.28</v>
      </c>
      <c r="H176" s="69">
        <f>+VLOOKUP(C176,'PRECIOS IDU 2025'!$A$1:$E$3189,4,FALSE)</f>
        <v>26586</v>
      </c>
      <c r="I176" s="69">
        <f t="shared" si="25"/>
        <v>34562</v>
      </c>
      <c r="J176" s="69">
        <f t="shared" si="26"/>
        <v>2325331</v>
      </c>
      <c r="K176" s="9"/>
      <c r="L176" s="3"/>
      <c r="M176" s="76"/>
      <c r="N176" s="78"/>
      <c r="O176" s="76">
        <v>67.28</v>
      </c>
      <c r="P176" s="78">
        <f t="shared" si="27"/>
        <v>2325331</v>
      </c>
      <c r="Q176" s="76"/>
      <c r="R176" s="78"/>
      <c r="S176" s="76"/>
      <c r="T176" s="78"/>
      <c r="U176" s="76"/>
      <c r="V176" s="78"/>
      <c r="W176" s="76"/>
      <c r="X176" s="78"/>
      <c r="Y176" s="76"/>
      <c r="Z176" s="78"/>
      <c r="AA176" s="76"/>
      <c r="AB176" s="78"/>
      <c r="AC176" s="76"/>
      <c r="AD176" s="78"/>
      <c r="AE176" s="76"/>
      <c r="AF176" s="78"/>
      <c r="AG176" s="76"/>
      <c r="AH176" s="78"/>
      <c r="AI176" s="76"/>
      <c r="AJ176" s="78"/>
      <c r="AK176" s="76"/>
      <c r="AL176" s="78"/>
      <c r="AM176" s="76"/>
      <c r="AN176" s="78"/>
      <c r="AO176" s="76"/>
      <c r="AP176" s="78"/>
      <c r="AQ176" s="76"/>
      <c r="AR176" s="78"/>
      <c r="AS176" s="76"/>
      <c r="AT176" s="78"/>
      <c r="AU176" s="76"/>
      <c r="AV176" s="78"/>
      <c r="AW176" s="76"/>
      <c r="AX176" s="78"/>
      <c r="AY176" s="76"/>
      <c r="AZ176" s="78"/>
      <c r="BA176" s="76"/>
      <c r="BB176" s="78"/>
      <c r="BC176" s="76"/>
      <c r="BD176" s="78"/>
      <c r="BE176" s="76"/>
      <c r="BF176" s="78"/>
      <c r="BG176" s="76"/>
      <c r="BH176" s="78"/>
      <c r="BI176" s="76"/>
      <c r="BJ176" s="78"/>
      <c r="BK176" s="76"/>
      <c r="BL176" s="78"/>
      <c r="BM176" s="76"/>
      <c r="BN176" s="78"/>
      <c r="BO176" s="76"/>
      <c r="BP176" s="78"/>
      <c r="BQ176" s="76"/>
      <c r="BR176" s="78"/>
      <c r="BS176" s="76"/>
      <c r="BT176" s="78"/>
      <c r="BU176" s="76"/>
      <c r="BV176" s="78"/>
    </row>
    <row r="177" spans="1:74" ht="30" customHeight="1" x14ac:dyDescent="0.3">
      <c r="A177" s="3"/>
      <c r="B177" s="8"/>
      <c r="C177" s="60">
        <v>5241</v>
      </c>
      <c r="D177" s="60">
        <v>7015</v>
      </c>
      <c r="E177" s="60" t="str">
        <f>+VLOOKUP(C177,'PRECIOS IDU 2025'!$A$1:$E$3189,2,FALSE)</f>
        <v>TACHA REFLECTIVA BIDIRECCIONAL (INCLUYE SUMINISTRO E INSTALACIÓN).</v>
      </c>
      <c r="F177" s="60" t="str">
        <f>+VLOOKUP(C177,'PRECIOS IDU 2025'!$A$1:$E$3189,3,FALSE)</f>
        <v>UN</v>
      </c>
      <c r="G177" s="108">
        <f t="shared" si="24"/>
        <v>2</v>
      </c>
      <c r="H177" s="69">
        <f>+VLOOKUP(C177,'PRECIOS IDU 2025'!$A$1:$E$3189,4,FALSE)</f>
        <v>18726</v>
      </c>
      <c r="I177" s="69">
        <f t="shared" si="25"/>
        <v>24344</v>
      </c>
      <c r="J177" s="69">
        <f t="shared" si="26"/>
        <v>48688</v>
      </c>
      <c r="K177" s="9"/>
      <c r="L177" s="3"/>
      <c r="M177" s="76"/>
      <c r="N177" s="78"/>
      <c r="O177" s="76">
        <v>2</v>
      </c>
      <c r="P177" s="78">
        <f t="shared" si="27"/>
        <v>48688</v>
      </c>
      <c r="Q177" s="76"/>
      <c r="R177" s="78"/>
      <c r="S177" s="76"/>
      <c r="T177" s="78"/>
      <c r="U177" s="76"/>
      <c r="V177" s="78"/>
      <c r="W177" s="76"/>
      <c r="X177" s="78"/>
      <c r="Y177" s="76"/>
      <c r="Z177" s="78"/>
      <c r="AA177" s="76"/>
      <c r="AB177" s="78"/>
      <c r="AC177" s="76"/>
      <c r="AD177" s="78"/>
      <c r="AE177" s="76"/>
      <c r="AF177" s="78"/>
      <c r="AG177" s="76"/>
      <c r="AH177" s="78"/>
      <c r="AI177" s="76"/>
      <c r="AJ177" s="78"/>
      <c r="AK177" s="76"/>
      <c r="AL177" s="78"/>
      <c r="AM177" s="76"/>
      <c r="AN177" s="78"/>
      <c r="AO177" s="76"/>
      <c r="AP177" s="78"/>
      <c r="AQ177" s="76"/>
      <c r="AR177" s="78"/>
      <c r="AS177" s="76"/>
      <c r="AT177" s="78"/>
      <c r="AU177" s="76"/>
      <c r="AV177" s="78"/>
      <c r="AW177" s="76"/>
      <c r="AX177" s="78"/>
      <c r="AY177" s="76"/>
      <c r="AZ177" s="78"/>
      <c r="BA177" s="76"/>
      <c r="BB177" s="78"/>
      <c r="BC177" s="76"/>
      <c r="BD177" s="78"/>
      <c r="BE177" s="76"/>
      <c r="BF177" s="78"/>
      <c r="BG177" s="76"/>
      <c r="BH177" s="78"/>
      <c r="BI177" s="76"/>
      <c r="BJ177" s="78"/>
      <c r="BK177" s="76"/>
      <c r="BL177" s="78"/>
      <c r="BM177" s="76"/>
      <c r="BN177" s="78"/>
      <c r="BO177" s="76"/>
      <c r="BP177" s="78"/>
      <c r="BQ177" s="76"/>
      <c r="BR177" s="78"/>
      <c r="BS177" s="76"/>
      <c r="BT177" s="78"/>
      <c r="BU177" s="76"/>
      <c r="BV177" s="78"/>
    </row>
    <row r="178" spans="1:74" ht="41.4" x14ac:dyDescent="0.3">
      <c r="A178" s="3"/>
      <c r="B178" s="8"/>
      <c r="C178" s="60">
        <v>8566</v>
      </c>
      <c r="D178" s="60">
        <v>7016</v>
      </c>
      <c r="E178" s="60" t="str">
        <f>+VLOOKUP(C178,'PRECIOS IDU 2025'!$A$1:$E$3189,2,FALSE)</f>
        <v>PINTURA EN PLÁSTICO EN FRÍO METILMETACRILATO PARA MARCAS VIALES, CON MICROESFERAS Y ESPESOR SECO SEGÚN NORMA NTC 4744. SUMINISTRO Y APLICACIÓN. (CEBRAS, FLECHAS, PICTOGRAMAS, LINEAS DE PARE, SENDEROS PEATONALES, ACHURADOS, ETC).</v>
      </c>
      <c r="F178" s="60" t="str">
        <f>+VLOOKUP(C178,'PRECIOS IDU 2025'!$A$1:$E$3189,3,FALSE)</f>
        <v>M2</v>
      </c>
      <c r="G178" s="108">
        <f t="shared" si="24"/>
        <v>8.33</v>
      </c>
      <c r="H178" s="69">
        <f>+VLOOKUP(C178,'PRECIOS IDU 2025'!$A$1:$E$3189,4,FALSE)</f>
        <v>144457</v>
      </c>
      <c r="I178" s="69">
        <f t="shared" si="25"/>
        <v>187794</v>
      </c>
      <c r="J178" s="69">
        <f t="shared" si="26"/>
        <v>1564324</v>
      </c>
      <c r="K178" s="9"/>
      <c r="L178" s="3"/>
      <c r="M178" s="76"/>
      <c r="N178" s="78"/>
      <c r="O178" s="76">
        <v>8.3249999999999993</v>
      </c>
      <c r="P178" s="78">
        <f t="shared" si="27"/>
        <v>1563385</v>
      </c>
      <c r="Q178" s="76"/>
      <c r="R178" s="78"/>
      <c r="S178" s="76"/>
      <c r="T178" s="78"/>
      <c r="U178" s="76"/>
      <c r="V178" s="78"/>
      <c r="W178" s="76"/>
      <c r="X178" s="78"/>
      <c r="Y178" s="76"/>
      <c r="Z178" s="78"/>
      <c r="AA178" s="76"/>
      <c r="AB178" s="78"/>
      <c r="AC178" s="76"/>
      <c r="AD178" s="78"/>
      <c r="AE178" s="76"/>
      <c r="AF178" s="78"/>
      <c r="AG178" s="76"/>
      <c r="AH178" s="78"/>
      <c r="AI178" s="76"/>
      <c r="AJ178" s="78"/>
      <c r="AK178" s="76"/>
      <c r="AL178" s="78"/>
      <c r="AM178" s="76"/>
      <c r="AN178" s="78"/>
      <c r="AO178" s="76"/>
      <c r="AP178" s="78"/>
      <c r="AQ178" s="76"/>
      <c r="AR178" s="78"/>
      <c r="AS178" s="76"/>
      <c r="AT178" s="78"/>
      <c r="AU178" s="76"/>
      <c r="AV178" s="78"/>
      <c r="AW178" s="76"/>
      <c r="AX178" s="78"/>
      <c r="AY178" s="76"/>
      <c r="AZ178" s="78"/>
      <c r="BA178" s="76"/>
      <c r="BB178" s="78"/>
      <c r="BC178" s="76"/>
      <c r="BD178" s="78"/>
      <c r="BE178" s="76"/>
      <c r="BF178" s="78"/>
      <c r="BG178" s="76"/>
      <c r="BH178" s="78"/>
      <c r="BI178" s="76"/>
      <c r="BJ178" s="78"/>
      <c r="BK178" s="76"/>
      <c r="BL178" s="78"/>
      <c r="BM178" s="76"/>
      <c r="BN178" s="78"/>
      <c r="BO178" s="76"/>
      <c r="BP178" s="78"/>
      <c r="BQ178" s="76"/>
      <c r="BR178" s="78"/>
      <c r="BS178" s="76"/>
      <c r="BT178" s="78"/>
      <c r="BU178" s="76"/>
      <c r="BV178" s="78"/>
    </row>
    <row r="179" spans="1:74" ht="30" customHeight="1" x14ac:dyDescent="0.3">
      <c r="A179" s="3"/>
      <c r="B179" s="8"/>
      <c r="C179" s="60">
        <v>10264</v>
      </c>
      <c r="D179" s="60">
        <v>7017</v>
      </c>
      <c r="E179" s="60" t="str">
        <f>+VLOOKUP(C179,'PRECIOS IDU 2025'!$A$1:$E$3189,2,FALSE)</f>
        <v>BANDAS SONORAS REDUCTORAS DE VELOCIDAD DE 3CM DE ALTURA, CONSTRUIDA CON GRAVILLA DE 1/2", PINTURA DE LARGA DURACIÓN BLANCA Y RESINA EPÓXICA.</v>
      </c>
      <c r="F179" s="60" t="str">
        <f>+VLOOKUP(C179,'PRECIOS IDU 2025'!$A$1:$E$3189,3,FALSE)</f>
        <v>M2</v>
      </c>
      <c r="G179" s="108">
        <f t="shared" si="24"/>
        <v>2.78</v>
      </c>
      <c r="H179" s="69">
        <f>+VLOOKUP(C179,'PRECIOS IDU 2025'!$A$1:$E$3189,4,FALSE)</f>
        <v>222740</v>
      </c>
      <c r="I179" s="69">
        <f t="shared" si="25"/>
        <v>289562</v>
      </c>
      <c r="J179" s="69">
        <f t="shared" si="26"/>
        <v>804982</v>
      </c>
      <c r="K179" s="9"/>
      <c r="L179" s="3"/>
      <c r="M179" s="76"/>
      <c r="N179" s="78"/>
      <c r="O179" s="76">
        <v>2.7749999999999999</v>
      </c>
      <c r="P179" s="78">
        <f t="shared" si="27"/>
        <v>803535</v>
      </c>
      <c r="Q179" s="76"/>
      <c r="R179" s="78"/>
      <c r="S179" s="76"/>
      <c r="T179" s="78"/>
      <c r="U179" s="76"/>
      <c r="V179" s="78"/>
      <c r="W179" s="76"/>
      <c r="X179" s="78"/>
      <c r="Y179" s="76"/>
      <c r="Z179" s="78"/>
      <c r="AA179" s="76"/>
      <c r="AB179" s="78"/>
      <c r="AC179" s="76"/>
      <c r="AD179" s="78"/>
      <c r="AE179" s="76"/>
      <c r="AF179" s="78"/>
      <c r="AG179" s="76"/>
      <c r="AH179" s="78"/>
      <c r="AI179" s="76"/>
      <c r="AJ179" s="78"/>
      <c r="AK179" s="76"/>
      <c r="AL179" s="78"/>
      <c r="AM179" s="76"/>
      <c r="AN179" s="78"/>
      <c r="AO179" s="76"/>
      <c r="AP179" s="78"/>
      <c r="AQ179" s="76"/>
      <c r="AR179" s="78"/>
      <c r="AS179" s="76"/>
      <c r="AT179" s="78"/>
      <c r="AU179" s="76"/>
      <c r="AV179" s="78"/>
      <c r="AW179" s="76"/>
      <c r="AX179" s="78"/>
      <c r="AY179" s="76"/>
      <c r="AZ179" s="78"/>
      <c r="BA179" s="76"/>
      <c r="BB179" s="78"/>
      <c r="BC179" s="76"/>
      <c r="BD179" s="78"/>
      <c r="BE179" s="76"/>
      <c r="BF179" s="78"/>
      <c r="BG179" s="76"/>
      <c r="BH179" s="78"/>
      <c r="BI179" s="76"/>
      <c r="BJ179" s="78"/>
      <c r="BK179" s="76"/>
      <c r="BL179" s="78"/>
      <c r="BM179" s="76"/>
      <c r="BN179" s="78"/>
      <c r="BO179" s="76"/>
      <c r="BP179" s="78"/>
      <c r="BQ179" s="76"/>
      <c r="BR179" s="78"/>
      <c r="BS179" s="76"/>
      <c r="BT179" s="78"/>
      <c r="BU179" s="76"/>
      <c r="BV179" s="78"/>
    </row>
    <row r="180" spans="1:74" ht="30" customHeight="1" thickBot="1" x14ac:dyDescent="0.35">
      <c r="A180" s="3"/>
      <c r="B180" s="8"/>
      <c r="C180" s="87"/>
      <c r="D180" s="87"/>
      <c r="E180" s="87"/>
      <c r="F180" s="87"/>
      <c r="G180" s="87"/>
      <c r="H180" s="88"/>
      <c r="I180" s="89"/>
      <c r="J180" s="89"/>
      <c r="K180" s="9"/>
      <c r="L180" s="3"/>
      <c r="M180" s="76"/>
      <c r="N180" s="78"/>
      <c r="O180" s="76"/>
      <c r="P180" s="78"/>
      <c r="Q180" s="76"/>
      <c r="R180" s="78"/>
      <c r="S180" s="76"/>
      <c r="T180" s="78"/>
      <c r="U180" s="76"/>
      <c r="V180" s="78"/>
      <c r="W180" s="76"/>
      <c r="X180" s="78"/>
      <c r="Y180" s="76"/>
      <c r="Z180" s="78"/>
      <c r="AA180" s="76"/>
      <c r="AB180" s="78"/>
      <c r="AC180" s="76"/>
      <c r="AD180" s="78"/>
      <c r="AE180" s="76"/>
      <c r="AF180" s="78"/>
      <c r="AG180" s="76"/>
      <c r="AH180" s="78"/>
      <c r="AI180" s="76"/>
      <c r="AJ180" s="78"/>
      <c r="AK180" s="76"/>
      <c r="AL180" s="78"/>
      <c r="AM180" s="76"/>
      <c r="AN180" s="78"/>
      <c r="AO180" s="76"/>
      <c r="AP180" s="78"/>
      <c r="AQ180" s="76"/>
      <c r="AR180" s="78"/>
      <c r="AS180" s="76"/>
      <c r="AT180" s="78"/>
      <c r="AU180" s="76"/>
      <c r="AV180" s="78"/>
      <c r="AW180" s="76"/>
      <c r="AX180" s="78"/>
      <c r="AY180" s="76"/>
      <c r="AZ180" s="78"/>
      <c r="BA180" s="76"/>
      <c r="BB180" s="78"/>
      <c r="BC180" s="76"/>
      <c r="BD180" s="78"/>
      <c r="BE180" s="76"/>
      <c r="BF180" s="78"/>
      <c r="BG180" s="76"/>
      <c r="BH180" s="78"/>
      <c r="BI180" s="76"/>
      <c r="BJ180" s="78"/>
      <c r="BK180" s="76"/>
      <c r="BL180" s="78"/>
      <c r="BM180" s="76"/>
      <c r="BN180" s="78"/>
      <c r="BO180" s="76"/>
      <c r="BP180" s="78"/>
      <c r="BQ180" s="76"/>
      <c r="BR180" s="78"/>
      <c r="BS180" s="76"/>
      <c r="BT180" s="78"/>
      <c r="BU180" s="76"/>
      <c r="BV180" s="78"/>
    </row>
    <row r="181" spans="1:74" s="22" customFormat="1" ht="30" customHeight="1" thickBot="1" x14ac:dyDescent="0.35">
      <c r="A181" s="17"/>
      <c r="B181" s="18"/>
      <c r="C181" s="573" t="s">
        <v>6083</v>
      </c>
      <c r="D181" s="574"/>
      <c r="E181" s="574"/>
      <c r="F181" s="574"/>
      <c r="G181" s="574"/>
      <c r="H181" s="575"/>
      <c r="I181" s="19"/>
      <c r="J181" s="20" t="e">
        <f>+SUM(J17:J163)</f>
        <v>#N/A</v>
      </c>
      <c r="K181" s="21"/>
      <c r="L181" s="17"/>
      <c r="M181" s="77"/>
      <c r="N181" s="79"/>
      <c r="O181" s="77" t="s">
        <v>6084</v>
      </c>
      <c r="P181" s="79" t="e">
        <f>+SUM(P17:P179)</f>
        <v>#N/A</v>
      </c>
      <c r="Q181" s="77"/>
      <c r="R181" s="79"/>
      <c r="S181" s="77"/>
      <c r="T181" s="79"/>
      <c r="U181" s="77"/>
      <c r="V181" s="79"/>
      <c r="W181" s="77"/>
      <c r="X181" s="79"/>
      <c r="Y181" s="77"/>
      <c r="Z181" s="79"/>
      <c r="AA181" s="77"/>
      <c r="AB181" s="79"/>
      <c r="AC181" s="77"/>
      <c r="AD181" s="79"/>
      <c r="AE181" s="77"/>
      <c r="AF181" s="79"/>
      <c r="AG181" s="77"/>
      <c r="AH181" s="79"/>
      <c r="AI181" s="77"/>
      <c r="AJ181" s="79"/>
      <c r="AK181" s="77"/>
      <c r="AL181" s="79"/>
      <c r="AM181" s="77"/>
      <c r="AN181" s="79"/>
      <c r="AO181" s="77"/>
      <c r="AP181" s="79"/>
      <c r="AQ181" s="77"/>
      <c r="AR181" s="79"/>
      <c r="AS181" s="77"/>
      <c r="AT181" s="79"/>
      <c r="AU181" s="77"/>
      <c r="AV181" s="79"/>
      <c r="AW181" s="77"/>
      <c r="AX181" s="79"/>
      <c r="AY181" s="77"/>
      <c r="AZ181" s="79"/>
      <c r="BA181" s="77"/>
      <c r="BB181" s="79"/>
      <c r="BC181" s="77"/>
      <c r="BD181" s="79"/>
      <c r="BE181" s="77"/>
      <c r="BF181" s="79"/>
      <c r="BG181" s="77"/>
      <c r="BH181" s="79"/>
      <c r="BI181" s="77"/>
      <c r="BJ181" s="79"/>
      <c r="BK181" s="77"/>
      <c r="BL181" s="79"/>
      <c r="BM181" s="77"/>
      <c r="BN181" s="79"/>
      <c r="BO181" s="77"/>
      <c r="BP181" s="79"/>
      <c r="BQ181" s="77"/>
      <c r="BR181" s="79"/>
      <c r="BS181" s="77"/>
      <c r="BT181" s="79"/>
      <c r="BU181" s="77"/>
      <c r="BV181" s="79"/>
    </row>
    <row r="182" spans="1:74" s="22" customFormat="1" ht="15.6" x14ac:dyDescent="0.3">
      <c r="A182" s="17"/>
      <c r="B182" s="18"/>
      <c r="C182" s="23"/>
      <c r="D182" s="23"/>
      <c r="E182" s="23"/>
      <c r="F182" s="23"/>
      <c r="G182" s="23"/>
      <c r="H182" s="23"/>
      <c r="I182" s="23"/>
      <c r="J182" s="24"/>
      <c r="K182" s="21"/>
      <c r="L182" s="17"/>
      <c r="M182" s="17"/>
      <c r="N182" s="17"/>
      <c r="O182" s="17"/>
      <c r="P182" s="17"/>
      <c r="Q182" s="17"/>
      <c r="R182" s="17"/>
      <c r="S182" s="17"/>
      <c r="T182" s="17"/>
      <c r="U182" s="17"/>
      <c r="V182" s="17"/>
      <c r="W182" s="17"/>
      <c r="X182" s="17"/>
    </row>
    <row r="183" spans="1:74" s="22" customFormat="1" ht="30" customHeight="1" x14ac:dyDescent="0.3">
      <c r="A183" s="17"/>
      <c r="B183" s="18"/>
      <c r="C183" s="25"/>
      <c r="D183" s="26"/>
      <c r="E183" s="927" t="s">
        <v>6085</v>
      </c>
      <c r="F183" s="928"/>
      <c r="G183" s="928"/>
      <c r="H183" s="28">
        <v>3.8800000000000001E-2</v>
      </c>
      <c r="I183" s="56"/>
      <c r="J183" s="27" t="e">
        <f>+ROUND(J181*H183,0)</f>
        <v>#N/A</v>
      </c>
      <c r="K183" s="21"/>
      <c r="L183" s="17"/>
      <c r="M183" s="17"/>
      <c r="N183" s="17"/>
      <c r="O183" s="17"/>
      <c r="P183" s="17"/>
      <c r="Q183" s="17"/>
      <c r="R183" s="17"/>
      <c r="S183" s="17"/>
      <c r="T183" s="17"/>
      <c r="U183" s="17"/>
      <c r="V183" s="17"/>
      <c r="W183" s="17"/>
      <c r="X183" s="17"/>
    </row>
    <row r="184" spans="1:74" s="22" customFormat="1" ht="30" customHeight="1" thickBot="1" x14ac:dyDescent="0.35">
      <c r="A184" s="17"/>
      <c r="B184" s="18"/>
      <c r="C184" s="25"/>
      <c r="D184" s="26"/>
      <c r="E184" s="927" t="s">
        <v>6086</v>
      </c>
      <c r="F184" s="928"/>
      <c r="G184" s="928"/>
      <c r="H184" s="28">
        <v>2.1700000000000001E-2</v>
      </c>
      <c r="I184" s="56"/>
      <c r="J184" s="27" t="e">
        <f>+ROUND(J181*H184,0)</f>
        <v>#N/A</v>
      </c>
      <c r="K184" s="21"/>
      <c r="L184" s="17" t="s">
        <v>5794</v>
      </c>
      <c r="M184" s="17"/>
      <c r="N184" s="17"/>
      <c r="O184" s="17">
        <f>+O8</f>
        <v>3001283</v>
      </c>
      <c r="P184" s="17"/>
      <c r="Q184" s="17"/>
      <c r="R184" s="17"/>
      <c r="S184" s="17"/>
      <c r="T184" s="17"/>
      <c r="U184" s="17"/>
      <c r="V184" s="17"/>
      <c r="W184" s="17"/>
      <c r="X184" s="17"/>
      <c r="Y184" s="17"/>
      <c r="AA184" s="17"/>
      <c r="AC184" s="17"/>
      <c r="AE184" s="17"/>
      <c r="AG184" s="17"/>
      <c r="AI184" s="17"/>
      <c r="AK184" s="17"/>
      <c r="AM184" s="17"/>
      <c r="AO184" s="17"/>
      <c r="AQ184" s="17"/>
      <c r="AS184" s="17"/>
      <c r="AU184" s="17"/>
      <c r="AW184" s="17"/>
      <c r="AY184" s="17"/>
      <c r="BA184" s="17"/>
      <c r="BC184" s="17"/>
      <c r="BE184" s="17"/>
      <c r="BG184" s="17"/>
      <c r="BI184" s="17"/>
      <c r="BK184" s="17"/>
      <c r="BM184" s="17"/>
      <c r="BO184" s="17"/>
      <c r="BQ184" s="17"/>
      <c r="BS184" s="17"/>
      <c r="BU184" s="17"/>
    </row>
    <row r="185" spans="1:74" s="22" customFormat="1" ht="30" customHeight="1" thickBot="1" x14ac:dyDescent="0.35">
      <c r="A185" s="17"/>
      <c r="B185" s="18"/>
      <c r="C185" s="25"/>
      <c r="D185" s="26"/>
      <c r="E185" s="29" t="s">
        <v>181</v>
      </c>
      <c r="F185" s="30"/>
      <c r="G185" s="31"/>
      <c r="H185" s="32"/>
      <c r="I185" s="57"/>
      <c r="J185" s="20" t="e">
        <f>+J181+J183+J184</f>
        <v>#N/A</v>
      </c>
      <c r="K185" s="21"/>
      <c r="L185" s="17" t="s">
        <v>6088</v>
      </c>
      <c r="M185" s="97"/>
      <c r="N185" s="17"/>
      <c r="O185" s="97" t="e">
        <f>+SUM(P17:P110,P130:P179)</f>
        <v>#N/A</v>
      </c>
      <c r="P185" s="17"/>
      <c r="Q185" s="97"/>
      <c r="R185" s="17"/>
      <c r="S185" s="97"/>
      <c r="T185" s="17"/>
      <c r="U185" s="97"/>
      <c r="V185" s="17"/>
      <c r="W185" s="97"/>
      <c r="X185" s="17"/>
      <c r="Y185" s="97"/>
      <c r="AA185" s="97"/>
      <c r="AC185" s="97"/>
      <c r="AE185" s="97"/>
      <c r="AG185" s="97"/>
      <c r="AI185" s="97"/>
      <c r="AK185" s="97"/>
      <c r="AM185" s="97"/>
      <c r="AO185" s="97"/>
      <c r="AQ185" s="97"/>
      <c r="AS185" s="97"/>
      <c r="AU185" s="97"/>
      <c r="AW185" s="97"/>
      <c r="AY185" s="97"/>
      <c r="BA185" s="97"/>
      <c r="BC185" s="97"/>
      <c r="BE185" s="97"/>
      <c r="BG185" s="97"/>
      <c r="BI185" s="97"/>
      <c r="BK185" s="97"/>
      <c r="BM185" s="97"/>
      <c r="BO185" s="97"/>
      <c r="BQ185" s="97"/>
      <c r="BS185" s="97"/>
      <c r="BU185" s="97"/>
    </row>
    <row r="186" spans="1:74" s="22" customFormat="1" ht="16.2" thickBot="1" x14ac:dyDescent="0.35">
      <c r="A186" s="17"/>
      <c r="B186" s="18"/>
      <c r="C186" s="25"/>
      <c r="D186" s="26"/>
      <c r="E186" s="25"/>
      <c r="F186" s="25"/>
      <c r="G186" s="33"/>
      <c r="H186" s="34"/>
      <c r="I186" s="34"/>
      <c r="J186" s="35"/>
      <c r="K186" s="21"/>
      <c r="L186" s="17" t="s">
        <v>6089</v>
      </c>
      <c r="M186" s="97"/>
      <c r="N186" s="17"/>
      <c r="O186" s="97">
        <f>+SUM(P111:P128)</f>
        <v>0</v>
      </c>
      <c r="P186" s="17"/>
      <c r="Q186" s="97"/>
      <c r="R186" s="17"/>
      <c r="S186" s="97"/>
      <c r="T186" s="17"/>
      <c r="U186" s="97"/>
      <c r="V186" s="17"/>
      <c r="W186" s="97"/>
      <c r="X186" s="17"/>
      <c r="Y186" s="97"/>
      <c r="AA186" s="97"/>
      <c r="AC186" s="97"/>
      <c r="AE186" s="97"/>
      <c r="AG186" s="97"/>
      <c r="AI186" s="97"/>
      <c r="AK186" s="97"/>
      <c r="AM186" s="97"/>
      <c r="AO186" s="97"/>
      <c r="AQ186" s="97"/>
      <c r="AS186" s="97"/>
      <c r="AU186" s="97"/>
      <c r="AW186" s="97"/>
      <c r="AY186" s="97"/>
      <c r="BA186" s="97"/>
      <c r="BC186" s="97"/>
      <c r="BE186" s="97"/>
      <c r="BG186" s="97"/>
      <c r="BI186" s="97"/>
      <c r="BK186" s="97"/>
      <c r="BM186" s="97"/>
      <c r="BO186" s="97"/>
      <c r="BQ186" s="97"/>
      <c r="BS186" s="97"/>
      <c r="BU186" s="97"/>
    </row>
    <row r="187" spans="1:74" s="22" customFormat="1" ht="15.6" x14ac:dyDescent="0.3">
      <c r="A187" s="17"/>
      <c r="B187" s="18"/>
      <c r="C187" s="36"/>
      <c r="D187" s="568"/>
      <c r="E187" s="568"/>
      <c r="F187" s="568"/>
      <c r="G187" s="568"/>
      <c r="H187" s="568"/>
      <c r="I187" s="568"/>
      <c r="J187" s="569"/>
      <c r="K187" s="37"/>
      <c r="L187" s="70"/>
      <c r="M187" s="70"/>
      <c r="N187" s="70"/>
      <c r="O187" s="70"/>
      <c r="P187" s="70"/>
      <c r="Q187" s="70"/>
      <c r="R187" s="70"/>
      <c r="S187" s="70"/>
      <c r="T187" s="70"/>
      <c r="U187" s="70"/>
      <c r="V187" s="70"/>
      <c r="W187" s="70"/>
      <c r="X187" s="70"/>
    </row>
    <row r="188" spans="1:74" s="22" customFormat="1" ht="46.5" customHeight="1" x14ac:dyDescent="0.3">
      <c r="A188" s="17"/>
      <c r="B188" s="18"/>
      <c r="C188" s="562" t="s">
        <v>47</v>
      </c>
      <c r="D188" s="558"/>
      <c r="E188" s="558"/>
      <c r="F188" s="567" t="s">
        <v>48</v>
      </c>
      <c r="G188" s="567"/>
      <c r="H188" s="567"/>
      <c r="I188" s="58"/>
      <c r="J188" s="38" t="s">
        <v>49</v>
      </c>
      <c r="K188" s="39"/>
      <c r="L188" s="71" t="e">
        <f>+SUM(O185:CJ186)</f>
        <v>#N/A</v>
      </c>
      <c r="M188" s="71"/>
      <c r="N188" s="71"/>
      <c r="O188" s="71"/>
      <c r="P188" s="71"/>
      <c r="Q188" s="71"/>
      <c r="R188" s="71"/>
      <c r="S188" s="71"/>
      <c r="T188" s="71"/>
      <c r="U188" s="71"/>
      <c r="V188" s="71"/>
      <c r="W188" s="71"/>
      <c r="X188" s="71"/>
    </row>
    <row r="189" spans="1:74" s="22" customFormat="1" ht="47.25" customHeight="1" x14ac:dyDescent="0.3">
      <c r="A189" s="17"/>
      <c r="B189" s="18"/>
      <c r="C189" s="562" t="s">
        <v>50</v>
      </c>
      <c r="D189" s="558"/>
      <c r="E189" s="558"/>
      <c r="F189" s="563" t="s">
        <v>51</v>
      </c>
      <c r="G189" s="563"/>
      <c r="H189" s="40" t="s">
        <v>52</v>
      </c>
      <c r="I189" s="59"/>
      <c r="J189" s="72">
        <v>0.25</v>
      </c>
      <c r="K189" s="39"/>
      <c r="L189" s="71"/>
      <c r="M189" s="71"/>
      <c r="N189" s="71"/>
      <c r="O189" s="71"/>
      <c r="P189" s="71"/>
      <c r="Q189" s="71"/>
      <c r="R189" s="71"/>
      <c r="S189" s="71"/>
      <c r="T189" s="71"/>
      <c r="U189" s="71"/>
      <c r="V189" s="71"/>
      <c r="W189" s="71"/>
      <c r="X189" s="71"/>
    </row>
    <row r="190" spans="1:74" s="22" customFormat="1" ht="30" customHeight="1" x14ac:dyDescent="0.3">
      <c r="A190" s="17"/>
      <c r="B190" s="18"/>
      <c r="C190" s="562" t="s">
        <v>53</v>
      </c>
      <c r="D190" s="558"/>
      <c r="E190" s="558"/>
      <c r="F190" s="564" t="s">
        <v>54</v>
      </c>
      <c r="G190" s="565"/>
      <c r="H190" s="40" t="s">
        <v>55</v>
      </c>
      <c r="I190" s="59"/>
      <c r="J190" s="72">
        <v>0.04</v>
      </c>
      <c r="K190" s="39"/>
      <c r="L190" s="71"/>
      <c r="M190" s="71"/>
      <c r="N190" s="71"/>
      <c r="O190" s="71"/>
      <c r="P190" s="71"/>
      <c r="Q190" s="71"/>
      <c r="R190" s="71"/>
      <c r="S190" s="71"/>
      <c r="T190" s="71"/>
      <c r="U190" s="71"/>
      <c r="V190" s="71"/>
      <c r="W190" s="71"/>
      <c r="X190" s="71"/>
    </row>
    <row r="191" spans="1:74" s="42" customFormat="1" ht="33" customHeight="1" x14ac:dyDescent="0.3">
      <c r="A191" s="17"/>
      <c r="B191" s="18"/>
      <c r="C191" s="41"/>
      <c r="E191" s="43"/>
      <c r="F191" s="566" t="s">
        <v>56</v>
      </c>
      <c r="G191" s="563"/>
      <c r="H191" s="40" t="s">
        <v>57</v>
      </c>
      <c r="I191" s="59"/>
      <c r="J191" s="72">
        <v>0.01</v>
      </c>
      <c r="K191" s="21"/>
      <c r="L191" s="17"/>
      <c r="M191" s="17"/>
      <c r="N191" s="17"/>
      <c r="O191" s="17"/>
      <c r="P191" s="17"/>
      <c r="Q191" s="17"/>
      <c r="R191" s="17"/>
      <c r="S191" s="17"/>
      <c r="T191" s="17"/>
      <c r="U191" s="17"/>
      <c r="V191" s="17"/>
      <c r="W191" s="17"/>
      <c r="X191" s="17"/>
    </row>
    <row r="192" spans="1:74" ht="40.5" customHeight="1" x14ac:dyDescent="0.3">
      <c r="A192" s="3"/>
      <c r="B192" s="8"/>
      <c r="C192" s="44"/>
      <c r="D192" s="45"/>
      <c r="E192" s="46"/>
      <c r="F192" s="563" t="s">
        <v>58</v>
      </c>
      <c r="G192" s="563"/>
      <c r="H192" s="40" t="s">
        <v>59</v>
      </c>
      <c r="I192" s="59"/>
      <c r="J192" s="72">
        <f>+J189+J190+J191</f>
        <v>0.3</v>
      </c>
      <c r="K192" s="9"/>
      <c r="L192" s="3"/>
      <c r="M192" s="3"/>
      <c r="N192" s="3"/>
      <c r="O192" s="3"/>
      <c r="P192" s="3"/>
      <c r="Q192" s="3"/>
      <c r="R192" s="3"/>
      <c r="S192" s="3"/>
      <c r="T192" s="3"/>
      <c r="U192" s="3"/>
      <c r="V192" s="3"/>
      <c r="W192" s="3"/>
      <c r="X192" s="3"/>
    </row>
    <row r="193" spans="1:24" ht="16.2" thickBot="1" x14ac:dyDescent="0.35">
      <c r="A193" s="3"/>
      <c r="B193" s="8"/>
      <c r="C193" s="47"/>
      <c r="D193" s="48"/>
      <c r="E193" s="49"/>
      <c r="F193" s="559"/>
      <c r="G193" s="559"/>
      <c r="H193" s="559"/>
      <c r="I193" s="560"/>
      <c r="J193" s="561"/>
      <c r="K193" s="9"/>
      <c r="L193" s="3"/>
      <c r="M193" s="3"/>
      <c r="N193" s="3"/>
      <c r="O193" s="3"/>
      <c r="P193" s="3"/>
      <c r="Q193" s="3"/>
      <c r="R193" s="3"/>
      <c r="S193" s="3"/>
      <c r="T193" s="3"/>
      <c r="U193" s="3"/>
      <c r="V193" s="3"/>
      <c r="W193" s="3"/>
      <c r="X193" s="3"/>
    </row>
    <row r="194" spans="1:24" ht="16.2" thickBot="1" x14ac:dyDescent="0.35">
      <c r="A194" s="3"/>
      <c r="B194" s="50"/>
      <c r="C194" s="51"/>
      <c r="D194" s="51"/>
      <c r="E194" s="52"/>
      <c r="F194" s="51"/>
      <c r="G194" s="51"/>
      <c r="H194" s="51"/>
      <c r="I194" s="51"/>
      <c r="J194" s="51"/>
      <c r="K194" s="53"/>
      <c r="L194" s="3"/>
      <c r="M194" s="3"/>
      <c r="N194" s="3"/>
      <c r="O194" s="3"/>
      <c r="P194" s="3"/>
      <c r="Q194" s="3"/>
      <c r="R194" s="3"/>
      <c r="S194" s="3"/>
      <c r="T194" s="3"/>
      <c r="U194" s="3"/>
      <c r="V194" s="3"/>
      <c r="W194" s="3"/>
      <c r="X194" s="3"/>
    </row>
    <row r="195" spans="1:24" ht="16.2" thickTop="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row>
  </sheetData>
  <mergeCells count="93">
    <mergeCell ref="BT14:BT15"/>
    <mergeCell ref="BU14:BU15"/>
    <mergeCell ref="BV14:BV15"/>
    <mergeCell ref="BN14:BN15"/>
    <mergeCell ref="BO14:BO15"/>
    <mergeCell ref="BP14:BP15"/>
    <mergeCell ref="BQ14:BQ15"/>
    <mergeCell ref="BR14:BR15"/>
    <mergeCell ref="BS14:BS15"/>
    <mergeCell ref="BM14:BM15"/>
    <mergeCell ref="BB14:BB15"/>
    <mergeCell ref="BC14:BC15"/>
    <mergeCell ref="BD14:BD15"/>
    <mergeCell ref="BE14:BE15"/>
    <mergeCell ref="BF14:BF15"/>
    <mergeCell ref="BG14:BG15"/>
    <mergeCell ref="BH14:BH15"/>
    <mergeCell ref="BI14:BI15"/>
    <mergeCell ref="BJ14:BJ15"/>
    <mergeCell ref="BK14:BK15"/>
    <mergeCell ref="BL14:BL15"/>
    <mergeCell ref="BA14:BA15"/>
    <mergeCell ref="AP14:AP15"/>
    <mergeCell ref="AQ14:AQ15"/>
    <mergeCell ref="AR14:AR15"/>
    <mergeCell ref="AS14:AS15"/>
    <mergeCell ref="AT14:AT15"/>
    <mergeCell ref="AU14:AU15"/>
    <mergeCell ref="AV14:AV15"/>
    <mergeCell ref="AW14:AW15"/>
    <mergeCell ref="AX14:AX15"/>
    <mergeCell ref="AY14:AY15"/>
    <mergeCell ref="AZ14:AZ15"/>
    <mergeCell ref="AO14:AO15"/>
    <mergeCell ref="AD14:AD15"/>
    <mergeCell ref="AE14:AE15"/>
    <mergeCell ref="AF14:AF15"/>
    <mergeCell ref="AG14:AG15"/>
    <mergeCell ref="AH14:AH15"/>
    <mergeCell ref="AI14:AI15"/>
    <mergeCell ref="AJ14:AJ15"/>
    <mergeCell ref="AK14:AK15"/>
    <mergeCell ref="AL14:AL15"/>
    <mergeCell ref="AM14:AM15"/>
    <mergeCell ref="AN14:AN15"/>
    <mergeCell ref="F193:J193"/>
    <mergeCell ref="Y14:Y15"/>
    <mergeCell ref="Z14:Z15"/>
    <mergeCell ref="AA14:AA15"/>
    <mergeCell ref="AB14:AB15"/>
    <mergeCell ref="F191:G191"/>
    <mergeCell ref="F192:G192"/>
    <mergeCell ref="V14:V15"/>
    <mergeCell ref="W14:W15"/>
    <mergeCell ref="J14:J15"/>
    <mergeCell ref="M14:M15"/>
    <mergeCell ref="N14:N15"/>
    <mergeCell ref="O14:O15"/>
    <mergeCell ref="P14:P15"/>
    <mergeCell ref="Q14:Q15"/>
    <mergeCell ref="AC14:AC15"/>
    <mergeCell ref="C189:E189"/>
    <mergeCell ref="F189:G189"/>
    <mergeCell ref="C190:E190"/>
    <mergeCell ref="F190:G190"/>
    <mergeCell ref="X14:X15"/>
    <mergeCell ref="C181:H181"/>
    <mergeCell ref="E183:G183"/>
    <mergeCell ref="E184:G184"/>
    <mergeCell ref="D187:J187"/>
    <mergeCell ref="C188:E188"/>
    <mergeCell ref="F188:H188"/>
    <mergeCell ref="R14:R15"/>
    <mergeCell ref="S14:S15"/>
    <mergeCell ref="T14:T15"/>
    <mergeCell ref="U14:U15"/>
    <mergeCell ref="C10:D12"/>
    <mergeCell ref="E10:J12"/>
    <mergeCell ref="C13:J13"/>
    <mergeCell ref="C14:C15"/>
    <mergeCell ref="D14:D15"/>
    <mergeCell ref="E14:E15"/>
    <mergeCell ref="F14:F15"/>
    <mergeCell ref="G14:G15"/>
    <mergeCell ref="H14:H15"/>
    <mergeCell ref="I14:I15"/>
    <mergeCell ref="C3:D3"/>
    <mergeCell ref="C5:J5"/>
    <mergeCell ref="C6:J6"/>
    <mergeCell ref="C7:E7"/>
    <mergeCell ref="F7:J9"/>
    <mergeCell ref="C8:E8"/>
    <mergeCell ref="C9:E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9963B-992D-46E6-8872-ED0693CCE700}">
  <dimension ref="A1:K59"/>
  <sheetViews>
    <sheetView topLeftCell="D10" zoomScale="70" zoomScaleNormal="70" workbookViewId="0">
      <selection activeCell="D2" sqref="D2:K59"/>
    </sheetView>
  </sheetViews>
  <sheetFormatPr baseColWidth="10" defaultColWidth="11.44140625" defaultRowHeight="14.4" x14ac:dyDescent="0.3"/>
  <cols>
    <col min="1" max="3" width="0" hidden="1" customWidth="1"/>
    <col min="4" max="4" width="17.44140625" customWidth="1"/>
    <col min="5" max="5" width="16.109375" customWidth="1"/>
    <col min="7" max="8" width="18.6640625" customWidth="1"/>
    <col min="9" max="9" width="11.44140625" customWidth="1"/>
    <col min="10" max="10" width="14.109375" bestFit="1" customWidth="1"/>
    <col min="11" max="11" width="32.5546875" bestFit="1" customWidth="1"/>
  </cols>
  <sheetData>
    <row r="1" spans="1:11" x14ac:dyDescent="0.3">
      <c r="A1" s="923"/>
      <c r="B1" s="923"/>
      <c r="C1" s="923"/>
      <c r="D1" s="923"/>
      <c r="E1" s="923"/>
      <c r="F1" s="923"/>
      <c r="G1" s="923"/>
      <c r="H1" s="923"/>
      <c r="I1" s="923"/>
      <c r="J1" s="923"/>
      <c r="K1" s="924"/>
    </row>
    <row r="2" spans="1:11" x14ac:dyDescent="0.3">
      <c r="A2" s="1" t="s">
        <v>5791</v>
      </c>
      <c r="B2" s="1" t="s">
        <v>5792</v>
      </c>
      <c r="C2" s="1" t="s">
        <v>5793</v>
      </c>
      <c r="D2" s="1" t="s">
        <v>5794</v>
      </c>
      <c r="E2" s="1" t="s">
        <v>5795</v>
      </c>
      <c r="F2" s="1" t="s">
        <v>5796</v>
      </c>
      <c r="G2" s="1" t="s">
        <v>5797</v>
      </c>
      <c r="H2" s="1" t="s">
        <v>5798</v>
      </c>
      <c r="I2" s="1" t="s">
        <v>5799</v>
      </c>
      <c r="J2" s="1" t="s">
        <v>5800</v>
      </c>
      <c r="K2" s="1" t="s">
        <v>5807</v>
      </c>
    </row>
    <row r="3" spans="1:11" x14ac:dyDescent="0.3">
      <c r="A3" s="84" t="s">
        <v>5827</v>
      </c>
      <c r="B3" s="84" t="s">
        <v>5812</v>
      </c>
      <c r="C3" s="84" t="s">
        <v>6020</v>
      </c>
      <c r="D3" s="84">
        <v>3000148</v>
      </c>
      <c r="E3" s="84" t="s">
        <v>6021</v>
      </c>
      <c r="F3" s="84" t="s">
        <v>5824</v>
      </c>
      <c r="G3" s="84" t="s">
        <v>6022</v>
      </c>
      <c r="H3" s="84">
        <v>35.65</v>
      </c>
      <c r="I3" s="84">
        <v>6.26</v>
      </c>
      <c r="J3" s="84" t="s">
        <v>5846</v>
      </c>
      <c r="K3" s="84" t="s">
        <v>6048</v>
      </c>
    </row>
    <row r="4" spans="1:11" x14ac:dyDescent="0.3">
      <c r="A4" s="84" t="s">
        <v>5827</v>
      </c>
      <c r="B4" s="84" t="s">
        <v>5812</v>
      </c>
      <c r="C4" s="84" t="s">
        <v>6020</v>
      </c>
      <c r="D4" s="84">
        <v>3000165</v>
      </c>
      <c r="E4" s="84" t="s">
        <v>6021</v>
      </c>
      <c r="F4" s="84" t="s">
        <v>6024</v>
      </c>
      <c r="G4" s="84" t="s">
        <v>5824</v>
      </c>
      <c r="H4" s="84">
        <v>103.57</v>
      </c>
      <c r="I4" s="84">
        <v>5.38</v>
      </c>
      <c r="J4" s="84" t="s">
        <v>5846</v>
      </c>
      <c r="K4" s="84" t="s">
        <v>6048</v>
      </c>
    </row>
    <row r="5" spans="1:11" x14ac:dyDescent="0.3">
      <c r="A5" s="84" t="s">
        <v>5811</v>
      </c>
      <c r="B5" s="84" t="s">
        <v>5812</v>
      </c>
      <c r="C5" s="84" t="s">
        <v>6032</v>
      </c>
      <c r="D5" s="84">
        <v>3000667</v>
      </c>
      <c r="E5" s="84" t="s">
        <v>6033</v>
      </c>
      <c r="F5" s="84" t="s">
        <v>6034</v>
      </c>
      <c r="G5" s="84" t="s">
        <v>6035</v>
      </c>
      <c r="H5" s="84">
        <v>106.68</v>
      </c>
      <c r="I5" s="84">
        <v>6.19</v>
      </c>
      <c r="J5" s="84" t="s">
        <v>5846</v>
      </c>
      <c r="K5" s="84" t="s">
        <v>6048</v>
      </c>
    </row>
    <row r="6" spans="1:11" x14ac:dyDescent="0.3">
      <c r="A6" s="84" t="s">
        <v>5827</v>
      </c>
      <c r="B6" s="84" t="s">
        <v>5812</v>
      </c>
      <c r="C6" s="84" t="s">
        <v>6037</v>
      </c>
      <c r="D6" s="84">
        <v>3000943</v>
      </c>
      <c r="E6" s="84" t="s">
        <v>5941</v>
      </c>
      <c r="F6" s="84" t="s">
        <v>5816</v>
      </c>
      <c r="G6" s="84" t="s">
        <v>5821</v>
      </c>
      <c r="H6" s="84">
        <v>71.599999999999994</v>
      </c>
      <c r="I6" s="84">
        <v>6.79</v>
      </c>
      <c r="J6" s="84" t="s">
        <v>5846</v>
      </c>
      <c r="K6" s="84" t="s">
        <v>6048</v>
      </c>
    </row>
    <row r="7" spans="1:11" x14ac:dyDescent="0.3">
      <c r="A7" s="2"/>
      <c r="B7" s="2"/>
      <c r="C7" s="2"/>
      <c r="D7" s="81">
        <v>3001079</v>
      </c>
      <c r="E7" s="81" t="s">
        <v>5870</v>
      </c>
      <c r="F7" s="81" t="s">
        <v>5871</v>
      </c>
      <c r="G7" s="81" t="s">
        <v>5831</v>
      </c>
      <c r="H7" s="81">
        <v>87.52</v>
      </c>
      <c r="I7" s="81">
        <v>3.83</v>
      </c>
      <c r="J7" s="81" t="s">
        <v>5846</v>
      </c>
      <c r="K7" s="81" t="s">
        <v>6049</v>
      </c>
    </row>
    <row r="8" spans="1:11" x14ac:dyDescent="0.3">
      <c r="A8" s="84" t="s">
        <v>5811</v>
      </c>
      <c r="B8" s="84" t="s">
        <v>5812</v>
      </c>
      <c r="C8" s="84" t="s">
        <v>6039</v>
      </c>
      <c r="D8" s="84">
        <v>3001124</v>
      </c>
      <c r="E8" s="84" t="s">
        <v>6040</v>
      </c>
      <c r="F8" s="84" t="s">
        <v>6041</v>
      </c>
      <c r="G8" s="84" t="s">
        <v>6042</v>
      </c>
      <c r="H8" s="84">
        <v>66.5</v>
      </c>
      <c r="I8" s="84">
        <v>4.6500000000000004</v>
      </c>
      <c r="J8" s="84" t="s">
        <v>5846</v>
      </c>
      <c r="K8" s="84" t="s">
        <v>6048</v>
      </c>
    </row>
    <row r="9" spans="1:11" x14ac:dyDescent="0.3">
      <c r="A9" s="2" t="s">
        <v>5827</v>
      </c>
      <c r="B9" s="2" t="s">
        <v>5983</v>
      </c>
      <c r="C9" s="2" t="s">
        <v>5984</v>
      </c>
      <c r="D9" s="81">
        <v>3001169</v>
      </c>
      <c r="E9" s="81" t="s">
        <v>5985</v>
      </c>
      <c r="F9" s="81" t="s">
        <v>5986</v>
      </c>
      <c r="G9" s="81" t="s">
        <v>5975</v>
      </c>
      <c r="H9" s="81">
        <v>61.34</v>
      </c>
      <c r="I9" s="81">
        <v>7.77</v>
      </c>
      <c r="J9" s="81" t="s">
        <v>5846</v>
      </c>
      <c r="K9" s="81" t="s">
        <v>6049</v>
      </c>
    </row>
    <row r="10" spans="1:11" x14ac:dyDescent="0.3">
      <c r="A10" s="2"/>
      <c r="B10" s="2"/>
      <c r="C10" s="2"/>
      <c r="D10" s="81">
        <v>3001197</v>
      </c>
      <c r="E10" s="81" t="s">
        <v>5873</v>
      </c>
      <c r="F10" s="81" t="s">
        <v>5874</v>
      </c>
      <c r="G10" s="81" t="s">
        <v>5875</v>
      </c>
      <c r="H10" s="81">
        <v>115.41</v>
      </c>
      <c r="I10" s="81">
        <v>6.99</v>
      </c>
      <c r="J10" s="81" t="s">
        <v>5846</v>
      </c>
      <c r="K10" s="81" t="s">
        <v>6049</v>
      </c>
    </row>
    <row r="11" spans="1:11" x14ac:dyDescent="0.3">
      <c r="A11" s="84"/>
      <c r="B11" s="84"/>
      <c r="C11" s="84"/>
      <c r="D11" s="84">
        <v>3001215</v>
      </c>
      <c r="E11" s="84" t="s">
        <v>5831</v>
      </c>
      <c r="F11" s="84" t="s">
        <v>5880</v>
      </c>
      <c r="G11" s="84" t="s">
        <v>5954</v>
      </c>
      <c r="H11" s="84">
        <v>30.85</v>
      </c>
      <c r="I11" s="84">
        <v>6.23</v>
      </c>
      <c r="J11" s="84" t="s">
        <v>5846</v>
      </c>
      <c r="K11" s="84" t="s">
        <v>6048</v>
      </c>
    </row>
    <row r="12" spans="1:11" x14ac:dyDescent="0.3">
      <c r="A12" s="2"/>
      <c r="B12" s="2"/>
      <c r="C12" s="2"/>
      <c r="D12" s="81">
        <v>3001222</v>
      </c>
      <c r="E12" s="81" t="s">
        <v>5873</v>
      </c>
      <c r="F12" s="81" t="s">
        <v>5877</v>
      </c>
      <c r="G12" s="81" t="s">
        <v>5874</v>
      </c>
      <c r="H12" s="81">
        <v>24.47</v>
      </c>
      <c r="I12" s="81">
        <v>6.99</v>
      </c>
      <c r="J12" s="81" t="s">
        <v>5846</v>
      </c>
      <c r="K12" s="81" t="s">
        <v>6049</v>
      </c>
    </row>
    <row r="13" spans="1:11" x14ac:dyDescent="0.3">
      <c r="A13" s="2" t="s">
        <v>5827</v>
      </c>
      <c r="B13" s="2" t="s">
        <v>5836</v>
      </c>
      <c r="C13" s="2" t="s">
        <v>5861</v>
      </c>
      <c r="D13" s="83">
        <v>3001270</v>
      </c>
      <c r="E13" s="81" t="s">
        <v>5862</v>
      </c>
      <c r="F13" s="81"/>
      <c r="G13" s="81"/>
      <c r="H13" s="81">
        <v>40.19</v>
      </c>
      <c r="I13" s="81">
        <v>6.03</v>
      </c>
      <c r="J13" s="81" t="s">
        <v>5846</v>
      </c>
      <c r="K13" s="81" t="s">
        <v>6049</v>
      </c>
    </row>
    <row r="14" spans="1:11" x14ac:dyDescent="0.3">
      <c r="A14" s="85" t="s">
        <v>5827</v>
      </c>
      <c r="B14" s="85" t="s">
        <v>5812</v>
      </c>
      <c r="C14" s="85" t="s">
        <v>5856</v>
      </c>
      <c r="D14" s="85">
        <v>3001317</v>
      </c>
      <c r="E14" s="85" t="s">
        <v>5857</v>
      </c>
      <c r="F14" s="85" t="s">
        <v>5858</v>
      </c>
      <c r="G14" s="85" t="s">
        <v>5859</v>
      </c>
      <c r="H14" s="85">
        <v>23.04</v>
      </c>
      <c r="I14" s="85">
        <v>6.99</v>
      </c>
      <c r="J14" s="85" t="s">
        <v>5846</v>
      </c>
      <c r="K14" s="85" t="s">
        <v>6050</v>
      </c>
    </row>
    <row r="15" spans="1:11" x14ac:dyDescent="0.3">
      <c r="A15" s="2" t="s">
        <v>5827</v>
      </c>
      <c r="B15" s="2" t="s">
        <v>5812</v>
      </c>
      <c r="C15" s="2" t="s">
        <v>5988</v>
      </c>
      <c r="D15" s="81">
        <v>3001352</v>
      </c>
      <c r="E15" s="81" t="s">
        <v>5989</v>
      </c>
      <c r="F15" s="81" t="s">
        <v>5867</v>
      </c>
      <c r="G15" s="81" t="s">
        <v>5867</v>
      </c>
      <c r="H15" s="81">
        <v>54.84</v>
      </c>
      <c r="I15" s="81">
        <v>6.24</v>
      </c>
      <c r="J15" s="81" t="s">
        <v>5846</v>
      </c>
      <c r="K15" s="81" t="s">
        <v>6049</v>
      </c>
    </row>
    <row r="16" spans="1:11" x14ac:dyDescent="0.3">
      <c r="A16" s="2"/>
      <c r="B16" s="2"/>
      <c r="C16" s="2"/>
      <c r="D16" s="81">
        <v>3001365</v>
      </c>
      <c r="E16" s="81" t="s">
        <v>6001</v>
      </c>
      <c r="F16" s="81" t="s">
        <v>6002</v>
      </c>
      <c r="G16" s="81" t="s">
        <v>6003</v>
      </c>
      <c r="H16" s="81">
        <v>53.42</v>
      </c>
      <c r="I16" s="81">
        <v>7.68</v>
      </c>
      <c r="J16" s="81" t="s">
        <v>5846</v>
      </c>
      <c r="K16" s="81" t="s">
        <v>6049</v>
      </c>
    </row>
    <row r="17" spans="1:11" x14ac:dyDescent="0.3">
      <c r="A17" s="85" t="s">
        <v>5827</v>
      </c>
      <c r="B17" s="85" t="s">
        <v>5836</v>
      </c>
      <c r="C17" s="85" t="s">
        <v>5861</v>
      </c>
      <c r="D17" s="86">
        <v>3001395</v>
      </c>
      <c r="E17" s="85" t="s">
        <v>5862</v>
      </c>
      <c r="F17" s="85"/>
      <c r="G17" s="85"/>
      <c r="H17" s="85">
        <v>158.85</v>
      </c>
      <c r="I17" s="85">
        <v>7.49</v>
      </c>
      <c r="J17" s="85" t="s">
        <v>5846</v>
      </c>
      <c r="K17" s="85" t="s">
        <v>6050</v>
      </c>
    </row>
    <row r="18" spans="1:11" x14ac:dyDescent="0.3">
      <c r="A18" s="85"/>
      <c r="B18" s="85"/>
      <c r="C18" s="85"/>
      <c r="D18" s="85">
        <v>3001418</v>
      </c>
      <c r="E18" s="85" t="s">
        <v>5977</v>
      </c>
      <c r="F18" s="85" t="s">
        <v>5978</v>
      </c>
      <c r="G18" s="85" t="s">
        <v>5979</v>
      </c>
      <c r="H18" s="85">
        <v>141.44999999999999</v>
      </c>
      <c r="I18" s="85">
        <v>5.46</v>
      </c>
      <c r="J18" s="85" t="s">
        <v>5846</v>
      </c>
      <c r="K18" s="85" t="s">
        <v>6050</v>
      </c>
    </row>
    <row r="19" spans="1:11" x14ac:dyDescent="0.3">
      <c r="A19" s="2"/>
      <c r="B19" s="2"/>
      <c r="C19" s="2"/>
      <c r="D19" s="81">
        <v>3001436</v>
      </c>
      <c r="E19" s="81" t="s">
        <v>5894</v>
      </c>
      <c r="F19" s="81" t="s">
        <v>6046</v>
      </c>
      <c r="G19" s="81" t="s">
        <v>5845</v>
      </c>
      <c r="H19" s="81">
        <v>80.72</v>
      </c>
      <c r="I19" s="81">
        <v>5.27</v>
      </c>
      <c r="J19" s="81" t="s">
        <v>5846</v>
      </c>
      <c r="K19" s="81" t="s">
        <v>6049</v>
      </c>
    </row>
    <row r="20" spans="1:11" x14ac:dyDescent="0.3">
      <c r="A20" s="85"/>
      <c r="B20" s="85"/>
      <c r="C20" s="85"/>
      <c r="D20" s="85">
        <v>3001455</v>
      </c>
      <c r="E20" s="85" t="s">
        <v>5978</v>
      </c>
      <c r="F20" s="85" t="s">
        <v>5977</v>
      </c>
      <c r="G20" s="85" t="s">
        <v>5845</v>
      </c>
      <c r="H20" s="85">
        <v>77.66</v>
      </c>
      <c r="I20" s="85">
        <v>5.56</v>
      </c>
      <c r="J20" s="85" t="s">
        <v>5846</v>
      </c>
      <c r="K20" s="85" t="s">
        <v>6050</v>
      </c>
    </row>
    <row r="21" spans="1:11" x14ac:dyDescent="0.3">
      <c r="A21" s="2"/>
      <c r="B21" s="2"/>
      <c r="C21" s="2"/>
      <c r="D21" s="82">
        <v>3001464</v>
      </c>
      <c r="E21" s="82" t="s">
        <v>5894</v>
      </c>
      <c r="F21" s="82" t="s">
        <v>5845</v>
      </c>
      <c r="G21" s="82" t="s">
        <v>5892</v>
      </c>
      <c r="H21" s="82">
        <v>23.01</v>
      </c>
      <c r="I21" s="82">
        <v>5.31</v>
      </c>
      <c r="J21" s="82" t="s">
        <v>5846</v>
      </c>
      <c r="K21" s="82" t="s">
        <v>6051</v>
      </c>
    </row>
    <row r="22" spans="1:11" x14ac:dyDescent="0.3">
      <c r="A22" s="2"/>
      <c r="B22" s="2"/>
      <c r="C22" s="2"/>
      <c r="D22" s="82">
        <v>3001465</v>
      </c>
      <c r="E22" s="82" t="s">
        <v>5892</v>
      </c>
      <c r="F22" s="82" t="s">
        <v>5893</v>
      </c>
      <c r="G22" s="82" t="s">
        <v>5894</v>
      </c>
      <c r="H22" s="82">
        <v>36.64</v>
      </c>
      <c r="I22" s="82">
        <v>6.09</v>
      </c>
      <c r="J22" s="82" t="s">
        <v>5846</v>
      </c>
      <c r="K22" s="82" t="s">
        <v>6051</v>
      </c>
    </row>
    <row r="23" spans="1:11" x14ac:dyDescent="0.3">
      <c r="A23" s="2" t="s">
        <v>5827</v>
      </c>
      <c r="B23" s="2" t="s">
        <v>5812</v>
      </c>
      <c r="C23" s="2" t="s">
        <v>5883</v>
      </c>
      <c r="D23" s="81">
        <v>3001479</v>
      </c>
      <c r="E23" s="81" t="s">
        <v>5884</v>
      </c>
      <c r="F23" s="81" t="s">
        <v>5885</v>
      </c>
      <c r="G23" s="81" t="s">
        <v>5886</v>
      </c>
      <c r="H23" s="81">
        <v>119.34</v>
      </c>
      <c r="I23" s="81">
        <v>7.55</v>
      </c>
      <c r="J23" s="81" t="s">
        <v>5846</v>
      </c>
      <c r="K23" s="81" t="s">
        <v>6049</v>
      </c>
    </row>
    <row r="24" spans="1:11" x14ac:dyDescent="0.3">
      <c r="A24" s="2" t="s">
        <v>5827</v>
      </c>
      <c r="B24" s="2" t="s">
        <v>5812</v>
      </c>
      <c r="C24" s="2" t="s">
        <v>5991</v>
      </c>
      <c r="D24" s="81">
        <v>3001486</v>
      </c>
      <c r="E24" s="81" t="s">
        <v>5886</v>
      </c>
      <c r="F24" s="81" t="s">
        <v>5816</v>
      </c>
      <c r="G24" s="81"/>
      <c r="H24" s="81">
        <v>25.66</v>
      </c>
      <c r="I24" s="81">
        <v>5.94</v>
      </c>
      <c r="J24" s="81" t="s">
        <v>5846</v>
      </c>
      <c r="K24" s="81" t="s">
        <v>6049</v>
      </c>
    </row>
    <row r="25" spans="1:11" x14ac:dyDescent="0.3">
      <c r="A25" s="85"/>
      <c r="B25" s="85"/>
      <c r="C25" s="85"/>
      <c r="D25" s="85">
        <v>3001709</v>
      </c>
      <c r="E25" s="85" t="s">
        <v>5892</v>
      </c>
      <c r="F25" s="85" t="s">
        <v>5900</v>
      </c>
      <c r="G25" s="85" t="s">
        <v>5901</v>
      </c>
      <c r="H25" s="85">
        <v>30.31</v>
      </c>
      <c r="I25" s="85">
        <v>7.43</v>
      </c>
      <c r="J25" s="85" t="s">
        <v>5846</v>
      </c>
      <c r="K25" s="85" t="s">
        <v>6050</v>
      </c>
    </row>
    <row r="26" spans="1:11" x14ac:dyDescent="0.3">
      <c r="A26" s="85"/>
      <c r="B26" s="85"/>
      <c r="C26" s="85"/>
      <c r="D26" s="85">
        <v>3001711</v>
      </c>
      <c r="E26" s="85" t="s">
        <v>5902</v>
      </c>
      <c r="F26" s="85" t="s">
        <v>5903</v>
      </c>
      <c r="G26" s="85" t="s">
        <v>5892</v>
      </c>
      <c r="H26" s="85">
        <v>50.12</v>
      </c>
      <c r="I26" s="85">
        <v>6.91</v>
      </c>
      <c r="J26" s="85" t="s">
        <v>5846</v>
      </c>
      <c r="K26" s="85" t="s">
        <v>6050</v>
      </c>
    </row>
    <row r="27" spans="1:11" x14ac:dyDescent="0.3">
      <c r="A27" s="2"/>
      <c r="B27" s="2"/>
      <c r="C27" s="2"/>
      <c r="D27" s="81">
        <v>3001724</v>
      </c>
      <c r="E27" s="81" t="s">
        <v>6004</v>
      </c>
      <c r="F27" s="81" t="s">
        <v>6005</v>
      </c>
      <c r="G27" s="81" t="s">
        <v>6006</v>
      </c>
      <c r="H27" s="81">
        <v>36.71</v>
      </c>
      <c r="I27" s="81">
        <v>5.95</v>
      </c>
      <c r="J27" s="81" t="s">
        <v>5846</v>
      </c>
      <c r="K27" s="81" t="s">
        <v>6049</v>
      </c>
    </row>
    <row r="28" spans="1:11" x14ac:dyDescent="0.3">
      <c r="A28" s="2"/>
      <c r="B28" s="2"/>
      <c r="C28" s="2"/>
      <c r="D28" s="81">
        <v>3001733</v>
      </c>
      <c r="E28" s="81" t="s">
        <v>6004</v>
      </c>
      <c r="F28" s="81" t="s">
        <v>6006</v>
      </c>
      <c r="G28" s="81" t="s">
        <v>6007</v>
      </c>
      <c r="H28" s="81">
        <v>11.74</v>
      </c>
      <c r="I28" s="81">
        <v>5.91</v>
      </c>
      <c r="J28" s="81" t="s">
        <v>5846</v>
      </c>
      <c r="K28" s="81" t="s">
        <v>6049</v>
      </c>
    </row>
    <row r="29" spans="1:11" x14ac:dyDescent="0.3">
      <c r="A29" s="2"/>
      <c r="B29" s="2"/>
      <c r="C29" s="2"/>
      <c r="D29" s="81">
        <v>3001751</v>
      </c>
      <c r="E29" s="81" t="s">
        <v>6004</v>
      </c>
      <c r="F29" s="81" t="s">
        <v>6007</v>
      </c>
      <c r="G29" s="81" t="s">
        <v>6008</v>
      </c>
      <c r="H29" s="81">
        <v>8.64</v>
      </c>
      <c r="I29" s="81">
        <v>5.88</v>
      </c>
      <c r="J29" s="81" t="s">
        <v>5846</v>
      </c>
      <c r="K29" s="81" t="s">
        <v>6049</v>
      </c>
    </row>
    <row r="30" spans="1:11" x14ac:dyDescent="0.3">
      <c r="A30" s="2"/>
      <c r="B30" s="2"/>
      <c r="C30" s="2"/>
      <c r="D30" s="81">
        <v>3001754</v>
      </c>
      <c r="E30" s="81" t="s">
        <v>5903</v>
      </c>
      <c r="F30" s="81" t="s">
        <v>5904</v>
      </c>
      <c r="G30" s="81" t="s">
        <v>5902</v>
      </c>
      <c r="H30" s="81">
        <v>72.08</v>
      </c>
      <c r="I30" s="81">
        <v>6.71</v>
      </c>
      <c r="J30" s="81" t="s">
        <v>5846</v>
      </c>
      <c r="K30" s="81" t="s">
        <v>6049</v>
      </c>
    </row>
    <row r="31" spans="1:11" x14ac:dyDescent="0.3">
      <c r="A31" s="2"/>
      <c r="B31" s="2"/>
      <c r="C31" s="2"/>
      <c r="D31" s="81">
        <v>3001756</v>
      </c>
      <c r="E31" s="81" t="s">
        <v>6004</v>
      </c>
      <c r="F31" s="81" t="s">
        <v>6009</v>
      </c>
      <c r="G31" s="81" t="s">
        <v>6010</v>
      </c>
      <c r="H31" s="81">
        <v>23.49</v>
      </c>
      <c r="I31" s="81">
        <v>6.03</v>
      </c>
      <c r="J31" s="81" t="s">
        <v>5846</v>
      </c>
      <c r="K31" s="81" t="s">
        <v>6049</v>
      </c>
    </row>
    <row r="32" spans="1:11" x14ac:dyDescent="0.3">
      <c r="A32" s="2" t="s">
        <v>5827</v>
      </c>
      <c r="B32" s="2" t="s">
        <v>5812</v>
      </c>
      <c r="C32" s="2" t="s">
        <v>5993</v>
      </c>
      <c r="D32" s="81">
        <v>3001757</v>
      </c>
      <c r="E32" s="81" t="s">
        <v>5815</v>
      </c>
      <c r="F32" s="81" t="s">
        <v>5994</v>
      </c>
      <c r="G32" s="81" t="s">
        <v>5995</v>
      </c>
      <c r="H32" s="81">
        <v>65.22</v>
      </c>
      <c r="I32" s="81">
        <v>4.92</v>
      </c>
      <c r="J32" s="81" t="s">
        <v>5846</v>
      </c>
      <c r="K32" s="81" t="s">
        <v>6049</v>
      </c>
    </row>
    <row r="33" spans="1:11" x14ac:dyDescent="0.3">
      <c r="A33" s="2"/>
      <c r="B33" s="2"/>
      <c r="C33" s="2"/>
      <c r="D33" s="81">
        <v>3001762</v>
      </c>
      <c r="E33" s="81" t="s">
        <v>6004</v>
      </c>
      <c r="F33" s="81" t="s">
        <v>6011</v>
      </c>
      <c r="G33" s="81" t="s">
        <v>6009</v>
      </c>
      <c r="H33" s="81">
        <v>13.23</v>
      </c>
      <c r="I33" s="81">
        <v>5.25</v>
      </c>
      <c r="J33" s="81" t="s">
        <v>5846</v>
      </c>
      <c r="K33" s="81" t="s">
        <v>6049</v>
      </c>
    </row>
    <row r="34" spans="1:11" x14ac:dyDescent="0.3">
      <c r="A34" s="2"/>
      <c r="B34" s="2"/>
      <c r="C34" s="2"/>
      <c r="D34" s="81">
        <v>3001774</v>
      </c>
      <c r="E34" s="81" t="s">
        <v>6012</v>
      </c>
      <c r="F34" s="81" t="s">
        <v>5900</v>
      </c>
      <c r="G34" s="81" t="s">
        <v>6013</v>
      </c>
      <c r="H34" s="81">
        <v>93.62</v>
      </c>
      <c r="I34" s="81">
        <v>6.01</v>
      </c>
      <c r="J34" s="81" t="s">
        <v>5846</v>
      </c>
      <c r="K34" s="81" t="s">
        <v>6049</v>
      </c>
    </row>
    <row r="35" spans="1:11" x14ac:dyDescent="0.3">
      <c r="A35" s="85"/>
      <c r="B35" s="85"/>
      <c r="C35" s="85"/>
      <c r="D35" s="85">
        <v>3001785</v>
      </c>
      <c r="E35" s="85" t="s">
        <v>5854</v>
      </c>
      <c r="F35" s="85" t="s">
        <v>5904</v>
      </c>
      <c r="G35" s="85" t="s">
        <v>5900</v>
      </c>
      <c r="H35" s="85">
        <v>104.45</v>
      </c>
      <c r="I35" s="85">
        <v>5.94</v>
      </c>
      <c r="J35" s="85" t="s">
        <v>5846</v>
      </c>
      <c r="K35" s="85" t="s">
        <v>6050</v>
      </c>
    </row>
    <row r="36" spans="1:11" x14ac:dyDescent="0.3">
      <c r="A36" s="2"/>
      <c r="B36" s="2"/>
      <c r="C36" s="2"/>
      <c r="D36" s="81">
        <v>3001790</v>
      </c>
      <c r="E36" s="81" t="s">
        <v>5903</v>
      </c>
      <c r="F36" s="81" t="s">
        <v>6014</v>
      </c>
      <c r="G36" s="81" t="s">
        <v>6015</v>
      </c>
      <c r="H36" s="81">
        <v>73.400000000000006</v>
      </c>
      <c r="I36" s="81">
        <v>6.58</v>
      </c>
      <c r="J36" s="81" t="s">
        <v>5846</v>
      </c>
      <c r="K36" s="81" t="s">
        <v>6049</v>
      </c>
    </row>
    <row r="37" spans="1:11" x14ac:dyDescent="0.3">
      <c r="A37" s="2" t="s">
        <v>5811</v>
      </c>
      <c r="B37" s="2" t="s">
        <v>5812</v>
      </c>
      <c r="C37" s="2" t="s">
        <v>5927</v>
      </c>
      <c r="D37" s="81">
        <v>3001819</v>
      </c>
      <c r="E37" s="81" t="s">
        <v>5928</v>
      </c>
      <c r="F37" s="81" t="s">
        <v>5929</v>
      </c>
      <c r="G37" s="81" t="s">
        <v>5930</v>
      </c>
      <c r="H37" s="81">
        <v>54.8</v>
      </c>
      <c r="I37" s="81">
        <v>6.07</v>
      </c>
      <c r="J37" s="81" t="s">
        <v>5846</v>
      </c>
      <c r="K37" s="81" t="s">
        <v>6049</v>
      </c>
    </row>
    <row r="38" spans="1:11" x14ac:dyDescent="0.3">
      <c r="A38" s="2" t="s">
        <v>5811</v>
      </c>
      <c r="B38" s="2" t="s">
        <v>5812</v>
      </c>
      <c r="C38" s="2" t="s">
        <v>5931</v>
      </c>
      <c r="D38" s="81">
        <v>3001822</v>
      </c>
      <c r="E38" s="81" t="s">
        <v>5932</v>
      </c>
      <c r="F38" s="81" t="s">
        <v>5928</v>
      </c>
      <c r="G38" s="81" t="s">
        <v>5933</v>
      </c>
      <c r="H38" s="81">
        <v>42.05</v>
      </c>
      <c r="I38" s="81">
        <v>7.01</v>
      </c>
      <c r="J38" s="81" t="s">
        <v>5846</v>
      </c>
      <c r="K38" s="81" t="s">
        <v>6049</v>
      </c>
    </row>
    <row r="39" spans="1:11" x14ac:dyDescent="0.3">
      <c r="A39" s="2" t="s">
        <v>5827</v>
      </c>
      <c r="B39" s="2" t="s">
        <v>5836</v>
      </c>
      <c r="C39" s="2" t="s">
        <v>5997</v>
      </c>
      <c r="D39" s="81">
        <v>3001840</v>
      </c>
      <c r="E39" s="81" t="s">
        <v>5998</v>
      </c>
      <c r="F39" s="81" t="s">
        <v>5999</v>
      </c>
      <c r="G39" s="81" t="s">
        <v>6000</v>
      </c>
      <c r="H39" s="81">
        <v>51.51</v>
      </c>
      <c r="I39" s="81">
        <v>3.59</v>
      </c>
      <c r="J39" s="81" t="s">
        <v>5846</v>
      </c>
      <c r="K39" s="81" t="s">
        <v>6049</v>
      </c>
    </row>
    <row r="40" spans="1:11" x14ac:dyDescent="0.3">
      <c r="A40" s="2" t="s">
        <v>5827</v>
      </c>
      <c r="B40" s="2" t="s">
        <v>5836</v>
      </c>
      <c r="C40" s="2" t="s">
        <v>5837</v>
      </c>
      <c r="D40" s="82">
        <v>3001849</v>
      </c>
      <c r="E40" s="82" t="s">
        <v>5838</v>
      </c>
      <c r="F40" s="82" t="s">
        <v>5839</v>
      </c>
      <c r="G40" s="82" t="s">
        <v>5840</v>
      </c>
      <c r="H40" s="82">
        <v>257.02</v>
      </c>
      <c r="I40" s="82">
        <v>4.25</v>
      </c>
      <c r="J40" s="82" t="s">
        <v>5841</v>
      </c>
      <c r="K40" s="82" t="s">
        <v>6051</v>
      </c>
    </row>
    <row r="41" spans="1:11" x14ac:dyDescent="0.3">
      <c r="A41" s="2"/>
      <c r="B41" s="2"/>
      <c r="C41" s="2"/>
      <c r="D41" s="82">
        <v>3001875</v>
      </c>
      <c r="E41" s="82" t="s">
        <v>5843</v>
      </c>
      <c r="F41" s="82" t="s">
        <v>5844</v>
      </c>
      <c r="G41" s="82" t="s">
        <v>5845</v>
      </c>
      <c r="H41" s="82">
        <v>34</v>
      </c>
      <c r="I41" s="82">
        <v>7.37</v>
      </c>
      <c r="J41" s="82" t="s">
        <v>5846</v>
      </c>
      <c r="K41" s="82" t="s">
        <v>6051</v>
      </c>
    </row>
    <row r="42" spans="1:11" x14ac:dyDescent="0.3">
      <c r="A42" s="2"/>
      <c r="B42" s="2"/>
      <c r="C42" s="2"/>
      <c r="D42" s="82">
        <v>3001882</v>
      </c>
      <c r="E42" s="82" t="s">
        <v>5843</v>
      </c>
      <c r="F42" s="82" t="s">
        <v>5845</v>
      </c>
      <c r="G42" s="82" t="s">
        <v>5847</v>
      </c>
      <c r="H42" s="82">
        <v>85.99</v>
      </c>
      <c r="I42" s="82">
        <v>6.98</v>
      </c>
      <c r="J42" s="82" t="s">
        <v>5846</v>
      </c>
      <c r="K42" s="82" t="s">
        <v>6051</v>
      </c>
    </row>
    <row r="43" spans="1:11" x14ac:dyDescent="0.3">
      <c r="A43" s="2" t="s">
        <v>5827</v>
      </c>
      <c r="B43" s="2" t="s">
        <v>5836</v>
      </c>
      <c r="C43" s="2" t="s">
        <v>5861</v>
      </c>
      <c r="D43" s="83">
        <v>3002186</v>
      </c>
      <c r="E43" s="81" t="s">
        <v>5862</v>
      </c>
      <c r="F43" s="81"/>
      <c r="G43" s="81"/>
      <c r="H43" s="81">
        <v>210.3</v>
      </c>
      <c r="I43" s="81">
        <v>6.14</v>
      </c>
      <c r="J43" s="81" t="s">
        <v>5846</v>
      </c>
      <c r="K43" s="81" t="s">
        <v>6049</v>
      </c>
    </row>
    <row r="44" spans="1:11" x14ac:dyDescent="0.3">
      <c r="A44" s="85"/>
      <c r="B44" s="85"/>
      <c r="C44" s="85"/>
      <c r="D44" s="85">
        <v>3002256</v>
      </c>
      <c r="E44" s="85" t="s">
        <v>5905</v>
      </c>
      <c r="F44" s="85" t="s">
        <v>5906</v>
      </c>
      <c r="G44" s="85" t="s">
        <v>5907</v>
      </c>
      <c r="H44" s="85">
        <v>34.36</v>
      </c>
      <c r="I44" s="85">
        <v>10.52</v>
      </c>
      <c r="J44" s="85" t="s">
        <v>5846</v>
      </c>
      <c r="K44" s="85" t="s">
        <v>6050</v>
      </c>
    </row>
    <row r="45" spans="1:11" x14ac:dyDescent="0.3">
      <c r="A45" s="2"/>
      <c r="B45" s="2"/>
      <c r="C45" s="2"/>
      <c r="D45" s="81">
        <v>3002257</v>
      </c>
      <c r="E45" s="81" t="s">
        <v>5903</v>
      </c>
      <c r="F45" s="81" t="s">
        <v>5843</v>
      </c>
      <c r="G45" s="81" t="s">
        <v>6014</v>
      </c>
      <c r="H45" s="81">
        <v>167.56</v>
      </c>
      <c r="I45" s="81">
        <v>6.57</v>
      </c>
      <c r="J45" s="81" t="s">
        <v>5846</v>
      </c>
      <c r="K45" s="81" t="s">
        <v>6049</v>
      </c>
    </row>
    <row r="46" spans="1:11" x14ac:dyDescent="0.3">
      <c r="A46" s="2"/>
      <c r="B46" s="2"/>
      <c r="C46" s="2"/>
      <c r="D46" s="81">
        <v>3002273</v>
      </c>
      <c r="E46" s="81" t="s">
        <v>6001</v>
      </c>
      <c r="F46" s="81" t="s">
        <v>5844</v>
      </c>
      <c r="G46" s="81" t="s">
        <v>6002</v>
      </c>
      <c r="H46" s="81">
        <v>26.98</v>
      </c>
      <c r="I46" s="81">
        <v>7.36</v>
      </c>
      <c r="J46" s="81" t="s">
        <v>5846</v>
      </c>
      <c r="K46" s="81" t="s">
        <v>6049</v>
      </c>
    </row>
    <row r="47" spans="1:11" x14ac:dyDescent="0.3">
      <c r="A47" s="2" t="s">
        <v>5827</v>
      </c>
      <c r="B47" s="2" t="s">
        <v>5812</v>
      </c>
      <c r="C47" s="2" t="s">
        <v>5888</v>
      </c>
      <c r="D47" s="81">
        <v>3002274</v>
      </c>
      <c r="E47" s="81" t="s">
        <v>5859</v>
      </c>
      <c r="F47" s="81" t="s">
        <v>5857</v>
      </c>
      <c r="G47" s="81" t="s">
        <v>5889</v>
      </c>
      <c r="H47" s="81">
        <v>27.04</v>
      </c>
      <c r="I47" s="81">
        <v>7.67</v>
      </c>
      <c r="J47" s="81" t="s">
        <v>5846</v>
      </c>
      <c r="K47" s="81" t="s">
        <v>6049</v>
      </c>
    </row>
    <row r="48" spans="1:11" x14ac:dyDescent="0.3">
      <c r="A48" s="2"/>
      <c r="B48" s="2"/>
      <c r="C48" s="2"/>
      <c r="D48" s="82">
        <v>3002470</v>
      </c>
      <c r="E48" s="82" t="s">
        <v>5843</v>
      </c>
      <c r="F48" s="82" t="s">
        <v>5847</v>
      </c>
      <c r="G48" s="82" t="s">
        <v>5848</v>
      </c>
      <c r="H48" s="82">
        <v>49.16</v>
      </c>
      <c r="I48" s="82">
        <v>7.21</v>
      </c>
      <c r="J48" s="82" t="s">
        <v>5846</v>
      </c>
      <c r="K48" s="82" t="s">
        <v>6051</v>
      </c>
    </row>
    <row r="49" spans="1:11" x14ac:dyDescent="0.3">
      <c r="A49" s="2"/>
      <c r="B49" s="2"/>
      <c r="C49" s="2"/>
      <c r="D49" s="81">
        <v>3002474</v>
      </c>
      <c r="E49" s="81" t="s">
        <v>6001</v>
      </c>
      <c r="F49" s="81" t="s">
        <v>6016</v>
      </c>
      <c r="G49" s="81" t="s">
        <v>6017</v>
      </c>
      <c r="H49" s="81">
        <v>64.88</v>
      </c>
      <c r="I49" s="81">
        <v>6.79</v>
      </c>
      <c r="J49" s="81" t="s">
        <v>5846</v>
      </c>
      <c r="K49" s="81" t="s">
        <v>6049</v>
      </c>
    </row>
    <row r="50" spans="1:11" x14ac:dyDescent="0.3">
      <c r="A50" s="85" t="s">
        <v>5827</v>
      </c>
      <c r="B50" s="85" t="s">
        <v>5910</v>
      </c>
      <c r="C50" s="85" t="s">
        <v>5911</v>
      </c>
      <c r="D50" s="86">
        <v>3002546</v>
      </c>
      <c r="E50" s="85" t="s">
        <v>5912</v>
      </c>
      <c r="F50" s="85" t="s">
        <v>5913</v>
      </c>
      <c r="G50" s="85" t="s">
        <v>5914</v>
      </c>
      <c r="H50" s="85">
        <v>54.48</v>
      </c>
      <c r="I50" s="85">
        <v>5.97</v>
      </c>
      <c r="J50" s="85" t="s">
        <v>5846</v>
      </c>
      <c r="K50" s="85" t="s">
        <v>6050</v>
      </c>
    </row>
    <row r="51" spans="1:11" x14ac:dyDescent="0.3">
      <c r="A51" s="2"/>
      <c r="B51" s="2"/>
      <c r="C51" s="2"/>
      <c r="D51" s="81">
        <v>3002605</v>
      </c>
      <c r="E51" s="81" t="s">
        <v>5873</v>
      </c>
      <c r="F51" s="81" t="s">
        <v>5877</v>
      </c>
      <c r="G51" s="81" t="s">
        <v>5891</v>
      </c>
      <c r="H51" s="81">
        <v>14.46</v>
      </c>
      <c r="I51" s="81">
        <v>7.46</v>
      </c>
      <c r="J51" s="81" t="s">
        <v>5846</v>
      </c>
      <c r="K51" s="81" t="s">
        <v>6049</v>
      </c>
    </row>
    <row r="52" spans="1:11" x14ac:dyDescent="0.3">
      <c r="A52" s="85" t="s">
        <v>5827</v>
      </c>
      <c r="B52" s="85" t="s">
        <v>5910</v>
      </c>
      <c r="C52" s="85" t="s">
        <v>5911</v>
      </c>
      <c r="D52" s="86">
        <v>3002819</v>
      </c>
      <c r="E52" s="85" t="s">
        <v>5912</v>
      </c>
      <c r="F52" s="85" t="s">
        <v>5913</v>
      </c>
      <c r="G52" s="85" t="s">
        <v>5914</v>
      </c>
      <c r="H52" s="85">
        <v>36.4</v>
      </c>
      <c r="I52" s="85">
        <v>5.77</v>
      </c>
      <c r="J52" s="85" t="s">
        <v>5846</v>
      </c>
      <c r="K52" s="85" t="s">
        <v>6050</v>
      </c>
    </row>
    <row r="53" spans="1:11" x14ac:dyDescent="0.3">
      <c r="A53" s="2" t="s">
        <v>5811</v>
      </c>
      <c r="B53" s="2" t="s">
        <v>5812</v>
      </c>
      <c r="C53" s="2" t="s">
        <v>5850</v>
      </c>
      <c r="D53" s="82">
        <v>3002823</v>
      </c>
      <c r="E53" s="82" t="s">
        <v>5851</v>
      </c>
      <c r="F53" s="82" t="s">
        <v>5852</v>
      </c>
      <c r="G53" s="82" t="s">
        <v>5853</v>
      </c>
      <c r="H53" s="82">
        <v>102.23</v>
      </c>
      <c r="I53" s="82">
        <v>2.4700000000000002</v>
      </c>
      <c r="J53" s="82" t="s">
        <v>5841</v>
      </c>
      <c r="K53" s="82" t="s">
        <v>6051</v>
      </c>
    </row>
    <row r="54" spans="1:11" x14ac:dyDescent="0.3">
      <c r="A54" s="84" t="s">
        <v>5827</v>
      </c>
      <c r="B54" s="84" t="s">
        <v>5812</v>
      </c>
      <c r="C54" s="84" t="s">
        <v>5970</v>
      </c>
      <c r="D54" s="84">
        <v>3002828</v>
      </c>
      <c r="E54" s="84" t="s">
        <v>5889</v>
      </c>
      <c r="F54" s="84" t="s">
        <v>5971</v>
      </c>
      <c r="G54" s="84" t="s">
        <v>5867</v>
      </c>
      <c r="H54" s="84">
        <v>52.16</v>
      </c>
      <c r="I54" s="84">
        <v>7.69</v>
      </c>
      <c r="J54" s="84" t="s">
        <v>5846</v>
      </c>
      <c r="K54" s="84" t="s">
        <v>6048</v>
      </c>
    </row>
    <row r="55" spans="1:11" x14ac:dyDescent="0.3">
      <c r="A55" s="85" t="s">
        <v>5827</v>
      </c>
      <c r="B55" s="85" t="s">
        <v>5864</v>
      </c>
      <c r="C55" s="85" t="s">
        <v>5865</v>
      </c>
      <c r="D55" s="85">
        <v>3002833</v>
      </c>
      <c r="E55" s="85" t="s">
        <v>5866</v>
      </c>
      <c r="F55" s="85" t="s">
        <v>5867</v>
      </c>
      <c r="G55" s="85" t="s">
        <v>5868</v>
      </c>
      <c r="H55" s="85">
        <v>85.78</v>
      </c>
      <c r="I55" s="85">
        <v>5.0599999999999996</v>
      </c>
      <c r="J55" s="85" t="s">
        <v>5846</v>
      </c>
      <c r="K55" s="85" t="s">
        <v>6050</v>
      </c>
    </row>
    <row r="56" spans="1:11" x14ac:dyDescent="0.3">
      <c r="A56" s="2"/>
      <c r="B56" s="2"/>
      <c r="C56" s="2"/>
      <c r="D56" s="82">
        <v>3002896</v>
      </c>
      <c r="E56" s="82" t="s">
        <v>5843</v>
      </c>
      <c r="F56" s="82" t="s">
        <v>5847</v>
      </c>
      <c r="G56" s="82" t="s">
        <v>5854</v>
      </c>
      <c r="H56" s="82">
        <v>57.96</v>
      </c>
      <c r="I56" s="82">
        <v>10.06</v>
      </c>
      <c r="J56" s="82" t="s">
        <v>5846</v>
      </c>
      <c r="K56" s="82" t="s">
        <v>6051</v>
      </c>
    </row>
    <row r="57" spans="1:11" x14ac:dyDescent="0.3">
      <c r="A57" s="85"/>
      <c r="B57" s="85"/>
      <c r="C57" s="85"/>
      <c r="D57" s="85">
        <v>3003016</v>
      </c>
      <c r="E57" s="85" t="s">
        <v>5854</v>
      </c>
      <c r="F57" s="85" t="s">
        <v>5915</v>
      </c>
      <c r="G57" s="85" t="s">
        <v>5916</v>
      </c>
      <c r="H57" s="85">
        <v>132.37</v>
      </c>
      <c r="I57" s="85">
        <v>6.71</v>
      </c>
      <c r="J57" s="85" t="s">
        <v>5846</v>
      </c>
      <c r="K57" s="85" t="s">
        <v>6050</v>
      </c>
    </row>
    <row r="58" spans="1:11" x14ac:dyDescent="0.3">
      <c r="A58" s="2"/>
      <c r="B58" s="2"/>
      <c r="C58" s="2"/>
      <c r="D58" s="81">
        <v>3003017</v>
      </c>
      <c r="E58" s="81" t="s">
        <v>5854</v>
      </c>
      <c r="F58" s="81" t="s">
        <v>5916</v>
      </c>
      <c r="G58" s="81" t="s">
        <v>5904</v>
      </c>
      <c r="H58" s="81">
        <v>32.1</v>
      </c>
      <c r="I58" s="81">
        <v>6.66</v>
      </c>
      <c r="J58" s="81" t="s">
        <v>5846</v>
      </c>
      <c r="K58" s="81" t="s">
        <v>6049</v>
      </c>
    </row>
    <row r="59" spans="1:11" x14ac:dyDescent="0.3">
      <c r="A59" s="2" t="s">
        <v>5811</v>
      </c>
      <c r="B59" s="2" t="s">
        <v>5812</v>
      </c>
      <c r="C59" s="2" t="s">
        <v>5973</v>
      </c>
      <c r="D59" s="82">
        <v>17000424</v>
      </c>
      <c r="E59" s="82" t="s">
        <v>5974</v>
      </c>
      <c r="F59" s="82" t="s">
        <v>5975</v>
      </c>
      <c r="G59" s="82" t="s">
        <v>5976</v>
      </c>
      <c r="H59" s="82">
        <v>41.6</v>
      </c>
      <c r="I59" s="82">
        <v>6.02</v>
      </c>
      <c r="J59" s="82" t="s">
        <v>5846</v>
      </c>
      <c r="K59" s="82" t="s">
        <v>6051</v>
      </c>
    </row>
  </sheetData>
  <autoFilter ref="A2:K59" xr:uid="{3BC105ED-E37F-4E8B-A33E-AF7BD8F5AE97}">
    <sortState xmlns:xlrd2="http://schemas.microsoft.com/office/spreadsheetml/2017/richdata2" ref="A3:K59">
      <sortCondition ref="D2:D59"/>
    </sortState>
  </autoFilter>
  <mergeCells count="1">
    <mergeCell ref="A1:K1"/>
  </mergeCells>
  <conditionalFormatting sqref="D3:D59">
    <cfRule type="duplicateValues" dxfId="0" priority="4"/>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DD3D4-4913-42E8-8452-4E68E288146D}">
  <dimension ref="A1:GL198"/>
  <sheetViews>
    <sheetView topLeftCell="DC1" workbookViewId="0">
      <selection activeCell="DL2" sqref="DL2:DL3"/>
    </sheetView>
  </sheetViews>
  <sheetFormatPr baseColWidth="10" defaultColWidth="11.44140625" defaultRowHeight="14.4" x14ac:dyDescent="0.3"/>
  <cols>
    <col min="2" max="4" width="16.6640625" bestFit="1" customWidth="1"/>
    <col min="6" max="6" width="18.33203125" bestFit="1" customWidth="1"/>
    <col min="8" max="8" width="16.6640625" bestFit="1" customWidth="1"/>
    <col min="10" max="10" width="16.6640625" bestFit="1" customWidth="1"/>
    <col min="12" max="12" width="16.6640625" bestFit="1" customWidth="1"/>
    <col min="14" max="14" width="16.6640625" bestFit="1" customWidth="1"/>
    <col min="16" max="16" width="16.6640625" bestFit="1" customWidth="1"/>
    <col min="18" max="18" width="16.6640625" bestFit="1" customWidth="1"/>
    <col min="20" max="20" width="16.6640625" bestFit="1" customWidth="1"/>
    <col min="22" max="22" width="16.6640625" bestFit="1" customWidth="1"/>
    <col min="24" max="24" width="16.6640625" bestFit="1" customWidth="1"/>
    <col min="26" max="26" width="16.6640625" bestFit="1" customWidth="1"/>
    <col min="28" max="28" width="16.6640625" bestFit="1" customWidth="1"/>
    <col min="30" max="30" width="16.6640625" bestFit="1" customWidth="1"/>
    <col min="32" max="32" width="16.6640625" bestFit="1" customWidth="1"/>
    <col min="34" max="34" width="16.6640625" bestFit="1" customWidth="1"/>
    <col min="36" max="36" width="16.6640625" bestFit="1" customWidth="1"/>
    <col min="38" max="38" width="16.6640625" bestFit="1" customWidth="1"/>
    <col min="40" max="40" width="16.6640625" bestFit="1" customWidth="1"/>
    <col min="42" max="42" width="16.6640625" bestFit="1" customWidth="1"/>
    <col min="44" max="44" width="16.6640625" bestFit="1" customWidth="1"/>
    <col min="46" max="46" width="16.6640625" bestFit="1" customWidth="1"/>
    <col min="48" max="48" width="16.6640625" bestFit="1" customWidth="1"/>
    <col min="50" max="50" width="15.5546875" bestFit="1" customWidth="1"/>
    <col min="52" max="52" width="15.5546875" bestFit="1" customWidth="1"/>
    <col min="54" max="54" width="16.6640625" bestFit="1" customWidth="1"/>
    <col min="56" max="56" width="16.6640625" bestFit="1" customWidth="1"/>
    <col min="58" max="58" width="15.5546875" bestFit="1" customWidth="1"/>
    <col min="60" max="60" width="15.5546875" bestFit="1" customWidth="1"/>
    <col min="62" max="62" width="16.6640625" bestFit="1" customWidth="1"/>
    <col min="64" max="64" width="15.5546875" bestFit="1" customWidth="1"/>
    <col min="66" max="66" width="15.5546875" bestFit="1" customWidth="1"/>
    <col min="68" max="68" width="15.5546875" bestFit="1" customWidth="1"/>
    <col min="70" max="70" width="16.6640625" bestFit="1" customWidth="1"/>
    <col min="72" max="72" width="16.6640625" bestFit="1" customWidth="1"/>
    <col min="74" max="74" width="16.6640625" bestFit="1" customWidth="1"/>
    <col min="76" max="76" width="16.6640625" bestFit="1" customWidth="1"/>
    <col min="78" max="78" width="15.5546875" bestFit="1" customWidth="1"/>
    <col min="80" max="80" width="16.6640625" bestFit="1" customWidth="1"/>
    <col min="82" max="82" width="16.6640625" bestFit="1" customWidth="1"/>
    <col min="84" max="84" width="16.6640625" bestFit="1" customWidth="1"/>
    <col min="86" max="86" width="16.6640625" bestFit="1" customWidth="1"/>
    <col min="88" max="88" width="15.5546875" bestFit="1" customWidth="1"/>
    <col min="90" max="90" width="15.5546875" bestFit="1" customWidth="1"/>
    <col min="92" max="92" width="16.6640625" bestFit="1" customWidth="1"/>
    <col min="94" max="94" width="16.6640625" bestFit="1" customWidth="1"/>
    <col min="96" max="96" width="16.6640625" bestFit="1" customWidth="1"/>
    <col min="98" max="98" width="16.6640625" bestFit="1" customWidth="1"/>
    <col min="100" max="100" width="15.5546875" bestFit="1" customWidth="1"/>
    <col min="102" max="102" width="15.5546875" bestFit="1" customWidth="1"/>
    <col min="104" max="104" width="15.5546875" bestFit="1" customWidth="1"/>
    <col min="106" max="106" width="15.5546875" bestFit="1" customWidth="1"/>
    <col min="108" max="108" width="16.6640625" bestFit="1" customWidth="1"/>
    <col min="110" max="110" width="15.5546875" bestFit="1" customWidth="1"/>
    <col min="112" max="112" width="16.6640625" bestFit="1" customWidth="1"/>
    <col min="114" max="114" width="15.5546875" bestFit="1" customWidth="1"/>
    <col min="116" max="116" width="16.6640625" bestFit="1" customWidth="1"/>
    <col min="118" max="118" width="15.5546875" bestFit="1" customWidth="1"/>
    <col min="120" max="120" width="16.6640625" bestFit="1" customWidth="1"/>
    <col min="122" max="122" width="18.33203125" bestFit="1" customWidth="1"/>
    <col min="124" max="124" width="16.6640625" bestFit="1" customWidth="1"/>
    <col min="126" max="126" width="16.6640625" bestFit="1" customWidth="1"/>
    <col min="128" max="128" width="15.5546875" bestFit="1" customWidth="1"/>
    <col min="130" max="130" width="16.6640625" bestFit="1" customWidth="1"/>
    <col min="132" max="132" width="15.5546875" bestFit="1" customWidth="1"/>
    <col min="134" max="134" width="15.5546875" bestFit="1" customWidth="1"/>
    <col min="136" max="136" width="15.5546875" bestFit="1" customWidth="1"/>
    <col min="138" max="138" width="16.6640625" bestFit="1" customWidth="1"/>
    <col min="140" max="140" width="15.5546875" bestFit="1" customWidth="1"/>
    <col min="142" max="142" width="15.5546875" bestFit="1" customWidth="1"/>
    <col min="144" max="144" width="16.6640625" bestFit="1" customWidth="1"/>
    <col min="146" max="146" width="15.5546875" bestFit="1" customWidth="1"/>
    <col min="148" max="148" width="15.5546875" bestFit="1" customWidth="1"/>
    <col min="150" max="150" width="16.6640625" bestFit="1" customWidth="1"/>
    <col min="152" max="152" width="15.5546875" bestFit="1" customWidth="1"/>
    <col min="154" max="154" width="16.6640625" bestFit="1" customWidth="1"/>
    <col min="156" max="156" width="15.5546875" bestFit="1" customWidth="1"/>
    <col min="158" max="158" width="16.6640625" bestFit="1" customWidth="1"/>
    <col min="160" max="160" width="15.5546875" bestFit="1" customWidth="1"/>
    <col min="162" max="162" width="15.5546875" bestFit="1" customWidth="1"/>
    <col min="164" max="164" width="15.5546875" bestFit="1" customWidth="1"/>
    <col min="166" max="166" width="15.5546875" bestFit="1" customWidth="1"/>
    <col min="168" max="168" width="16.6640625" bestFit="1" customWidth="1"/>
    <col min="170" max="170" width="15.5546875" bestFit="1" customWidth="1"/>
    <col min="172" max="172" width="15.5546875" bestFit="1" customWidth="1"/>
    <col min="174" max="174" width="16.6640625" bestFit="1" customWidth="1"/>
    <col min="176" max="176" width="15.5546875" bestFit="1" customWidth="1"/>
    <col min="178" max="178" width="16.6640625" bestFit="1" customWidth="1"/>
    <col min="180" max="180" width="15.5546875" bestFit="1" customWidth="1"/>
    <col min="182" max="182" width="15.5546875" bestFit="1" customWidth="1"/>
    <col min="184" max="184" width="16.6640625" bestFit="1" customWidth="1"/>
    <col min="186" max="186" width="16.6640625" bestFit="1" customWidth="1"/>
    <col min="188" max="188" width="15.5546875" bestFit="1" customWidth="1"/>
    <col min="190" max="190" width="16.6640625" bestFit="1" customWidth="1"/>
    <col min="192" max="192" width="16.6640625" bestFit="1" customWidth="1"/>
  </cols>
  <sheetData>
    <row r="1" spans="1:194" x14ac:dyDescent="0.3">
      <c r="A1" t="s">
        <v>5794</v>
      </c>
      <c r="B1">
        <v>3001464</v>
      </c>
      <c r="D1">
        <v>3001465</v>
      </c>
      <c r="F1">
        <v>3001849</v>
      </c>
      <c r="H1">
        <v>3001875</v>
      </c>
      <c r="J1">
        <v>3001882</v>
      </c>
      <c r="L1">
        <v>3002470</v>
      </c>
      <c r="N1">
        <v>3002823</v>
      </c>
      <c r="P1">
        <v>3002896</v>
      </c>
      <c r="R1">
        <v>17000424</v>
      </c>
      <c r="T1">
        <v>3001317</v>
      </c>
      <c r="V1">
        <v>3001395</v>
      </c>
      <c r="X1">
        <v>3001418</v>
      </c>
      <c r="Z1">
        <v>3001455</v>
      </c>
      <c r="AB1">
        <v>3001709</v>
      </c>
      <c r="AD1">
        <v>3001711</v>
      </c>
      <c r="AF1">
        <v>3001785</v>
      </c>
      <c r="AH1">
        <v>3002256</v>
      </c>
      <c r="AJ1">
        <v>3002546</v>
      </c>
      <c r="AL1">
        <v>3002819</v>
      </c>
      <c r="AN1">
        <v>3002833</v>
      </c>
      <c r="AP1">
        <v>3003016</v>
      </c>
      <c r="AR1">
        <v>3001774</v>
      </c>
      <c r="AT1">
        <v>3001790</v>
      </c>
      <c r="AV1">
        <v>3001819</v>
      </c>
      <c r="AX1">
        <v>3001822</v>
      </c>
      <c r="AZ1">
        <v>3001840</v>
      </c>
      <c r="BB1">
        <v>3002186</v>
      </c>
      <c r="BD1">
        <v>3002257</v>
      </c>
      <c r="BF1">
        <v>3002273</v>
      </c>
      <c r="BH1">
        <v>3002274</v>
      </c>
      <c r="BJ1">
        <v>3002474</v>
      </c>
      <c r="BL1">
        <v>3002605</v>
      </c>
      <c r="BN1">
        <v>3003017</v>
      </c>
      <c r="BP1">
        <v>3000148</v>
      </c>
      <c r="BR1">
        <v>3000165</v>
      </c>
      <c r="BT1">
        <v>3000667</v>
      </c>
      <c r="BV1">
        <v>3000943</v>
      </c>
      <c r="BX1">
        <v>3001124</v>
      </c>
      <c r="BZ1">
        <v>3001215</v>
      </c>
      <c r="CB1">
        <v>3002828</v>
      </c>
      <c r="CD1">
        <v>3001079</v>
      </c>
      <c r="CF1">
        <v>3001169</v>
      </c>
      <c r="CH1">
        <v>3001197</v>
      </c>
      <c r="CJ1">
        <v>3001222</v>
      </c>
      <c r="CL1">
        <v>3001270</v>
      </c>
      <c r="CN1">
        <v>3001352</v>
      </c>
      <c r="CP1">
        <v>3001365</v>
      </c>
      <c r="CR1">
        <v>3001436</v>
      </c>
      <c r="CT1">
        <v>3001479</v>
      </c>
      <c r="CV1">
        <v>3001486</v>
      </c>
      <c r="CX1">
        <v>3001724</v>
      </c>
      <c r="CZ1">
        <v>3001733</v>
      </c>
      <c r="DB1">
        <v>3001751</v>
      </c>
      <c r="DD1">
        <v>3001754</v>
      </c>
      <c r="DF1">
        <v>3001756</v>
      </c>
      <c r="DH1">
        <v>3001757</v>
      </c>
      <c r="DJ1">
        <v>3001762</v>
      </c>
      <c r="DL1">
        <v>3001062</v>
      </c>
      <c r="DN1">
        <v>3002246</v>
      </c>
      <c r="DP1">
        <v>3002450</v>
      </c>
      <c r="DR1">
        <v>3002932</v>
      </c>
      <c r="DT1">
        <v>3002911</v>
      </c>
      <c r="DV1">
        <v>3000220</v>
      </c>
      <c r="DX1">
        <v>3001330</v>
      </c>
      <c r="DZ1">
        <v>3000012</v>
      </c>
      <c r="EB1">
        <v>3001304</v>
      </c>
      <c r="ED1">
        <v>3001283</v>
      </c>
      <c r="EF1">
        <v>3002657</v>
      </c>
      <c r="EH1">
        <v>3000373</v>
      </c>
      <c r="EJ1">
        <v>3000349</v>
      </c>
      <c r="EL1">
        <v>3000337</v>
      </c>
      <c r="EN1">
        <v>3000328</v>
      </c>
      <c r="EP1">
        <v>3000297</v>
      </c>
      <c r="ER1">
        <v>3000985</v>
      </c>
      <c r="ET1">
        <v>3000961</v>
      </c>
      <c r="EV1">
        <v>3000307</v>
      </c>
      <c r="EX1">
        <v>3001689</v>
      </c>
      <c r="EZ1">
        <v>3002471</v>
      </c>
      <c r="FB1">
        <v>3001116</v>
      </c>
      <c r="FD1">
        <v>3001153</v>
      </c>
      <c r="FF1">
        <v>3001181</v>
      </c>
      <c r="FH1">
        <v>3001229</v>
      </c>
      <c r="FJ1">
        <v>3001292</v>
      </c>
      <c r="FL1">
        <v>3001398</v>
      </c>
      <c r="FN1">
        <v>3001157</v>
      </c>
      <c r="FP1">
        <v>3001131</v>
      </c>
      <c r="FR1">
        <v>3001112</v>
      </c>
      <c r="FT1">
        <v>3001204</v>
      </c>
      <c r="FV1">
        <v>3001445</v>
      </c>
      <c r="FX1">
        <v>3001363</v>
      </c>
      <c r="FZ1">
        <v>3001187</v>
      </c>
      <c r="GB1">
        <v>3001161</v>
      </c>
      <c r="GD1">
        <v>3001113</v>
      </c>
      <c r="GF1">
        <v>3001051</v>
      </c>
      <c r="GH1">
        <v>3001354</v>
      </c>
      <c r="GJ1">
        <v>3000609</v>
      </c>
    </row>
    <row r="2" spans="1:194" x14ac:dyDescent="0.3">
      <c r="A2" t="s">
        <v>6088</v>
      </c>
      <c r="B2" s="94">
        <f>+'PPTO RIGIDOS RECONS'!M185</f>
        <v>0</v>
      </c>
      <c r="D2" s="94" t="e">
        <f>+'PPTO RIGIDOS RECONS'!O185</f>
        <v>#N/A</v>
      </c>
      <c r="F2" s="94">
        <f>+'PPTO RIGIDOS RECONS'!Q185</f>
        <v>0</v>
      </c>
      <c r="H2" s="94" t="e">
        <f>+'PPTO RIGIDOS RECONS'!S185</f>
        <v>#N/A</v>
      </c>
      <c r="J2" s="94" t="e">
        <f>+'PPTO RIGIDOS RECONS'!U185</f>
        <v>#N/A</v>
      </c>
      <c r="L2" s="94" t="e">
        <f>+'PPTO RIGIDOS RECONS'!W185</f>
        <v>#N/A</v>
      </c>
      <c r="N2" s="94">
        <f>+'PPTO RIGIDOS RECONS'!Y185</f>
        <v>0</v>
      </c>
      <c r="P2" s="94" t="e">
        <f>+'PPTO RIGIDOS RECONS'!AA185</f>
        <v>#N/A</v>
      </c>
      <c r="R2" s="94">
        <f>+'PPTO RIGIDOS RECONS'!AC185</f>
        <v>0</v>
      </c>
      <c r="T2" s="94" t="e">
        <f>+'PPTO RIGIDOS REHAB'!M185</f>
        <v>#N/A</v>
      </c>
      <c r="V2" s="94">
        <f>+'PPTO RIGIDOS REHAB'!O185</f>
        <v>0</v>
      </c>
      <c r="X2" s="94">
        <f>+'PPTO RIGIDOS REHAB'!Q185</f>
        <v>0</v>
      </c>
      <c r="Z2" s="94">
        <f>+'PPTO RIGIDOS REHAB'!S185</f>
        <v>0</v>
      </c>
      <c r="AB2" s="94" t="e">
        <f>+'PPTO RIGIDOS REHAB'!U185</f>
        <v>#N/A</v>
      </c>
      <c r="AD2" s="94" t="e">
        <f>+'PPTO RIGIDOS REHAB'!W185</f>
        <v>#N/A</v>
      </c>
      <c r="AF2" s="94">
        <f>+'PPTO RIGIDOS REHAB'!Y185</f>
        <v>0</v>
      </c>
      <c r="AH2" s="94" t="e">
        <f>+'PPTO RIGIDOS REHAB'!AA185</f>
        <v>#N/A</v>
      </c>
      <c r="AJ2" s="94" t="e">
        <f>+'PPTO RIGIDOS REHAB'!AC185</f>
        <v>#N/A</v>
      </c>
      <c r="AL2" s="94">
        <f>+'PPTO RIGIDOS REHAB'!AE185</f>
        <v>0</v>
      </c>
      <c r="AN2" s="94" t="e">
        <f>+'PPTO RIGIDOS REHAB'!AG185</f>
        <v>#N/A</v>
      </c>
      <c r="AP2" s="94">
        <f>+'PPTO RIGIDOS REHAB'!AI185</f>
        <v>0</v>
      </c>
      <c r="AR2" s="94">
        <f>+'PPTO RIGIDOS MANT'!M185</f>
        <v>0</v>
      </c>
      <c r="AT2" s="94">
        <f>+'PPTO RIGIDOS MANT'!O185</f>
        <v>0</v>
      </c>
      <c r="AV2" s="94">
        <f>+'PPTO RIGIDOS MANT'!Q185</f>
        <v>0</v>
      </c>
      <c r="AX2" s="94">
        <f>+'PPTO RIGIDOS MANT'!S185</f>
        <v>0</v>
      </c>
      <c r="AZ2" s="94">
        <f>+'PPTO RIGIDOS MANT'!U185</f>
        <v>0</v>
      </c>
      <c r="BB2" s="94">
        <f>+'PPTO RIGIDOS MANT'!W185</f>
        <v>0</v>
      </c>
      <c r="BD2" s="94">
        <f>+'PPTO RIGIDOS MANT'!Y185</f>
        <v>0</v>
      </c>
      <c r="BF2" s="94">
        <f>+'PPTO RIGIDOS MANT'!AA185</f>
        <v>0</v>
      </c>
      <c r="BH2" s="94">
        <f>+'PPTO RIGIDOS MANT'!AC185</f>
        <v>0</v>
      </c>
      <c r="BJ2" s="94">
        <f>+'PPTO RIGIDOS MANT'!AE185</f>
        <v>0</v>
      </c>
      <c r="BL2" s="94">
        <f>+'PPTO RIGIDOS MANT'!AG185</f>
        <v>0</v>
      </c>
      <c r="BN2" s="94">
        <f>+'PPTO RIGIDOS MANT'!AI185</f>
        <v>0</v>
      </c>
      <c r="BP2" s="94">
        <f>+'PPTO RIGIDOS MANT'!AK185</f>
        <v>0</v>
      </c>
      <c r="BR2" s="94">
        <f>+'PPTO RIGIDOS MANT'!AM185</f>
        <v>0</v>
      </c>
      <c r="BT2" s="94">
        <f>+'PPTO RIGIDOS MANT'!AO185</f>
        <v>0</v>
      </c>
      <c r="BV2" s="94">
        <f>+'PPTO RIGIDOS MANT'!AQ185</f>
        <v>0</v>
      </c>
      <c r="BX2" s="94">
        <f>+'PPTO RIGIDOS MANT'!AS185</f>
        <v>0</v>
      </c>
      <c r="BZ2" s="94">
        <f>+'PPTO RIGIDOS MANT'!AU185</f>
        <v>0</v>
      </c>
      <c r="CB2" s="94">
        <f>+'PPTO RIGIDOS MANT'!AW185</f>
        <v>0</v>
      </c>
      <c r="CD2" s="94" t="e">
        <f>+'PPTO RIGIDOS MANT'!AY185</f>
        <v>#N/A</v>
      </c>
      <c r="CF2" s="94">
        <f>+'PPTO RIGIDOS MANT'!BA185</f>
        <v>0</v>
      </c>
      <c r="CH2" s="94">
        <f>+'PPTO RIGIDOS MANT'!BC185</f>
        <v>0</v>
      </c>
      <c r="CJ2" s="94">
        <f>+'PPTO RIGIDOS MANT'!BE185</f>
        <v>0</v>
      </c>
      <c r="CL2" s="94">
        <f>+'PPTO RIGIDOS MANT'!BG185</f>
        <v>0</v>
      </c>
      <c r="CN2" s="94">
        <f>+'PPTO RIGIDOS MANT'!BI185</f>
        <v>0</v>
      </c>
      <c r="CP2" s="94">
        <f>+'PPTO RIGIDOS MANT'!BK185</f>
        <v>0</v>
      </c>
      <c r="CR2" s="94">
        <f>+'PPTO RIGIDOS MANT'!BM185</f>
        <v>0</v>
      </c>
      <c r="CT2" s="94" t="e">
        <f>+'PPTO RIGIDOS MANT'!BO185</f>
        <v>#N/A</v>
      </c>
      <c r="CV2" s="94">
        <f>+'PPTO RIGIDOS MANT'!BQ185</f>
        <v>0</v>
      </c>
      <c r="CX2" s="94">
        <f>+'PPTO RIGIDOS MANT'!BS185</f>
        <v>0</v>
      </c>
      <c r="CZ2" s="94">
        <f>+'PPTO RIGIDOS MANT'!BU185</f>
        <v>0</v>
      </c>
      <c r="DB2" s="94">
        <f>+'PPTO RIGIDOS MANT'!BW185</f>
        <v>0</v>
      </c>
      <c r="DD2" s="94">
        <f>+'PPTO RIGIDOS MANT'!BY185</f>
        <v>0</v>
      </c>
      <c r="DF2" s="94">
        <f>+'PPTO RIGIDOS MANT'!CA185</f>
        <v>0</v>
      </c>
      <c r="DH2" s="94">
        <f>+'PPTO RIGIDOS MANT'!CC185</f>
        <v>0</v>
      </c>
      <c r="DJ2" s="94">
        <f>+'PPTO RIGIDOS MANT'!CE185</f>
        <v>0</v>
      </c>
      <c r="DL2" s="94">
        <f>+'PPTO FLEXIBLE RECONS'!M185</f>
        <v>0</v>
      </c>
      <c r="DN2" s="94">
        <f>+'PPTO FLEXIBLE RECONS'!O185</f>
        <v>0</v>
      </c>
      <c r="DP2" s="94">
        <f>+'PPTO FLEXIBLE RECONS'!Q185</f>
        <v>0</v>
      </c>
      <c r="DR2" s="94">
        <f>+'PPTO FLEXIBLE RECONS'!S185</f>
        <v>0</v>
      </c>
      <c r="DT2" s="94">
        <f>+'PPTO FLEXIBLE RECONS'!U185</f>
        <v>0</v>
      </c>
      <c r="DV2" s="94" t="e">
        <f>+'PPTO FLEXIBLE RECONS'!W185</f>
        <v>#N/A</v>
      </c>
      <c r="DX2" s="94" t="e">
        <f>+'PPTO FLEXIBLE REHAB'!M185</f>
        <v>#N/A</v>
      </c>
      <c r="DZ2" s="94" t="e">
        <f>+'PPTO FLEXIBLE REHAB'!O185</f>
        <v>#N/A</v>
      </c>
      <c r="EB2" s="94">
        <f>+'PPTO FLEXIBLE MANT'!M185</f>
        <v>0</v>
      </c>
      <c r="ED2" s="94" t="e">
        <f>+'PPTO FLEXIBLE MANT'!O185</f>
        <v>#N/A</v>
      </c>
      <c r="EF2" s="94">
        <f>+'PPTO FLEXIBLE MANT'!Q185</f>
        <v>0</v>
      </c>
      <c r="EH2" s="94">
        <f>+'PPTO FLEXIBLE MANT'!S185</f>
        <v>0</v>
      </c>
      <c r="EJ2" s="94">
        <f>+'PPTO FLEXIBLE MANT'!U185</f>
        <v>0</v>
      </c>
      <c r="EL2" s="94">
        <f>+'PPTO FLEXIBLE MANT'!W185</f>
        <v>0</v>
      </c>
      <c r="EN2" s="94">
        <f>+'PPTO FLEXIBLE MANT'!Y185</f>
        <v>0</v>
      </c>
      <c r="EP2" s="94">
        <f>+'PPTO FLEXIBLE MANT'!AA185</f>
        <v>0</v>
      </c>
      <c r="ER2" s="94">
        <f>+'PPTO FLEXIBLE MANT'!AC185</f>
        <v>0</v>
      </c>
      <c r="ET2" s="94">
        <f>+'PPTO FLEXIBLE MANT'!AE185</f>
        <v>0</v>
      </c>
      <c r="EV2" s="94">
        <f>+'PPTO FLEXIBLE MANT'!AG185</f>
        <v>0</v>
      </c>
      <c r="EX2" s="94">
        <f>+'PPTO FLEXIBLE MANT'!AI185</f>
        <v>0</v>
      </c>
      <c r="EZ2" s="94">
        <f>+'PPTO FLEXIBLE MANT'!AK185</f>
        <v>0</v>
      </c>
      <c r="FB2" s="94">
        <f>+'PPTO FLEXIBLE MANT'!AM185</f>
        <v>0</v>
      </c>
      <c r="FD2" s="94">
        <f>+'PPTO FLEXIBLE MANT'!AO185</f>
        <v>0</v>
      </c>
      <c r="FF2" s="94">
        <f>+'PPTO FLEXIBLE MANT'!AQ185</f>
        <v>0</v>
      </c>
      <c r="FH2" s="94">
        <f>+'PPTO FLEXIBLE MANT'!AS185</f>
        <v>0</v>
      </c>
      <c r="FJ2" s="94">
        <f>+'PPTO FLEXIBLE MANT'!AU185</f>
        <v>0</v>
      </c>
      <c r="FL2" s="94">
        <f>+'PPTO FLEXIBLE MANT'!AW185</f>
        <v>0</v>
      </c>
      <c r="FN2" s="94">
        <f>+'PPTO FLEXIBLE MANT'!AY185</f>
        <v>0</v>
      </c>
      <c r="FP2" s="94">
        <f>+'PPTO FLEXIBLE MANT'!BA185</f>
        <v>0</v>
      </c>
      <c r="FR2" s="94">
        <f>+'PPTO FLEXIBLE MANT'!BC185</f>
        <v>0</v>
      </c>
      <c r="FT2" s="94">
        <f>+'PPTO FLEXIBLE MANT'!BE185</f>
        <v>0</v>
      </c>
      <c r="FV2" s="94">
        <f>+'PPTO FLEXIBLE MANT'!BG185</f>
        <v>0</v>
      </c>
      <c r="FX2" s="94">
        <f>+'PPTO FLEXIBLE MANT'!BI185</f>
        <v>0</v>
      </c>
      <c r="FZ2" s="94">
        <f>+'PPTO FLEXIBLE MANT'!BK185</f>
        <v>0</v>
      </c>
      <c r="GB2" s="94">
        <f>+'PPTO FLEXIBLE MANT'!BM185</f>
        <v>0</v>
      </c>
      <c r="GD2" s="94">
        <f>+'PPTO FLEXIBLE MANT'!BO185</f>
        <v>0</v>
      </c>
      <c r="GF2" s="94">
        <f>+'PPTO FLEXIBLE MANT'!BQ185</f>
        <v>0</v>
      </c>
      <c r="GH2" s="94">
        <f>+'PPTO FLEXIBLE MANT'!BS185</f>
        <v>0</v>
      </c>
      <c r="GJ2" s="94">
        <f>+'PPTO FLEXIBLE MANT'!BU185</f>
        <v>0</v>
      </c>
      <c r="GL2" s="94"/>
    </row>
    <row r="3" spans="1:194" x14ac:dyDescent="0.3">
      <c r="A3" t="s">
        <v>6089</v>
      </c>
      <c r="B3" s="94">
        <f>+'PPTO RIGIDOS RECONS'!M186</f>
        <v>0</v>
      </c>
      <c r="D3" s="94">
        <f>+'PPTO RIGIDOS RECONS'!O186</f>
        <v>49617873</v>
      </c>
      <c r="F3" s="94">
        <f>+'PPTO RIGIDOS RECONS'!Q186</f>
        <v>0</v>
      </c>
      <c r="H3" s="94">
        <f>+'PPTO RIGIDOS RECONS'!S186</f>
        <v>48327705</v>
      </c>
      <c r="J3" s="94">
        <f>+'PPTO RIGIDOS RECONS'!U186</f>
        <v>114307279</v>
      </c>
      <c r="L3" s="94">
        <f>+'PPTO RIGIDOS RECONS'!W186</f>
        <v>66481501</v>
      </c>
      <c r="N3" s="94">
        <f>+'PPTO RIGIDOS RECONS'!Y186</f>
        <v>0</v>
      </c>
      <c r="P3" s="94">
        <f>+'PPTO RIGIDOS RECONS'!AA186</f>
        <v>84324361</v>
      </c>
      <c r="R3" s="94">
        <f>+'PPTO RIGIDOS RECONS'!AC186</f>
        <v>0</v>
      </c>
      <c r="T3" s="94">
        <f>+'PPTO RIGIDOS REHAB'!M186</f>
        <v>33574449</v>
      </c>
      <c r="V3" s="94">
        <f>+'PPTO RIGIDOS REHAB'!O186</f>
        <v>0</v>
      </c>
      <c r="X3" s="94">
        <f>+'PPTO RIGIDOS REHAB'!Q186</f>
        <v>0</v>
      </c>
      <c r="Z3" s="94">
        <f>+'PPTO RIGIDOS REHAB'!S186</f>
        <v>0</v>
      </c>
      <c r="AB3" s="94">
        <f>+'PPTO RIGIDOS REHAB'!U186</f>
        <v>0</v>
      </c>
      <c r="AD3" s="94">
        <f>+'PPTO RIGIDOS REHAB'!W186</f>
        <v>0</v>
      </c>
      <c r="AF3" s="94">
        <f>+'PPTO RIGIDOS REHAB'!Y186</f>
        <v>0</v>
      </c>
      <c r="AH3" s="94">
        <f>+'PPTO RIGIDOS REHAB'!AA186</f>
        <v>49752848</v>
      </c>
      <c r="AJ3" s="94">
        <f>+'PPTO RIGIDOS REHAB'!AC186</f>
        <v>75829774</v>
      </c>
      <c r="AL3" s="94">
        <f>+'PPTO RIGIDOS REHAB'!AE186</f>
        <v>0</v>
      </c>
      <c r="AN3" s="94">
        <f>+'PPTO RIGIDOS REHAB'!AG186</f>
        <v>117397095</v>
      </c>
      <c r="AP3" s="94">
        <f>+'PPTO RIGIDOS REHAB'!AI186</f>
        <v>0</v>
      </c>
      <c r="AR3" s="94">
        <f>+'PPTO RIGIDOS MANT'!M186</f>
        <v>0</v>
      </c>
      <c r="AT3" s="94">
        <f>+'PPTO RIGIDOS MANT'!O186</f>
        <v>0</v>
      </c>
      <c r="AV3" s="94">
        <f>+'PPTO RIGIDOS MANT'!Q186</f>
        <v>0</v>
      </c>
      <c r="AX3" s="94">
        <f>+'PPTO RIGIDOS MANT'!S186</f>
        <v>0</v>
      </c>
      <c r="AZ3" s="94">
        <f>+'PPTO RIGIDOS MANT'!U186</f>
        <v>0</v>
      </c>
      <c r="BB3" s="94">
        <f>+'PPTO RIGIDOS MANT'!W186</f>
        <v>0</v>
      </c>
      <c r="BD3" s="94">
        <f>+'PPTO RIGIDOS MANT'!Y186</f>
        <v>0</v>
      </c>
      <c r="BF3" s="94">
        <f>+'PPTO RIGIDOS MANT'!AA186</f>
        <v>0</v>
      </c>
      <c r="BH3" s="94">
        <f>+'PPTO RIGIDOS MANT'!AC186</f>
        <v>0</v>
      </c>
      <c r="BJ3" s="94">
        <f>+'PPTO RIGIDOS MANT'!AE186</f>
        <v>0</v>
      </c>
      <c r="BL3" s="94">
        <f>+'PPTO RIGIDOS MANT'!AG186</f>
        <v>0</v>
      </c>
      <c r="BN3" s="94">
        <f>+'PPTO RIGIDOS MANT'!AI186</f>
        <v>0</v>
      </c>
      <c r="BP3" s="94">
        <f>+'PPTO RIGIDOS MANT'!AK186</f>
        <v>0</v>
      </c>
      <c r="BR3" s="94">
        <f>+'PPTO RIGIDOS MANT'!AM186</f>
        <v>0</v>
      </c>
      <c r="BT3" s="94">
        <f>+'PPTO RIGIDOS MANT'!AO186</f>
        <v>0</v>
      </c>
      <c r="BV3" s="94">
        <f>+'PPTO RIGIDOS MANT'!AQ186</f>
        <v>0</v>
      </c>
      <c r="BX3" s="94">
        <f>+'PPTO RIGIDOS MANT'!AS186</f>
        <v>0</v>
      </c>
      <c r="BZ3" s="94">
        <f>+'PPTO RIGIDOS MANT'!AU186</f>
        <v>0</v>
      </c>
      <c r="CB3" s="94">
        <f>+'PPTO RIGIDOS MANT'!AW186</f>
        <v>0</v>
      </c>
      <c r="CD3" s="94">
        <f>+'PPTO RIGIDOS MANT'!AY186</f>
        <v>0</v>
      </c>
      <c r="CF3" s="94">
        <f>+'PPTO RIGIDOS MANT'!BA186</f>
        <v>0</v>
      </c>
      <c r="CH3" s="94">
        <f>+'PPTO RIGIDOS MANT'!BC186</f>
        <v>0</v>
      </c>
      <c r="CJ3" s="94">
        <f>+'PPTO RIGIDOS MANT'!BE186</f>
        <v>0</v>
      </c>
      <c r="CL3" s="94">
        <f>+'PPTO RIGIDOS MANT'!BG186</f>
        <v>0</v>
      </c>
      <c r="CN3" s="94">
        <f>+'PPTO RIGIDOS MANT'!BI186</f>
        <v>0</v>
      </c>
      <c r="CP3" s="94">
        <f>+'PPTO RIGIDOS MANT'!BK186</f>
        <v>0</v>
      </c>
      <c r="CR3" s="94">
        <f>+'PPTO RIGIDOS MANT'!BM186</f>
        <v>0</v>
      </c>
      <c r="CT3" s="94">
        <f>+'PPTO RIGIDOS MANT'!BO186</f>
        <v>0</v>
      </c>
      <c r="CV3" s="94">
        <f>+'PPTO RIGIDOS MANT'!BQ186</f>
        <v>0</v>
      </c>
      <c r="CX3" s="94">
        <f>+'PPTO RIGIDOS MANT'!BS186</f>
        <v>0</v>
      </c>
      <c r="CZ3" s="94">
        <f>+'PPTO RIGIDOS MANT'!BU186</f>
        <v>0</v>
      </c>
      <c r="DB3" s="94">
        <f>+'PPTO RIGIDOS MANT'!BW186</f>
        <v>0</v>
      </c>
      <c r="DD3" s="94">
        <f>+'PPTO RIGIDOS MANT'!BY186</f>
        <v>0</v>
      </c>
      <c r="DF3" s="94">
        <f>+'PPTO RIGIDOS MANT'!CA186</f>
        <v>0</v>
      </c>
      <c r="DH3" s="94">
        <f>+'PPTO RIGIDOS MANT'!CC186</f>
        <v>0</v>
      </c>
      <c r="DJ3" s="94">
        <f>+'PPTO RIGIDOS MANT'!CE186</f>
        <v>0</v>
      </c>
      <c r="DL3" s="94">
        <f>+'PPTO FLEXIBLE RECONS'!M186</f>
        <v>0</v>
      </c>
      <c r="DN3" s="94">
        <f>+'PPTO FLEXIBLE RECONS'!O186</f>
        <v>0</v>
      </c>
      <c r="DP3" s="94">
        <f>+'PPTO FLEXIBLE RECONS'!Q186</f>
        <v>0</v>
      </c>
      <c r="DR3" s="94">
        <f>+'PPTO FLEXIBLE RECONS'!S186</f>
        <v>0</v>
      </c>
      <c r="DT3" s="94">
        <f>+'PPTO FLEXIBLE RECONS'!U186</f>
        <v>0</v>
      </c>
      <c r="DV3" s="94">
        <f>+'PPTO FLEXIBLE RECONS'!W186</f>
        <v>155167510</v>
      </c>
      <c r="DX3" s="94">
        <f>+'PPTO FLEXIBLE REHAB'!M186</f>
        <v>0</v>
      </c>
      <c r="DZ3" s="94">
        <f>+'PPTO FLEXIBLE REHAB'!O186</f>
        <v>0</v>
      </c>
      <c r="EB3" s="94">
        <f>+'PPTO FLEXIBLE MANT'!M186</f>
        <v>0</v>
      </c>
      <c r="ED3" s="94">
        <f>+'PPTO FLEXIBLE MANT'!O186</f>
        <v>0</v>
      </c>
      <c r="EF3" s="94">
        <f>+'PPTO FLEXIBLE MANT'!Q186</f>
        <v>0</v>
      </c>
      <c r="EH3" s="94">
        <f>+'PPTO FLEXIBLE MANT'!S186</f>
        <v>0</v>
      </c>
      <c r="EJ3" s="94">
        <f>+'PPTO FLEXIBLE MANT'!U186</f>
        <v>0</v>
      </c>
      <c r="EL3" s="94">
        <f>+'PPTO FLEXIBLE MANT'!W186</f>
        <v>0</v>
      </c>
      <c r="EN3" s="94">
        <f>+'PPTO FLEXIBLE MANT'!Y186</f>
        <v>0</v>
      </c>
      <c r="EP3" s="94">
        <f>+'PPTO FLEXIBLE MANT'!AA186</f>
        <v>0</v>
      </c>
      <c r="ER3" s="94">
        <f>+'PPTO FLEXIBLE MANT'!AC186</f>
        <v>0</v>
      </c>
      <c r="ET3" s="94">
        <f>+'PPTO FLEXIBLE MANT'!AE186</f>
        <v>0</v>
      </c>
      <c r="EV3" s="94">
        <f>+'PPTO FLEXIBLE MANT'!AG186</f>
        <v>0</v>
      </c>
      <c r="EX3" s="94">
        <f>+'PPTO FLEXIBLE MANT'!AI186</f>
        <v>0</v>
      </c>
      <c r="EZ3" s="94">
        <f>+'PPTO FLEXIBLE MANT'!AK186</f>
        <v>0</v>
      </c>
      <c r="FB3" s="94">
        <f>+'PPTO FLEXIBLE MANT'!AM186</f>
        <v>0</v>
      </c>
      <c r="FD3" s="94">
        <f>+'PPTO FLEXIBLE MANT'!AO186</f>
        <v>0</v>
      </c>
      <c r="FF3" s="94">
        <f>+'PPTO FLEXIBLE MANT'!AQ186</f>
        <v>0</v>
      </c>
      <c r="FH3" s="94">
        <f>+'PPTO FLEXIBLE MANT'!AS186</f>
        <v>0</v>
      </c>
      <c r="FJ3" s="94">
        <f>+'PPTO FLEXIBLE MANT'!AU186</f>
        <v>0</v>
      </c>
      <c r="FL3" s="94">
        <f>+'PPTO FLEXIBLE MANT'!AW186</f>
        <v>0</v>
      </c>
      <c r="FN3" s="94">
        <f>+'PPTO FLEXIBLE MANT'!AY186</f>
        <v>0</v>
      </c>
      <c r="FP3" s="94">
        <f>+'PPTO FLEXIBLE MANT'!BA186</f>
        <v>0</v>
      </c>
      <c r="FR3" s="94">
        <f>+'PPTO FLEXIBLE MANT'!BC186</f>
        <v>0</v>
      </c>
      <c r="FT3" s="94">
        <f>+'PPTO FLEXIBLE MANT'!BE186</f>
        <v>0</v>
      </c>
      <c r="FV3" s="94">
        <f>+'PPTO FLEXIBLE MANT'!BG186</f>
        <v>0</v>
      </c>
      <c r="FX3" s="94">
        <f>+'PPTO FLEXIBLE MANT'!BI186</f>
        <v>0</v>
      </c>
      <c r="FZ3" s="94">
        <f>+'PPTO FLEXIBLE MANT'!BK186</f>
        <v>0</v>
      </c>
      <c r="GB3" s="94">
        <f>+'PPTO FLEXIBLE MANT'!BM186</f>
        <v>0</v>
      </c>
      <c r="GD3" s="94">
        <f>+'PPTO FLEXIBLE MANT'!BO186</f>
        <v>0</v>
      </c>
      <c r="GF3" s="94">
        <f>+'PPTO FLEXIBLE MANT'!BQ186</f>
        <v>0</v>
      </c>
      <c r="GH3" s="94">
        <f>+'PPTO FLEXIBLE MANT'!BS186</f>
        <v>0</v>
      </c>
      <c r="GJ3" s="94">
        <f>+'PPTO FLEXIBLE MANT'!BU186</f>
        <v>0</v>
      </c>
      <c r="GL3" s="94"/>
    </row>
    <row r="7" spans="1:194" x14ac:dyDescent="0.3">
      <c r="A7" t="str" cm="1">
        <f t="array" ref="A7:C198">+TRANSPOSE(A1:GJ3)</f>
        <v>CIV</v>
      </c>
      <c r="B7" t="str">
        <v>VIA</v>
      </c>
      <c r="C7" t="str">
        <v>EP</v>
      </c>
    </row>
    <row r="8" spans="1:194" x14ac:dyDescent="0.3">
      <c r="A8">
        <v>3001464</v>
      </c>
      <c r="B8">
        <v>0</v>
      </c>
      <c r="C8">
        <v>0</v>
      </c>
    </row>
    <row r="9" spans="1:194" x14ac:dyDescent="0.3">
      <c r="A9">
        <v>0</v>
      </c>
      <c r="B9">
        <v>0</v>
      </c>
      <c r="C9">
        <v>0</v>
      </c>
    </row>
    <row r="10" spans="1:194" x14ac:dyDescent="0.3">
      <c r="A10">
        <v>3001465</v>
      </c>
      <c r="B10" t="e">
        <v>#N/A</v>
      </c>
      <c r="C10">
        <v>49617873</v>
      </c>
    </row>
    <row r="11" spans="1:194" x14ac:dyDescent="0.3">
      <c r="A11">
        <v>0</v>
      </c>
      <c r="B11">
        <v>0</v>
      </c>
      <c r="C11">
        <v>0</v>
      </c>
    </row>
    <row r="12" spans="1:194" x14ac:dyDescent="0.3">
      <c r="A12">
        <v>3001849</v>
      </c>
      <c r="B12">
        <v>0</v>
      </c>
      <c r="C12">
        <v>0</v>
      </c>
    </row>
    <row r="13" spans="1:194" x14ac:dyDescent="0.3">
      <c r="A13">
        <v>0</v>
      </c>
      <c r="B13">
        <v>0</v>
      </c>
      <c r="C13">
        <v>0</v>
      </c>
    </row>
    <row r="14" spans="1:194" x14ac:dyDescent="0.3">
      <c r="A14">
        <v>3001875</v>
      </c>
      <c r="B14" t="e">
        <v>#N/A</v>
      </c>
      <c r="C14">
        <v>48327705</v>
      </c>
    </row>
    <row r="15" spans="1:194" x14ac:dyDescent="0.3">
      <c r="A15">
        <v>0</v>
      </c>
      <c r="B15">
        <v>0</v>
      </c>
      <c r="C15">
        <v>0</v>
      </c>
    </row>
    <row r="16" spans="1:194" x14ac:dyDescent="0.3">
      <c r="A16">
        <v>3001882</v>
      </c>
      <c r="B16" t="e">
        <v>#N/A</v>
      </c>
      <c r="C16">
        <v>114307279</v>
      </c>
    </row>
    <row r="17" spans="1:3" x14ac:dyDescent="0.3">
      <c r="A17">
        <v>0</v>
      </c>
      <c r="B17">
        <v>0</v>
      </c>
      <c r="C17">
        <v>0</v>
      </c>
    </row>
    <row r="18" spans="1:3" x14ac:dyDescent="0.3">
      <c r="A18">
        <v>3002470</v>
      </c>
      <c r="B18" t="e">
        <v>#N/A</v>
      </c>
      <c r="C18">
        <v>66481501</v>
      </c>
    </row>
    <row r="19" spans="1:3" x14ac:dyDescent="0.3">
      <c r="A19">
        <v>0</v>
      </c>
      <c r="B19">
        <v>0</v>
      </c>
      <c r="C19">
        <v>0</v>
      </c>
    </row>
    <row r="20" spans="1:3" x14ac:dyDescent="0.3">
      <c r="A20">
        <v>3002823</v>
      </c>
      <c r="B20">
        <v>0</v>
      </c>
      <c r="C20">
        <v>0</v>
      </c>
    </row>
    <row r="21" spans="1:3" x14ac:dyDescent="0.3">
      <c r="A21">
        <v>0</v>
      </c>
      <c r="B21">
        <v>0</v>
      </c>
      <c r="C21">
        <v>0</v>
      </c>
    </row>
    <row r="22" spans="1:3" x14ac:dyDescent="0.3">
      <c r="A22">
        <v>3002896</v>
      </c>
      <c r="B22" t="e">
        <v>#N/A</v>
      </c>
      <c r="C22">
        <v>84324361</v>
      </c>
    </row>
    <row r="23" spans="1:3" x14ac:dyDescent="0.3">
      <c r="A23">
        <v>0</v>
      </c>
      <c r="B23">
        <v>0</v>
      </c>
      <c r="C23">
        <v>0</v>
      </c>
    </row>
    <row r="24" spans="1:3" x14ac:dyDescent="0.3">
      <c r="A24">
        <v>17000424</v>
      </c>
      <c r="B24">
        <v>0</v>
      </c>
      <c r="C24">
        <v>0</v>
      </c>
    </row>
    <row r="25" spans="1:3" x14ac:dyDescent="0.3">
      <c r="A25">
        <v>0</v>
      </c>
      <c r="B25">
        <v>0</v>
      </c>
      <c r="C25">
        <v>0</v>
      </c>
    </row>
    <row r="26" spans="1:3" x14ac:dyDescent="0.3">
      <c r="A26">
        <v>3001317</v>
      </c>
      <c r="B26" t="e">
        <v>#N/A</v>
      </c>
      <c r="C26">
        <v>33574449</v>
      </c>
    </row>
    <row r="27" spans="1:3" x14ac:dyDescent="0.3">
      <c r="A27">
        <v>0</v>
      </c>
      <c r="B27">
        <v>0</v>
      </c>
      <c r="C27">
        <v>0</v>
      </c>
    </row>
    <row r="28" spans="1:3" x14ac:dyDescent="0.3">
      <c r="A28">
        <v>3001395</v>
      </c>
      <c r="B28">
        <v>0</v>
      </c>
      <c r="C28">
        <v>0</v>
      </c>
    </row>
    <row r="29" spans="1:3" x14ac:dyDescent="0.3">
      <c r="A29">
        <v>0</v>
      </c>
      <c r="B29">
        <v>0</v>
      </c>
      <c r="C29">
        <v>0</v>
      </c>
    </row>
    <row r="30" spans="1:3" x14ac:dyDescent="0.3">
      <c r="A30">
        <v>3001418</v>
      </c>
      <c r="B30">
        <v>0</v>
      </c>
      <c r="C30">
        <v>0</v>
      </c>
    </row>
    <row r="31" spans="1:3" x14ac:dyDescent="0.3">
      <c r="A31">
        <v>0</v>
      </c>
      <c r="B31">
        <v>0</v>
      </c>
      <c r="C31">
        <v>0</v>
      </c>
    </row>
    <row r="32" spans="1:3" x14ac:dyDescent="0.3">
      <c r="A32">
        <v>3001455</v>
      </c>
      <c r="B32">
        <v>0</v>
      </c>
      <c r="C32">
        <v>0</v>
      </c>
    </row>
    <row r="33" spans="1:3" x14ac:dyDescent="0.3">
      <c r="A33">
        <v>0</v>
      </c>
      <c r="B33">
        <v>0</v>
      </c>
      <c r="C33">
        <v>0</v>
      </c>
    </row>
    <row r="34" spans="1:3" x14ac:dyDescent="0.3">
      <c r="A34">
        <v>3001709</v>
      </c>
      <c r="B34" t="e">
        <v>#N/A</v>
      </c>
      <c r="C34">
        <v>0</v>
      </c>
    </row>
    <row r="35" spans="1:3" x14ac:dyDescent="0.3">
      <c r="A35">
        <v>0</v>
      </c>
      <c r="B35">
        <v>0</v>
      </c>
      <c r="C35">
        <v>0</v>
      </c>
    </row>
    <row r="36" spans="1:3" x14ac:dyDescent="0.3">
      <c r="A36">
        <v>3001711</v>
      </c>
      <c r="B36" t="e">
        <v>#N/A</v>
      </c>
      <c r="C36">
        <v>0</v>
      </c>
    </row>
    <row r="37" spans="1:3" x14ac:dyDescent="0.3">
      <c r="A37">
        <v>0</v>
      </c>
      <c r="B37">
        <v>0</v>
      </c>
      <c r="C37">
        <v>0</v>
      </c>
    </row>
    <row r="38" spans="1:3" x14ac:dyDescent="0.3">
      <c r="A38">
        <v>3001785</v>
      </c>
      <c r="B38">
        <v>0</v>
      </c>
      <c r="C38">
        <v>0</v>
      </c>
    </row>
    <row r="39" spans="1:3" x14ac:dyDescent="0.3">
      <c r="A39">
        <v>0</v>
      </c>
      <c r="B39">
        <v>0</v>
      </c>
      <c r="C39">
        <v>0</v>
      </c>
    </row>
    <row r="40" spans="1:3" x14ac:dyDescent="0.3">
      <c r="A40">
        <v>3002256</v>
      </c>
      <c r="B40" t="e">
        <v>#N/A</v>
      </c>
      <c r="C40">
        <v>49752848</v>
      </c>
    </row>
    <row r="41" spans="1:3" x14ac:dyDescent="0.3">
      <c r="A41">
        <v>0</v>
      </c>
      <c r="B41">
        <v>0</v>
      </c>
      <c r="C41">
        <v>0</v>
      </c>
    </row>
    <row r="42" spans="1:3" x14ac:dyDescent="0.3">
      <c r="A42">
        <v>3002546</v>
      </c>
      <c r="B42" t="e">
        <v>#N/A</v>
      </c>
      <c r="C42">
        <v>75829774</v>
      </c>
    </row>
    <row r="43" spans="1:3" x14ac:dyDescent="0.3">
      <c r="A43">
        <v>0</v>
      </c>
      <c r="B43">
        <v>0</v>
      </c>
      <c r="C43">
        <v>0</v>
      </c>
    </row>
    <row r="44" spans="1:3" x14ac:dyDescent="0.3">
      <c r="A44">
        <v>3002819</v>
      </c>
      <c r="B44">
        <v>0</v>
      </c>
      <c r="C44">
        <v>0</v>
      </c>
    </row>
    <row r="45" spans="1:3" x14ac:dyDescent="0.3">
      <c r="A45">
        <v>0</v>
      </c>
      <c r="B45">
        <v>0</v>
      </c>
      <c r="C45">
        <v>0</v>
      </c>
    </row>
    <row r="46" spans="1:3" x14ac:dyDescent="0.3">
      <c r="A46">
        <v>3002833</v>
      </c>
      <c r="B46" t="e">
        <v>#N/A</v>
      </c>
      <c r="C46">
        <v>117397095</v>
      </c>
    </row>
    <row r="47" spans="1:3" x14ac:dyDescent="0.3">
      <c r="A47">
        <v>0</v>
      </c>
      <c r="B47">
        <v>0</v>
      </c>
      <c r="C47">
        <v>0</v>
      </c>
    </row>
    <row r="48" spans="1:3" x14ac:dyDescent="0.3">
      <c r="A48">
        <v>3003016</v>
      </c>
      <c r="B48">
        <v>0</v>
      </c>
      <c r="C48">
        <v>0</v>
      </c>
    </row>
    <row r="49" spans="1:3" x14ac:dyDescent="0.3">
      <c r="A49">
        <v>0</v>
      </c>
      <c r="B49">
        <v>0</v>
      </c>
      <c r="C49">
        <v>0</v>
      </c>
    </row>
    <row r="50" spans="1:3" x14ac:dyDescent="0.3">
      <c r="A50">
        <v>3001774</v>
      </c>
      <c r="B50">
        <v>0</v>
      </c>
      <c r="C50">
        <v>0</v>
      </c>
    </row>
    <row r="51" spans="1:3" x14ac:dyDescent="0.3">
      <c r="A51">
        <v>0</v>
      </c>
      <c r="B51">
        <v>0</v>
      </c>
      <c r="C51">
        <v>0</v>
      </c>
    </row>
    <row r="52" spans="1:3" x14ac:dyDescent="0.3">
      <c r="A52">
        <v>3001790</v>
      </c>
      <c r="B52">
        <v>0</v>
      </c>
      <c r="C52">
        <v>0</v>
      </c>
    </row>
    <row r="53" spans="1:3" x14ac:dyDescent="0.3">
      <c r="A53">
        <v>0</v>
      </c>
      <c r="B53">
        <v>0</v>
      </c>
      <c r="C53">
        <v>0</v>
      </c>
    </row>
    <row r="54" spans="1:3" x14ac:dyDescent="0.3">
      <c r="A54">
        <v>3001819</v>
      </c>
      <c r="B54">
        <v>0</v>
      </c>
      <c r="C54">
        <v>0</v>
      </c>
    </row>
    <row r="55" spans="1:3" x14ac:dyDescent="0.3">
      <c r="A55">
        <v>0</v>
      </c>
      <c r="B55">
        <v>0</v>
      </c>
      <c r="C55">
        <v>0</v>
      </c>
    </row>
    <row r="56" spans="1:3" x14ac:dyDescent="0.3">
      <c r="A56">
        <v>3001822</v>
      </c>
      <c r="B56">
        <v>0</v>
      </c>
      <c r="C56">
        <v>0</v>
      </c>
    </row>
    <row r="57" spans="1:3" x14ac:dyDescent="0.3">
      <c r="A57">
        <v>0</v>
      </c>
      <c r="B57">
        <v>0</v>
      </c>
      <c r="C57">
        <v>0</v>
      </c>
    </row>
    <row r="58" spans="1:3" x14ac:dyDescent="0.3">
      <c r="A58">
        <v>3001840</v>
      </c>
      <c r="B58">
        <v>0</v>
      </c>
      <c r="C58">
        <v>0</v>
      </c>
    </row>
    <row r="59" spans="1:3" x14ac:dyDescent="0.3">
      <c r="A59">
        <v>0</v>
      </c>
      <c r="B59">
        <v>0</v>
      </c>
      <c r="C59">
        <v>0</v>
      </c>
    </row>
    <row r="60" spans="1:3" x14ac:dyDescent="0.3">
      <c r="A60">
        <v>3002186</v>
      </c>
      <c r="B60">
        <v>0</v>
      </c>
      <c r="C60">
        <v>0</v>
      </c>
    </row>
    <row r="61" spans="1:3" x14ac:dyDescent="0.3">
      <c r="A61">
        <v>0</v>
      </c>
      <c r="B61">
        <v>0</v>
      </c>
      <c r="C61">
        <v>0</v>
      </c>
    </row>
    <row r="62" spans="1:3" x14ac:dyDescent="0.3">
      <c r="A62">
        <v>3002257</v>
      </c>
      <c r="B62">
        <v>0</v>
      </c>
      <c r="C62">
        <v>0</v>
      </c>
    </row>
    <row r="63" spans="1:3" x14ac:dyDescent="0.3">
      <c r="A63">
        <v>0</v>
      </c>
      <c r="B63">
        <v>0</v>
      </c>
      <c r="C63">
        <v>0</v>
      </c>
    </row>
    <row r="64" spans="1:3" x14ac:dyDescent="0.3">
      <c r="A64">
        <v>3002273</v>
      </c>
      <c r="B64">
        <v>0</v>
      </c>
      <c r="C64">
        <v>0</v>
      </c>
    </row>
    <row r="65" spans="1:3" x14ac:dyDescent="0.3">
      <c r="A65">
        <v>0</v>
      </c>
      <c r="B65">
        <v>0</v>
      </c>
      <c r="C65">
        <v>0</v>
      </c>
    </row>
    <row r="66" spans="1:3" x14ac:dyDescent="0.3">
      <c r="A66">
        <v>3002274</v>
      </c>
      <c r="B66">
        <v>0</v>
      </c>
      <c r="C66">
        <v>0</v>
      </c>
    </row>
    <row r="67" spans="1:3" x14ac:dyDescent="0.3">
      <c r="A67">
        <v>0</v>
      </c>
      <c r="B67">
        <v>0</v>
      </c>
      <c r="C67">
        <v>0</v>
      </c>
    </row>
    <row r="68" spans="1:3" x14ac:dyDescent="0.3">
      <c r="A68">
        <v>3002474</v>
      </c>
      <c r="B68">
        <v>0</v>
      </c>
      <c r="C68">
        <v>0</v>
      </c>
    </row>
    <row r="69" spans="1:3" x14ac:dyDescent="0.3">
      <c r="A69">
        <v>0</v>
      </c>
      <c r="B69">
        <v>0</v>
      </c>
      <c r="C69">
        <v>0</v>
      </c>
    </row>
    <row r="70" spans="1:3" x14ac:dyDescent="0.3">
      <c r="A70">
        <v>3002605</v>
      </c>
      <c r="B70">
        <v>0</v>
      </c>
      <c r="C70">
        <v>0</v>
      </c>
    </row>
    <row r="71" spans="1:3" x14ac:dyDescent="0.3">
      <c r="A71">
        <v>0</v>
      </c>
      <c r="B71">
        <v>0</v>
      </c>
      <c r="C71">
        <v>0</v>
      </c>
    </row>
    <row r="72" spans="1:3" x14ac:dyDescent="0.3">
      <c r="A72">
        <v>3003017</v>
      </c>
      <c r="B72">
        <v>0</v>
      </c>
      <c r="C72">
        <v>0</v>
      </c>
    </row>
    <row r="73" spans="1:3" x14ac:dyDescent="0.3">
      <c r="A73">
        <v>0</v>
      </c>
      <c r="B73">
        <v>0</v>
      </c>
      <c r="C73">
        <v>0</v>
      </c>
    </row>
    <row r="74" spans="1:3" x14ac:dyDescent="0.3">
      <c r="A74">
        <v>3000148</v>
      </c>
      <c r="B74">
        <v>0</v>
      </c>
      <c r="C74">
        <v>0</v>
      </c>
    </row>
    <row r="75" spans="1:3" x14ac:dyDescent="0.3">
      <c r="A75">
        <v>0</v>
      </c>
      <c r="B75">
        <v>0</v>
      </c>
      <c r="C75">
        <v>0</v>
      </c>
    </row>
    <row r="76" spans="1:3" x14ac:dyDescent="0.3">
      <c r="A76">
        <v>3000165</v>
      </c>
      <c r="B76">
        <v>0</v>
      </c>
      <c r="C76">
        <v>0</v>
      </c>
    </row>
    <row r="77" spans="1:3" x14ac:dyDescent="0.3">
      <c r="A77">
        <v>0</v>
      </c>
      <c r="B77">
        <v>0</v>
      </c>
      <c r="C77">
        <v>0</v>
      </c>
    </row>
    <row r="78" spans="1:3" x14ac:dyDescent="0.3">
      <c r="A78">
        <v>3000667</v>
      </c>
      <c r="B78">
        <v>0</v>
      </c>
      <c r="C78">
        <v>0</v>
      </c>
    </row>
    <row r="79" spans="1:3" x14ac:dyDescent="0.3">
      <c r="A79">
        <v>0</v>
      </c>
      <c r="B79">
        <v>0</v>
      </c>
      <c r="C79">
        <v>0</v>
      </c>
    </row>
    <row r="80" spans="1:3" x14ac:dyDescent="0.3">
      <c r="A80">
        <v>3000943</v>
      </c>
      <c r="B80">
        <v>0</v>
      </c>
      <c r="C80">
        <v>0</v>
      </c>
    </row>
    <row r="81" spans="1:3" x14ac:dyDescent="0.3">
      <c r="A81">
        <v>0</v>
      </c>
      <c r="B81">
        <v>0</v>
      </c>
      <c r="C81">
        <v>0</v>
      </c>
    </row>
    <row r="82" spans="1:3" x14ac:dyDescent="0.3">
      <c r="A82">
        <v>3001124</v>
      </c>
      <c r="B82">
        <v>0</v>
      </c>
      <c r="C82">
        <v>0</v>
      </c>
    </row>
    <row r="83" spans="1:3" x14ac:dyDescent="0.3">
      <c r="A83">
        <v>0</v>
      </c>
      <c r="B83">
        <v>0</v>
      </c>
      <c r="C83">
        <v>0</v>
      </c>
    </row>
    <row r="84" spans="1:3" x14ac:dyDescent="0.3">
      <c r="A84">
        <v>3001215</v>
      </c>
      <c r="B84">
        <v>0</v>
      </c>
      <c r="C84">
        <v>0</v>
      </c>
    </row>
    <row r="85" spans="1:3" x14ac:dyDescent="0.3">
      <c r="A85">
        <v>0</v>
      </c>
      <c r="B85">
        <v>0</v>
      </c>
      <c r="C85">
        <v>0</v>
      </c>
    </row>
    <row r="86" spans="1:3" x14ac:dyDescent="0.3">
      <c r="A86">
        <v>3002828</v>
      </c>
      <c r="B86">
        <v>0</v>
      </c>
      <c r="C86">
        <v>0</v>
      </c>
    </row>
    <row r="87" spans="1:3" x14ac:dyDescent="0.3">
      <c r="A87">
        <v>0</v>
      </c>
      <c r="B87">
        <v>0</v>
      </c>
      <c r="C87">
        <v>0</v>
      </c>
    </row>
    <row r="88" spans="1:3" x14ac:dyDescent="0.3">
      <c r="A88">
        <v>3001079</v>
      </c>
      <c r="B88" t="e">
        <v>#N/A</v>
      </c>
      <c r="C88">
        <v>0</v>
      </c>
    </row>
    <row r="89" spans="1:3" x14ac:dyDescent="0.3">
      <c r="A89">
        <v>0</v>
      </c>
      <c r="B89">
        <v>0</v>
      </c>
      <c r="C89">
        <v>0</v>
      </c>
    </row>
    <row r="90" spans="1:3" x14ac:dyDescent="0.3">
      <c r="A90">
        <v>3001169</v>
      </c>
      <c r="B90">
        <v>0</v>
      </c>
      <c r="C90">
        <v>0</v>
      </c>
    </row>
    <row r="91" spans="1:3" x14ac:dyDescent="0.3">
      <c r="A91">
        <v>0</v>
      </c>
      <c r="B91">
        <v>0</v>
      </c>
      <c r="C91">
        <v>0</v>
      </c>
    </row>
    <row r="92" spans="1:3" x14ac:dyDescent="0.3">
      <c r="A92">
        <v>3001197</v>
      </c>
      <c r="B92">
        <v>0</v>
      </c>
      <c r="C92">
        <v>0</v>
      </c>
    </row>
    <row r="93" spans="1:3" x14ac:dyDescent="0.3">
      <c r="A93">
        <v>0</v>
      </c>
      <c r="B93">
        <v>0</v>
      </c>
      <c r="C93">
        <v>0</v>
      </c>
    </row>
    <row r="94" spans="1:3" x14ac:dyDescent="0.3">
      <c r="A94">
        <v>3001222</v>
      </c>
      <c r="B94">
        <v>0</v>
      </c>
      <c r="C94">
        <v>0</v>
      </c>
    </row>
    <row r="95" spans="1:3" x14ac:dyDescent="0.3">
      <c r="A95">
        <v>0</v>
      </c>
      <c r="B95">
        <v>0</v>
      </c>
      <c r="C95">
        <v>0</v>
      </c>
    </row>
    <row r="96" spans="1:3" x14ac:dyDescent="0.3">
      <c r="A96">
        <v>3001270</v>
      </c>
      <c r="B96">
        <v>0</v>
      </c>
      <c r="C96">
        <v>0</v>
      </c>
    </row>
    <row r="97" spans="1:3" x14ac:dyDescent="0.3">
      <c r="A97">
        <v>0</v>
      </c>
      <c r="B97">
        <v>0</v>
      </c>
      <c r="C97">
        <v>0</v>
      </c>
    </row>
    <row r="98" spans="1:3" x14ac:dyDescent="0.3">
      <c r="A98">
        <v>3001352</v>
      </c>
      <c r="B98">
        <v>0</v>
      </c>
      <c r="C98">
        <v>0</v>
      </c>
    </row>
    <row r="99" spans="1:3" x14ac:dyDescent="0.3">
      <c r="A99">
        <v>0</v>
      </c>
      <c r="B99">
        <v>0</v>
      </c>
      <c r="C99">
        <v>0</v>
      </c>
    </row>
    <row r="100" spans="1:3" x14ac:dyDescent="0.3">
      <c r="A100">
        <v>3001365</v>
      </c>
      <c r="B100">
        <v>0</v>
      </c>
      <c r="C100">
        <v>0</v>
      </c>
    </row>
    <row r="101" spans="1:3" x14ac:dyDescent="0.3">
      <c r="A101">
        <v>0</v>
      </c>
      <c r="B101">
        <v>0</v>
      </c>
      <c r="C101">
        <v>0</v>
      </c>
    </row>
    <row r="102" spans="1:3" x14ac:dyDescent="0.3">
      <c r="A102">
        <v>3001436</v>
      </c>
      <c r="B102">
        <v>0</v>
      </c>
      <c r="C102">
        <v>0</v>
      </c>
    </row>
    <row r="103" spans="1:3" x14ac:dyDescent="0.3">
      <c r="A103">
        <v>0</v>
      </c>
      <c r="B103">
        <v>0</v>
      </c>
      <c r="C103">
        <v>0</v>
      </c>
    </row>
    <row r="104" spans="1:3" x14ac:dyDescent="0.3">
      <c r="A104">
        <v>3001479</v>
      </c>
      <c r="B104" t="e">
        <v>#N/A</v>
      </c>
      <c r="C104">
        <v>0</v>
      </c>
    </row>
    <row r="105" spans="1:3" x14ac:dyDescent="0.3">
      <c r="A105">
        <v>0</v>
      </c>
      <c r="B105">
        <v>0</v>
      </c>
      <c r="C105">
        <v>0</v>
      </c>
    </row>
    <row r="106" spans="1:3" x14ac:dyDescent="0.3">
      <c r="A106">
        <v>3001486</v>
      </c>
      <c r="B106">
        <v>0</v>
      </c>
      <c r="C106">
        <v>0</v>
      </c>
    </row>
    <row r="107" spans="1:3" x14ac:dyDescent="0.3">
      <c r="A107">
        <v>0</v>
      </c>
      <c r="B107">
        <v>0</v>
      </c>
      <c r="C107">
        <v>0</v>
      </c>
    </row>
    <row r="108" spans="1:3" x14ac:dyDescent="0.3">
      <c r="A108">
        <v>3001724</v>
      </c>
      <c r="B108">
        <v>0</v>
      </c>
      <c r="C108">
        <v>0</v>
      </c>
    </row>
    <row r="109" spans="1:3" x14ac:dyDescent="0.3">
      <c r="A109">
        <v>0</v>
      </c>
      <c r="B109">
        <v>0</v>
      </c>
      <c r="C109">
        <v>0</v>
      </c>
    </row>
    <row r="110" spans="1:3" x14ac:dyDescent="0.3">
      <c r="A110">
        <v>3001733</v>
      </c>
      <c r="B110">
        <v>0</v>
      </c>
      <c r="C110">
        <v>0</v>
      </c>
    </row>
    <row r="111" spans="1:3" x14ac:dyDescent="0.3">
      <c r="A111">
        <v>0</v>
      </c>
      <c r="B111">
        <v>0</v>
      </c>
      <c r="C111">
        <v>0</v>
      </c>
    </row>
    <row r="112" spans="1:3" x14ac:dyDescent="0.3">
      <c r="A112">
        <v>3001751</v>
      </c>
      <c r="B112">
        <v>0</v>
      </c>
      <c r="C112">
        <v>0</v>
      </c>
    </row>
    <row r="113" spans="1:3" x14ac:dyDescent="0.3">
      <c r="A113">
        <v>0</v>
      </c>
      <c r="B113">
        <v>0</v>
      </c>
      <c r="C113">
        <v>0</v>
      </c>
    </row>
    <row r="114" spans="1:3" x14ac:dyDescent="0.3">
      <c r="A114">
        <v>3001754</v>
      </c>
      <c r="B114">
        <v>0</v>
      </c>
      <c r="C114">
        <v>0</v>
      </c>
    </row>
    <row r="115" spans="1:3" x14ac:dyDescent="0.3">
      <c r="A115">
        <v>0</v>
      </c>
      <c r="B115">
        <v>0</v>
      </c>
      <c r="C115">
        <v>0</v>
      </c>
    </row>
    <row r="116" spans="1:3" x14ac:dyDescent="0.3">
      <c r="A116">
        <v>3001756</v>
      </c>
      <c r="B116">
        <v>0</v>
      </c>
      <c r="C116">
        <v>0</v>
      </c>
    </row>
    <row r="117" spans="1:3" x14ac:dyDescent="0.3">
      <c r="A117">
        <v>0</v>
      </c>
      <c r="B117">
        <v>0</v>
      </c>
      <c r="C117">
        <v>0</v>
      </c>
    </row>
    <row r="118" spans="1:3" x14ac:dyDescent="0.3">
      <c r="A118">
        <v>3001757</v>
      </c>
      <c r="B118">
        <v>0</v>
      </c>
      <c r="C118">
        <v>0</v>
      </c>
    </row>
    <row r="119" spans="1:3" x14ac:dyDescent="0.3">
      <c r="A119">
        <v>0</v>
      </c>
      <c r="B119">
        <v>0</v>
      </c>
      <c r="C119">
        <v>0</v>
      </c>
    </row>
    <row r="120" spans="1:3" x14ac:dyDescent="0.3">
      <c r="A120">
        <v>3001762</v>
      </c>
      <c r="B120">
        <v>0</v>
      </c>
      <c r="C120">
        <v>0</v>
      </c>
    </row>
    <row r="121" spans="1:3" x14ac:dyDescent="0.3">
      <c r="A121">
        <v>0</v>
      </c>
      <c r="B121">
        <v>0</v>
      </c>
      <c r="C121">
        <v>0</v>
      </c>
    </row>
    <row r="122" spans="1:3" x14ac:dyDescent="0.3">
      <c r="A122">
        <v>3001062</v>
      </c>
      <c r="B122">
        <v>0</v>
      </c>
      <c r="C122">
        <v>0</v>
      </c>
    </row>
    <row r="123" spans="1:3" x14ac:dyDescent="0.3">
      <c r="A123">
        <v>0</v>
      </c>
      <c r="B123">
        <v>0</v>
      </c>
      <c r="C123">
        <v>0</v>
      </c>
    </row>
    <row r="124" spans="1:3" x14ac:dyDescent="0.3">
      <c r="A124">
        <v>3002246</v>
      </c>
      <c r="B124">
        <v>0</v>
      </c>
      <c r="C124">
        <v>0</v>
      </c>
    </row>
    <row r="125" spans="1:3" x14ac:dyDescent="0.3">
      <c r="A125">
        <v>0</v>
      </c>
      <c r="B125">
        <v>0</v>
      </c>
      <c r="C125">
        <v>0</v>
      </c>
    </row>
    <row r="126" spans="1:3" x14ac:dyDescent="0.3">
      <c r="A126">
        <v>3002450</v>
      </c>
      <c r="B126">
        <v>0</v>
      </c>
      <c r="C126">
        <v>0</v>
      </c>
    </row>
    <row r="127" spans="1:3" x14ac:dyDescent="0.3">
      <c r="A127">
        <v>0</v>
      </c>
      <c r="B127">
        <v>0</v>
      </c>
      <c r="C127">
        <v>0</v>
      </c>
    </row>
    <row r="128" spans="1:3" x14ac:dyDescent="0.3">
      <c r="A128">
        <v>3002932</v>
      </c>
      <c r="B128">
        <v>0</v>
      </c>
      <c r="C128">
        <v>0</v>
      </c>
    </row>
    <row r="129" spans="1:3" x14ac:dyDescent="0.3">
      <c r="A129">
        <v>0</v>
      </c>
      <c r="B129">
        <v>0</v>
      </c>
      <c r="C129">
        <v>0</v>
      </c>
    </row>
    <row r="130" spans="1:3" x14ac:dyDescent="0.3">
      <c r="A130">
        <v>3002911</v>
      </c>
      <c r="B130">
        <v>0</v>
      </c>
      <c r="C130">
        <v>0</v>
      </c>
    </row>
    <row r="131" spans="1:3" x14ac:dyDescent="0.3">
      <c r="A131">
        <v>0</v>
      </c>
      <c r="B131">
        <v>0</v>
      </c>
      <c r="C131">
        <v>0</v>
      </c>
    </row>
    <row r="132" spans="1:3" x14ac:dyDescent="0.3">
      <c r="A132">
        <v>3000220</v>
      </c>
      <c r="B132" t="e">
        <v>#N/A</v>
      </c>
      <c r="C132">
        <v>155167510</v>
      </c>
    </row>
    <row r="133" spans="1:3" x14ac:dyDescent="0.3">
      <c r="A133">
        <v>0</v>
      </c>
      <c r="B133">
        <v>0</v>
      </c>
      <c r="C133">
        <v>0</v>
      </c>
    </row>
    <row r="134" spans="1:3" x14ac:dyDescent="0.3">
      <c r="A134">
        <v>3001330</v>
      </c>
      <c r="B134" t="e">
        <v>#N/A</v>
      </c>
      <c r="C134">
        <v>0</v>
      </c>
    </row>
    <row r="135" spans="1:3" x14ac:dyDescent="0.3">
      <c r="A135">
        <v>0</v>
      </c>
      <c r="B135">
        <v>0</v>
      </c>
      <c r="C135">
        <v>0</v>
      </c>
    </row>
    <row r="136" spans="1:3" x14ac:dyDescent="0.3">
      <c r="A136">
        <v>3000012</v>
      </c>
      <c r="B136" t="e">
        <v>#N/A</v>
      </c>
      <c r="C136">
        <v>0</v>
      </c>
    </row>
    <row r="137" spans="1:3" x14ac:dyDescent="0.3">
      <c r="A137">
        <v>0</v>
      </c>
      <c r="B137">
        <v>0</v>
      </c>
      <c r="C137">
        <v>0</v>
      </c>
    </row>
    <row r="138" spans="1:3" x14ac:dyDescent="0.3">
      <c r="A138">
        <v>3001304</v>
      </c>
      <c r="B138">
        <v>0</v>
      </c>
      <c r="C138">
        <v>0</v>
      </c>
    </row>
    <row r="139" spans="1:3" x14ac:dyDescent="0.3">
      <c r="A139">
        <v>0</v>
      </c>
      <c r="B139">
        <v>0</v>
      </c>
      <c r="C139">
        <v>0</v>
      </c>
    </row>
    <row r="140" spans="1:3" x14ac:dyDescent="0.3">
      <c r="A140">
        <v>3001283</v>
      </c>
      <c r="B140" t="e">
        <v>#N/A</v>
      </c>
      <c r="C140">
        <v>0</v>
      </c>
    </row>
    <row r="141" spans="1:3" x14ac:dyDescent="0.3">
      <c r="A141">
        <v>0</v>
      </c>
      <c r="B141">
        <v>0</v>
      </c>
      <c r="C141">
        <v>0</v>
      </c>
    </row>
    <row r="142" spans="1:3" x14ac:dyDescent="0.3">
      <c r="A142">
        <v>3002657</v>
      </c>
      <c r="B142">
        <v>0</v>
      </c>
      <c r="C142">
        <v>0</v>
      </c>
    </row>
    <row r="143" spans="1:3" x14ac:dyDescent="0.3">
      <c r="A143">
        <v>0</v>
      </c>
      <c r="B143">
        <v>0</v>
      </c>
      <c r="C143">
        <v>0</v>
      </c>
    </row>
    <row r="144" spans="1:3" x14ac:dyDescent="0.3">
      <c r="A144">
        <v>3000373</v>
      </c>
      <c r="B144">
        <v>0</v>
      </c>
      <c r="C144">
        <v>0</v>
      </c>
    </row>
    <row r="145" spans="1:3" x14ac:dyDescent="0.3">
      <c r="A145">
        <v>0</v>
      </c>
      <c r="B145">
        <v>0</v>
      </c>
      <c r="C145">
        <v>0</v>
      </c>
    </row>
    <row r="146" spans="1:3" x14ac:dyDescent="0.3">
      <c r="A146">
        <v>3000349</v>
      </c>
      <c r="B146">
        <v>0</v>
      </c>
      <c r="C146">
        <v>0</v>
      </c>
    </row>
    <row r="147" spans="1:3" x14ac:dyDescent="0.3">
      <c r="A147">
        <v>0</v>
      </c>
      <c r="B147">
        <v>0</v>
      </c>
      <c r="C147">
        <v>0</v>
      </c>
    </row>
    <row r="148" spans="1:3" x14ac:dyDescent="0.3">
      <c r="A148">
        <v>3000337</v>
      </c>
      <c r="B148">
        <v>0</v>
      </c>
      <c r="C148">
        <v>0</v>
      </c>
    </row>
    <row r="149" spans="1:3" x14ac:dyDescent="0.3">
      <c r="A149">
        <v>0</v>
      </c>
      <c r="B149">
        <v>0</v>
      </c>
      <c r="C149">
        <v>0</v>
      </c>
    </row>
    <row r="150" spans="1:3" x14ac:dyDescent="0.3">
      <c r="A150">
        <v>3000328</v>
      </c>
      <c r="B150">
        <v>0</v>
      </c>
      <c r="C150">
        <v>0</v>
      </c>
    </row>
    <row r="151" spans="1:3" x14ac:dyDescent="0.3">
      <c r="A151">
        <v>0</v>
      </c>
      <c r="B151">
        <v>0</v>
      </c>
      <c r="C151">
        <v>0</v>
      </c>
    </row>
    <row r="152" spans="1:3" x14ac:dyDescent="0.3">
      <c r="A152">
        <v>3000297</v>
      </c>
      <c r="B152">
        <v>0</v>
      </c>
      <c r="C152">
        <v>0</v>
      </c>
    </row>
    <row r="153" spans="1:3" x14ac:dyDescent="0.3">
      <c r="A153">
        <v>0</v>
      </c>
      <c r="B153">
        <v>0</v>
      </c>
      <c r="C153">
        <v>0</v>
      </c>
    </row>
    <row r="154" spans="1:3" x14ac:dyDescent="0.3">
      <c r="A154">
        <v>3000985</v>
      </c>
      <c r="B154">
        <v>0</v>
      </c>
      <c r="C154">
        <v>0</v>
      </c>
    </row>
    <row r="155" spans="1:3" x14ac:dyDescent="0.3">
      <c r="A155">
        <v>0</v>
      </c>
      <c r="B155">
        <v>0</v>
      </c>
      <c r="C155">
        <v>0</v>
      </c>
    </row>
    <row r="156" spans="1:3" x14ac:dyDescent="0.3">
      <c r="A156">
        <v>3000961</v>
      </c>
      <c r="B156">
        <v>0</v>
      </c>
      <c r="C156">
        <v>0</v>
      </c>
    </row>
    <row r="157" spans="1:3" x14ac:dyDescent="0.3">
      <c r="A157">
        <v>0</v>
      </c>
      <c r="B157">
        <v>0</v>
      </c>
      <c r="C157">
        <v>0</v>
      </c>
    </row>
    <row r="158" spans="1:3" x14ac:dyDescent="0.3">
      <c r="A158">
        <v>3000307</v>
      </c>
      <c r="B158">
        <v>0</v>
      </c>
      <c r="C158">
        <v>0</v>
      </c>
    </row>
    <row r="159" spans="1:3" x14ac:dyDescent="0.3">
      <c r="A159">
        <v>0</v>
      </c>
      <c r="B159">
        <v>0</v>
      </c>
      <c r="C159">
        <v>0</v>
      </c>
    </row>
    <row r="160" spans="1:3" x14ac:dyDescent="0.3">
      <c r="A160">
        <v>3001689</v>
      </c>
      <c r="B160">
        <v>0</v>
      </c>
      <c r="C160">
        <v>0</v>
      </c>
    </row>
    <row r="161" spans="1:3" x14ac:dyDescent="0.3">
      <c r="A161">
        <v>0</v>
      </c>
      <c r="B161">
        <v>0</v>
      </c>
      <c r="C161">
        <v>0</v>
      </c>
    </row>
    <row r="162" spans="1:3" x14ac:dyDescent="0.3">
      <c r="A162">
        <v>3002471</v>
      </c>
      <c r="B162">
        <v>0</v>
      </c>
      <c r="C162">
        <v>0</v>
      </c>
    </row>
    <row r="163" spans="1:3" x14ac:dyDescent="0.3">
      <c r="A163">
        <v>0</v>
      </c>
      <c r="B163">
        <v>0</v>
      </c>
      <c r="C163">
        <v>0</v>
      </c>
    </row>
    <row r="164" spans="1:3" x14ac:dyDescent="0.3">
      <c r="A164">
        <v>3001116</v>
      </c>
      <c r="B164">
        <v>0</v>
      </c>
      <c r="C164">
        <v>0</v>
      </c>
    </row>
    <row r="165" spans="1:3" x14ac:dyDescent="0.3">
      <c r="A165">
        <v>0</v>
      </c>
      <c r="B165">
        <v>0</v>
      </c>
      <c r="C165">
        <v>0</v>
      </c>
    </row>
    <row r="166" spans="1:3" x14ac:dyDescent="0.3">
      <c r="A166">
        <v>3001153</v>
      </c>
      <c r="B166">
        <v>0</v>
      </c>
      <c r="C166">
        <v>0</v>
      </c>
    </row>
    <row r="167" spans="1:3" x14ac:dyDescent="0.3">
      <c r="A167">
        <v>0</v>
      </c>
      <c r="B167">
        <v>0</v>
      </c>
      <c r="C167">
        <v>0</v>
      </c>
    </row>
    <row r="168" spans="1:3" x14ac:dyDescent="0.3">
      <c r="A168">
        <v>3001181</v>
      </c>
      <c r="B168">
        <v>0</v>
      </c>
      <c r="C168">
        <v>0</v>
      </c>
    </row>
    <row r="169" spans="1:3" x14ac:dyDescent="0.3">
      <c r="A169">
        <v>0</v>
      </c>
      <c r="B169">
        <v>0</v>
      </c>
      <c r="C169">
        <v>0</v>
      </c>
    </row>
    <row r="170" spans="1:3" x14ac:dyDescent="0.3">
      <c r="A170">
        <v>3001229</v>
      </c>
      <c r="B170">
        <v>0</v>
      </c>
      <c r="C170">
        <v>0</v>
      </c>
    </row>
    <row r="171" spans="1:3" x14ac:dyDescent="0.3">
      <c r="A171">
        <v>0</v>
      </c>
      <c r="B171">
        <v>0</v>
      </c>
      <c r="C171">
        <v>0</v>
      </c>
    </row>
    <row r="172" spans="1:3" x14ac:dyDescent="0.3">
      <c r="A172">
        <v>3001292</v>
      </c>
      <c r="B172">
        <v>0</v>
      </c>
      <c r="C172">
        <v>0</v>
      </c>
    </row>
    <row r="173" spans="1:3" x14ac:dyDescent="0.3">
      <c r="A173">
        <v>0</v>
      </c>
      <c r="B173">
        <v>0</v>
      </c>
      <c r="C173">
        <v>0</v>
      </c>
    </row>
    <row r="174" spans="1:3" x14ac:dyDescent="0.3">
      <c r="A174">
        <v>3001398</v>
      </c>
      <c r="B174">
        <v>0</v>
      </c>
      <c r="C174">
        <v>0</v>
      </c>
    </row>
    <row r="175" spans="1:3" x14ac:dyDescent="0.3">
      <c r="A175">
        <v>0</v>
      </c>
      <c r="B175">
        <v>0</v>
      </c>
      <c r="C175">
        <v>0</v>
      </c>
    </row>
    <row r="176" spans="1:3" x14ac:dyDescent="0.3">
      <c r="A176">
        <v>3001157</v>
      </c>
      <c r="B176">
        <v>0</v>
      </c>
      <c r="C176">
        <v>0</v>
      </c>
    </row>
    <row r="177" spans="1:3" x14ac:dyDescent="0.3">
      <c r="A177">
        <v>0</v>
      </c>
      <c r="B177">
        <v>0</v>
      </c>
      <c r="C177">
        <v>0</v>
      </c>
    </row>
    <row r="178" spans="1:3" x14ac:dyDescent="0.3">
      <c r="A178">
        <v>3001131</v>
      </c>
      <c r="B178">
        <v>0</v>
      </c>
      <c r="C178">
        <v>0</v>
      </c>
    </row>
    <row r="179" spans="1:3" x14ac:dyDescent="0.3">
      <c r="A179">
        <v>0</v>
      </c>
      <c r="B179">
        <v>0</v>
      </c>
      <c r="C179">
        <v>0</v>
      </c>
    </row>
    <row r="180" spans="1:3" x14ac:dyDescent="0.3">
      <c r="A180">
        <v>3001112</v>
      </c>
      <c r="B180">
        <v>0</v>
      </c>
      <c r="C180">
        <v>0</v>
      </c>
    </row>
    <row r="181" spans="1:3" x14ac:dyDescent="0.3">
      <c r="A181">
        <v>0</v>
      </c>
      <c r="B181">
        <v>0</v>
      </c>
      <c r="C181">
        <v>0</v>
      </c>
    </row>
    <row r="182" spans="1:3" x14ac:dyDescent="0.3">
      <c r="A182">
        <v>3001204</v>
      </c>
      <c r="B182">
        <v>0</v>
      </c>
      <c r="C182">
        <v>0</v>
      </c>
    </row>
    <row r="183" spans="1:3" x14ac:dyDescent="0.3">
      <c r="A183">
        <v>0</v>
      </c>
      <c r="B183">
        <v>0</v>
      </c>
      <c r="C183">
        <v>0</v>
      </c>
    </row>
    <row r="184" spans="1:3" x14ac:dyDescent="0.3">
      <c r="A184">
        <v>3001445</v>
      </c>
      <c r="B184">
        <v>0</v>
      </c>
      <c r="C184">
        <v>0</v>
      </c>
    </row>
    <row r="185" spans="1:3" x14ac:dyDescent="0.3">
      <c r="A185">
        <v>0</v>
      </c>
      <c r="B185">
        <v>0</v>
      </c>
      <c r="C185">
        <v>0</v>
      </c>
    </row>
    <row r="186" spans="1:3" x14ac:dyDescent="0.3">
      <c r="A186">
        <v>3001363</v>
      </c>
      <c r="B186">
        <v>0</v>
      </c>
      <c r="C186">
        <v>0</v>
      </c>
    </row>
    <row r="187" spans="1:3" x14ac:dyDescent="0.3">
      <c r="A187">
        <v>0</v>
      </c>
      <c r="B187">
        <v>0</v>
      </c>
      <c r="C187">
        <v>0</v>
      </c>
    </row>
    <row r="188" spans="1:3" x14ac:dyDescent="0.3">
      <c r="A188">
        <v>3001187</v>
      </c>
      <c r="B188">
        <v>0</v>
      </c>
      <c r="C188">
        <v>0</v>
      </c>
    </row>
    <row r="189" spans="1:3" x14ac:dyDescent="0.3">
      <c r="A189">
        <v>0</v>
      </c>
      <c r="B189">
        <v>0</v>
      </c>
      <c r="C189">
        <v>0</v>
      </c>
    </row>
    <row r="190" spans="1:3" x14ac:dyDescent="0.3">
      <c r="A190">
        <v>3001161</v>
      </c>
      <c r="B190">
        <v>0</v>
      </c>
      <c r="C190">
        <v>0</v>
      </c>
    </row>
    <row r="191" spans="1:3" x14ac:dyDescent="0.3">
      <c r="A191">
        <v>0</v>
      </c>
      <c r="B191">
        <v>0</v>
      </c>
      <c r="C191">
        <v>0</v>
      </c>
    </row>
    <row r="192" spans="1:3" x14ac:dyDescent="0.3">
      <c r="A192">
        <v>3001113</v>
      </c>
      <c r="B192">
        <v>0</v>
      </c>
      <c r="C192">
        <v>0</v>
      </c>
    </row>
    <row r="193" spans="1:3" x14ac:dyDescent="0.3">
      <c r="A193">
        <v>0</v>
      </c>
      <c r="B193">
        <v>0</v>
      </c>
      <c r="C193">
        <v>0</v>
      </c>
    </row>
    <row r="194" spans="1:3" x14ac:dyDescent="0.3">
      <c r="A194">
        <v>3001051</v>
      </c>
      <c r="B194">
        <v>0</v>
      </c>
      <c r="C194">
        <v>0</v>
      </c>
    </row>
    <row r="195" spans="1:3" x14ac:dyDescent="0.3">
      <c r="A195">
        <v>0</v>
      </c>
      <c r="B195">
        <v>0</v>
      </c>
      <c r="C195">
        <v>0</v>
      </c>
    </row>
    <row r="196" spans="1:3" x14ac:dyDescent="0.3">
      <c r="A196">
        <v>3001354</v>
      </c>
      <c r="B196">
        <v>0</v>
      </c>
      <c r="C196">
        <v>0</v>
      </c>
    </row>
    <row r="197" spans="1:3" x14ac:dyDescent="0.3">
      <c r="A197">
        <v>0</v>
      </c>
      <c r="B197">
        <v>0</v>
      </c>
      <c r="C197">
        <v>0</v>
      </c>
    </row>
    <row r="198" spans="1:3" x14ac:dyDescent="0.3">
      <c r="A198">
        <v>3000609</v>
      </c>
      <c r="B198">
        <v>0</v>
      </c>
      <c r="C198">
        <v>0</v>
      </c>
    </row>
  </sheetData>
  <autoFilter ref="A7:C198" xr:uid="{3CDDD3D4-4913-42E8-8452-4E68E288146D}"/>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5EE11-6623-4288-8BDD-32310405A90B}">
  <dimension ref="A1:H40"/>
  <sheetViews>
    <sheetView workbookViewId="0">
      <selection activeCell="N41" sqref="N41"/>
    </sheetView>
  </sheetViews>
  <sheetFormatPr baseColWidth="10" defaultColWidth="11.44140625" defaultRowHeight="14.4" x14ac:dyDescent="0.3"/>
  <cols>
    <col min="8" max="8" width="27.33203125" bestFit="1" customWidth="1"/>
  </cols>
  <sheetData>
    <row r="1" spans="1:8" x14ac:dyDescent="0.3">
      <c r="A1" s="2" t="s">
        <v>5794</v>
      </c>
      <c r="B1" s="2" t="s">
        <v>5795</v>
      </c>
      <c r="C1" s="2" t="s">
        <v>5796</v>
      </c>
      <c r="D1" s="2" t="s">
        <v>5797</v>
      </c>
      <c r="E1" s="2" t="s">
        <v>5798</v>
      </c>
      <c r="F1" s="2" t="s">
        <v>5799</v>
      </c>
      <c r="G1" s="2" t="s">
        <v>5800</v>
      </c>
      <c r="H1" s="2" t="s">
        <v>5807</v>
      </c>
    </row>
    <row r="2" spans="1:8" x14ac:dyDescent="0.3">
      <c r="A2" s="2">
        <v>3000012</v>
      </c>
      <c r="B2" s="2" t="s">
        <v>5897</v>
      </c>
      <c r="C2" s="2" t="s">
        <v>5898</v>
      </c>
      <c r="D2" s="2" t="s">
        <v>5899</v>
      </c>
      <c r="E2" s="2">
        <v>63.18</v>
      </c>
      <c r="F2" s="2">
        <v>5.76</v>
      </c>
      <c r="G2" s="2" t="s">
        <v>5817</v>
      </c>
      <c r="H2" s="2" t="s">
        <v>6050</v>
      </c>
    </row>
    <row r="3" spans="1:8" x14ac:dyDescent="0.3">
      <c r="A3" s="2">
        <v>3000220</v>
      </c>
      <c r="B3" s="2" t="s">
        <v>5823</v>
      </c>
      <c r="C3" s="2" t="s">
        <v>5824</v>
      </c>
      <c r="D3" s="2" t="s">
        <v>5825</v>
      </c>
      <c r="E3" s="2">
        <v>110.1</v>
      </c>
      <c r="F3" s="2">
        <v>8.26</v>
      </c>
      <c r="G3" s="2" t="s">
        <v>5817</v>
      </c>
      <c r="H3" s="2" t="s">
        <v>6051</v>
      </c>
    </row>
    <row r="4" spans="1:8" x14ac:dyDescent="0.3">
      <c r="A4" s="2">
        <v>3000297</v>
      </c>
      <c r="B4" s="2" t="s">
        <v>5919</v>
      </c>
      <c r="C4" s="2" t="s">
        <v>5920</v>
      </c>
      <c r="D4" s="2" t="s">
        <v>5921</v>
      </c>
      <c r="E4" s="2">
        <v>70.760000000000005</v>
      </c>
      <c r="F4" s="2">
        <v>7.13</v>
      </c>
      <c r="G4" s="2" t="s">
        <v>5817</v>
      </c>
      <c r="H4" s="2" t="s">
        <v>6049</v>
      </c>
    </row>
    <row r="5" spans="1:8" x14ac:dyDescent="0.3">
      <c r="A5" s="2">
        <v>3000307</v>
      </c>
      <c r="B5" s="2" t="s">
        <v>5912</v>
      </c>
      <c r="C5" s="2" t="s">
        <v>5913</v>
      </c>
      <c r="D5" s="2" t="s">
        <v>5914</v>
      </c>
      <c r="E5" s="2">
        <v>33.090000000000003</v>
      </c>
      <c r="F5" s="2">
        <v>4.71</v>
      </c>
      <c r="G5" s="2" t="s">
        <v>5817</v>
      </c>
      <c r="H5" s="2" t="s">
        <v>6049</v>
      </c>
    </row>
    <row r="6" spans="1:8" x14ac:dyDescent="0.3">
      <c r="A6" s="2">
        <v>3000328</v>
      </c>
      <c r="B6" s="2" t="s">
        <v>5919</v>
      </c>
      <c r="C6" s="2" t="s">
        <v>5922</v>
      </c>
      <c r="D6" s="2" t="s">
        <v>5920</v>
      </c>
      <c r="E6" s="2">
        <v>107.97</v>
      </c>
      <c r="F6" s="2">
        <v>6.7</v>
      </c>
      <c r="G6" s="2" t="s">
        <v>5817</v>
      </c>
      <c r="H6" s="2" t="s">
        <v>6049</v>
      </c>
    </row>
    <row r="7" spans="1:8" x14ac:dyDescent="0.3">
      <c r="A7" s="2">
        <v>3000337</v>
      </c>
      <c r="B7" s="2" t="s">
        <v>5919</v>
      </c>
      <c r="C7" s="2" t="s">
        <v>5923</v>
      </c>
      <c r="D7" s="2" t="s">
        <v>5922</v>
      </c>
      <c r="E7" s="2">
        <v>58.48</v>
      </c>
      <c r="F7" s="2">
        <v>6.83</v>
      </c>
      <c r="G7" s="2" t="s">
        <v>5817</v>
      </c>
      <c r="H7" s="2" t="s">
        <v>6049</v>
      </c>
    </row>
    <row r="8" spans="1:8" x14ac:dyDescent="0.3">
      <c r="A8" s="2">
        <v>3000349</v>
      </c>
      <c r="B8" s="2" t="s">
        <v>5919</v>
      </c>
      <c r="C8" s="2" t="s">
        <v>5924</v>
      </c>
      <c r="D8" s="2" t="s">
        <v>5923</v>
      </c>
      <c r="E8" s="2">
        <v>66.06</v>
      </c>
      <c r="F8" s="2">
        <v>6.85</v>
      </c>
      <c r="G8" s="2" t="s">
        <v>5817</v>
      </c>
      <c r="H8" s="2" t="s">
        <v>6049</v>
      </c>
    </row>
    <row r="9" spans="1:8" x14ac:dyDescent="0.3">
      <c r="A9" s="2">
        <v>3000373</v>
      </c>
      <c r="B9" s="2" t="s">
        <v>5919</v>
      </c>
      <c r="C9" s="2" t="s">
        <v>5925</v>
      </c>
      <c r="D9" s="2" t="s">
        <v>5924</v>
      </c>
      <c r="E9" s="2">
        <v>100.89</v>
      </c>
      <c r="F9" s="2">
        <v>7.07</v>
      </c>
      <c r="G9" s="2" t="s">
        <v>5817</v>
      </c>
      <c r="H9" s="2" t="s">
        <v>6049</v>
      </c>
    </row>
    <row r="10" spans="1:8" x14ac:dyDescent="0.3">
      <c r="A10" s="2">
        <v>3000609</v>
      </c>
      <c r="B10" s="2" t="s">
        <v>6029</v>
      </c>
      <c r="C10" s="2" t="s">
        <v>5814</v>
      </c>
      <c r="D10" s="2" t="s">
        <v>5941</v>
      </c>
      <c r="E10" s="2">
        <v>102.6</v>
      </c>
      <c r="F10" s="2">
        <v>7.67</v>
      </c>
      <c r="G10" s="2" t="s">
        <v>5817</v>
      </c>
      <c r="H10" s="2" t="s">
        <v>6048</v>
      </c>
    </row>
    <row r="11" spans="1:8" x14ac:dyDescent="0.3">
      <c r="A11" s="2">
        <v>3000961</v>
      </c>
      <c r="B11" s="2" t="s">
        <v>5816</v>
      </c>
      <c r="C11" s="2" t="s">
        <v>5981</v>
      </c>
      <c r="D11" s="2" t="s">
        <v>5941</v>
      </c>
      <c r="E11" s="2">
        <v>71.84</v>
      </c>
      <c r="F11" s="2">
        <v>12.41</v>
      </c>
      <c r="G11" s="2" t="s">
        <v>5817</v>
      </c>
      <c r="H11" s="2" t="s">
        <v>6049</v>
      </c>
    </row>
    <row r="12" spans="1:8" x14ac:dyDescent="0.3">
      <c r="A12" s="2">
        <v>3000985</v>
      </c>
      <c r="B12" s="2" t="s">
        <v>5816</v>
      </c>
      <c r="C12" s="2" t="s">
        <v>5814</v>
      </c>
      <c r="D12" s="2" t="s">
        <v>5981</v>
      </c>
      <c r="E12" s="2">
        <v>62.36</v>
      </c>
      <c r="F12" s="2">
        <v>8</v>
      </c>
      <c r="G12" s="2" t="s">
        <v>5817</v>
      </c>
      <c r="H12" s="2" t="s">
        <v>6049</v>
      </c>
    </row>
    <row r="13" spans="1:8" x14ac:dyDescent="0.3">
      <c r="A13" s="2">
        <v>3001051</v>
      </c>
      <c r="B13" s="2" t="s">
        <v>5831</v>
      </c>
      <c r="C13" s="2" t="s">
        <v>5939</v>
      </c>
      <c r="D13" s="2" t="s">
        <v>5940</v>
      </c>
      <c r="E13" s="2">
        <v>57.01</v>
      </c>
      <c r="F13" s="2">
        <v>5.0599999999999996</v>
      </c>
      <c r="G13" s="2" t="s">
        <v>5817</v>
      </c>
      <c r="H13" s="2" t="s">
        <v>6048</v>
      </c>
    </row>
    <row r="14" spans="1:8" x14ac:dyDescent="0.3">
      <c r="A14" s="2">
        <v>3001062</v>
      </c>
      <c r="B14" s="2" t="s">
        <v>5814</v>
      </c>
      <c r="C14" s="2" t="s">
        <v>5815</v>
      </c>
      <c r="D14" s="2" t="s">
        <v>5816</v>
      </c>
      <c r="E14" s="2">
        <v>155.79</v>
      </c>
      <c r="F14" s="2">
        <v>4.2</v>
      </c>
      <c r="G14" s="2" t="s">
        <v>5817</v>
      </c>
      <c r="H14" s="2" t="s">
        <v>6051</v>
      </c>
    </row>
    <row r="15" spans="1:8" x14ac:dyDescent="0.3">
      <c r="A15" s="2">
        <v>3001112</v>
      </c>
      <c r="B15" s="2" t="s">
        <v>5941</v>
      </c>
      <c r="C15" s="2" t="s">
        <v>5930</v>
      </c>
      <c r="D15" s="2" t="s">
        <v>5815</v>
      </c>
      <c r="E15" s="2">
        <v>165.6</v>
      </c>
      <c r="F15" s="2">
        <v>5.92</v>
      </c>
      <c r="G15" s="2" t="s">
        <v>5817</v>
      </c>
      <c r="H15" s="2" t="s">
        <v>6048</v>
      </c>
    </row>
    <row r="16" spans="1:8" x14ac:dyDescent="0.3">
      <c r="A16" s="2">
        <v>3001113</v>
      </c>
      <c r="B16" s="2" t="s">
        <v>5831</v>
      </c>
      <c r="C16" s="2" t="s">
        <v>5943</v>
      </c>
      <c r="D16" s="2" t="s">
        <v>5939</v>
      </c>
      <c r="E16" s="2">
        <v>79</v>
      </c>
      <c r="F16" s="2">
        <v>4.1399999999999997</v>
      </c>
      <c r="G16" s="2" t="s">
        <v>5817</v>
      </c>
      <c r="H16" s="2" t="s">
        <v>6048</v>
      </c>
    </row>
    <row r="17" spans="1:8" x14ac:dyDescent="0.3">
      <c r="A17" s="2">
        <v>3001116</v>
      </c>
      <c r="B17" s="2" t="s">
        <v>5814</v>
      </c>
      <c r="C17" s="2" t="s">
        <v>5946</v>
      </c>
      <c r="D17" s="2" t="s">
        <v>5815</v>
      </c>
      <c r="E17" s="2">
        <v>71.760000000000005</v>
      </c>
      <c r="F17" s="2">
        <v>9.35</v>
      </c>
      <c r="G17" s="2" t="s">
        <v>5817</v>
      </c>
      <c r="H17" s="2" t="s">
        <v>6048</v>
      </c>
    </row>
    <row r="18" spans="1:8" x14ac:dyDescent="0.3">
      <c r="A18" s="2">
        <v>3001131</v>
      </c>
      <c r="B18" s="2" t="s">
        <v>5941</v>
      </c>
      <c r="C18" s="2" t="s">
        <v>5947</v>
      </c>
      <c r="D18" s="2" t="s">
        <v>5930</v>
      </c>
      <c r="E18" s="2">
        <v>28.63</v>
      </c>
      <c r="F18" s="2">
        <v>6.53</v>
      </c>
      <c r="G18" s="2" t="s">
        <v>5817</v>
      </c>
      <c r="H18" s="2" t="s">
        <v>6048</v>
      </c>
    </row>
    <row r="19" spans="1:8" x14ac:dyDescent="0.3">
      <c r="A19" s="2">
        <v>3001153</v>
      </c>
      <c r="B19" s="2" t="s">
        <v>5814</v>
      </c>
      <c r="C19" s="2" t="s">
        <v>5948</v>
      </c>
      <c r="D19" s="2" t="s">
        <v>5946</v>
      </c>
      <c r="E19" s="2">
        <v>47.04</v>
      </c>
      <c r="F19" s="2">
        <v>7.82</v>
      </c>
      <c r="G19" s="2" t="s">
        <v>5817</v>
      </c>
      <c r="H19" s="2" t="s">
        <v>6048</v>
      </c>
    </row>
    <row r="20" spans="1:8" x14ac:dyDescent="0.3">
      <c r="A20" s="2">
        <v>3001157</v>
      </c>
      <c r="B20" s="2" t="s">
        <v>5941</v>
      </c>
      <c r="C20" s="2" t="s">
        <v>5949</v>
      </c>
      <c r="D20" s="2" t="s">
        <v>5947</v>
      </c>
      <c r="E20" s="2">
        <v>49.04</v>
      </c>
      <c r="F20" s="2">
        <v>6.97</v>
      </c>
      <c r="G20" s="2" t="s">
        <v>5817</v>
      </c>
      <c r="H20" s="2" t="s">
        <v>6048</v>
      </c>
    </row>
    <row r="21" spans="1:8" x14ac:dyDescent="0.3">
      <c r="A21" s="2">
        <v>3001161</v>
      </c>
      <c r="B21" s="2" t="s">
        <v>5831</v>
      </c>
      <c r="C21" s="2" t="s">
        <v>5951</v>
      </c>
      <c r="D21" s="2" t="s">
        <v>5943</v>
      </c>
      <c r="E21" s="2">
        <v>80.42</v>
      </c>
      <c r="F21" s="2">
        <v>5.44</v>
      </c>
      <c r="G21" s="2" t="s">
        <v>5817</v>
      </c>
      <c r="H21" s="2" t="s">
        <v>6048</v>
      </c>
    </row>
    <row r="22" spans="1:8" x14ac:dyDescent="0.3">
      <c r="A22" s="2">
        <v>3001181</v>
      </c>
      <c r="B22" s="2" t="s">
        <v>5814</v>
      </c>
      <c r="C22" s="2" t="s">
        <v>5952</v>
      </c>
      <c r="D22" s="2" t="s">
        <v>5948</v>
      </c>
      <c r="E22" s="2">
        <v>34.14</v>
      </c>
      <c r="F22" s="2">
        <v>6.75</v>
      </c>
      <c r="G22" s="2" t="s">
        <v>5817</v>
      </c>
      <c r="H22" s="2" t="s">
        <v>6048</v>
      </c>
    </row>
    <row r="23" spans="1:8" x14ac:dyDescent="0.3">
      <c r="A23" s="2">
        <v>3001187</v>
      </c>
      <c r="B23" s="2" t="s">
        <v>5831</v>
      </c>
      <c r="C23" s="2" t="s">
        <v>5954</v>
      </c>
      <c r="D23" s="2" t="s">
        <v>5951</v>
      </c>
      <c r="E23" s="2">
        <v>33.340000000000003</v>
      </c>
      <c r="F23" s="2">
        <v>7.63</v>
      </c>
      <c r="G23" s="2" t="s">
        <v>5817</v>
      </c>
      <c r="H23" s="2" t="s">
        <v>6048</v>
      </c>
    </row>
    <row r="24" spans="1:8" x14ac:dyDescent="0.3">
      <c r="A24" s="2">
        <v>3001204</v>
      </c>
      <c r="B24" s="2" t="s">
        <v>5814</v>
      </c>
      <c r="C24" s="2" t="s">
        <v>5958</v>
      </c>
      <c r="D24" s="2" t="s">
        <v>5959</v>
      </c>
      <c r="E24" s="2">
        <v>46.62</v>
      </c>
      <c r="F24" s="2">
        <v>5.78</v>
      </c>
      <c r="G24" s="2" t="s">
        <v>5817</v>
      </c>
      <c r="H24" s="2" t="s">
        <v>6048</v>
      </c>
    </row>
    <row r="25" spans="1:8" x14ac:dyDescent="0.3">
      <c r="A25" s="2">
        <v>3001229</v>
      </c>
      <c r="B25" s="2" t="s">
        <v>5814</v>
      </c>
      <c r="C25" s="2" t="s">
        <v>5961</v>
      </c>
      <c r="D25" s="2" t="s">
        <v>5929</v>
      </c>
      <c r="E25" s="2">
        <v>28.9</v>
      </c>
      <c r="F25" s="2">
        <v>6.18</v>
      </c>
      <c r="G25" s="2" t="s">
        <v>5817</v>
      </c>
      <c r="H25" s="2" t="s">
        <v>6048</v>
      </c>
    </row>
    <row r="26" spans="1:8" x14ac:dyDescent="0.3">
      <c r="A26" s="2">
        <v>3001283</v>
      </c>
      <c r="B26" s="2" t="s">
        <v>5831</v>
      </c>
      <c r="C26" s="2" t="s">
        <v>5879</v>
      </c>
      <c r="D26" s="2" t="s">
        <v>5880</v>
      </c>
      <c r="E26" s="2">
        <v>67.28</v>
      </c>
      <c r="F26" s="2">
        <v>5.55</v>
      </c>
      <c r="G26" s="2" t="s">
        <v>5817</v>
      </c>
      <c r="H26" s="2" t="s">
        <v>6049</v>
      </c>
    </row>
    <row r="27" spans="1:8" x14ac:dyDescent="0.3">
      <c r="A27" s="2">
        <v>3001292</v>
      </c>
      <c r="B27" s="2" t="s">
        <v>5814</v>
      </c>
      <c r="C27" s="2" t="s">
        <v>5949</v>
      </c>
      <c r="D27" s="2" t="s">
        <v>5961</v>
      </c>
      <c r="E27" s="2">
        <v>56.35</v>
      </c>
      <c r="F27" s="2">
        <v>6.29</v>
      </c>
      <c r="G27" s="2" t="s">
        <v>5817</v>
      </c>
      <c r="H27" s="2" t="s">
        <v>6048</v>
      </c>
    </row>
    <row r="28" spans="1:8" x14ac:dyDescent="0.3">
      <c r="A28" s="2">
        <v>3001304</v>
      </c>
      <c r="B28" s="2" t="s">
        <v>5831</v>
      </c>
      <c r="C28" s="2" t="s">
        <v>5833</v>
      </c>
      <c r="D28" s="2" t="s">
        <v>5879</v>
      </c>
      <c r="E28" s="2">
        <v>22.41</v>
      </c>
      <c r="F28" s="2">
        <v>6.64</v>
      </c>
      <c r="G28" s="2" t="s">
        <v>5817</v>
      </c>
      <c r="H28" s="2" t="s">
        <v>6049</v>
      </c>
    </row>
    <row r="29" spans="1:8" x14ac:dyDescent="0.3">
      <c r="A29" s="2">
        <v>3001330</v>
      </c>
      <c r="B29" s="2" t="s">
        <v>5831</v>
      </c>
      <c r="C29" s="2" t="s">
        <v>5832</v>
      </c>
      <c r="D29" s="2" t="s">
        <v>5833</v>
      </c>
      <c r="E29" s="2">
        <v>35.409999999999997</v>
      </c>
      <c r="F29" s="2">
        <v>5.41</v>
      </c>
      <c r="G29" s="2" t="s">
        <v>5817</v>
      </c>
      <c r="H29" s="2" t="s">
        <v>6050</v>
      </c>
    </row>
    <row r="30" spans="1:8" x14ac:dyDescent="0.3">
      <c r="A30" s="2">
        <v>3001354</v>
      </c>
      <c r="B30" s="2" t="s">
        <v>6044</v>
      </c>
      <c r="C30" s="2" t="s">
        <v>6045</v>
      </c>
      <c r="D30" s="2" t="s">
        <v>5821</v>
      </c>
      <c r="E30" s="2">
        <v>82.14</v>
      </c>
      <c r="F30" s="2">
        <v>5.59</v>
      </c>
      <c r="G30" s="2" t="s">
        <v>5817</v>
      </c>
      <c r="H30" s="2" t="s">
        <v>6048</v>
      </c>
    </row>
    <row r="31" spans="1:8" x14ac:dyDescent="0.3">
      <c r="A31" s="2">
        <v>3001363</v>
      </c>
      <c r="B31" s="2" t="s">
        <v>5831</v>
      </c>
      <c r="C31" s="2" t="s">
        <v>5963</v>
      </c>
      <c r="D31" s="2" t="s">
        <v>5832</v>
      </c>
      <c r="E31" s="2">
        <v>35.270000000000003</v>
      </c>
      <c r="F31" s="2">
        <v>3.75</v>
      </c>
      <c r="G31" s="2" t="s">
        <v>5817</v>
      </c>
      <c r="H31" s="2" t="s">
        <v>6048</v>
      </c>
    </row>
    <row r="32" spans="1:8" x14ac:dyDescent="0.3">
      <c r="A32" s="2">
        <v>3001398</v>
      </c>
      <c r="B32" s="2" t="s">
        <v>5964</v>
      </c>
      <c r="C32" s="2" t="s">
        <v>5965</v>
      </c>
      <c r="D32" s="2" t="s">
        <v>5816</v>
      </c>
      <c r="E32" s="2">
        <v>146.08000000000001</v>
      </c>
      <c r="F32" s="2">
        <v>7.02</v>
      </c>
      <c r="G32" s="2" t="s">
        <v>5817</v>
      </c>
      <c r="H32" s="2" t="s">
        <v>6048</v>
      </c>
    </row>
    <row r="33" spans="1:8" x14ac:dyDescent="0.3">
      <c r="A33" s="2">
        <v>3001445</v>
      </c>
      <c r="B33" s="2" t="s">
        <v>5831</v>
      </c>
      <c r="C33" s="2" t="s">
        <v>5967</v>
      </c>
      <c r="D33" s="2" t="s">
        <v>5963</v>
      </c>
      <c r="E33" s="2">
        <v>91.4</v>
      </c>
      <c r="F33" s="2">
        <v>4.0999999999999996</v>
      </c>
      <c r="G33" s="2" t="s">
        <v>5817</v>
      </c>
      <c r="H33" s="2" t="s">
        <v>6048</v>
      </c>
    </row>
    <row r="34" spans="1:8" x14ac:dyDescent="0.3">
      <c r="A34" s="2">
        <v>3001689</v>
      </c>
      <c r="B34" s="2" t="s">
        <v>6004</v>
      </c>
      <c r="C34" s="2" t="s">
        <v>5854</v>
      </c>
      <c r="D34" s="2" t="s">
        <v>6005</v>
      </c>
      <c r="E34" s="2">
        <v>87.52</v>
      </c>
      <c r="F34" s="2">
        <v>5.74</v>
      </c>
      <c r="G34" s="2" t="s">
        <v>5817</v>
      </c>
      <c r="H34" s="2" t="s">
        <v>6049</v>
      </c>
    </row>
    <row r="35" spans="1:8" x14ac:dyDescent="0.3">
      <c r="A35" s="2">
        <v>3002246</v>
      </c>
      <c r="B35" s="2" t="s">
        <v>5814</v>
      </c>
      <c r="C35" s="2" t="s">
        <v>5816</v>
      </c>
      <c r="D35" s="2" t="s">
        <v>5816</v>
      </c>
      <c r="E35" s="2">
        <v>13.04</v>
      </c>
      <c r="F35" s="2">
        <v>4.25</v>
      </c>
      <c r="G35" s="2" t="s">
        <v>5817</v>
      </c>
      <c r="H35" s="2" t="s">
        <v>6051</v>
      </c>
    </row>
    <row r="36" spans="1:8" x14ac:dyDescent="0.3">
      <c r="A36" s="2">
        <v>3002450</v>
      </c>
      <c r="B36" s="2" t="s">
        <v>5814</v>
      </c>
      <c r="C36" s="2" t="s">
        <v>5816</v>
      </c>
      <c r="D36" s="2" t="s">
        <v>5821</v>
      </c>
      <c r="E36" s="2">
        <v>49.84</v>
      </c>
      <c r="F36" s="2">
        <v>5.09</v>
      </c>
      <c r="G36" s="2" t="s">
        <v>5817</v>
      </c>
      <c r="H36" s="2" t="s">
        <v>6051</v>
      </c>
    </row>
    <row r="37" spans="1:8" x14ac:dyDescent="0.3">
      <c r="A37" s="2">
        <v>3002471</v>
      </c>
      <c r="B37" s="2" t="s">
        <v>6025</v>
      </c>
      <c r="C37" s="2" t="s">
        <v>6004</v>
      </c>
      <c r="D37" s="2" t="s">
        <v>6026</v>
      </c>
      <c r="E37" s="2">
        <v>20.03</v>
      </c>
      <c r="F37" s="2">
        <v>5.87</v>
      </c>
      <c r="G37" s="2" t="s">
        <v>5817</v>
      </c>
      <c r="H37" s="2" t="s">
        <v>6049</v>
      </c>
    </row>
    <row r="38" spans="1:8" x14ac:dyDescent="0.3">
      <c r="A38" s="2">
        <v>3002657</v>
      </c>
      <c r="B38" s="2" t="s">
        <v>5936</v>
      </c>
      <c r="C38" s="2" t="s">
        <v>5937</v>
      </c>
      <c r="D38" s="2" t="s">
        <v>5937</v>
      </c>
      <c r="E38" s="2">
        <v>20.28</v>
      </c>
      <c r="F38" s="2">
        <v>13.89</v>
      </c>
      <c r="G38" s="2" t="s">
        <v>5817</v>
      </c>
      <c r="H38" s="2" t="s">
        <v>6049</v>
      </c>
    </row>
    <row r="39" spans="1:8" x14ac:dyDescent="0.3">
      <c r="A39" s="2">
        <v>3002911</v>
      </c>
      <c r="B39" s="2" t="s">
        <v>5829</v>
      </c>
      <c r="C39" s="2"/>
      <c r="D39" s="2"/>
      <c r="E39" s="2">
        <v>83.58</v>
      </c>
      <c r="F39" s="2">
        <v>5.74</v>
      </c>
      <c r="G39" s="2" t="s">
        <v>5817</v>
      </c>
      <c r="H39" s="2" t="s">
        <v>6051</v>
      </c>
    </row>
    <row r="40" spans="1:8" x14ac:dyDescent="0.3">
      <c r="A40" s="2">
        <v>3002932</v>
      </c>
      <c r="B40" s="2" t="s">
        <v>5829</v>
      </c>
      <c r="C40" s="2"/>
      <c r="D40" s="2"/>
      <c r="E40" s="2">
        <v>178.31</v>
      </c>
      <c r="F40" s="2">
        <v>7.77</v>
      </c>
      <c r="G40" s="2" t="s">
        <v>5817</v>
      </c>
      <c r="H40" s="2" t="s">
        <v>6051</v>
      </c>
    </row>
  </sheetData>
  <autoFilter ref="A1:H40" xr:uid="{1C95EE11-6623-4288-8BDD-32310405A90B}">
    <sortState xmlns:xlrd2="http://schemas.microsoft.com/office/spreadsheetml/2017/richdata2" ref="A2:H40">
      <sortCondition ref="A1:A40"/>
    </sortState>
  </autoFilter>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E1990-812F-434C-A2B9-6D13BF2469E6}">
  <sheetPr filterMode="1">
    <tabColor rgb="FF92D050"/>
  </sheetPr>
  <dimension ref="A2:P119"/>
  <sheetViews>
    <sheetView workbookViewId="0">
      <pane ySplit="7" topLeftCell="A8" activePane="bottomLeft" state="frozen"/>
      <selection activeCell="G40" sqref="G40"/>
      <selection pane="bottomLeft" activeCell="G40" sqref="G40"/>
    </sheetView>
  </sheetViews>
  <sheetFormatPr baseColWidth="10" defaultColWidth="11.44140625" defaultRowHeight="14.4" x14ac:dyDescent="0.3"/>
  <cols>
    <col min="6" max="6" width="17.33203125" customWidth="1"/>
    <col min="7" max="7" width="18.33203125" bestFit="1" customWidth="1"/>
    <col min="8" max="8" width="19.33203125" bestFit="1" customWidth="1"/>
    <col min="9" max="11" width="19.33203125" customWidth="1"/>
    <col min="12" max="12" width="27.33203125" bestFit="1" customWidth="1"/>
    <col min="13" max="14" width="18.33203125" bestFit="1" customWidth="1"/>
    <col min="15" max="15" width="17.6640625" bestFit="1" customWidth="1"/>
    <col min="16" max="16" width="18.33203125" bestFit="1" customWidth="1"/>
  </cols>
  <sheetData>
    <row r="2" spans="1:14" x14ac:dyDescent="0.3">
      <c r="F2" s="929" t="s">
        <v>6090</v>
      </c>
      <c r="G2" s="929"/>
      <c r="I2" t="s">
        <v>6091</v>
      </c>
      <c r="J2" t="s">
        <v>6092</v>
      </c>
    </row>
    <row r="3" spans="1:14" x14ac:dyDescent="0.3">
      <c r="F3" t="s">
        <v>6093</v>
      </c>
      <c r="G3" s="96">
        <v>7855092000</v>
      </c>
      <c r="H3" s="94" t="e">
        <f>+G3-N3</f>
        <v>#N/A</v>
      </c>
      <c r="I3" s="96" t="e">
        <f>+H3*0.111</f>
        <v>#N/A</v>
      </c>
      <c r="J3" s="94" t="e">
        <f>+H3-I3</f>
        <v>#N/A</v>
      </c>
      <c r="N3" s="94" t="e">
        <f>+'CONSOL CIV RUR $'!J36</f>
        <v>#N/A</v>
      </c>
    </row>
    <row r="4" spans="1:14" x14ac:dyDescent="0.3">
      <c r="F4" t="s">
        <v>6094</v>
      </c>
      <c r="G4" s="96">
        <v>501389000</v>
      </c>
      <c r="I4" s="96">
        <f>+G4*0.111</f>
        <v>55654179</v>
      </c>
      <c r="J4" s="94">
        <f>+G4-I4</f>
        <v>445734821</v>
      </c>
    </row>
    <row r="5" spans="1:14" x14ac:dyDescent="0.3">
      <c r="F5" t="s">
        <v>6061</v>
      </c>
      <c r="G5" s="96">
        <v>1038591000</v>
      </c>
      <c r="I5" s="96">
        <f>+G5*0.111</f>
        <v>115283601</v>
      </c>
      <c r="J5" s="94">
        <f>+G5-I5</f>
        <v>923307399</v>
      </c>
    </row>
    <row r="7" spans="1:14" x14ac:dyDescent="0.3">
      <c r="A7" s="101" t="s">
        <v>5794</v>
      </c>
      <c r="B7" s="101" t="s">
        <v>5795</v>
      </c>
      <c r="C7" s="101" t="s">
        <v>5796</v>
      </c>
      <c r="D7" s="101" t="s">
        <v>5797</v>
      </c>
      <c r="E7" s="101" t="s">
        <v>5798</v>
      </c>
      <c r="F7" s="101" t="s">
        <v>5799</v>
      </c>
      <c r="G7" s="101" t="s">
        <v>5800</v>
      </c>
      <c r="H7" s="101" t="s">
        <v>6095</v>
      </c>
      <c r="I7" s="101" t="s">
        <v>6096</v>
      </c>
      <c r="J7" s="101" t="s">
        <v>181</v>
      </c>
      <c r="K7" s="101" t="s">
        <v>5806</v>
      </c>
      <c r="L7" s="101" t="s">
        <v>5807</v>
      </c>
    </row>
    <row r="8" spans="1:14" x14ac:dyDescent="0.3">
      <c r="A8" s="101">
        <v>3001062</v>
      </c>
      <c r="B8" s="101" t="s">
        <v>5814</v>
      </c>
      <c r="C8" s="101" t="s">
        <v>5815</v>
      </c>
      <c r="D8" s="101" t="s">
        <v>5816</v>
      </c>
      <c r="E8" s="101">
        <v>155.79</v>
      </c>
      <c r="F8" s="101">
        <v>4.2</v>
      </c>
      <c r="G8" s="101" t="s">
        <v>5817</v>
      </c>
      <c r="H8" s="102">
        <f>+VLOOKUP(A8,_xlfn.ANCHORARRAY(Hoja3!$A$7),2,FALSE)</f>
        <v>0</v>
      </c>
      <c r="I8" s="102">
        <f>+VLOOKUP(A8,_xlfn.ANCHORARRAY(Hoja3!$A$7),3,FALSE)</f>
        <v>0</v>
      </c>
      <c r="J8" s="102">
        <f t="shared" ref="J8:J39" si="0">+H8+I8</f>
        <v>0</v>
      </c>
      <c r="K8" s="102">
        <v>0.89999999999999991</v>
      </c>
      <c r="L8" s="101" t="s">
        <v>6051</v>
      </c>
      <c r="N8">
        <f>+E8*F8</f>
        <v>654.31799999999998</v>
      </c>
    </row>
    <row r="9" spans="1:14" x14ac:dyDescent="0.3">
      <c r="A9" s="101">
        <v>3002246</v>
      </c>
      <c r="B9" s="101" t="s">
        <v>5814</v>
      </c>
      <c r="C9" s="101" t="s">
        <v>5816</v>
      </c>
      <c r="D9" s="101" t="s">
        <v>5816</v>
      </c>
      <c r="E9" s="101">
        <v>13.04</v>
      </c>
      <c r="F9" s="101">
        <v>4.25</v>
      </c>
      <c r="G9" s="101" t="s">
        <v>5817</v>
      </c>
      <c r="H9" s="102">
        <f>+VLOOKUP(A9,_xlfn.ANCHORARRAY(Hoja3!$A$7),2,FALSE)</f>
        <v>0</v>
      </c>
      <c r="I9" s="102">
        <f>+VLOOKUP(A9,_xlfn.ANCHORARRAY(Hoja3!$A$7),3,FALSE)</f>
        <v>0</v>
      </c>
      <c r="J9" s="102">
        <f t="shared" si="0"/>
        <v>0</v>
      </c>
      <c r="K9" s="102">
        <v>0.89999999999999991</v>
      </c>
      <c r="L9" s="101" t="s">
        <v>6051</v>
      </c>
      <c r="N9">
        <f t="shared" ref="N9:N11" si="1">+E9*F9</f>
        <v>55.419999999999995</v>
      </c>
    </row>
    <row r="10" spans="1:14" x14ac:dyDescent="0.3">
      <c r="A10" s="101">
        <v>3002450</v>
      </c>
      <c r="B10" s="101" t="s">
        <v>5814</v>
      </c>
      <c r="C10" s="101" t="s">
        <v>5816</v>
      </c>
      <c r="D10" s="101" t="s">
        <v>5821</v>
      </c>
      <c r="E10" s="101">
        <v>49.84</v>
      </c>
      <c r="F10" s="101">
        <v>5.09</v>
      </c>
      <c r="G10" s="101" t="s">
        <v>5817</v>
      </c>
      <c r="H10" s="102">
        <f>+VLOOKUP(A10,_xlfn.ANCHORARRAY(Hoja3!$A$7),2,FALSE)</f>
        <v>0</v>
      </c>
      <c r="I10" s="102">
        <f>+VLOOKUP(A10,_xlfn.ANCHORARRAY(Hoja3!$A$7),3,FALSE)</f>
        <v>0</v>
      </c>
      <c r="J10" s="102">
        <f t="shared" si="0"/>
        <v>0</v>
      </c>
      <c r="K10" s="102">
        <v>0.89999999999999991</v>
      </c>
      <c r="L10" s="101" t="s">
        <v>6051</v>
      </c>
      <c r="N10">
        <f t="shared" si="1"/>
        <v>253.68560000000002</v>
      </c>
    </row>
    <row r="11" spans="1:14" x14ac:dyDescent="0.3">
      <c r="A11" s="101">
        <v>3000220</v>
      </c>
      <c r="B11" s="101" t="s">
        <v>5823</v>
      </c>
      <c r="C11" s="101" t="s">
        <v>5824</v>
      </c>
      <c r="D11" s="101" t="s">
        <v>5825</v>
      </c>
      <c r="E11" s="101">
        <v>110.1</v>
      </c>
      <c r="F11" s="101">
        <v>8.26</v>
      </c>
      <c r="G11" s="101" t="s">
        <v>5817</v>
      </c>
      <c r="H11" s="102" t="e">
        <f>+VLOOKUP(A11,_xlfn.ANCHORARRAY(Hoja3!$A$7),2,FALSE)</f>
        <v>#N/A</v>
      </c>
      <c r="I11" s="102">
        <f>+VLOOKUP(A11,_xlfn.ANCHORARRAY(Hoja3!$A$7),3,FALSE)</f>
        <v>155167510</v>
      </c>
      <c r="J11" s="102" t="e">
        <f t="shared" si="0"/>
        <v>#N/A</v>
      </c>
      <c r="K11" s="102">
        <v>0.8</v>
      </c>
      <c r="L11" s="101" t="s">
        <v>6051</v>
      </c>
      <c r="N11">
        <f t="shared" si="1"/>
        <v>909.42599999999993</v>
      </c>
    </row>
    <row r="12" spans="1:14" s="100" customFormat="1" hidden="1" x14ac:dyDescent="0.3">
      <c r="A12" s="91">
        <v>3002911</v>
      </c>
      <c r="B12" s="91" t="s">
        <v>5829</v>
      </c>
      <c r="C12" s="91"/>
      <c r="D12" s="91"/>
      <c r="E12" s="91">
        <v>83.58</v>
      </c>
      <c r="F12" s="91">
        <v>5.74</v>
      </c>
      <c r="G12" s="91" t="s">
        <v>5817</v>
      </c>
      <c r="H12" s="105">
        <f>+VLOOKUP(A12,_xlfn.ANCHORARRAY(Hoja3!$A$7),2,FALSE)</f>
        <v>0</v>
      </c>
      <c r="I12" s="105">
        <f>+VLOOKUP(A12,_xlfn.ANCHORARRAY(Hoja3!$A$7),3,FALSE)</f>
        <v>0</v>
      </c>
      <c r="J12" s="105">
        <f t="shared" si="0"/>
        <v>0</v>
      </c>
      <c r="K12" s="105">
        <v>0.8</v>
      </c>
      <c r="L12" s="91" t="s">
        <v>6051</v>
      </c>
      <c r="M12"/>
    </row>
    <row r="13" spans="1:14" s="100" customFormat="1" hidden="1" x14ac:dyDescent="0.3">
      <c r="A13" s="91">
        <v>3002932</v>
      </c>
      <c r="B13" s="91" t="s">
        <v>5829</v>
      </c>
      <c r="C13" s="91"/>
      <c r="D13" s="91"/>
      <c r="E13" s="91">
        <v>178.31</v>
      </c>
      <c r="F13" s="91">
        <v>7.77</v>
      </c>
      <c r="G13" s="91" t="s">
        <v>5817</v>
      </c>
      <c r="H13" s="105">
        <f>+VLOOKUP(A13,_xlfn.ANCHORARRAY(Hoja3!$A$7),2,FALSE)</f>
        <v>0</v>
      </c>
      <c r="I13" s="105">
        <f>+VLOOKUP(A13,_xlfn.ANCHORARRAY(Hoja3!$A$7),3,FALSE)</f>
        <v>0</v>
      </c>
      <c r="J13" s="105">
        <f t="shared" si="0"/>
        <v>0</v>
      </c>
      <c r="K13" s="105">
        <v>0.8</v>
      </c>
      <c r="L13" s="91" t="s">
        <v>6051</v>
      </c>
      <c r="M13"/>
    </row>
    <row r="14" spans="1:14" x14ac:dyDescent="0.3">
      <c r="A14" s="101">
        <v>3001330</v>
      </c>
      <c r="B14" s="101" t="s">
        <v>5831</v>
      </c>
      <c r="C14" s="101" t="s">
        <v>5832</v>
      </c>
      <c r="D14" s="101" t="s">
        <v>5833</v>
      </c>
      <c r="E14" s="101">
        <v>35.409999999999997</v>
      </c>
      <c r="F14" s="101">
        <v>5.41</v>
      </c>
      <c r="G14" s="101" t="s">
        <v>5817</v>
      </c>
      <c r="H14" s="102" t="e">
        <f>+VLOOKUP(A14,_xlfn.ANCHORARRAY(Hoja3!$A$7),2,FALSE)</f>
        <v>#N/A</v>
      </c>
      <c r="I14" s="102">
        <f>+VLOOKUP(A14,_xlfn.ANCHORARRAY(Hoja3!$A$7),3,FALSE)</f>
        <v>0</v>
      </c>
      <c r="J14" s="102" t="e">
        <f t="shared" si="0"/>
        <v>#N/A</v>
      </c>
      <c r="K14" s="102">
        <v>0.77499999999999991</v>
      </c>
      <c r="L14" s="101" t="s">
        <v>6050</v>
      </c>
      <c r="N14">
        <f>+E14*F14</f>
        <v>191.56809999999999</v>
      </c>
    </row>
    <row r="15" spans="1:14" hidden="1" x14ac:dyDescent="0.3">
      <c r="A15" s="91">
        <v>3001849</v>
      </c>
      <c r="B15" s="91" t="s">
        <v>5838</v>
      </c>
      <c r="C15" s="91" t="s">
        <v>5839</v>
      </c>
      <c r="D15" s="91" t="s">
        <v>5840</v>
      </c>
      <c r="E15" s="91">
        <v>257.02</v>
      </c>
      <c r="F15" s="91">
        <v>4.25</v>
      </c>
      <c r="G15" s="91" t="s">
        <v>5841</v>
      </c>
      <c r="H15" s="105">
        <f>+VLOOKUP(A15,_xlfn.ANCHORARRAY(Hoja3!$A$7),2,FALSE)</f>
        <v>0</v>
      </c>
      <c r="I15" s="105">
        <f>+VLOOKUP(A15,_xlfn.ANCHORARRAY(Hoja3!$A$7),3,FALSE)</f>
        <v>0</v>
      </c>
      <c r="J15" s="105">
        <f t="shared" si="0"/>
        <v>0</v>
      </c>
      <c r="K15" s="105">
        <v>0.7</v>
      </c>
      <c r="L15" s="91" t="s">
        <v>6051</v>
      </c>
    </row>
    <row r="16" spans="1:14" x14ac:dyDescent="0.3">
      <c r="A16" s="101">
        <v>3001875</v>
      </c>
      <c r="B16" s="101" t="s">
        <v>5843</v>
      </c>
      <c r="C16" s="101" t="s">
        <v>5844</v>
      </c>
      <c r="D16" s="101" t="s">
        <v>5845</v>
      </c>
      <c r="E16" s="101">
        <v>34</v>
      </c>
      <c r="F16" s="101">
        <v>7.37</v>
      </c>
      <c r="G16" s="101" t="s">
        <v>5846</v>
      </c>
      <c r="H16" s="102" t="e">
        <f>+VLOOKUP(A16,_xlfn.ANCHORARRAY(Hoja3!$A$7),2,FALSE)</f>
        <v>#N/A</v>
      </c>
      <c r="I16" s="102">
        <f>+VLOOKUP(A16,_xlfn.ANCHORARRAY(Hoja3!$A$7),3,FALSE)</f>
        <v>48327705</v>
      </c>
      <c r="J16" s="102" t="e">
        <f t="shared" si="0"/>
        <v>#N/A</v>
      </c>
      <c r="K16" s="102">
        <v>0.7</v>
      </c>
      <c r="L16" s="101" t="s">
        <v>6051</v>
      </c>
      <c r="N16">
        <f t="shared" ref="N16:N18" si="2">+E16*F16</f>
        <v>250.58</v>
      </c>
    </row>
    <row r="17" spans="1:16" x14ac:dyDescent="0.3">
      <c r="A17" s="101">
        <v>3001882</v>
      </c>
      <c r="B17" s="101" t="s">
        <v>5843</v>
      </c>
      <c r="C17" s="101" t="s">
        <v>5845</v>
      </c>
      <c r="D17" s="101" t="s">
        <v>5847</v>
      </c>
      <c r="E17" s="101">
        <v>85.99</v>
      </c>
      <c r="F17" s="101">
        <v>6.98</v>
      </c>
      <c r="G17" s="101" t="s">
        <v>5846</v>
      </c>
      <c r="H17" s="102" t="e">
        <f>+VLOOKUP(A17,_xlfn.ANCHORARRAY(Hoja3!$A$7),2,FALSE)</f>
        <v>#N/A</v>
      </c>
      <c r="I17" s="102">
        <f>+VLOOKUP(A17,_xlfn.ANCHORARRAY(Hoja3!$A$7),3,FALSE)</f>
        <v>114307279</v>
      </c>
      <c r="J17" s="102" t="e">
        <f t="shared" si="0"/>
        <v>#N/A</v>
      </c>
      <c r="K17" s="102">
        <v>0.7</v>
      </c>
      <c r="L17" s="101" t="s">
        <v>6051</v>
      </c>
      <c r="N17">
        <f t="shared" si="2"/>
        <v>600.21019999999999</v>
      </c>
    </row>
    <row r="18" spans="1:16" x14ac:dyDescent="0.3">
      <c r="A18" s="101">
        <v>3002470</v>
      </c>
      <c r="B18" s="101" t="s">
        <v>5843</v>
      </c>
      <c r="C18" s="101" t="s">
        <v>5847</v>
      </c>
      <c r="D18" s="101" t="s">
        <v>5848</v>
      </c>
      <c r="E18" s="101">
        <v>49.16</v>
      </c>
      <c r="F18" s="101">
        <v>7.21</v>
      </c>
      <c r="G18" s="101" t="s">
        <v>5846</v>
      </c>
      <c r="H18" s="102" t="e">
        <f>+VLOOKUP(A18,_xlfn.ANCHORARRAY(Hoja3!$A$7),2,FALSE)</f>
        <v>#N/A</v>
      </c>
      <c r="I18" s="102">
        <f>+VLOOKUP(A18,_xlfn.ANCHORARRAY(Hoja3!$A$7),3,FALSE)</f>
        <v>66481501</v>
      </c>
      <c r="J18" s="102" t="e">
        <f t="shared" si="0"/>
        <v>#N/A</v>
      </c>
      <c r="K18" s="102">
        <v>0.7</v>
      </c>
      <c r="L18" s="101" t="s">
        <v>6051</v>
      </c>
      <c r="N18">
        <f t="shared" si="2"/>
        <v>354.44359999999995</v>
      </c>
    </row>
    <row r="19" spans="1:16" hidden="1" x14ac:dyDescent="0.3">
      <c r="A19" s="91">
        <v>3002823</v>
      </c>
      <c r="B19" s="91" t="s">
        <v>5851</v>
      </c>
      <c r="C19" s="91" t="s">
        <v>5852</v>
      </c>
      <c r="D19" s="91" t="s">
        <v>5853</v>
      </c>
      <c r="E19" s="91">
        <v>102.23</v>
      </c>
      <c r="F19" s="91">
        <v>2.4700000000000002</v>
      </c>
      <c r="G19" s="91" t="s">
        <v>5841</v>
      </c>
      <c r="H19" s="105">
        <f>+VLOOKUP(A19,_xlfn.ANCHORARRAY(Hoja3!$A$7),2,FALSE)</f>
        <v>0</v>
      </c>
      <c r="I19" s="105">
        <f>+VLOOKUP(A19,_xlfn.ANCHORARRAY(Hoja3!$A$7),3,FALSE)</f>
        <v>0</v>
      </c>
      <c r="J19" s="105">
        <f t="shared" si="0"/>
        <v>0</v>
      </c>
      <c r="K19" s="105">
        <v>0.7</v>
      </c>
      <c r="L19" s="91" t="s">
        <v>6051</v>
      </c>
    </row>
    <row r="20" spans="1:16" x14ac:dyDescent="0.3">
      <c r="A20" s="101">
        <v>3002896</v>
      </c>
      <c r="B20" s="101" t="s">
        <v>5843</v>
      </c>
      <c r="C20" s="101" t="s">
        <v>5847</v>
      </c>
      <c r="D20" s="101" t="s">
        <v>5854</v>
      </c>
      <c r="E20" s="101">
        <v>57.96</v>
      </c>
      <c r="F20" s="101">
        <v>10.06</v>
      </c>
      <c r="G20" s="101" t="s">
        <v>5846</v>
      </c>
      <c r="H20" s="102" t="e">
        <f>+VLOOKUP(A20,_xlfn.ANCHORARRAY(Hoja3!$A$7),2,FALSE)</f>
        <v>#N/A</v>
      </c>
      <c r="I20" s="102">
        <f>+VLOOKUP(A20,_xlfn.ANCHORARRAY(Hoja3!$A$7),3,FALSE)</f>
        <v>84324361</v>
      </c>
      <c r="J20" s="102" t="e">
        <f t="shared" si="0"/>
        <v>#N/A</v>
      </c>
      <c r="K20" s="102">
        <v>0.7</v>
      </c>
      <c r="L20" s="101" t="s">
        <v>6051</v>
      </c>
      <c r="N20">
        <f t="shared" ref="N20:N21" si="3">+E20*F20</f>
        <v>583.07760000000007</v>
      </c>
    </row>
    <row r="21" spans="1:16" x14ac:dyDescent="0.3">
      <c r="A21" s="101">
        <v>3001317</v>
      </c>
      <c r="B21" s="101" t="s">
        <v>5857</v>
      </c>
      <c r="C21" s="101" t="s">
        <v>5858</v>
      </c>
      <c r="D21" s="101" t="s">
        <v>5859</v>
      </c>
      <c r="E21" s="101">
        <v>23.04</v>
      </c>
      <c r="F21" s="101">
        <v>6.99</v>
      </c>
      <c r="G21" s="101" t="s">
        <v>5846</v>
      </c>
      <c r="H21" s="102" t="e">
        <f>+VLOOKUP(A21,_xlfn.ANCHORARRAY(Hoja3!$A$7),2,FALSE)</f>
        <v>#N/A</v>
      </c>
      <c r="I21" s="102">
        <f>+VLOOKUP(A21,_xlfn.ANCHORARRAY(Hoja3!$A$7),3,FALSE)</f>
        <v>33574449</v>
      </c>
      <c r="J21" s="102" t="e">
        <f t="shared" si="0"/>
        <v>#N/A</v>
      </c>
      <c r="K21" s="102">
        <v>0.67500000000000004</v>
      </c>
      <c r="L21" s="101" t="s">
        <v>6050</v>
      </c>
      <c r="N21">
        <f t="shared" si="3"/>
        <v>161.0496</v>
      </c>
      <c r="P21" s="94"/>
    </row>
    <row r="22" spans="1:16" s="106" customFormat="1" hidden="1" x14ac:dyDescent="0.3">
      <c r="A22" s="91">
        <v>3001395</v>
      </c>
      <c r="B22" s="91" t="s">
        <v>5862</v>
      </c>
      <c r="C22" s="91"/>
      <c r="D22" s="91"/>
      <c r="E22" s="91">
        <v>158.85</v>
      </c>
      <c r="F22" s="91">
        <v>7.49</v>
      </c>
      <c r="G22" s="91" t="s">
        <v>5846</v>
      </c>
      <c r="H22" s="105">
        <f>+VLOOKUP(A22,_xlfn.ANCHORARRAY(Hoja3!$A$7),2,FALSE)</f>
        <v>0</v>
      </c>
      <c r="I22" s="105">
        <f>+VLOOKUP(A22,_xlfn.ANCHORARRAY(Hoja3!$A$7),3,FALSE)</f>
        <v>0</v>
      </c>
      <c r="J22" s="105">
        <f t="shared" si="0"/>
        <v>0</v>
      </c>
      <c r="K22" s="105">
        <v>0.67500000000000004</v>
      </c>
      <c r="L22" s="91" t="s">
        <v>6050</v>
      </c>
    </row>
    <row r="23" spans="1:16" x14ac:dyDescent="0.3">
      <c r="A23" s="101">
        <v>3002833</v>
      </c>
      <c r="B23" s="101" t="s">
        <v>5866</v>
      </c>
      <c r="C23" s="101" t="s">
        <v>5867</v>
      </c>
      <c r="D23" s="101" t="s">
        <v>5868</v>
      </c>
      <c r="E23" s="101">
        <v>85.78</v>
      </c>
      <c r="F23" s="101">
        <v>5.0599999999999996</v>
      </c>
      <c r="G23" s="101" t="s">
        <v>5846</v>
      </c>
      <c r="H23" s="102" t="e">
        <f>+VLOOKUP(A23,_xlfn.ANCHORARRAY(Hoja3!$A$7),2,FALSE)</f>
        <v>#N/A</v>
      </c>
      <c r="I23" s="102">
        <f>+VLOOKUP(A23,_xlfn.ANCHORARRAY(Hoja3!$A$7),3,FALSE)</f>
        <v>117397095</v>
      </c>
      <c r="J23" s="102" t="e">
        <f t="shared" si="0"/>
        <v>#N/A</v>
      </c>
      <c r="K23" s="102">
        <v>0.67500000000000004</v>
      </c>
      <c r="L23" s="101" t="s">
        <v>6050</v>
      </c>
      <c r="N23">
        <f t="shared" ref="N23:N24" si="4">+E23*F23</f>
        <v>434.04679999999996</v>
      </c>
    </row>
    <row r="24" spans="1:16" x14ac:dyDescent="0.3">
      <c r="A24" s="101">
        <v>3001079</v>
      </c>
      <c r="B24" s="101" t="s">
        <v>5870</v>
      </c>
      <c r="C24" s="101" t="s">
        <v>5871</v>
      </c>
      <c r="D24" s="101" t="s">
        <v>5831</v>
      </c>
      <c r="E24" s="101">
        <v>87.52</v>
      </c>
      <c r="F24" s="101">
        <v>3.83</v>
      </c>
      <c r="G24" s="101" t="s">
        <v>5846</v>
      </c>
      <c r="H24" s="102" t="e">
        <f>+VLOOKUP(A24,_xlfn.ANCHORARRAY(Hoja3!$A$7),2,FALSE)</f>
        <v>#N/A</v>
      </c>
      <c r="I24" s="102">
        <f>+VLOOKUP(A24,_xlfn.ANCHORARRAY(Hoja3!$A$7),3,FALSE)</f>
        <v>0</v>
      </c>
      <c r="J24" s="102" t="e">
        <f t="shared" si="0"/>
        <v>#N/A</v>
      </c>
      <c r="K24" s="102">
        <v>0.64999999999999991</v>
      </c>
      <c r="L24" s="101" t="s">
        <v>6049</v>
      </c>
      <c r="N24">
        <f t="shared" si="4"/>
        <v>335.20159999999998</v>
      </c>
    </row>
    <row r="25" spans="1:16" s="106" customFormat="1" hidden="1" x14ac:dyDescent="0.3">
      <c r="A25" s="91">
        <v>3001197</v>
      </c>
      <c r="B25" s="91" t="s">
        <v>5873</v>
      </c>
      <c r="C25" s="91" t="s">
        <v>5874</v>
      </c>
      <c r="D25" s="91" t="s">
        <v>5875</v>
      </c>
      <c r="E25" s="91">
        <v>115.41</v>
      </c>
      <c r="F25" s="91">
        <v>6.99</v>
      </c>
      <c r="G25" s="91" t="s">
        <v>5846</v>
      </c>
      <c r="H25" s="105">
        <f>+VLOOKUP(A25,_xlfn.ANCHORARRAY(Hoja3!$A$7),2,FALSE)</f>
        <v>0</v>
      </c>
      <c r="I25" s="105">
        <f>+VLOOKUP(A25,_xlfn.ANCHORARRAY(Hoja3!$A$7),3,FALSE)</f>
        <v>0</v>
      </c>
      <c r="J25" s="105">
        <f t="shared" si="0"/>
        <v>0</v>
      </c>
      <c r="K25" s="105">
        <v>0.64999999999999991</v>
      </c>
      <c r="L25" s="91" t="s">
        <v>6049</v>
      </c>
      <c r="M25" s="106" t="s">
        <v>6097</v>
      </c>
    </row>
    <row r="26" spans="1:16" s="106" customFormat="1" hidden="1" x14ac:dyDescent="0.3">
      <c r="A26" s="91">
        <v>3001222</v>
      </c>
      <c r="B26" s="91" t="s">
        <v>5873</v>
      </c>
      <c r="C26" s="91" t="s">
        <v>5877</v>
      </c>
      <c r="D26" s="91" t="s">
        <v>5874</v>
      </c>
      <c r="E26" s="91">
        <v>24.47</v>
      </c>
      <c r="F26" s="91">
        <v>6.99</v>
      </c>
      <c r="G26" s="91" t="s">
        <v>5846</v>
      </c>
      <c r="H26" s="105">
        <f>+VLOOKUP(A26,_xlfn.ANCHORARRAY(Hoja3!$A$7),2,FALSE)</f>
        <v>0</v>
      </c>
      <c r="I26" s="105">
        <f>+VLOOKUP(A26,_xlfn.ANCHORARRAY(Hoja3!$A$7),3,FALSE)</f>
        <v>0</v>
      </c>
      <c r="J26" s="105">
        <f t="shared" si="0"/>
        <v>0</v>
      </c>
      <c r="K26" s="105">
        <v>0.64999999999999991</v>
      </c>
      <c r="L26" s="91" t="s">
        <v>6049</v>
      </c>
      <c r="M26" s="106" t="s">
        <v>6097</v>
      </c>
    </row>
    <row r="27" spans="1:16" x14ac:dyDescent="0.3">
      <c r="A27" s="101">
        <v>3001283</v>
      </c>
      <c r="B27" s="101" t="s">
        <v>5831</v>
      </c>
      <c r="C27" s="101" t="s">
        <v>5879</v>
      </c>
      <c r="D27" s="101" t="s">
        <v>5880</v>
      </c>
      <c r="E27" s="101">
        <v>67.28</v>
      </c>
      <c r="F27" s="101">
        <v>5.55</v>
      </c>
      <c r="G27" s="101" t="s">
        <v>5817</v>
      </c>
      <c r="H27" s="102" t="e">
        <f>+VLOOKUP(A27,_xlfn.ANCHORARRAY(Hoja3!$A$7),2,FALSE)</f>
        <v>#N/A</v>
      </c>
      <c r="I27" s="102">
        <f>+VLOOKUP(A27,_xlfn.ANCHORARRAY(Hoja3!$A$7),3,FALSE)</f>
        <v>0</v>
      </c>
      <c r="J27" s="102" t="e">
        <f t="shared" si="0"/>
        <v>#N/A</v>
      </c>
      <c r="K27" s="102">
        <v>0.64999999999999991</v>
      </c>
      <c r="L27" s="101" t="s">
        <v>6049</v>
      </c>
      <c r="N27">
        <f>+E27*F27</f>
        <v>373.404</v>
      </c>
    </row>
    <row r="28" spans="1:16" hidden="1" x14ac:dyDescent="0.3">
      <c r="A28" s="91">
        <v>3001304</v>
      </c>
      <c r="B28" s="91" t="s">
        <v>5831</v>
      </c>
      <c r="C28" s="91" t="s">
        <v>5833</v>
      </c>
      <c r="D28" s="91" t="s">
        <v>5879</v>
      </c>
      <c r="E28" s="91">
        <v>22.41</v>
      </c>
      <c r="F28" s="91">
        <v>6.64</v>
      </c>
      <c r="G28" s="91" t="s">
        <v>5817</v>
      </c>
      <c r="H28" s="105">
        <f>+VLOOKUP(A28,_xlfn.ANCHORARRAY(Hoja3!$A$7),2,FALSE)</f>
        <v>0</v>
      </c>
      <c r="I28" s="105">
        <f>+VLOOKUP(A28,_xlfn.ANCHORARRAY(Hoja3!$A$7),3,FALSE)</f>
        <v>0</v>
      </c>
      <c r="J28" s="105">
        <f t="shared" si="0"/>
        <v>0</v>
      </c>
      <c r="K28" s="105">
        <v>0.64999999999999991</v>
      </c>
      <c r="L28" s="91" t="s">
        <v>6049</v>
      </c>
    </row>
    <row r="29" spans="1:16" s="106" customFormat="1" x14ac:dyDescent="0.3">
      <c r="A29" s="101">
        <v>3001479</v>
      </c>
      <c r="B29" s="101" t="s">
        <v>5884</v>
      </c>
      <c r="C29" s="101" t="s">
        <v>5885</v>
      </c>
      <c r="D29" s="101" t="s">
        <v>5886</v>
      </c>
      <c r="E29" s="101">
        <v>119.34</v>
      </c>
      <c r="F29" s="101">
        <v>7.55</v>
      </c>
      <c r="G29" s="101" t="s">
        <v>5846</v>
      </c>
      <c r="H29" s="102" t="e">
        <f>+VLOOKUP(A29,_xlfn.ANCHORARRAY(Hoja3!$A$7),2,FALSE)</f>
        <v>#N/A</v>
      </c>
      <c r="I29" s="102">
        <f>+VLOOKUP(A29,_xlfn.ANCHORARRAY(Hoja3!$A$7),3,FALSE)</f>
        <v>0</v>
      </c>
      <c r="J29" s="102" t="e">
        <f t="shared" si="0"/>
        <v>#N/A</v>
      </c>
      <c r="K29" s="102">
        <v>0.64999999999999991</v>
      </c>
      <c r="L29" s="101" t="s">
        <v>6049</v>
      </c>
      <c r="N29">
        <f>+E29*F29</f>
        <v>901.01700000000005</v>
      </c>
    </row>
    <row r="30" spans="1:16" hidden="1" x14ac:dyDescent="0.3">
      <c r="A30" s="91">
        <v>3002274</v>
      </c>
      <c r="B30" s="91" t="s">
        <v>5859</v>
      </c>
      <c r="C30" s="91" t="s">
        <v>5857</v>
      </c>
      <c r="D30" s="91" t="s">
        <v>5889</v>
      </c>
      <c r="E30" s="91">
        <v>27.04</v>
      </c>
      <c r="F30" s="91">
        <v>7.67</v>
      </c>
      <c r="G30" s="91" t="s">
        <v>5846</v>
      </c>
      <c r="H30" s="105">
        <f>+VLOOKUP(A30,_xlfn.ANCHORARRAY(Hoja3!$A$7),2,FALSE)</f>
        <v>0</v>
      </c>
      <c r="I30" s="105">
        <f>+VLOOKUP(A30,_xlfn.ANCHORARRAY(Hoja3!$A$7),3,FALSE)</f>
        <v>0</v>
      </c>
      <c r="J30" s="105">
        <f t="shared" si="0"/>
        <v>0</v>
      </c>
      <c r="K30" s="105">
        <v>0.64999999999999991</v>
      </c>
      <c r="L30" s="91" t="s">
        <v>6049</v>
      </c>
    </row>
    <row r="31" spans="1:16" hidden="1" x14ac:dyDescent="0.3">
      <c r="A31" s="91">
        <v>3002605</v>
      </c>
      <c r="B31" s="91" t="s">
        <v>5873</v>
      </c>
      <c r="C31" s="91" t="s">
        <v>5877</v>
      </c>
      <c r="D31" s="91" t="s">
        <v>5891</v>
      </c>
      <c r="E31" s="91">
        <v>14.46</v>
      </c>
      <c r="F31" s="91">
        <v>7.46</v>
      </c>
      <c r="G31" s="91" t="s">
        <v>5846</v>
      </c>
      <c r="H31" s="105">
        <f>+VLOOKUP(A31,_xlfn.ANCHORARRAY(Hoja3!$A$7),2,FALSE)</f>
        <v>0</v>
      </c>
      <c r="I31" s="105">
        <f>+VLOOKUP(A31,_xlfn.ANCHORARRAY(Hoja3!$A$7),3,FALSE)</f>
        <v>0</v>
      </c>
      <c r="J31" s="105">
        <f t="shared" si="0"/>
        <v>0</v>
      </c>
      <c r="K31" s="105">
        <v>0.64999999999999991</v>
      </c>
      <c r="L31" s="91" t="s">
        <v>6049</v>
      </c>
      <c r="N31" s="94"/>
    </row>
    <row r="32" spans="1:16" x14ac:dyDescent="0.3">
      <c r="A32" s="101">
        <v>3001465</v>
      </c>
      <c r="B32" s="101" t="s">
        <v>5892</v>
      </c>
      <c r="C32" s="101" t="s">
        <v>5893</v>
      </c>
      <c r="D32" s="101" t="s">
        <v>5894</v>
      </c>
      <c r="E32" s="101">
        <v>36.64</v>
      </c>
      <c r="F32" s="101">
        <v>6.09</v>
      </c>
      <c r="G32" s="101" t="s">
        <v>5846</v>
      </c>
      <c r="H32" s="102" t="e">
        <f>+VLOOKUP(A32,_xlfn.ANCHORARRAY(Hoja3!$A$7),2,FALSE)</f>
        <v>#N/A</v>
      </c>
      <c r="I32" s="102">
        <f>+VLOOKUP(A32,_xlfn.ANCHORARRAY(Hoja3!$A$7),3,FALSE)</f>
        <v>49617873</v>
      </c>
      <c r="J32" s="102" t="e">
        <f t="shared" si="0"/>
        <v>#N/A</v>
      </c>
      <c r="K32" s="102">
        <v>0.6</v>
      </c>
      <c r="L32" s="101" t="s">
        <v>6051</v>
      </c>
      <c r="N32">
        <f t="shared" ref="N32:N35" si="5">+E32*F32</f>
        <v>223.13759999999999</v>
      </c>
    </row>
    <row r="33" spans="1:14" x14ac:dyDescent="0.3">
      <c r="A33" s="101">
        <v>3000012</v>
      </c>
      <c r="B33" s="101" t="s">
        <v>5897</v>
      </c>
      <c r="C33" s="101" t="s">
        <v>5898</v>
      </c>
      <c r="D33" s="101" t="s">
        <v>5899</v>
      </c>
      <c r="E33" s="101">
        <v>63.18</v>
      </c>
      <c r="F33" s="101">
        <v>5.76</v>
      </c>
      <c r="G33" s="101" t="s">
        <v>5817</v>
      </c>
      <c r="H33" s="102" t="e">
        <f>+VLOOKUP(A33,_xlfn.ANCHORARRAY(Hoja3!$A$7),2,FALSE)</f>
        <v>#N/A</v>
      </c>
      <c r="I33" s="102">
        <f>+VLOOKUP(A33,_xlfn.ANCHORARRAY(Hoja3!$A$7),3,FALSE)</f>
        <v>0</v>
      </c>
      <c r="J33" s="102" t="e">
        <f t="shared" si="0"/>
        <v>#N/A</v>
      </c>
      <c r="K33" s="102">
        <v>0.57499999999999996</v>
      </c>
      <c r="L33" s="101" t="s">
        <v>6050</v>
      </c>
      <c r="N33">
        <f t="shared" si="5"/>
        <v>363.91679999999997</v>
      </c>
    </row>
    <row r="34" spans="1:14" x14ac:dyDescent="0.3">
      <c r="A34" s="101">
        <v>3001709</v>
      </c>
      <c r="B34" s="101" t="s">
        <v>5892</v>
      </c>
      <c r="C34" s="101" t="s">
        <v>5900</v>
      </c>
      <c r="D34" s="101" t="s">
        <v>5901</v>
      </c>
      <c r="E34" s="101">
        <v>30.31</v>
      </c>
      <c r="F34" s="101">
        <v>7.43</v>
      </c>
      <c r="G34" s="101" t="s">
        <v>5846</v>
      </c>
      <c r="H34" s="102" t="e">
        <f>+VLOOKUP(A34,_xlfn.ANCHORARRAY(Hoja3!$A$7),2,FALSE)</f>
        <v>#N/A</v>
      </c>
      <c r="I34" s="102">
        <f>+VLOOKUP(A34,_xlfn.ANCHORARRAY(Hoja3!$A$7),3,FALSE)</f>
        <v>0</v>
      </c>
      <c r="J34" s="102" t="e">
        <f t="shared" si="0"/>
        <v>#N/A</v>
      </c>
      <c r="K34" s="102">
        <v>0.57499999999999996</v>
      </c>
      <c r="L34" s="101" t="s">
        <v>6050</v>
      </c>
      <c r="N34">
        <f t="shared" si="5"/>
        <v>225.20329999999998</v>
      </c>
    </row>
    <row r="35" spans="1:14" s="106" customFormat="1" x14ac:dyDescent="0.3">
      <c r="A35" s="101">
        <v>3001711</v>
      </c>
      <c r="B35" s="101" t="s">
        <v>5902</v>
      </c>
      <c r="C35" s="101" t="s">
        <v>5903</v>
      </c>
      <c r="D35" s="101" t="s">
        <v>5892</v>
      </c>
      <c r="E35" s="101">
        <v>50.12</v>
      </c>
      <c r="F35" s="101">
        <v>6.91</v>
      </c>
      <c r="G35" s="101" t="s">
        <v>5846</v>
      </c>
      <c r="H35" s="102" t="e">
        <f>+VLOOKUP(A35,_xlfn.ANCHORARRAY(Hoja3!$A$7),2,FALSE)</f>
        <v>#N/A</v>
      </c>
      <c r="I35" s="102">
        <f>+VLOOKUP(A35,_xlfn.ANCHORARRAY(Hoja3!$A$7),3,FALSE)</f>
        <v>0</v>
      </c>
      <c r="J35" s="102" t="e">
        <f t="shared" si="0"/>
        <v>#N/A</v>
      </c>
      <c r="K35" s="102">
        <v>0.57499999999999996</v>
      </c>
      <c r="L35" s="101" t="s">
        <v>6050</v>
      </c>
      <c r="N35">
        <f t="shared" si="5"/>
        <v>346.32920000000001</v>
      </c>
    </row>
    <row r="36" spans="1:14" hidden="1" x14ac:dyDescent="0.3">
      <c r="A36" s="91">
        <v>3001785</v>
      </c>
      <c r="B36" s="91" t="s">
        <v>5854</v>
      </c>
      <c r="C36" s="91" t="s">
        <v>5904</v>
      </c>
      <c r="D36" s="91" t="s">
        <v>5900</v>
      </c>
      <c r="E36" s="91">
        <v>104.45</v>
      </c>
      <c r="F36" s="91">
        <v>5.94</v>
      </c>
      <c r="G36" s="91" t="s">
        <v>5846</v>
      </c>
      <c r="H36" s="105">
        <f>+VLOOKUP(A36,_xlfn.ANCHORARRAY(Hoja3!$A$7),2,FALSE)</f>
        <v>0</v>
      </c>
      <c r="I36" s="105">
        <f>+VLOOKUP(A36,_xlfn.ANCHORARRAY(Hoja3!$A$7),3,FALSE)</f>
        <v>0</v>
      </c>
      <c r="J36" s="105">
        <f t="shared" si="0"/>
        <v>0</v>
      </c>
      <c r="K36" s="105">
        <v>0.57499999999999996</v>
      </c>
      <c r="L36" s="91" t="s">
        <v>6050</v>
      </c>
    </row>
    <row r="37" spans="1:14" x14ac:dyDescent="0.3">
      <c r="A37" s="101">
        <v>3002256</v>
      </c>
      <c r="B37" s="101" t="s">
        <v>5905</v>
      </c>
      <c r="C37" s="101" t="s">
        <v>5906</v>
      </c>
      <c r="D37" s="101" t="s">
        <v>5907</v>
      </c>
      <c r="E37" s="101">
        <v>34.36</v>
      </c>
      <c r="F37" s="101">
        <v>10.52</v>
      </c>
      <c r="G37" s="101" t="s">
        <v>5846</v>
      </c>
      <c r="H37" s="102" t="e">
        <f>+VLOOKUP(A37,_xlfn.ANCHORARRAY(Hoja3!$A$7),2,FALSE)</f>
        <v>#N/A</v>
      </c>
      <c r="I37" s="102">
        <f>+VLOOKUP(A37,_xlfn.ANCHORARRAY(Hoja3!$A$7),3,FALSE)</f>
        <v>49752848</v>
      </c>
      <c r="J37" s="102" t="e">
        <f t="shared" si="0"/>
        <v>#N/A</v>
      </c>
      <c r="K37" s="102">
        <v>0.57499999999999996</v>
      </c>
      <c r="L37" s="101" t="s">
        <v>6050</v>
      </c>
      <c r="N37">
        <f t="shared" ref="N37:N38" si="6">+E37*F37</f>
        <v>361.46719999999999</v>
      </c>
    </row>
    <row r="38" spans="1:14" x14ac:dyDescent="0.3">
      <c r="A38" s="101">
        <v>3002546</v>
      </c>
      <c r="B38" s="101" t="s">
        <v>5912</v>
      </c>
      <c r="C38" s="101" t="s">
        <v>5913</v>
      </c>
      <c r="D38" s="101" t="s">
        <v>5914</v>
      </c>
      <c r="E38" s="101">
        <v>54.48</v>
      </c>
      <c r="F38" s="101">
        <v>5.97</v>
      </c>
      <c r="G38" s="101" t="s">
        <v>5846</v>
      </c>
      <c r="H38" s="102" t="e">
        <f>+VLOOKUP(A38,_xlfn.ANCHORARRAY(Hoja3!$A$7),2,FALSE)</f>
        <v>#N/A</v>
      </c>
      <c r="I38" s="102">
        <f>+VLOOKUP(A38,_xlfn.ANCHORARRAY(Hoja3!$A$7),3,FALSE)</f>
        <v>75829774</v>
      </c>
      <c r="J38" s="102" t="e">
        <f t="shared" si="0"/>
        <v>#N/A</v>
      </c>
      <c r="K38" s="102">
        <v>0.57499999999999996</v>
      </c>
      <c r="L38" s="101" t="s">
        <v>6050</v>
      </c>
      <c r="N38">
        <f t="shared" si="6"/>
        <v>325.24559999999997</v>
      </c>
    </row>
    <row r="39" spans="1:14" hidden="1" x14ac:dyDescent="0.3">
      <c r="A39" s="91">
        <v>3002819</v>
      </c>
      <c r="B39" s="91" t="s">
        <v>5912</v>
      </c>
      <c r="C39" s="91" t="s">
        <v>5913</v>
      </c>
      <c r="D39" s="91" t="s">
        <v>5914</v>
      </c>
      <c r="E39" s="91">
        <v>36.4</v>
      </c>
      <c r="F39" s="91">
        <v>5.77</v>
      </c>
      <c r="G39" s="91" t="s">
        <v>5846</v>
      </c>
      <c r="H39" s="93">
        <f>+VLOOKUP(A39,_xlfn.ANCHORARRAY(Hoja3!$A$7),2,FALSE)</f>
        <v>0</v>
      </c>
      <c r="I39" s="93">
        <f>+VLOOKUP(A39,_xlfn.ANCHORARRAY(Hoja3!$A$7),3,FALSE)</f>
        <v>0</v>
      </c>
      <c r="J39" s="93">
        <f t="shared" si="0"/>
        <v>0</v>
      </c>
      <c r="K39" s="93">
        <v>0.57499999999999996</v>
      </c>
      <c r="L39" s="91" t="s">
        <v>6050</v>
      </c>
    </row>
    <row r="40" spans="1:14" hidden="1" x14ac:dyDescent="0.3">
      <c r="A40" s="91">
        <v>3003016</v>
      </c>
      <c r="B40" s="91" t="s">
        <v>5854</v>
      </c>
      <c r="C40" s="91" t="s">
        <v>5915</v>
      </c>
      <c r="D40" s="91" t="s">
        <v>5916</v>
      </c>
      <c r="E40" s="91">
        <v>132.37</v>
      </c>
      <c r="F40" s="91">
        <v>6.71</v>
      </c>
      <c r="G40" s="91" t="s">
        <v>5846</v>
      </c>
      <c r="H40" s="93">
        <f>+VLOOKUP(A40,_xlfn.ANCHORARRAY(Hoja3!$A$7),2,FALSE)</f>
        <v>0</v>
      </c>
      <c r="I40" s="93">
        <f>+VLOOKUP(A40,_xlfn.ANCHORARRAY(Hoja3!$A$7),3,FALSE)</f>
        <v>0</v>
      </c>
      <c r="J40" s="93">
        <f t="shared" ref="J40:J71" si="7">+H40+I40</f>
        <v>0</v>
      </c>
      <c r="K40" s="93">
        <v>0.57499999999999996</v>
      </c>
      <c r="L40" s="91" t="s">
        <v>6050</v>
      </c>
    </row>
    <row r="41" spans="1:14" hidden="1" x14ac:dyDescent="0.3">
      <c r="A41" s="91">
        <v>3000297</v>
      </c>
      <c r="B41" s="91" t="s">
        <v>5919</v>
      </c>
      <c r="C41" s="91" t="s">
        <v>5920</v>
      </c>
      <c r="D41" s="91" t="s">
        <v>5921</v>
      </c>
      <c r="E41" s="91">
        <v>70.760000000000005</v>
      </c>
      <c r="F41" s="91">
        <v>7.13</v>
      </c>
      <c r="G41" s="91" t="s">
        <v>5817</v>
      </c>
      <c r="H41" s="93">
        <f>+VLOOKUP(A41,_xlfn.ANCHORARRAY(Hoja3!$A$7),2,FALSE)</f>
        <v>0</v>
      </c>
      <c r="I41" s="93">
        <f>+VLOOKUP(A41,_xlfn.ANCHORARRAY(Hoja3!$A$7),3,FALSE)</f>
        <v>0</v>
      </c>
      <c r="J41" s="93">
        <f t="shared" si="7"/>
        <v>0</v>
      </c>
      <c r="K41" s="93">
        <v>0.55000000000000004</v>
      </c>
      <c r="L41" s="91" t="s">
        <v>6049</v>
      </c>
      <c r="N41" s="94"/>
    </row>
    <row r="42" spans="1:14" hidden="1" x14ac:dyDescent="0.3">
      <c r="A42" s="91">
        <v>3000328</v>
      </c>
      <c r="B42" s="91" t="s">
        <v>5919</v>
      </c>
      <c r="C42" s="91" t="s">
        <v>5922</v>
      </c>
      <c r="D42" s="91" t="s">
        <v>5920</v>
      </c>
      <c r="E42" s="91">
        <v>107.97</v>
      </c>
      <c r="F42" s="91">
        <v>6.7</v>
      </c>
      <c r="G42" s="91" t="s">
        <v>5817</v>
      </c>
      <c r="H42" s="93">
        <f>+VLOOKUP(A42,_xlfn.ANCHORARRAY(Hoja3!$A$7),2,FALSE)</f>
        <v>0</v>
      </c>
      <c r="I42" s="93">
        <f>+VLOOKUP(A42,_xlfn.ANCHORARRAY(Hoja3!$A$7),3,FALSE)</f>
        <v>0</v>
      </c>
      <c r="J42" s="93">
        <f t="shared" si="7"/>
        <v>0</v>
      </c>
      <c r="K42" s="93">
        <v>0.55000000000000004</v>
      </c>
      <c r="L42" s="91" t="s">
        <v>6049</v>
      </c>
    </row>
    <row r="43" spans="1:14" hidden="1" x14ac:dyDescent="0.3">
      <c r="A43" s="91">
        <v>3000337</v>
      </c>
      <c r="B43" s="91" t="s">
        <v>5919</v>
      </c>
      <c r="C43" s="91" t="s">
        <v>5923</v>
      </c>
      <c r="D43" s="91" t="s">
        <v>5922</v>
      </c>
      <c r="E43" s="91">
        <v>58.48</v>
      </c>
      <c r="F43" s="91">
        <v>6.83</v>
      </c>
      <c r="G43" s="91" t="s">
        <v>5817</v>
      </c>
      <c r="H43" s="93">
        <f>+VLOOKUP(A43,_xlfn.ANCHORARRAY(Hoja3!$A$7),2,FALSE)</f>
        <v>0</v>
      </c>
      <c r="I43" s="93">
        <f>+VLOOKUP(A43,_xlfn.ANCHORARRAY(Hoja3!$A$7),3,FALSE)</f>
        <v>0</v>
      </c>
      <c r="J43" s="93">
        <f t="shared" si="7"/>
        <v>0</v>
      </c>
      <c r="K43" s="93">
        <v>0.55000000000000004</v>
      </c>
      <c r="L43" s="91" t="s">
        <v>6049</v>
      </c>
    </row>
    <row r="44" spans="1:14" hidden="1" x14ac:dyDescent="0.3">
      <c r="A44" s="91">
        <v>3000349</v>
      </c>
      <c r="B44" s="91" t="s">
        <v>5919</v>
      </c>
      <c r="C44" s="91" t="s">
        <v>5924</v>
      </c>
      <c r="D44" s="91" t="s">
        <v>5923</v>
      </c>
      <c r="E44" s="91">
        <v>66.06</v>
      </c>
      <c r="F44" s="91">
        <v>6.85</v>
      </c>
      <c r="G44" s="91" t="s">
        <v>5817</v>
      </c>
      <c r="H44" s="93">
        <f>+VLOOKUP(A44,_xlfn.ANCHORARRAY(Hoja3!$A$7),2,FALSE)</f>
        <v>0</v>
      </c>
      <c r="I44" s="93">
        <f>+VLOOKUP(A44,_xlfn.ANCHORARRAY(Hoja3!$A$7),3,FALSE)</f>
        <v>0</v>
      </c>
      <c r="J44" s="93">
        <f t="shared" si="7"/>
        <v>0</v>
      </c>
      <c r="K44" s="93">
        <v>0.55000000000000004</v>
      </c>
      <c r="L44" s="91" t="s">
        <v>6049</v>
      </c>
    </row>
    <row r="45" spans="1:14" hidden="1" x14ac:dyDescent="0.3">
      <c r="A45" s="91">
        <v>3000373</v>
      </c>
      <c r="B45" s="91" t="s">
        <v>5919</v>
      </c>
      <c r="C45" s="91" t="s">
        <v>5925</v>
      </c>
      <c r="D45" s="91" t="s">
        <v>5924</v>
      </c>
      <c r="E45" s="91">
        <v>100.89</v>
      </c>
      <c r="F45" s="91">
        <v>7.07</v>
      </c>
      <c r="G45" s="91" t="s">
        <v>5817</v>
      </c>
      <c r="H45" s="93">
        <f>+VLOOKUP(A45,_xlfn.ANCHORARRAY(Hoja3!$A$7),2,FALSE)</f>
        <v>0</v>
      </c>
      <c r="I45" s="93">
        <f>+VLOOKUP(A45,_xlfn.ANCHORARRAY(Hoja3!$A$7),3,FALSE)</f>
        <v>0</v>
      </c>
      <c r="J45" s="93">
        <f t="shared" si="7"/>
        <v>0</v>
      </c>
      <c r="K45" s="93">
        <v>0.55000000000000004</v>
      </c>
      <c r="L45" s="91" t="s">
        <v>6049</v>
      </c>
    </row>
    <row r="46" spans="1:14" hidden="1" x14ac:dyDescent="0.3">
      <c r="A46" s="91">
        <v>3001270</v>
      </c>
      <c r="B46" s="91" t="s">
        <v>5862</v>
      </c>
      <c r="C46" s="91"/>
      <c r="D46" s="91"/>
      <c r="E46" s="91">
        <v>40.19</v>
      </c>
      <c r="F46" s="91">
        <v>6.03</v>
      </c>
      <c r="G46" s="91" t="s">
        <v>5846</v>
      </c>
      <c r="H46" s="93">
        <f>+VLOOKUP(A46,_xlfn.ANCHORARRAY(Hoja3!$A$7),2,FALSE)</f>
        <v>0</v>
      </c>
      <c r="I46" s="93">
        <f>+VLOOKUP(A46,_xlfn.ANCHORARRAY(Hoja3!$A$7),3,FALSE)</f>
        <v>0</v>
      </c>
      <c r="J46" s="93">
        <f t="shared" si="7"/>
        <v>0</v>
      </c>
      <c r="K46" s="93">
        <v>0.55000000000000004</v>
      </c>
      <c r="L46" s="91" t="s">
        <v>6049</v>
      </c>
    </row>
    <row r="47" spans="1:14" hidden="1" x14ac:dyDescent="0.3">
      <c r="A47" s="91">
        <v>3001819</v>
      </c>
      <c r="B47" s="91" t="s">
        <v>5928</v>
      </c>
      <c r="C47" s="91" t="s">
        <v>5929</v>
      </c>
      <c r="D47" s="91" t="s">
        <v>5930</v>
      </c>
      <c r="E47" s="91">
        <v>54.8</v>
      </c>
      <c r="F47" s="91">
        <v>6.07</v>
      </c>
      <c r="G47" s="91" t="s">
        <v>5846</v>
      </c>
      <c r="H47" s="93">
        <f>+VLOOKUP(A47,_xlfn.ANCHORARRAY(Hoja3!$A$7),2,FALSE)</f>
        <v>0</v>
      </c>
      <c r="I47" s="93">
        <f>+VLOOKUP(A47,_xlfn.ANCHORARRAY(Hoja3!$A$7),3,FALSE)</f>
        <v>0</v>
      </c>
      <c r="J47" s="93">
        <f t="shared" si="7"/>
        <v>0</v>
      </c>
      <c r="K47" s="93">
        <v>0.55000000000000004</v>
      </c>
      <c r="L47" s="91" t="s">
        <v>6049</v>
      </c>
    </row>
    <row r="48" spans="1:14" hidden="1" x14ac:dyDescent="0.3">
      <c r="A48" s="91">
        <v>3001822</v>
      </c>
      <c r="B48" s="91" t="s">
        <v>5932</v>
      </c>
      <c r="C48" s="91" t="s">
        <v>5928</v>
      </c>
      <c r="D48" s="91" t="s">
        <v>5933</v>
      </c>
      <c r="E48" s="91">
        <v>42.05</v>
      </c>
      <c r="F48" s="91">
        <v>7.01</v>
      </c>
      <c r="G48" s="91" t="s">
        <v>5846</v>
      </c>
      <c r="H48" s="93">
        <f>+VLOOKUP(A48,_xlfn.ANCHORARRAY(Hoja3!$A$7),2,FALSE)</f>
        <v>0</v>
      </c>
      <c r="I48" s="93">
        <f>+VLOOKUP(A48,_xlfn.ANCHORARRAY(Hoja3!$A$7),3,FALSE)</f>
        <v>0</v>
      </c>
      <c r="J48" s="93">
        <f t="shared" si="7"/>
        <v>0</v>
      </c>
      <c r="K48" s="93">
        <v>0.55000000000000004</v>
      </c>
      <c r="L48" s="91" t="s">
        <v>6049</v>
      </c>
    </row>
    <row r="49" spans="1:12" hidden="1" x14ac:dyDescent="0.3">
      <c r="A49" s="91">
        <v>3002186</v>
      </c>
      <c r="B49" s="91" t="s">
        <v>5862</v>
      </c>
      <c r="C49" s="91"/>
      <c r="D49" s="91"/>
      <c r="E49" s="91">
        <v>210.3</v>
      </c>
      <c r="F49" s="91">
        <v>6.14</v>
      </c>
      <c r="G49" s="91" t="s">
        <v>5846</v>
      </c>
      <c r="H49" s="93">
        <f>+VLOOKUP(A49,_xlfn.ANCHORARRAY(Hoja3!$A$7),2,FALSE)</f>
        <v>0</v>
      </c>
      <c r="I49" s="93">
        <f>+VLOOKUP(A49,_xlfn.ANCHORARRAY(Hoja3!$A$7),3,FALSE)</f>
        <v>0</v>
      </c>
      <c r="J49" s="93">
        <f t="shared" si="7"/>
        <v>0</v>
      </c>
      <c r="K49" s="93">
        <v>0.55000000000000004</v>
      </c>
      <c r="L49" s="91" t="s">
        <v>6049</v>
      </c>
    </row>
    <row r="50" spans="1:12" hidden="1" x14ac:dyDescent="0.3">
      <c r="A50" s="91">
        <v>3002657</v>
      </c>
      <c r="B50" s="91" t="s">
        <v>5936</v>
      </c>
      <c r="C50" s="91" t="s">
        <v>5937</v>
      </c>
      <c r="D50" s="91" t="s">
        <v>5937</v>
      </c>
      <c r="E50" s="91">
        <v>20.28</v>
      </c>
      <c r="F50" s="91">
        <v>13.89</v>
      </c>
      <c r="G50" s="91" t="s">
        <v>5817</v>
      </c>
      <c r="H50" s="93">
        <f>+VLOOKUP(A50,_xlfn.ANCHORARRAY(Hoja3!$A$7),2,FALSE)</f>
        <v>0</v>
      </c>
      <c r="I50" s="93">
        <f>+VLOOKUP(A50,_xlfn.ANCHORARRAY(Hoja3!$A$7),3,FALSE)</f>
        <v>0</v>
      </c>
      <c r="J50" s="93">
        <f t="shared" si="7"/>
        <v>0</v>
      </c>
      <c r="K50" s="93">
        <v>0.55000000000000004</v>
      </c>
      <c r="L50" s="91" t="s">
        <v>6049</v>
      </c>
    </row>
    <row r="51" spans="1:12" hidden="1" x14ac:dyDescent="0.3">
      <c r="A51" s="91">
        <v>3001051</v>
      </c>
      <c r="B51" s="91" t="s">
        <v>5831</v>
      </c>
      <c r="C51" s="91" t="s">
        <v>5939</v>
      </c>
      <c r="D51" s="91" t="s">
        <v>5940</v>
      </c>
      <c r="E51" s="91">
        <v>57.01</v>
      </c>
      <c r="F51" s="91">
        <v>5.0599999999999996</v>
      </c>
      <c r="G51" s="91" t="s">
        <v>5817</v>
      </c>
      <c r="H51" s="93">
        <f>+VLOOKUP(A51,_xlfn.ANCHORARRAY(Hoja3!$A$7),2,FALSE)</f>
        <v>0</v>
      </c>
      <c r="I51" s="93">
        <f>+VLOOKUP(A51,_xlfn.ANCHORARRAY(Hoja3!$A$7),3,FALSE)</f>
        <v>0</v>
      </c>
      <c r="J51" s="93">
        <f t="shared" si="7"/>
        <v>0</v>
      </c>
      <c r="K51" s="93">
        <v>0.52500000000000002</v>
      </c>
      <c r="L51" s="91" t="s">
        <v>6048</v>
      </c>
    </row>
    <row r="52" spans="1:12" hidden="1" x14ac:dyDescent="0.3">
      <c r="A52" s="91">
        <v>3001112</v>
      </c>
      <c r="B52" s="91" t="s">
        <v>5941</v>
      </c>
      <c r="C52" s="91" t="s">
        <v>5930</v>
      </c>
      <c r="D52" s="91" t="s">
        <v>5815</v>
      </c>
      <c r="E52" s="91">
        <v>165.6</v>
      </c>
      <c r="F52" s="91">
        <v>5.92</v>
      </c>
      <c r="G52" s="91" t="s">
        <v>5817</v>
      </c>
      <c r="H52" s="93">
        <f>+VLOOKUP(A52,_xlfn.ANCHORARRAY(Hoja3!$A$7),2,FALSE)</f>
        <v>0</v>
      </c>
      <c r="I52" s="93">
        <f>+VLOOKUP(A52,_xlfn.ANCHORARRAY(Hoja3!$A$7),3,FALSE)</f>
        <v>0</v>
      </c>
      <c r="J52" s="93">
        <f t="shared" si="7"/>
        <v>0</v>
      </c>
      <c r="K52" s="93">
        <v>0.52500000000000002</v>
      </c>
      <c r="L52" s="91" t="s">
        <v>6048</v>
      </c>
    </row>
    <row r="53" spans="1:12" hidden="1" x14ac:dyDescent="0.3">
      <c r="A53" s="91">
        <v>3001113</v>
      </c>
      <c r="B53" s="91" t="s">
        <v>5831</v>
      </c>
      <c r="C53" s="91" t="s">
        <v>5943</v>
      </c>
      <c r="D53" s="91" t="s">
        <v>5939</v>
      </c>
      <c r="E53" s="91">
        <v>79</v>
      </c>
      <c r="F53" s="91">
        <v>4.1399999999999997</v>
      </c>
      <c r="G53" s="91" t="s">
        <v>5817</v>
      </c>
      <c r="H53" s="93">
        <f>+VLOOKUP(A53,_xlfn.ANCHORARRAY(Hoja3!$A$7),2,FALSE)</f>
        <v>0</v>
      </c>
      <c r="I53" s="93">
        <f>+VLOOKUP(A53,_xlfn.ANCHORARRAY(Hoja3!$A$7),3,FALSE)</f>
        <v>0</v>
      </c>
      <c r="J53" s="93">
        <f t="shared" si="7"/>
        <v>0</v>
      </c>
      <c r="K53" s="93">
        <v>0.52500000000000002</v>
      </c>
      <c r="L53" s="91" t="s">
        <v>6048</v>
      </c>
    </row>
    <row r="54" spans="1:12" hidden="1" x14ac:dyDescent="0.3">
      <c r="A54" s="91">
        <v>3001116</v>
      </c>
      <c r="B54" s="91" t="s">
        <v>5814</v>
      </c>
      <c r="C54" s="91" t="s">
        <v>5946</v>
      </c>
      <c r="D54" s="91" t="s">
        <v>5815</v>
      </c>
      <c r="E54" s="91">
        <v>71.760000000000005</v>
      </c>
      <c r="F54" s="91">
        <v>9.35</v>
      </c>
      <c r="G54" s="91" t="s">
        <v>5817</v>
      </c>
      <c r="H54" s="93">
        <f>+VLOOKUP(A54,_xlfn.ANCHORARRAY(Hoja3!$A$7),2,FALSE)</f>
        <v>0</v>
      </c>
      <c r="I54" s="93">
        <f>+VLOOKUP(A54,_xlfn.ANCHORARRAY(Hoja3!$A$7),3,FALSE)</f>
        <v>0</v>
      </c>
      <c r="J54" s="93">
        <f t="shared" si="7"/>
        <v>0</v>
      </c>
      <c r="K54" s="93">
        <v>0.52500000000000002</v>
      </c>
      <c r="L54" s="91" t="s">
        <v>6048</v>
      </c>
    </row>
    <row r="55" spans="1:12" hidden="1" x14ac:dyDescent="0.3">
      <c r="A55" s="91">
        <v>3001131</v>
      </c>
      <c r="B55" s="91" t="s">
        <v>5941</v>
      </c>
      <c r="C55" s="91" t="s">
        <v>5947</v>
      </c>
      <c r="D55" s="91" t="s">
        <v>5930</v>
      </c>
      <c r="E55" s="91">
        <v>28.63</v>
      </c>
      <c r="F55" s="91">
        <v>6.53</v>
      </c>
      <c r="G55" s="91" t="s">
        <v>5817</v>
      </c>
      <c r="H55" s="93">
        <f>+VLOOKUP(A55,_xlfn.ANCHORARRAY(Hoja3!$A$7),2,FALSE)</f>
        <v>0</v>
      </c>
      <c r="I55" s="93">
        <f>+VLOOKUP(A55,_xlfn.ANCHORARRAY(Hoja3!$A$7),3,FALSE)</f>
        <v>0</v>
      </c>
      <c r="J55" s="93">
        <f t="shared" si="7"/>
        <v>0</v>
      </c>
      <c r="K55" s="93">
        <v>0.52500000000000002</v>
      </c>
      <c r="L55" s="91" t="s">
        <v>6048</v>
      </c>
    </row>
    <row r="56" spans="1:12" hidden="1" x14ac:dyDescent="0.3">
      <c r="A56" s="91">
        <v>3001153</v>
      </c>
      <c r="B56" s="91" t="s">
        <v>5814</v>
      </c>
      <c r="C56" s="91" t="s">
        <v>5948</v>
      </c>
      <c r="D56" s="91" t="s">
        <v>5946</v>
      </c>
      <c r="E56" s="91">
        <v>47.04</v>
      </c>
      <c r="F56" s="91">
        <v>7.82</v>
      </c>
      <c r="G56" s="91" t="s">
        <v>5817</v>
      </c>
      <c r="H56" s="93">
        <f>+VLOOKUP(A56,_xlfn.ANCHORARRAY(Hoja3!$A$7),2,FALSE)</f>
        <v>0</v>
      </c>
      <c r="I56" s="93">
        <f>+VLOOKUP(A56,_xlfn.ANCHORARRAY(Hoja3!$A$7),3,FALSE)</f>
        <v>0</v>
      </c>
      <c r="J56" s="93">
        <f t="shared" si="7"/>
        <v>0</v>
      </c>
      <c r="K56" s="93">
        <v>0.52500000000000002</v>
      </c>
      <c r="L56" s="91" t="s">
        <v>6048</v>
      </c>
    </row>
    <row r="57" spans="1:12" hidden="1" x14ac:dyDescent="0.3">
      <c r="A57" s="91">
        <v>3001157</v>
      </c>
      <c r="B57" s="91" t="s">
        <v>5941</v>
      </c>
      <c r="C57" s="91" t="s">
        <v>5949</v>
      </c>
      <c r="D57" s="91" t="s">
        <v>5947</v>
      </c>
      <c r="E57" s="91">
        <v>49.04</v>
      </c>
      <c r="F57" s="91">
        <v>6.97</v>
      </c>
      <c r="G57" s="91" t="s">
        <v>5817</v>
      </c>
      <c r="H57" s="93">
        <f>+VLOOKUP(A57,_xlfn.ANCHORARRAY(Hoja3!$A$7),2,FALSE)</f>
        <v>0</v>
      </c>
      <c r="I57" s="93">
        <f>+VLOOKUP(A57,_xlfn.ANCHORARRAY(Hoja3!$A$7),3,FALSE)</f>
        <v>0</v>
      </c>
      <c r="J57" s="93">
        <f t="shared" si="7"/>
        <v>0</v>
      </c>
      <c r="K57" s="93">
        <v>0.52500000000000002</v>
      </c>
      <c r="L57" s="91" t="s">
        <v>6048</v>
      </c>
    </row>
    <row r="58" spans="1:12" hidden="1" x14ac:dyDescent="0.3">
      <c r="A58" s="91">
        <v>3001161</v>
      </c>
      <c r="B58" s="91" t="s">
        <v>5831</v>
      </c>
      <c r="C58" s="91" t="s">
        <v>5951</v>
      </c>
      <c r="D58" s="91" t="s">
        <v>5943</v>
      </c>
      <c r="E58" s="91">
        <v>80.42</v>
      </c>
      <c r="F58" s="91">
        <v>5.44</v>
      </c>
      <c r="G58" s="91" t="s">
        <v>5817</v>
      </c>
      <c r="H58" s="93">
        <f>+VLOOKUP(A58,_xlfn.ANCHORARRAY(Hoja3!$A$7),2,FALSE)</f>
        <v>0</v>
      </c>
      <c r="I58" s="93">
        <f>+VLOOKUP(A58,_xlfn.ANCHORARRAY(Hoja3!$A$7),3,FALSE)</f>
        <v>0</v>
      </c>
      <c r="J58" s="93">
        <f t="shared" si="7"/>
        <v>0</v>
      </c>
      <c r="K58" s="93">
        <v>0.52500000000000002</v>
      </c>
      <c r="L58" s="91" t="s">
        <v>6048</v>
      </c>
    </row>
    <row r="59" spans="1:12" hidden="1" x14ac:dyDescent="0.3">
      <c r="A59" s="91">
        <v>3001181</v>
      </c>
      <c r="B59" s="91" t="s">
        <v>5814</v>
      </c>
      <c r="C59" s="91" t="s">
        <v>5952</v>
      </c>
      <c r="D59" s="91" t="s">
        <v>5948</v>
      </c>
      <c r="E59" s="91">
        <v>34.14</v>
      </c>
      <c r="F59" s="91">
        <v>6.75</v>
      </c>
      <c r="G59" s="91" t="s">
        <v>5817</v>
      </c>
      <c r="H59" s="93">
        <f>+VLOOKUP(A59,_xlfn.ANCHORARRAY(Hoja3!$A$7),2,FALSE)</f>
        <v>0</v>
      </c>
      <c r="I59" s="93">
        <f>+VLOOKUP(A59,_xlfn.ANCHORARRAY(Hoja3!$A$7),3,FALSE)</f>
        <v>0</v>
      </c>
      <c r="J59" s="93">
        <f t="shared" si="7"/>
        <v>0</v>
      </c>
      <c r="K59" s="93">
        <v>0.52500000000000002</v>
      </c>
      <c r="L59" s="91" t="s">
        <v>6048</v>
      </c>
    </row>
    <row r="60" spans="1:12" hidden="1" x14ac:dyDescent="0.3">
      <c r="A60" s="91">
        <v>3001187</v>
      </c>
      <c r="B60" s="91" t="s">
        <v>5831</v>
      </c>
      <c r="C60" s="91" t="s">
        <v>5954</v>
      </c>
      <c r="D60" s="91" t="s">
        <v>5951</v>
      </c>
      <c r="E60" s="91">
        <v>33.340000000000003</v>
      </c>
      <c r="F60" s="91">
        <v>7.63</v>
      </c>
      <c r="G60" s="91" t="s">
        <v>5817</v>
      </c>
      <c r="H60" s="93">
        <f>+VLOOKUP(A60,_xlfn.ANCHORARRAY(Hoja3!$A$7),2,FALSE)</f>
        <v>0</v>
      </c>
      <c r="I60" s="93">
        <f>+VLOOKUP(A60,_xlfn.ANCHORARRAY(Hoja3!$A$7),3,FALSE)</f>
        <v>0</v>
      </c>
      <c r="J60" s="93">
        <f t="shared" si="7"/>
        <v>0</v>
      </c>
      <c r="K60" s="93">
        <v>0.52500000000000002</v>
      </c>
      <c r="L60" s="91" t="s">
        <v>6048</v>
      </c>
    </row>
    <row r="61" spans="1:12" hidden="1" x14ac:dyDescent="0.3">
      <c r="A61" s="91">
        <v>3001204</v>
      </c>
      <c r="B61" s="91" t="s">
        <v>5814</v>
      </c>
      <c r="C61" s="91" t="s">
        <v>5958</v>
      </c>
      <c r="D61" s="91" t="s">
        <v>5959</v>
      </c>
      <c r="E61" s="91">
        <v>46.62</v>
      </c>
      <c r="F61" s="91">
        <v>5.78</v>
      </c>
      <c r="G61" s="91" t="s">
        <v>5817</v>
      </c>
      <c r="H61" s="93">
        <f>+VLOOKUP(A61,_xlfn.ANCHORARRAY(Hoja3!$A$7),2,FALSE)</f>
        <v>0</v>
      </c>
      <c r="I61" s="93">
        <f>+VLOOKUP(A61,_xlfn.ANCHORARRAY(Hoja3!$A$7),3,FALSE)</f>
        <v>0</v>
      </c>
      <c r="J61" s="93">
        <f t="shared" si="7"/>
        <v>0</v>
      </c>
      <c r="K61" s="93">
        <v>0.52500000000000002</v>
      </c>
      <c r="L61" s="91" t="s">
        <v>6048</v>
      </c>
    </row>
    <row r="62" spans="1:12" hidden="1" x14ac:dyDescent="0.3">
      <c r="A62" s="91">
        <v>3001215</v>
      </c>
      <c r="B62" s="91" t="s">
        <v>5831</v>
      </c>
      <c r="C62" s="91" t="s">
        <v>5880</v>
      </c>
      <c r="D62" s="91" t="s">
        <v>5954</v>
      </c>
      <c r="E62" s="91">
        <v>30.85</v>
      </c>
      <c r="F62" s="91">
        <v>6.23</v>
      </c>
      <c r="G62" s="91" t="s">
        <v>5846</v>
      </c>
      <c r="H62" s="93">
        <f>+VLOOKUP(A62,_xlfn.ANCHORARRAY(Hoja3!$A$7),2,FALSE)</f>
        <v>0</v>
      </c>
      <c r="I62" s="93">
        <f>+VLOOKUP(A62,_xlfn.ANCHORARRAY(Hoja3!$A$7),3,FALSE)</f>
        <v>0</v>
      </c>
      <c r="J62" s="93">
        <f t="shared" si="7"/>
        <v>0</v>
      </c>
      <c r="K62" s="93">
        <v>0.52500000000000002</v>
      </c>
      <c r="L62" s="91" t="s">
        <v>6048</v>
      </c>
    </row>
    <row r="63" spans="1:12" hidden="1" x14ac:dyDescent="0.3">
      <c r="A63" s="91">
        <v>3001229</v>
      </c>
      <c r="B63" s="91" t="s">
        <v>5814</v>
      </c>
      <c r="C63" s="91" t="s">
        <v>5961</v>
      </c>
      <c r="D63" s="91" t="s">
        <v>5929</v>
      </c>
      <c r="E63" s="91">
        <v>28.9</v>
      </c>
      <c r="F63" s="91">
        <v>6.18</v>
      </c>
      <c r="G63" s="91" t="s">
        <v>5817</v>
      </c>
      <c r="H63" s="93">
        <f>+VLOOKUP(A63,_xlfn.ANCHORARRAY(Hoja3!$A$7),2,FALSE)</f>
        <v>0</v>
      </c>
      <c r="I63" s="93">
        <f>+VLOOKUP(A63,_xlfn.ANCHORARRAY(Hoja3!$A$7),3,FALSE)</f>
        <v>0</v>
      </c>
      <c r="J63" s="93">
        <f t="shared" si="7"/>
        <v>0</v>
      </c>
      <c r="K63" s="93">
        <v>0.52500000000000002</v>
      </c>
      <c r="L63" s="91" t="s">
        <v>6048</v>
      </c>
    </row>
    <row r="64" spans="1:12" hidden="1" x14ac:dyDescent="0.3">
      <c r="A64" s="91">
        <v>3001292</v>
      </c>
      <c r="B64" s="91" t="s">
        <v>5814</v>
      </c>
      <c r="C64" s="91" t="s">
        <v>5949</v>
      </c>
      <c r="D64" s="91" t="s">
        <v>5961</v>
      </c>
      <c r="E64" s="91">
        <v>56.35</v>
      </c>
      <c r="F64" s="91">
        <v>6.29</v>
      </c>
      <c r="G64" s="91" t="s">
        <v>5817</v>
      </c>
      <c r="H64" s="93">
        <f>+VLOOKUP(A64,_xlfn.ANCHORARRAY(Hoja3!$A$7),2,FALSE)</f>
        <v>0</v>
      </c>
      <c r="I64" s="93">
        <f>+VLOOKUP(A64,_xlfn.ANCHORARRAY(Hoja3!$A$7),3,FALSE)</f>
        <v>0</v>
      </c>
      <c r="J64" s="93">
        <f t="shared" si="7"/>
        <v>0</v>
      </c>
      <c r="K64" s="93">
        <v>0.52500000000000002</v>
      </c>
      <c r="L64" s="91" t="s">
        <v>6048</v>
      </c>
    </row>
    <row r="65" spans="1:12" hidden="1" x14ac:dyDescent="0.3">
      <c r="A65" s="91">
        <v>3001363</v>
      </c>
      <c r="B65" s="91" t="s">
        <v>5831</v>
      </c>
      <c r="C65" s="91" t="s">
        <v>5963</v>
      </c>
      <c r="D65" s="91" t="s">
        <v>5832</v>
      </c>
      <c r="E65" s="91">
        <v>35.270000000000003</v>
      </c>
      <c r="F65" s="91">
        <v>3.75</v>
      </c>
      <c r="G65" s="91" t="s">
        <v>5817</v>
      </c>
      <c r="H65" s="93">
        <f>+VLOOKUP(A65,_xlfn.ANCHORARRAY(Hoja3!$A$7),2,FALSE)</f>
        <v>0</v>
      </c>
      <c r="I65" s="93">
        <f>+VLOOKUP(A65,_xlfn.ANCHORARRAY(Hoja3!$A$7),3,FALSE)</f>
        <v>0</v>
      </c>
      <c r="J65" s="93">
        <f t="shared" si="7"/>
        <v>0</v>
      </c>
      <c r="K65" s="93">
        <v>0.52500000000000002</v>
      </c>
      <c r="L65" s="91" t="s">
        <v>6048</v>
      </c>
    </row>
    <row r="66" spans="1:12" hidden="1" x14ac:dyDescent="0.3">
      <c r="A66" s="91">
        <v>3001398</v>
      </c>
      <c r="B66" s="91" t="s">
        <v>5964</v>
      </c>
      <c r="C66" s="91" t="s">
        <v>5965</v>
      </c>
      <c r="D66" s="91" t="s">
        <v>5816</v>
      </c>
      <c r="E66" s="91">
        <v>146.08000000000001</v>
      </c>
      <c r="F66" s="91">
        <v>7.02</v>
      </c>
      <c r="G66" s="91" t="s">
        <v>5817</v>
      </c>
      <c r="H66" s="93">
        <f>+VLOOKUP(A66,_xlfn.ANCHORARRAY(Hoja3!$A$7),2,FALSE)</f>
        <v>0</v>
      </c>
      <c r="I66" s="93">
        <f>+VLOOKUP(A66,_xlfn.ANCHORARRAY(Hoja3!$A$7),3,FALSE)</f>
        <v>0</v>
      </c>
      <c r="J66" s="93">
        <f t="shared" si="7"/>
        <v>0</v>
      </c>
      <c r="K66" s="93">
        <v>0.52500000000000002</v>
      </c>
      <c r="L66" s="91" t="s">
        <v>6048</v>
      </c>
    </row>
    <row r="67" spans="1:12" hidden="1" x14ac:dyDescent="0.3">
      <c r="A67" s="91">
        <v>3001445</v>
      </c>
      <c r="B67" s="91" t="s">
        <v>5831</v>
      </c>
      <c r="C67" s="91" t="s">
        <v>5967</v>
      </c>
      <c r="D67" s="91" t="s">
        <v>5963</v>
      </c>
      <c r="E67" s="91">
        <v>91.4</v>
      </c>
      <c r="F67" s="91">
        <v>4.0999999999999996</v>
      </c>
      <c r="G67" s="91" t="s">
        <v>5817</v>
      </c>
      <c r="H67" s="93">
        <f>+VLOOKUP(A67,_xlfn.ANCHORARRAY(Hoja3!$A$7),2,FALSE)</f>
        <v>0</v>
      </c>
      <c r="I67" s="93">
        <f>+VLOOKUP(A67,_xlfn.ANCHORARRAY(Hoja3!$A$7),3,FALSE)</f>
        <v>0</v>
      </c>
      <c r="J67" s="93">
        <f t="shared" si="7"/>
        <v>0</v>
      </c>
      <c r="K67" s="93">
        <v>0.52500000000000002</v>
      </c>
      <c r="L67" s="91" t="s">
        <v>6048</v>
      </c>
    </row>
    <row r="68" spans="1:12" hidden="1" x14ac:dyDescent="0.3">
      <c r="A68" s="91">
        <v>3002828</v>
      </c>
      <c r="B68" s="91" t="s">
        <v>5889</v>
      </c>
      <c r="C68" s="91" t="s">
        <v>5971</v>
      </c>
      <c r="D68" s="91" t="s">
        <v>5867</v>
      </c>
      <c r="E68" s="91">
        <v>52.16</v>
      </c>
      <c r="F68" s="91">
        <v>7.69</v>
      </c>
      <c r="G68" s="91" t="s">
        <v>5846</v>
      </c>
      <c r="H68" s="93">
        <f>+VLOOKUP(A68,_xlfn.ANCHORARRAY(Hoja3!$A$7),2,FALSE)</f>
        <v>0</v>
      </c>
      <c r="I68" s="93">
        <f>+VLOOKUP(A68,_xlfn.ANCHORARRAY(Hoja3!$A$7),3,FALSE)</f>
        <v>0</v>
      </c>
      <c r="J68" s="93">
        <f t="shared" si="7"/>
        <v>0</v>
      </c>
      <c r="K68" s="93">
        <v>0.52500000000000002</v>
      </c>
      <c r="L68" s="91" t="s">
        <v>6048</v>
      </c>
    </row>
    <row r="69" spans="1:12" hidden="1" x14ac:dyDescent="0.3">
      <c r="A69" s="91">
        <v>3001464</v>
      </c>
      <c r="B69" s="91" t="s">
        <v>5894</v>
      </c>
      <c r="C69" s="91" t="s">
        <v>5845</v>
      </c>
      <c r="D69" s="91" t="s">
        <v>5892</v>
      </c>
      <c r="E69" s="91">
        <v>23.01</v>
      </c>
      <c r="F69" s="91">
        <v>5.31</v>
      </c>
      <c r="G69" s="91" t="s">
        <v>5846</v>
      </c>
      <c r="H69" s="93">
        <f>+VLOOKUP(A69,_xlfn.ANCHORARRAY(Hoja3!$A$7),2,FALSE)</f>
        <v>0</v>
      </c>
      <c r="I69" s="93">
        <f>+VLOOKUP(A69,_xlfn.ANCHORARRAY(Hoja3!$A$7),3,FALSE)</f>
        <v>0</v>
      </c>
      <c r="J69" s="93">
        <f t="shared" si="7"/>
        <v>0</v>
      </c>
      <c r="K69" s="93">
        <v>0.5</v>
      </c>
      <c r="L69" s="91" t="s">
        <v>6051</v>
      </c>
    </row>
    <row r="70" spans="1:12" hidden="1" x14ac:dyDescent="0.3">
      <c r="A70" s="91">
        <v>17000424</v>
      </c>
      <c r="B70" s="91" t="s">
        <v>5974</v>
      </c>
      <c r="C70" s="91" t="s">
        <v>5975</v>
      </c>
      <c r="D70" s="91" t="s">
        <v>5976</v>
      </c>
      <c r="E70" s="91">
        <v>41.6</v>
      </c>
      <c r="F70" s="91">
        <v>6.02</v>
      </c>
      <c r="G70" s="91" t="s">
        <v>5846</v>
      </c>
      <c r="H70" s="93">
        <f>+VLOOKUP(A70,_xlfn.ANCHORARRAY(Hoja3!$A$7),2,FALSE)</f>
        <v>0</v>
      </c>
      <c r="I70" s="93">
        <f>+VLOOKUP(A70,_xlfn.ANCHORARRAY(Hoja3!$A$7),3,FALSE)</f>
        <v>0</v>
      </c>
      <c r="J70" s="93">
        <f t="shared" si="7"/>
        <v>0</v>
      </c>
      <c r="K70" s="93">
        <v>0.5</v>
      </c>
      <c r="L70" s="91" t="s">
        <v>6051</v>
      </c>
    </row>
    <row r="71" spans="1:12" hidden="1" x14ac:dyDescent="0.3">
      <c r="A71" s="91">
        <v>3001418</v>
      </c>
      <c r="B71" s="91" t="s">
        <v>5977</v>
      </c>
      <c r="C71" s="91" t="s">
        <v>5978</v>
      </c>
      <c r="D71" s="91" t="s">
        <v>5979</v>
      </c>
      <c r="E71" s="91">
        <v>141.44999999999999</v>
      </c>
      <c r="F71" s="91">
        <v>5.46</v>
      </c>
      <c r="G71" s="91" t="s">
        <v>5846</v>
      </c>
      <c r="H71" s="93">
        <f>+VLOOKUP(A71,_xlfn.ANCHORARRAY(Hoja3!$A$7),2,FALSE)</f>
        <v>0</v>
      </c>
      <c r="I71" s="93">
        <f>+VLOOKUP(A71,_xlfn.ANCHORARRAY(Hoja3!$A$7),3,FALSE)</f>
        <v>0</v>
      </c>
      <c r="J71" s="93">
        <f t="shared" si="7"/>
        <v>0</v>
      </c>
      <c r="K71" s="93">
        <v>0.47499999999999998</v>
      </c>
      <c r="L71" s="91" t="s">
        <v>6050</v>
      </c>
    </row>
    <row r="72" spans="1:12" hidden="1" x14ac:dyDescent="0.3">
      <c r="A72" s="91">
        <v>3001455</v>
      </c>
      <c r="B72" s="91" t="s">
        <v>5978</v>
      </c>
      <c r="C72" s="91" t="s">
        <v>5977</v>
      </c>
      <c r="D72" s="91" t="s">
        <v>5845</v>
      </c>
      <c r="E72" s="91">
        <v>77.66</v>
      </c>
      <c r="F72" s="91">
        <v>5.56</v>
      </c>
      <c r="G72" s="91" t="s">
        <v>5846</v>
      </c>
      <c r="H72" s="93">
        <f>+VLOOKUP(A72,_xlfn.ANCHORARRAY(Hoja3!$A$7),2,FALSE)</f>
        <v>0</v>
      </c>
      <c r="I72" s="93">
        <f>+VLOOKUP(A72,_xlfn.ANCHORARRAY(Hoja3!$A$7),3,FALSE)</f>
        <v>0</v>
      </c>
      <c r="J72" s="93">
        <f t="shared" ref="J72:J103" si="8">+H72+I72</f>
        <v>0</v>
      </c>
      <c r="K72" s="93">
        <v>0.47499999999999998</v>
      </c>
      <c r="L72" s="91" t="s">
        <v>6050</v>
      </c>
    </row>
    <row r="73" spans="1:12" hidden="1" x14ac:dyDescent="0.3">
      <c r="A73" s="91">
        <v>3000307</v>
      </c>
      <c r="B73" s="91" t="s">
        <v>5912</v>
      </c>
      <c r="C73" s="91" t="s">
        <v>5913</v>
      </c>
      <c r="D73" s="91" t="s">
        <v>5914</v>
      </c>
      <c r="E73" s="91">
        <v>33.090000000000003</v>
      </c>
      <c r="F73" s="91">
        <v>4.71</v>
      </c>
      <c r="G73" s="91" t="s">
        <v>5817</v>
      </c>
      <c r="H73" s="93">
        <f>+VLOOKUP(A73,_xlfn.ANCHORARRAY(Hoja3!$A$7),2,FALSE)</f>
        <v>0</v>
      </c>
      <c r="I73" s="93">
        <f>+VLOOKUP(A73,_xlfn.ANCHORARRAY(Hoja3!$A$7),3,FALSE)</f>
        <v>0</v>
      </c>
      <c r="J73" s="93">
        <f t="shared" si="8"/>
        <v>0</v>
      </c>
      <c r="K73" s="93">
        <v>0.45</v>
      </c>
      <c r="L73" s="91" t="s">
        <v>6049</v>
      </c>
    </row>
    <row r="74" spans="1:12" hidden="1" x14ac:dyDescent="0.3">
      <c r="A74" s="91">
        <v>3000961</v>
      </c>
      <c r="B74" s="91" t="s">
        <v>5816</v>
      </c>
      <c r="C74" s="91" t="s">
        <v>5981</v>
      </c>
      <c r="D74" s="91" t="s">
        <v>5941</v>
      </c>
      <c r="E74" s="91">
        <v>71.84</v>
      </c>
      <c r="F74" s="91">
        <v>12.41</v>
      </c>
      <c r="G74" s="91" t="s">
        <v>5817</v>
      </c>
      <c r="H74" s="93">
        <f>+VLOOKUP(A74,_xlfn.ANCHORARRAY(Hoja3!$A$7),2,FALSE)</f>
        <v>0</v>
      </c>
      <c r="I74" s="93">
        <f>+VLOOKUP(A74,_xlfn.ANCHORARRAY(Hoja3!$A$7),3,FALSE)</f>
        <v>0</v>
      </c>
      <c r="J74" s="93">
        <f t="shared" si="8"/>
        <v>0</v>
      </c>
      <c r="K74" s="93">
        <v>0.45</v>
      </c>
      <c r="L74" s="91" t="s">
        <v>6049</v>
      </c>
    </row>
    <row r="75" spans="1:12" hidden="1" x14ac:dyDescent="0.3">
      <c r="A75" s="91">
        <v>3000985</v>
      </c>
      <c r="B75" s="91" t="s">
        <v>5816</v>
      </c>
      <c r="C75" s="91" t="s">
        <v>5814</v>
      </c>
      <c r="D75" s="91" t="s">
        <v>5981</v>
      </c>
      <c r="E75" s="91">
        <v>62.36</v>
      </c>
      <c r="F75" s="91">
        <v>8</v>
      </c>
      <c r="G75" s="91" t="s">
        <v>5817</v>
      </c>
      <c r="H75" s="93">
        <f>+VLOOKUP(A75,_xlfn.ANCHORARRAY(Hoja3!$A$7),2,FALSE)</f>
        <v>0</v>
      </c>
      <c r="I75" s="93">
        <f>+VLOOKUP(A75,_xlfn.ANCHORARRAY(Hoja3!$A$7),3,FALSE)</f>
        <v>0</v>
      </c>
      <c r="J75" s="93">
        <f t="shared" si="8"/>
        <v>0</v>
      </c>
      <c r="K75" s="93">
        <v>0.45</v>
      </c>
      <c r="L75" s="91" t="s">
        <v>6049</v>
      </c>
    </row>
    <row r="76" spans="1:12" hidden="1" x14ac:dyDescent="0.3">
      <c r="A76" s="91">
        <v>3001169</v>
      </c>
      <c r="B76" s="91" t="s">
        <v>5985</v>
      </c>
      <c r="C76" s="91" t="s">
        <v>5986</v>
      </c>
      <c r="D76" s="91" t="s">
        <v>5975</v>
      </c>
      <c r="E76" s="91">
        <v>61.34</v>
      </c>
      <c r="F76" s="91">
        <v>7.77</v>
      </c>
      <c r="G76" s="91" t="s">
        <v>5846</v>
      </c>
      <c r="H76" s="93">
        <f>+VLOOKUP(A76,_xlfn.ANCHORARRAY(Hoja3!$A$7),2,FALSE)</f>
        <v>0</v>
      </c>
      <c r="I76" s="93">
        <f>+VLOOKUP(A76,_xlfn.ANCHORARRAY(Hoja3!$A$7),3,FALSE)</f>
        <v>0</v>
      </c>
      <c r="J76" s="93">
        <f t="shared" si="8"/>
        <v>0</v>
      </c>
      <c r="K76" s="93">
        <v>0.45</v>
      </c>
      <c r="L76" s="91" t="s">
        <v>6049</v>
      </c>
    </row>
    <row r="77" spans="1:12" hidden="1" x14ac:dyDescent="0.3">
      <c r="A77" s="91">
        <v>3001352</v>
      </c>
      <c r="B77" s="91" t="s">
        <v>5989</v>
      </c>
      <c r="C77" s="91" t="s">
        <v>5867</v>
      </c>
      <c r="D77" s="91" t="s">
        <v>5867</v>
      </c>
      <c r="E77" s="91">
        <v>54.84</v>
      </c>
      <c r="F77" s="91">
        <v>6.24</v>
      </c>
      <c r="G77" s="91" t="s">
        <v>5846</v>
      </c>
      <c r="H77" s="93">
        <f>+VLOOKUP(A77,_xlfn.ANCHORARRAY(Hoja3!$A$7),2,FALSE)</f>
        <v>0</v>
      </c>
      <c r="I77" s="93">
        <f>+VLOOKUP(A77,_xlfn.ANCHORARRAY(Hoja3!$A$7),3,FALSE)</f>
        <v>0</v>
      </c>
      <c r="J77" s="93">
        <f t="shared" si="8"/>
        <v>0</v>
      </c>
      <c r="K77" s="93">
        <v>0.45</v>
      </c>
      <c r="L77" s="91" t="s">
        <v>6049</v>
      </c>
    </row>
    <row r="78" spans="1:12" hidden="1" x14ac:dyDescent="0.3">
      <c r="A78" s="91">
        <v>3001486</v>
      </c>
      <c r="B78" s="91" t="s">
        <v>5886</v>
      </c>
      <c r="C78" s="91" t="s">
        <v>5816</v>
      </c>
      <c r="D78" s="91"/>
      <c r="E78" s="91">
        <v>25.66</v>
      </c>
      <c r="F78" s="91">
        <v>5.94</v>
      </c>
      <c r="G78" s="91" t="s">
        <v>5846</v>
      </c>
      <c r="H78" s="93">
        <f>+VLOOKUP(A78,_xlfn.ANCHORARRAY(Hoja3!$A$7),2,FALSE)</f>
        <v>0</v>
      </c>
      <c r="I78" s="93">
        <f>+VLOOKUP(A78,_xlfn.ANCHORARRAY(Hoja3!$A$7),3,FALSE)</f>
        <v>0</v>
      </c>
      <c r="J78" s="93">
        <f t="shared" si="8"/>
        <v>0</v>
      </c>
      <c r="K78" s="93">
        <v>0.45</v>
      </c>
      <c r="L78" s="91" t="s">
        <v>6049</v>
      </c>
    </row>
    <row r="79" spans="1:12" hidden="1" x14ac:dyDescent="0.3">
      <c r="A79" s="91">
        <v>3001757</v>
      </c>
      <c r="B79" s="91" t="s">
        <v>5815</v>
      </c>
      <c r="C79" s="91" t="s">
        <v>5994</v>
      </c>
      <c r="D79" s="91" t="s">
        <v>5995</v>
      </c>
      <c r="E79" s="91">
        <v>65.22</v>
      </c>
      <c r="F79" s="91">
        <v>4.92</v>
      </c>
      <c r="G79" s="91" t="s">
        <v>5846</v>
      </c>
      <c r="H79" s="93">
        <f>+VLOOKUP(A79,_xlfn.ANCHORARRAY(Hoja3!$A$7),2,FALSE)</f>
        <v>0</v>
      </c>
      <c r="I79" s="93">
        <f>+VLOOKUP(A79,_xlfn.ANCHORARRAY(Hoja3!$A$7),3,FALSE)</f>
        <v>0</v>
      </c>
      <c r="J79" s="93">
        <f t="shared" si="8"/>
        <v>0</v>
      </c>
      <c r="K79" s="93">
        <v>0.45</v>
      </c>
      <c r="L79" s="91" t="s">
        <v>6049</v>
      </c>
    </row>
    <row r="80" spans="1:12" hidden="1" x14ac:dyDescent="0.3">
      <c r="A80" s="91">
        <v>3001840</v>
      </c>
      <c r="B80" s="91" t="s">
        <v>5998</v>
      </c>
      <c r="C80" s="91" t="s">
        <v>5999</v>
      </c>
      <c r="D80" s="91" t="s">
        <v>6000</v>
      </c>
      <c r="E80" s="91">
        <v>51.51</v>
      </c>
      <c r="F80" s="91">
        <v>3.59</v>
      </c>
      <c r="G80" s="91" t="s">
        <v>5846</v>
      </c>
      <c r="H80" s="93">
        <f>+VLOOKUP(A80,_xlfn.ANCHORARRAY(Hoja3!$A$7),2,FALSE)</f>
        <v>0</v>
      </c>
      <c r="I80" s="93">
        <f>+VLOOKUP(A80,_xlfn.ANCHORARRAY(Hoja3!$A$7),3,FALSE)</f>
        <v>0</v>
      </c>
      <c r="J80" s="93">
        <f t="shared" si="8"/>
        <v>0</v>
      </c>
      <c r="K80" s="93">
        <v>0.45</v>
      </c>
      <c r="L80" s="91" t="s">
        <v>6049</v>
      </c>
    </row>
    <row r="81" spans="1:12" s="100" customFormat="1" hidden="1" x14ac:dyDescent="0.3">
      <c r="A81" s="91">
        <v>3001365</v>
      </c>
      <c r="B81" s="91" t="s">
        <v>6001</v>
      </c>
      <c r="C81" s="91" t="s">
        <v>6002</v>
      </c>
      <c r="D81" s="91" t="s">
        <v>6003</v>
      </c>
      <c r="E81" s="91">
        <v>53.42</v>
      </c>
      <c r="F81" s="91">
        <v>7.68</v>
      </c>
      <c r="G81" s="91" t="s">
        <v>5846</v>
      </c>
      <c r="H81" s="93">
        <f>+VLOOKUP(A81,_xlfn.ANCHORARRAY(Hoja3!$A$7),2,FALSE)</f>
        <v>0</v>
      </c>
      <c r="I81" s="93">
        <f>+VLOOKUP(A81,_xlfn.ANCHORARRAY(Hoja3!$A$7),3,FALSE)</f>
        <v>0</v>
      </c>
      <c r="J81" s="93">
        <f t="shared" si="8"/>
        <v>0</v>
      </c>
      <c r="K81" s="93">
        <v>0.44999999999999996</v>
      </c>
      <c r="L81" s="91" t="s">
        <v>6049</v>
      </c>
    </row>
    <row r="82" spans="1:12" hidden="1" x14ac:dyDescent="0.3">
      <c r="A82" s="91">
        <v>3001689</v>
      </c>
      <c r="B82" s="91" t="s">
        <v>6004</v>
      </c>
      <c r="C82" s="91" t="s">
        <v>5854</v>
      </c>
      <c r="D82" s="91" t="s">
        <v>6005</v>
      </c>
      <c r="E82" s="91">
        <v>87.52</v>
      </c>
      <c r="F82" s="91">
        <v>5.74</v>
      </c>
      <c r="G82" s="91" t="s">
        <v>5817</v>
      </c>
      <c r="H82" s="93">
        <f>+VLOOKUP(A82,_xlfn.ANCHORARRAY(Hoja3!$A$7),2,FALSE)</f>
        <v>0</v>
      </c>
      <c r="I82" s="93">
        <f>+VLOOKUP(A82,_xlfn.ANCHORARRAY(Hoja3!$A$7),3,FALSE)</f>
        <v>0</v>
      </c>
      <c r="J82" s="93">
        <f t="shared" si="8"/>
        <v>0</v>
      </c>
      <c r="K82" s="93">
        <v>0.44999999999999996</v>
      </c>
      <c r="L82" s="91" t="s">
        <v>6049</v>
      </c>
    </row>
    <row r="83" spans="1:12" hidden="1" x14ac:dyDescent="0.3">
      <c r="A83" s="91">
        <v>3001724</v>
      </c>
      <c r="B83" s="91" t="s">
        <v>6004</v>
      </c>
      <c r="C83" s="91" t="s">
        <v>6005</v>
      </c>
      <c r="D83" s="91" t="s">
        <v>6006</v>
      </c>
      <c r="E83" s="91">
        <v>36.71</v>
      </c>
      <c r="F83" s="91">
        <v>5.95</v>
      </c>
      <c r="G83" s="91" t="s">
        <v>5846</v>
      </c>
      <c r="H83" s="93">
        <f>+VLOOKUP(A83,_xlfn.ANCHORARRAY(Hoja3!$A$7),2,FALSE)</f>
        <v>0</v>
      </c>
      <c r="I83" s="93">
        <f>+VLOOKUP(A83,_xlfn.ANCHORARRAY(Hoja3!$A$7),3,FALSE)</f>
        <v>0</v>
      </c>
      <c r="J83" s="93">
        <f t="shared" si="8"/>
        <v>0</v>
      </c>
      <c r="K83" s="93">
        <v>0.44999999999999996</v>
      </c>
      <c r="L83" s="91" t="s">
        <v>6049</v>
      </c>
    </row>
    <row r="84" spans="1:12" hidden="1" x14ac:dyDescent="0.3">
      <c r="A84" s="91">
        <v>3001733</v>
      </c>
      <c r="B84" s="91" t="s">
        <v>6004</v>
      </c>
      <c r="C84" s="91" t="s">
        <v>6006</v>
      </c>
      <c r="D84" s="91" t="s">
        <v>6007</v>
      </c>
      <c r="E84" s="91">
        <v>11.74</v>
      </c>
      <c r="F84" s="91">
        <v>5.91</v>
      </c>
      <c r="G84" s="91" t="s">
        <v>5846</v>
      </c>
      <c r="H84" s="93">
        <f>+VLOOKUP(A84,_xlfn.ANCHORARRAY(Hoja3!$A$7),2,FALSE)</f>
        <v>0</v>
      </c>
      <c r="I84" s="93">
        <f>+VLOOKUP(A84,_xlfn.ANCHORARRAY(Hoja3!$A$7),3,FALSE)</f>
        <v>0</v>
      </c>
      <c r="J84" s="93">
        <f t="shared" si="8"/>
        <v>0</v>
      </c>
      <c r="K84" s="93">
        <v>0.44999999999999996</v>
      </c>
      <c r="L84" s="91" t="s">
        <v>6049</v>
      </c>
    </row>
    <row r="85" spans="1:12" s="100" customFormat="1" hidden="1" x14ac:dyDescent="0.3">
      <c r="A85" s="91">
        <v>3001751</v>
      </c>
      <c r="B85" s="91" t="s">
        <v>6004</v>
      </c>
      <c r="C85" s="91" t="s">
        <v>6007</v>
      </c>
      <c r="D85" s="91" t="s">
        <v>6008</v>
      </c>
      <c r="E85" s="91">
        <v>8.64</v>
      </c>
      <c r="F85" s="91">
        <v>5.88</v>
      </c>
      <c r="G85" s="91" t="s">
        <v>5846</v>
      </c>
      <c r="H85" s="93">
        <f>+VLOOKUP(A85,_xlfn.ANCHORARRAY(Hoja3!$A$7),2,FALSE)</f>
        <v>0</v>
      </c>
      <c r="I85" s="93">
        <f>+VLOOKUP(A85,_xlfn.ANCHORARRAY(Hoja3!$A$7),3,FALSE)</f>
        <v>0</v>
      </c>
      <c r="J85" s="93">
        <f t="shared" si="8"/>
        <v>0</v>
      </c>
      <c r="K85" s="93">
        <v>0.44999999999999996</v>
      </c>
      <c r="L85" s="91" t="s">
        <v>6049</v>
      </c>
    </row>
    <row r="86" spans="1:12" hidden="1" x14ac:dyDescent="0.3">
      <c r="A86" s="91">
        <v>3001754</v>
      </c>
      <c r="B86" s="91" t="s">
        <v>5903</v>
      </c>
      <c r="C86" s="91" t="s">
        <v>5904</v>
      </c>
      <c r="D86" s="91" t="s">
        <v>5902</v>
      </c>
      <c r="E86" s="91">
        <v>72.08</v>
      </c>
      <c r="F86" s="91">
        <v>6.71</v>
      </c>
      <c r="G86" s="91" t="s">
        <v>5846</v>
      </c>
      <c r="H86" s="93">
        <f>+VLOOKUP(A86,_xlfn.ANCHORARRAY(Hoja3!$A$7),2,FALSE)</f>
        <v>0</v>
      </c>
      <c r="I86" s="93">
        <f>+VLOOKUP(A86,_xlfn.ANCHORARRAY(Hoja3!$A$7),3,FALSE)</f>
        <v>0</v>
      </c>
      <c r="J86" s="93">
        <f t="shared" si="8"/>
        <v>0</v>
      </c>
      <c r="K86" s="93">
        <v>0.44999999999999996</v>
      </c>
      <c r="L86" s="91" t="s">
        <v>6049</v>
      </c>
    </row>
    <row r="87" spans="1:12" hidden="1" x14ac:dyDescent="0.3">
      <c r="A87" s="91">
        <v>3001756</v>
      </c>
      <c r="B87" s="91" t="s">
        <v>6004</v>
      </c>
      <c r="C87" s="91" t="s">
        <v>6009</v>
      </c>
      <c r="D87" s="91" t="s">
        <v>6010</v>
      </c>
      <c r="E87" s="91">
        <v>23.49</v>
      </c>
      <c r="F87" s="91">
        <v>6.03</v>
      </c>
      <c r="G87" s="91" t="s">
        <v>5846</v>
      </c>
      <c r="H87" s="93">
        <f>+VLOOKUP(A87,_xlfn.ANCHORARRAY(Hoja3!$A$7),2,FALSE)</f>
        <v>0</v>
      </c>
      <c r="I87" s="93">
        <f>+VLOOKUP(A87,_xlfn.ANCHORARRAY(Hoja3!$A$7),3,FALSE)</f>
        <v>0</v>
      </c>
      <c r="J87" s="93">
        <f t="shared" si="8"/>
        <v>0</v>
      </c>
      <c r="K87" s="93">
        <v>0.44999999999999996</v>
      </c>
      <c r="L87" s="91" t="s">
        <v>6049</v>
      </c>
    </row>
    <row r="88" spans="1:12" hidden="1" x14ac:dyDescent="0.3">
      <c r="A88" s="91">
        <v>3001762</v>
      </c>
      <c r="B88" s="91" t="s">
        <v>6004</v>
      </c>
      <c r="C88" s="91" t="s">
        <v>6011</v>
      </c>
      <c r="D88" s="91" t="s">
        <v>6009</v>
      </c>
      <c r="E88" s="91">
        <v>13.23</v>
      </c>
      <c r="F88" s="91">
        <v>5.25</v>
      </c>
      <c r="G88" s="91" t="s">
        <v>5846</v>
      </c>
      <c r="H88" s="93">
        <f>+VLOOKUP(A88,_xlfn.ANCHORARRAY(Hoja3!$A$7),2,FALSE)</f>
        <v>0</v>
      </c>
      <c r="I88" s="93">
        <f>+VLOOKUP(A88,_xlfn.ANCHORARRAY(Hoja3!$A$7),3,FALSE)</f>
        <v>0</v>
      </c>
      <c r="J88" s="93">
        <f t="shared" si="8"/>
        <v>0</v>
      </c>
      <c r="K88" s="93">
        <v>0.44999999999999996</v>
      </c>
      <c r="L88" s="91" t="s">
        <v>6049</v>
      </c>
    </row>
    <row r="89" spans="1:12" hidden="1" x14ac:dyDescent="0.3">
      <c r="A89" s="91">
        <v>3001774</v>
      </c>
      <c r="B89" s="91" t="s">
        <v>6012</v>
      </c>
      <c r="C89" s="91" t="s">
        <v>5900</v>
      </c>
      <c r="D89" s="91" t="s">
        <v>6013</v>
      </c>
      <c r="E89" s="91">
        <v>93.62</v>
      </c>
      <c r="F89" s="91">
        <v>6.01</v>
      </c>
      <c r="G89" s="91" t="s">
        <v>5846</v>
      </c>
      <c r="H89" s="93">
        <f>+VLOOKUP(A89,_xlfn.ANCHORARRAY(Hoja3!$A$7),2,FALSE)</f>
        <v>0</v>
      </c>
      <c r="I89" s="93">
        <f>+VLOOKUP(A89,_xlfn.ANCHORARRAY(Hoja3!$A$7),3,FALSE)</f>
        <v>0</v>
      </c>
      <c r="J89" s="93">
        <f t="shared" si="8"/>
        <v>0</v>
      </c>
      <c r="K89" s="93">
        <v>0.44999999999999996</v>
      </c>
      <c r="L89" s="91" t="s">
        <v>6049</v>
      </c>
    </row>
    <row r="90" spans="1:12" hidden="1" x14ac:dyDescent="0.3">
      <c r="A90" s="91">
        <v>3001790</v>
      </c>
      <c r="B90" s="91" t="s">
        <v>5903</v>
      </c>
      <c r="C90" s="91" t="s">
        <v>6014</v>
      </c>
      <c r="D90" s="91" t="s">
        <v>6015</v>
      </c>
      <c r="E90" s="91">
        <v>73.400000000000006</v>
      </c>
      <c r="F90" s="91">
        <v>6.58</v>
      </c>
      <c r="G90" s="91" t="s">
        <v>5846</v>
      </c>
      <c r="H90" s="93">
        <f>+VLOOKUP(A90,_xlfn.ANCHORARRAY(Hoja3!$A$7),2,FALSE)</f>
        <v>0</v>
      </c>
      <c r="I90" s="93">
        <f>+VLOOKUP(A90,_xlfn.ANCHORARRAY(Hoja3!$A$7),3,FALSE)</f>
        <v>0</v>
      </c>
      <c r="J90" s="93">
        <f t="shared" si="8"/>
        <v>0</v>
      </c>
      <c r="K90" s="93">
        <v>0.44999999999999996</v>
      </c>
      <c r="L90" s="91" t="s">
        <v>6049</v>
      </c>
    </row>
    <row r="91" spans="1:12" hidden="1" x14ac:dyDescent="0.3">
      <c r="A91" s="91">
        <v>3002257</v>
      </c>
      <c r="B91" s="91" t="s">
        <v>5903</v>
      </c>
      <c r="C91" s="91" t="s">
        <v>5843</v>
      </c>
      <c r="D91" s="91" t="s">
        <v>6014</v>
      </c>
      <c r="E91" s="91">
        <v>167.56</v>
      </c>
      <c r="F91" s="91">
        <v>6.57</v>
      </c>
      <c r="G91" s="91" t="s">
        <v>5846</v>
      </c>
      <c r="H91" s="93">
        <f>+VLOOKUP(A91,_xlfn.ANCHORARRAY(Hoja3!$A$7),2,FALSE)</f>
        <v>0</v>
      </c>
      <c r="I91" s="93">
        <f>+VLOOKUP(A91,_xlfn.ANCHORARRAY(Hoja3!$A$7),3,FALSE)</f>
        <v>0</v>
      </c>
      <c r="J91" s="93">
        <f t="shared" si="8"/>
        <v>0</v>
      </c>
      <c r="K91" s="93">
        <v>0.44999999999999996</v>
      </c>
      <c r="L91" s="91" t="s">
        <v>6049</v>
      </c>
    </row>
    <row r="92" spans="1:12" hidden="1" x14ac:dyDescent="0.3">
      <c r="A92" s="91">
        <v>3002273</v>
      </c>
      <c r="B92" s="91" t="s">
        <v>6001</v>
      </c>
      <c r="C92" s="91" t="s">
        <v>5844</v>
      </c>
      <c r="D92" s="91" t="s">
        <v>6002</v>
      </c>
      <c r="E92" s="91">
        <v>26.98</v>
      </c>
      <c r="F92" s="91">
        <v>7.36</v>
      </c>
      <c r="G92" s="91" t="s">
        <v>5846</v>
      </c>
      <c r="H92" s="93">
        <f>+VLOOKUP(A92,_xlfn.ANCHORARRAY(Hoja3!$A$7),2,FALSE)</f>
        <v>0</v>
      </c>
      <c r="I92" s="93">
        <f>+VLOOKUP(A92,_xlfn.ANCHORARRAY(Hoja3!$A$7),3,FALSE)</f>
        <v>0</v>
      </c>
      <c r="J92" s="93">
        <f t="shared" si="8"/>
        <v>0</v>
      </c>
      <c r="K92" s="93">
        <v>0.44999999999999996</v>
      </c>
      <c r="L92" s="91" t="s">
        <v>6049</v>
      </c>
    </row>
    <row r="93" spans="1:12" hidden="1" x14ac:dyDescent="0.3">
      <c r="A93" s="91">
        <v>3002474</v>
      </c>
      <c r="B93" s="91" t="s">
        <v>6001</v>
      </c>
      <c r="C93" s="91" t="s">
        <v>6016</v>
      </c>
      <c r="D93" s="91" t="s">
        <v>6017</v>
      </c>
      <c r="E93" s="91">
        <v>64.88</v>
      </c>
      <c r="F93" s="91">
        <v>6.79</v>
      </c>
      <c r="G93" s="91" t="s">
        <v>5846</v>
      </c>
      <c r="H93" s="93">
        <f>+VLOOKUP(A93,_xlfn.ANCHORARRAY(Hoja3!$A$7),2,FALSE)</f>
        <v>0</v>
      </c>
      <c r="I93" s="93">
        <f>+VLOOKUP(A93,_xlfn.ANCHORARRAY(Hoja3!$A$7),3,FALSE)</f>
        <v>0</v>
      </c>
      <c r="J93" s="93">
        <f t="shared" si="8"/>
        <v>0</v>
      </c>
      <c r="K93" s="93">
        <v>0.44999999999999996</v>
      </c>
      <c r="L93" s="91" t="s">
        <v>6049</v>
      </c>
    </row>
    <row r="94" spans="1:12" hidden="1" x14ac:dyDescent="0.3">
      <c r="A94" s="91">
        <v>3003017</v>
      </c>
      <c r="B94" s="91" t="s">
        <v>5854</v>
      </c>
      <c r="C94" s="91" t="s">
        <v>5916</v>
      </c>
      <c r="D94" s="91" t="s">
        <v>5904</v>
      </c>
      <c r="E94" s="91">
        <v>32.1</v>
      </c>
      <c r="F94" s="91">
        <v>6.66</v>
      </c>
      <c r="G94" s="91" t="s">
        <v>5846</v>
      </c>
      <c r="H94" s="93">
        <f>+VLOOKUP(A94,_xlfn.ANCHORARRAY(Hoja3!$A$7),2,FALSE)</f>
        <v>0</v>
      </c>
      <c r="I94" s="93">
        <f>+VLOOKUP(A94,_xlfn.ANCHORARRAY(Hoja3!$A$7),3,FALSE)</f>
        <v>0</v>
      </c>
      <c r="J94" s="93">
        <f t="shared" si="8"/>
        <v>0</v>
      </c>
      <c r="K94" s="93">
        <v>0.44999999999999996</v>
      </c>
      <c r="L94" s="91" t="s">
        <v>6049</v>
      </c>
    </row>
    <row r="95" spans="1:12" hidden="1" x14ac:dyDescent="0.3">
      <c r="A95" s="91">
        <v>3000148</v>
      </c>
      <c r="B95" s="91" t="s">
        <v>6021</v>
      </c>
      <c r="C95" s="91" t="s">
        <v>5824</v>
      </c>
      <c r="D95" s="91" t="s">
        <v>6022</v>
      </c>
      <c r="E95" s="91">
        <v>35.65</v>
      </c>
      <c r="F95" s="91">
        <v>6.26</v>
      </c>
      <c r="G95" s="91" t="s">
        <v>5846</v>
      </c>
      <c r="H95" s="93">
        <f>+VLOOKUP(A95,_xlfn.ANCHORARRAY(Hoja3!$A$7),2,FALSE)</f>
        <v>0</v>
      </c>
      <c r="I95" s="93">
        <f>+VLOOKUP(A95,_xlfn.ANCHORARRAY(Hoja3!$A$7),3,FALSE)</f>
        <v>0</v>
      </c>
      <c r="J95" s="93">
        <f t="shared" si="8"/>
        <v>0</v>
      </c>
      <c r="K95" s="93">
        <v>0.42500000000000004</v>
      </c>
      <c r="L95" s="91" t="s">
        <v>6048</v>
      </c>
    </row>
    <row r="96" spans="1:12" hidden="1" x14ac:dyDescent="0.3">
      <c r="A96" s="91">
        <v>3000165</v>
      </c>
      <c r="B96" s="91" t="s">
        <v>6021</v>
      </c>
      <c r="C96" s="91" t="s">
        <v>6024</v>
      </c>
      <c r="D96" s="91" t="s">
        <v>5824</v>
      </c>
      <c r="E96" s="91">
        <v>103.57</v>
      </c>
      <c r="F96" s="91">
        <v>5.38</v>
      </c>
      <c r="G96" s="91" t="s">
        <v>5846</v>
      </c>
      <c r="H96" s="93">
        <f>+VLOOKUP(A96,_xlfn.ANCHORARRAY(Hoja3!$A$7),2,FALSE)</f>
        <v>0</v>
      </c>
      <c r="I96" s="93">
        <f>+VLOOKUP(A96,_xlfn.ANCHORARRAY(Hoja3!$A$7),3,FALSE)</f>
        <v>0</v>
      </c>
      <c r="J96" s="93">
        <f t="shared" si="8"/>
        <v>0</v>
      </c>
      <c r="K96" s="93">
        <v>0.42500000000000004</v>
      </c>
      <c r="L96" s="91" t="s">
        <v>6048</v>
      </c>
    </row>
    <row r="97" spans="1:12" hidden="1" x14ac:dyDescent="0.3">
      <c r="A97" s="91">
        <v>3002471</v>
      </c>
      <c r="B97" s="91" t="s">
        <v>6025</v>
      </c>
      <c r="C97" s="91" t="s">
        <v>6004</v>
      </c>
      <c r="D97" s="91" t="s">
        <v>6026</v>
      </c>
      <c r="E97" s="91">
        <v>20.03</v>
      </c>
      <c r="F97" s="91">
        <v>5.87</v>
      </c>
      <c r="G97" s="91" t="s">
        <v>5817</v>
      </c>
      <c r="H97" s="93">
        <f>+VLOOKUP(A97,_xlfn.ANCHORARRAY(Hoja3!$A$7),2,FALSE)</f>
        <v>0</v>
      </c>
      <c r="I97" s="93">
        <f>+VLOOKUP(A97,_xlfn.ANCHORARRAY(Hoja3!$A$7),3,FALSE)</f>
        <v>0</v>
      </c>
      <c r="J97" s="93">
        <f t="shared" si="8"/>
        <v>0</v>
      </c>
      <c r="K97" s="93">
        <v>0.35</v>
      </c>
      <c r="L97" s="91" t="s">
        <v>6049</v>
      </c>
    </row>
    <row r="98" spans="1:12" hidden="1" x14ac:dyDescent="0.3">
      <c r="A98" s="91">
        <v>3000609</v>
      </c>
      <c r="B98" s="91" t="s">
        <v>6029</v>
      </c>
      <c r="C98" s="91" t="s">
        <v>5814</v>
      </c>
      <c r="D98" s="91" t="s">
        <v>5941</v>
      </c>
      <c r="E98" s="91">
        <v>102.6</v>
      </c>
      <c r="F98" s="91">
        <v>7.67</v>
      </c>
      <c r="G98" s="91" t="s">
        <v>5817</v>
      </c>
      <c r="H98" s="93">
        <f>+VLOOKUP(A98,_xlfn.ANCHORARRAY(Hoja3!$A$7),2,FALSE)</f>
        <v>0</v>
      </c>
      <c r="I98" s="93">
        <f>+VLOOKUP(A98,_xlfn.ANCHORARRAY(Hoja3!$A$7),3,FALSE)</f>
        <v>0</v>
      </c>
      <c r="J98" s="93">
        <f t="shared" si="8"/>
        <v>0</v>
      </c>
      <c r="K98" s="93">
        <v>0.32500000000000001</v>
      </c>
      <c r="L98" s="91" t="s">
        <v>6048</v>
      </c>
    </row>
    <row r="99" spans="1:12" hidden="1" x14ac:dyDescent="0.3">
      <c r="A99" s="91">
        <v>3000667</v>
      </c>
      <c r="B99" s="91" t="s">
        <v>6033</v>
      </c>
      <c r="C99" s="91" t="s">
        <v>6034</v>
      </c>
      <c r="D99" s="91" t="s">
        <v>6035</v>
      </c>
      <c r="E99" s="91">
        <v>106.68</v>
      </c>
      <c r="F99" s="91">
        <v>6.19</v>
      </c>
      <c r="G99" s="91" t="s">
        <v>5846</v>
      </c>
      <c r="H99" s="93">
        <f>+VLOOKUP(A99,_xlfn.ANCHORARRAY(Hoja3!$A$7),2,FALSE)</f>
        <v>0</v>
      </c>
      <c r="I99" s="93">
        <f>+VLOOKUP(A99,_xlfn.ANCHORARRAY(Hoja3!$A$7),3,FALSE)</f>
        <v>0</v>
      </c>
      <c r="J99" s="93">
        <f t="shared" si="8"/>
        <v>0</v>
      </c>
      <c r="K99" s="93">
        <v>0.32500000000000001</v>
      </c>
      <c r="L99" s="91" t="s">
        <v>6048</v>
      </c>
    </row>
    <row r="100" spans="1:12" hidden="1" x14ac:dyDescent="0.3">
      <c r="A100" s="91">
        <v>3000943</v>
      </c>
      <c r="B100" s="91" t="s">
        <v>5941</v>
      </c>
      <c r="C100" s="91" t="s">
        <v>5816</v>
      </c>
      <c r="D100" s="91" t="s">
        <v>5821</v>
      </c>
      <c r="E100" s="91">
        <v>71.599999999999994</v>
      </c>
      <c r="F100" s="91">
        <v>6.79</v>
      </c>
      <c r="G100" s="91" t="s">
        <v>5846</v>
      </c>
      <c r="H100" s="93">
        <f>+VLOOKUP(A100,_xlfn.ANCHORARRAY(Hoja3!$A$7),2,FALSE)</f>
        <v>0</v>
      </c>
      <c r="I100" s="93">
        <f>+VLOOKUP(A100,_xlfn.ANCHORARRAY(Hoja3!$A$7),3,FALSE)</f>
        <v>0</v>
      </c>
      <c r="J100" s="93">
        <f t="shared" si="8"/>
        <v>0</v>
      </c>
      <c r="K100" s="93">
        <v>0.32500000000000001</v>
      </c>
      <c r="L100" s="91" t="s">
        <v>6048</v>
      </c>
    </row>
    <row r="101" spans="1:12" hidden="1" x14ac:dyDescent="0.3">
      <c r="A101" s="91">
        <v>3001124</v>
      </c>
      <c r="B101" s="91" t="s">
        <v>6040</v>
      </c>
      <c r="C101" s="91" t="s">
        <v>6041</v>
      </c>
      <c r="D101" s="91" t="s">
        <v>6042</v>
      </c>
      <c r="E101" s="91">
        <v>66.5</v>
      </c>
      <c r="F101" s="91">
        <v>4.6500000000000004</v>
      </c>
      <c r="G101" s="91" t="s">
        <v>5846</v>
      </c>
      <c r="H101" s="93">
        <f>+VLOOKUP(A101,_xlfn.ANCHORARRAY(Hoja3!$A$7),2,FALSE)</f>
        <v>0</v>
      </c>
      <c r="I101" s="93">
        <f>+VLOOKUP(A101,_xlfn.ANCHORARRAY(Hoja3!$A$7),3,FALSE)</f>
        <v>0</v>
      </c>
      <c r="J101" s="93">
        <f t="shared" si="8"/>
        <v>0</v>
      </c>
      <c r="K101" s="93">
        <v>0.32500000000000001</v>
      </c>
      <c r="L101" s="91" t="s">
        <v>6048</v>
      </c>
    </row>
    <row r="102" spans="1:12" hidden="1" x14ac:dyDescent="0.3">
      <c r="A102" s="91">
        <v>3001354</v>
      </c>
      <c r="B102" s="91" t="s">
        <v>6044</v>
      </c>
      <c r="C102" s="91" t="s">
        <v>6045</v>
      </c>
      <c r="D102" s="91" t="s">
        <v>5821</v>
      </c>
      <c r="E102" s="91">
        <v>82.14</v>
      </c>
      <c r="F102" s="91">
        <v>5.59</v>
      </c>
      <c r="G102" s="91" t="s">
        <v>5817</v>
      </c>
      <c r="H102" s="93">
        <f>+VLOOKUP(A102,_xlfn.ANCHORARRAY(Hoja3!$A$7),2,FALSE)</f>
        <v>0</v>
      </c>
      <c r="I102" s="93">
        <f>+VLOOKUP(A102,_xlfn.ANCHORARRAY(Hoja3!$A$7),3,FALSE)</f>
        <v>0</v>
      </c>
      <c r="J102" s="93">
        <f t="shared" si="8"/>
        <v>0</v>
      </c>
      <c r="K102" s="93">
        <v>0.32500000000000001</v>
      </c>
      <c r="L102" s="91" t="s">
        <v>6048</v>
      </c>
    </row>
    <row r="103" spans="1:12" hidden="1" x14ac:dyDescent="0.3">
      <c r="A103" s="91">
        <v>3001436</v>
      </c>
      <c r="B103" s="91" t="s">
        <v>5894</v>
      </c>
      <c r="C103" s="91" t="s">
        <v>6046</v>
      </c>
      <c r="D103" s="91" t="s">
        <v>5845</v>
      </c>
      <c r="E103" s="91">
        <v>80.72</v>
      </c>
      <c r="F103" s="91">
        <v>5.27</v>
      </c>
      <c r="G103" s="91" t="s">
        <v>5846</v>
      </c>
      <c r="H103" s="93">
        <f>+VLOOKUP(A103,_xlfn.ANCHORARRAY(Hoja3!$A$7),2,FALSE)</f>
        <v>0</v>
      </c>
      <c r="I103" s="93">
        <f>+VLOOKUP(A103,_xlfn.ANCHORARRAY(Hoja3!$A$7),3,FALSE)</f>
        <v>0</v>
      </c>
      <c r="J103" s="93">
        <f t="shared" si="8"/>
        <v>0</v>
      </c>
      <c r="K103" s="93">
        <v>0.25</v>
      </c>
      <c r="L103" s="91" t="s">
        <v>6049</v>
      </c>
    </row>
    <row r="105" spans="1:12" x14ac:dyDescent="0.3">
      <c r="H105" s="94" t="e">
        <f>+SUM(H8:H103)</f>
        <v>#N/A</v>
      </c>
      <c r="I105" s="94">
        <f>+SUM(I8:I103)</f>
        <v>794780395</v>
      </c>
      <c r="J105" s="94" t="e">
        <f>+SUM(J8:J103)</f>
        <v>#N/A</v>
      </c>
      <c r="K105" s="94"/>
    </row>
    <row r="107" spans="1:12" x14ac:dyDescent="0.3">
      <c r="D107" s="96">
        <f>+SUBTOTAL(9,D11:D38)</f>
        <v>0</v>
      </c>
      <c r="E107" s="96">
        <f>+SUBTOTAL(9,E8:E38)</f>
        <v>1243.3399999999997</v>
      </c>
      <c r="F107" s="96">
        <f>+SUBTOTAL(9,F8:F38)</f>
        <v>130.49</v>
      </c>
      <c r="H107" s="96" t="e">
        <f>+SUBTOTAL(9,H11:H38)</f>
        <v>#N/A</v>
      </c>
      <c r="I107" s="96">
        <f>+SUBTOTAL(9,I11:I38)</f>
        <v>794780395</v>
      </c>
      <c r="J107" s="96" t="e">
        <f>+SUBTOTAL(9,J11:J38)</f>
        <v>#N/A</v>
      </c>
    </row>
    <row r="108" spans="1:12" x14ac:dyDescent="0.3">
      <c r="D108" s="96"/>
      <c r="E108" s="96"/>
      <c r="F108" s="96"/>
      <c r="H108" s="96"/>
      <c r="I108" s="96"/>
      <c r="J108" s="96"/>
    </row>
    <row r="109" spans="1:12" x14ac:dyDescent="0.3">
      <c r="D109" s="96"/>
      <c r="E109" s="96"/>
      <c r="F109" s="96"/>
      <c r="H109" s="96"/>
      <c r="I109" s="96"/>
      <c r="J109" s="96"/>
    </row>
    <row r="110" spans="1:12" x14ac:dyDescent="0.3">
      <c r="H110" s="94" t="e">
        <f>+J3-H107</f>
        <v>#N/A</v>
      </c>
      <c r="I110" s="94">
        <f>+J5-I107</f>
        <v>128527004</v>
      </c>
      <c r="J110" s="94"/>
    </row>
    <row r="111" spans="1:12" x14ac:dyDescent="0.3">
      <c r="E111" s="94">
        <f>+E107*2+F107*2</f>
        <v>2747.6599999999994</v>
      </c>
    </row>
    <row r="112" spans="1:12" x14ac:dyDescent="0.3">
      <c r="H112" s="96">
        <v>2099990369</v>
      </c>
    </row>
    <row r="113" spans="12:13" x14ac:dyDescent="0.3">
      <c r="L113" t="s">
        <v>6098</v>
      </c>
      <c r="M113" s="94" t="e">
        <f>+J8+J9+J10+J11+J16+J17+J18+J20+J32</f>
        <v>#N/A</v>
      </c>
    </row>
    <row r="114" spans="12:13" x14ac:dyDescent="0.3">
      <c r="L114" t="s">
        <v>6099</v>
      </c>
    </row>
    <row r="115" spans="12:13" x14ac:dyDescent="0.3">
      <c r="L115" t="s">
        <v>6098</v>
      </c>
    </row>
    <row r="116" spans="12:13" x14ac:dyDescent="0.3">
      <c r="L116" t="s">
        <v>6100</v>
      </c>
    </row>
    <row r="117" spans="12:13" x14ac:dyDescent="0.3">
      <c r="L117" t="s">
        <v>6101</v>
      </c>
    </row>
    <row r="118" spans="12:13" x14ac:dyDescent="0.3">
      <c r="L118" t="s">
        <v>6102</v>
      </c>
    </row>
    <row r="119" spans="12:13" x14ac:dyDescent="0.3">
      <c r="L119" t="s">
        <v>6103</v>
      </c>
    </row>
  </sheetData>
  <autoFilter ref="A7:L103" xr:uid="{B37E1990-812F-434C-A2B9-6D13BF2469E6}">
    <filterColumn colId="0">
      <colorFilter dxfId="4"/>
    </filterColumn>
    <sortState xmlns:xlrd2="http://schemas.microsoft.com/office/spreadsheetml/2017/richdata2" ref="A8:L103">
      <sortCondition descending="1" ref="K7:K103"/>
    </sortState>
  </autoFilter>
  <mergeCells count="1">
    <mergeCell ref="F2:G2"/>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6D377-BBD2-4F30-A510-8DD06B1659F6}">
  <sheetPr filterMode="1"/>
  <dimension ref="A1:AX57"/>
  <sheetViews>
    <sheetView workbookViewId="0">
      <selection activeCell="B2862" sqref="B34:B2862"/>
    </sheetView>
  </sheetViews>
  <sheetFormatPr baseColWidth="10" defaultColWidth="11.44140625" defaultRowHeight="14.4" x14ac:dyDescent="0.3"/>
  <cols>
    <col min="2" max="2" width="18.33203125" bestFit="1" customWidth="1"/>
    <col min="4" max="4" width="18.33203125" bestFit="1" customWidth="1"/>
  </cols>
  <sheetData>
    <row r="1" spans="1:50" x14ac:dyDescent="0.3">
      <c r="A1" t="s">
        <v>5794</v>
      </c>
      <c r="B1">
        <f>+'PPTO FLEXIBLE RECONS RUR'!M184</f>
        <v>3002488</v>
      </c>
      <c r="D1">
        <f>+'PPTO FLEXIBLE RECONS RUR'!O184</f>
        <v>0</v>
      </c>
      <c r="F1">
        <f>+'PPTO FLEXIBLE RECONS RUR'!Q184</f>
        <v>0</v>
      </c>
      <c r="H1">
        <f>+'PPTO FLEXIBLE RECONS RUR'!S184</f>
        <v>0</v>
      </c>
      <c r="J1">
        <f>+'PPTO FLEXIBLE RECONS RUR'!U184</f>
        <v>0</v>
      </c>
      <c r="L1">
        <f>+'PPTO FLEXIBLE RECONS RUR'!W184</f>
        <v>0</v>
      </c>
      <c r="N1">
        <f>+'PPTO FLEXIBLE RECONS RUR'!Y184</f>
        <v>0</v>
      </c>
      <c r="P1">
        <f>+'PPTO FLEXIBLE RECONS RUR'!AA184</f>
        <v>0</v>
      </c>
      <c r="R1">
        <f>+'PPTO FLEXIBLE RECONS RUR'!AC184</f>
        <v>0</v>
      </c>
      <c r="T1">
        <f>+'PPTO FLEXIBLE RECONS RUR'!AE184</f>
        <v>0</v>
      </c>
      <c r="V1">
        <f>+'PPTO FLEXIBLE RECONS RUR'!AG184</f>
        <v>0</v>
      </c>
      <c r="X1">
        <f>+'PPTO FLEXIBLE RECONS RUR'!AI184</f>
        <v>0</v>
      </c>
      <c r="Z1">
        <f>+'PPTO FLEXIBLE RECONS RUR'!AK184</f>
        <v>0</v>
      </c>
      <c r="AB1">
        <f>+'PPTO FLEXIBLE RECONS RUR'!AM184</f>
        <v>0</v>
      </c>
      <c r="AD1">
        <f>+'PPTO FLEXIBLE RECONS RUR'!AO184</f>
        <v>3002758</v>
      </c>
      <c r="AF1">
        <f>+'PPTO FLEXIBLE RECONS RUR'!AQ184</f>
        <v>0</v>
      </c>
      <c r="AH1">
        <f>+'PPTO FLEXIBLE RECONS RUR'!AS184</f>
        <v>0</v>
      </c>
      <c r="AJ1">
        <f>+'PPTO FLEXIBLE RECONS RUR'!AU184</f>
        <v>0</v>
      </c>
      <c r="AL1">
        <f>+'PPTO FLEXIBLE RECONS RUR'!AW184</f>
        <v>0</v>
      </c>
      <c r="AN1">
        <f>+'PPTO FLEXIBLE RECONS RUR'!AY184</f>
        <v>0</v>
      </c>
      <c r="AP1">
        <f>+'PPTO FLEXIBLE RECONS RUR'!BA184</f>
        <v>0</v>
      </c>
      <c r="AR1">
        <f>+'PPTO FLEXIBLE RECONS RUR'!BC184</f>
        <v>0</v>
      </c>
      <c r="AT1">
        <f>+'PPTO FLEXIBLE RECONS RUR'!BE184</f>
        <v>0</v>
      </c>
      <c r="AV1">
        <f>+'PPTO FLEXIBLE RECONS RUR'!BG184</f>
        <v>0</v>
      </c>
      <c r="AX1">
        <f>+'PPTO FLEXIBLE RECONS RUR'!BI184</f>
        <v>0</v>
      </c>
    </row>
    <row r="2" spans="1:50" x14ac:dyDescent="0.3">
      <c r="A2" t="s">
        <v>6088</v>
      </c>
      <c r="B2" s="94" t="e">
        <f>+'PPTO FLEXIBLE RECONS RUR'!M185</f>
        <v>#N/A</v>
      </c>
      <c r="D2" s="94">
        <f>+'PPTO FLEXIBLE RECONS RUR'!O185</f>
        <v>0</v>
      </c>
      <c r="F2" s="94">
        <f>+'PPTO FLEXIBLE RECONS RUR'!Q185</f>
        <v>0</v>
      </c>
      <c r="H2" s="94">
        <f>+'PPTO FLEXIBLE RECONS RUR'!S185</f>
        <v>0</v>
      </c>
      <c r="J2" s="94">
        <f>+'PPTO FLEXIBLE RECONS RUR'!U185</f>
        <v>0</v>
      </c>
      <c r="L2" s="94">
        <f>+'PPTO FLEXIBLE RECONS RUR'!W185</f>
        <v>0</v>
      </c>
      <c r="N2" s="94">
        <f>+'PPTO FLEXIBLE RECONS RUR'!Y185</f>
        <v>0</v>
      </c>
      <c r="P2" s="94">
        <f>+'PPTO FLEXIBLE RECONS RUR'!AA185</f>
        <v>0</v>
      </c>
      <c r="R2" s="94">
        <f>+'PPTO FLEXIBLE RECONS RUR'!AC185</f>
        <v>0</v>
      </c>
      <c r="T2" s="94">
        <f>+'PPTO FLEXIBLE RECONS RUR'!AE185</f>
        <v>0</v>
      </c>
      <c r="V2" s="94">
        <f>+'PPTO FLEXIBLE RECONS RUR'!AG185</f>
        <v>0</v>
      </c>
      <c r="X2" s="94">
        <f>+'PPTO FLEXIBLE RECONS RUR'!AI185</f>
        <v>0</v>
      </c>
      <c r="Z2" s="94">
        <f>+'PPTO FLEXIBLE RECONS RUR'!AK185</f>
        <v>0</v>
      </c>
      <c r="AB2" s="94">
        <f>+'PPTO FLEXIBLE RECONS RUR'!AM185</f>
        <v>0</v>
      </c>
      <c r="AD2" s="94" t="e">
        <f>+'PPTO FLEXIBLE RECONS RUR'!AO185</f>
        <v>#N/A</v>
      </c>
      <c r="AF2" s="94">
        <f>+'PPTO FLEXIBLE RECONS RUR'!AQ185</f>
        <v>0</v>
      </c>
      <c r="AH2" s="94">
        <f>+'PPTO FLEXIBLE RECONS RUR'!AS185</f>
        <v>0</v>
      </c>
      <c r="AJ2" s="94">
        <f>+'PPTO FLEXIBLE RECONS RUR'!AU185</f>
        <v>0</v>
      </c>
      <c r="AL2" s="94">
        <f>+'PPTO FLEXIBLE RECONS RUR'!AW185</f>
        <v>0</v>
      </c>
      <c r="AN2" s="94">
        <f>+'PPTO FLEXIBLE RECONS RUR'!AY185</f>
        <v>0</v>
      </c>
      <c r="AP2" s="94">
        <f>+'PPTO FLEXIBLE RECONS RUR'!BA185</f>
        <v>0</v>
      </c>
      <c r="AR2" s="94">
        <f>+'PPTO FLEXIBLE RECONS RUR'!BC185</f>
        <v>0</v>
      </c>
      <c r="AT2" s="94">
        <f>+'PPTO FLEXIBLE RECONS RUR'!BE185</f>
        <v>0</v>
      </c>
      <c r="AV2" s="94">
        <f>+'PPTO FLEXIBLE RECONS RUR'!BG185</f>
        <v>0</v>
      </c>
      <c r="AX2" s="94">
        <f>+'PPTO FLEXIBLE RECONS RUR'!BI185</f>
        <v>0</v>
      </c>
    </row>
    <row r="3" spans="1:50" x14ac:dyDescent="0.3">
      <c r="A3" t="s">
        <v>6089</v>
      </c>
      <c r="B3" s="94">
        <f>+'PPTO FLEXIBLE RECONS RUR'!M186</f>
        <v>78578940</v>
      </c>
      <c r="D3" s="94">
        <f>+'PPTO FLEXIBLE RECONS RUR'!O186</f>
        <v>0</v>
      </c>
      <c r="F3" s="94">
        <f>+'PPTO FLEXIBLE RECONS RUR'!Q186</f>
        <v>0</v>
      </c>
      <c r="H3" s="94">
        <f>+'PPTO FLEXIBLE RECONS RUR'!S186</f>
        <v>0</v>
      </c>
      <c r="J3" s="94">
        <f>+'PPTO FLEXIBLE RECONS RUR'!U186</f>
        <v>0</v>
      </c>
      <c r="L3" s="94">
        <f>+'PPTO FLEXIBLE RECONS RUR'!W186</f>
        <v>0</v>
      </c>
      <c r="N3" s="94">
        <f>+'PPTO FLEXIBLE RECONS RUR'!Y186</f>
        <v>0</v>
      </c>
      <c r="P3" s="94">
        <f>+'PPTO FLEXIBLE RECONS RUR'!AA186</f>
        <v>0</v>
      </c>
      <c r="R3" s="94">
        <f>+'PPTO FLEXIBLE RECONS RUR'!AC186</f>
        <v>0</v>
      </c>
      <c r="T3" s="94">
        <f>+'PPTO FLEXIBLE RECONS RUR'!AE186</f>
        <v>0</v>
      </c>
      <c r="V3" s="94">
        <f>+'PPTO FLEXIBLE RECONS RUR'!AG186</f>
        <v>0</v>
      </c>
      <c r="X3" s="94">
        <f>+'PPTO FLEXIBLE RECONS RUR'!AI186</f>
        <v>0</v>
      </c>
      <c r="Z3" s="94">
        <f>+'PPTO FLEXIBLE RECONS RUR'!AK186</f>
        <v>0</v>
      </c>
      <c r="AB3" s="94">
        <f>+'PPTO FLEXIBLE RECONS RUR'!AM186</f>
        <v>0</v>
      </c>
      <c r="AD3" s="94">
        <f>+'PPTO FLEXIBLE RECONS RUR'!AO186</f>
        <v>3518460</v>
      </c>
      <c r="AF3" s="94">
        <f>+'PPTO FLEXIBLE RECONS RUR'!AQ186</f>
        <v>0</v>
      </c>
      <c r="AH3" s="94">
        <f>+'PPTO FLEXIBLE RECONS RUR'!AS186</f>
        <v>0</v>
      </c>
      <c r="AJ3" s="94">
        <f>+'PPTO FLEXIBLE RECONS RUR'!AU186</f>
        <v>0</v>
      </c>
      <c r="AL3" s="94">
        <f>+'PPTO FLEXIBLE RECONS RUR'!AW186</f>
        <v>0</v>
      </c>
      <c r="AN3" s="94">
        <f>+'PPTO FLEXIBLE RECONS RUR'!AY186</f>
        <v>0</v>
      </c>
      <c r="AP3" s="94">
        <f>+'PPTO FLEXIBLE RECONS RUR'!BA186</f>
        <v>0</v>
      </c>
      <c r="AR3" s="94">
        <f>+'PPTO FLEXIBLE RECONS RUR'!BC186</f>
        <v>0</v>
      </c>
      <c r="AT3" s="94">
        <f>+'PPTO FLEXIBLE RECONS RUR'!BE186</f>
        <v>0</v>
      </c>
      <c r="AV3" s="94">
        <f>+'PPTO FLEXIBLE RECONS RUR'!BG186</f>
        <v>0</v>
      </c>
      <c r="AX3" s="94">
        <f>+'PPTO FLEXIBLE RECONS RUR'!BI186</f>
        <v>0</v>
      </c>
    </row>
    <row r="8" spans="1:50" x14ac:dyDescent="0.3">
      <c r="A8" t="str" cm="1">
        <f t="array" ref="A8:C57">+TRANSPOSE(A1:AX3)</f>
        <v>CIV</v>
      </c>
      <c r="B8" t="str">
        <v>VIA</v>
      </c>
      <c r="C8" t="str">
        <v>EP</v>
      </c>
    </row>
    <row r="9" spans="1:50" x14ac:dyDescent="0.3">
      <c r="A9">
        <v>3002488</v>
      </c>
      <c r="B9" t="e">
        <v>#N/A</v>
      </c>
      <c r="C9">
        <v>78578940</v>
      </c>
    </row>
    <row r="10" spans="1:50" hidden="1" x14ac:dyDescent="0.3">
      <c r="A10">
        <v>0</v>
      </c>
      <c r="B10">
        <v>0</v>
      </c>
      <c r="C10">
        <v>0</v>
      </c>
    </row>
    <row r="11" spans="1:50" x14ac:dyDescent="0.3">
      <c r="A11">
        <v>0</v>
      </c>
      <c r="B11">
        <v>0</v>
      </c>
      <c r="C11">
        <v>0</v>
      </c>
    </row>
    <row r="12" spans="1:50" hidden="1" x14ac:dyDescent="0.3">
      <c r="A12">
        <v>0</v>
      </c>
      <c r="B12">
        <v>0</v>
      </c>
      <c r="C12">
        <v>0</v>
      </c>
    </row>
    <row r="13" spans="1:50" x14ac:dyDescent="0.3">
      <c r="A13">
        <v>0</v>
      </c>
      <c r="B13">
        <v>0</v>
      </c>
      <c r="C13">
        <v>0</v>
      </c>
    </row>
    <row r="14" spans="1:50" hidden="1" x14ac:dyDescent="0.3">
      <c r="A14">
        <v>0</v>
      </c>
      <c r="B14">
        <v>0</v>
      </c>
      <c r="C14">
        <v>0</v>
      </c>
    </row>
    <row r="15" spans="1:50" x14ac:dyDescent="0.3">
      <c r="A15">
        <v>0</v>
      </c>
      <c r="B15">
        <v>0</v>
      </c>
      <c r="C15">
        <v>0</v>
      </c>
    </row>
    <row r="16" spans="1:50" hidden="1" x14ac:dyDescent="0.3">
      <c r="A16">
        <v>0</v>
      </c>
      <c r="B16">
        <v>0</v>
      </c>
      <c r="C16">
        <v>0</v>
      </c>
    </row>
    <row r="17" spans="1:3" x14ac:dyDescent="0.3">
      <c r="A17">
        <v>0</v>
      </c>
      <c r="B17">
        <v>0</v>
      </c>
      <c r="C17">
        <v>0</v>
      </c>
    </row>
    <row r="18" spans="1:3" hidden="1" x14ac:dyDescent="0.3">
      <c r="A18">
        <v>0</v>
      </c>
      <c r="B18">
        <v>0</v>
      </c>
      <c r="C18">
        <v>0</v>
      </c>
    </row>
    <row r="19" spans="1:3" x14ac:dyDescent="0.3">
      <c r="A19">
        <v>0</v>
      </c>
      <c r="B19">
        <v>0</v>
      </c>
      <c r="C19">
        <v>0</v>
      </c>
    </row>
    <row r="20" spans="1:3" hidden="1" x14ac:dyDescent="0.3">
      <c r="A20">
        <v>0</v>
      </c>
      <c r="B20">
        <v>0</v>
      </c>
      <c r="C20">
        <v>0</v>
      </c>
    </row>
    <row r="21" spans="1:3" x14ac:dyDescent="0.3">
      <c r="A21">
        <v>0</v>
      </c>
      <c r="B21">
        <v>0</v>
      </c>
      <c r="C21">
        <v>0</v>
      </c>
    </row>
    <row r="22" spans="1:3" hidden="1" x14ac:dyDescent="0.3">
      <c r="A22">
        <v>0</v>
      </c>
      <c r="B22">
        <v>0</v>
      </c>
      <c r="C22">
        <v>0</v>
      </c>
    </row>
    <row r="23" spans="1:3" x14ac:dyDescent="0.3">
      <c r="A23">
        <v>0</v>
      </c>
      <c r="B23">
        <v>0</v>
      </c>
      <c r="C23">
        <v>0</v>
      </c>
    </row>
    <row r="24" spans="1:3" hidden="1" x14ac:dyDescent="0.3">
      <c r="A24">
        <v>0</v>
      </c>
      <c r="B24">
        <v>0</v>
      </c>
      <c r="C24">
        <v>0</v>
      </c>
    </row>
    <row r="25" spans="1:3" x14ac:dyDescent="0.3">
      <c r="A25">
        <v>0</v>
      </c>
      <c r="B25">
        <v>0</v>
      </c>
      <c r="C25">
        <v>0</v>
      </c>
    </row>
    <row r="26" spans="1:3" hidden="1" x14ac:dyDescent="0.3">
      <c r="A26">
        <v>0</v>
      </c>
      <c r="B26">
        <v>0</v>
      </c>
      <c r="C26">
        <v>0</v>
      </c>
    </row>
    <row r="27" spans="1:3" x14ac:dyDescent="0.3">
      <c r="A27">
        <v>0</v>
      </c>
      <c r="B27">
        <v>0</v>
      </c>
      <c r="C27">
        <v>0</v>
      </c>
    </row>
    <row r="28" spans="1:3" hidden="1" x14ac:dyDescent="0.3">
      <c r="A28">
        <v>0</v>
      </c>
      <c r="B28">
        <v>0</v>
      </c>
      <c r="C28">
        <v>0</v>
      </c>
    </row>
    <row r="29" spans="1:3" x14ac:dyDescent="0.3">
      <c r="A29">
        <v>0</v>
      </c>
      <c r="B29">
        <v>0</v>
      </c>
      <c r="C29">
        <v>0</v>
      </c>
    </row>
    <row r="30" spans="1:3" hidden="1" x14ac:dyDescent="0.3">
      <c r="A30">
        <v>0</v>
      </c>
      <c r="B30">
        <v>0</v>
      </c>
      <c r="C30">
        <v>0</v>
      </c>
    </row>
    <row r="31" spans="1:3" x14ac:dyDescent="0.3">
      <c r="A31">
        <v>0</v>
      </c>
      <c r="B31">
        <v>0</v>
      </c>
      <c r="C31">
        <v>0</v>
      </c>
    </row>
    <row r="32" spans="1:3" hidden="1" x14ac:dyDescent="0.3">
      <c r="A32">
        <v>0</v>
      </c>
      <c r="B32">
        <v>0</v>
      </c>
      <c r="C32">
        <v>0</v>
      </c>
    </row>
    <row r="33" spans="1:3" x14ac:dyDescent="0.3">
      <c r="A33">
        <v>0</v>
      </c>
      <c r="B33">
        <v>0</v>
      </c>
      <c r="C33">
        <v>0</v>
      </c>
    </row>
    <row r="34" spans="1:3" hidden="1" x14ac:dyDescent="0.3">
      <c r="A34">
        <v>0</v>
      </c>
      <c r="B34">
        <v>0</v>
      </c>
      <c r="C34">
        <v>0</v>
      </c>
    </row>
    <row r="35" spans="1:3" x14ac:dyDescent="0.3">
      <c r="A35">
        <v>0</v>
      </c>
      <c r="B35">
        <v>0</v>
      </c>
      <c r="C35">
        <v>0</v>
      </c>
    </row>
    <row r="36" spans="1:3" hidden="1" x14ac:dyDescent="0.3">
      <c r="A36">
        <v>0</v>
      </c>
      <c r="B36">
        <v>0</v>
      </c>
      <c r="C36">
        <v>0</v>
      </c>
    </row>
    <row r="37" spans="1:3" x14ac:dyDescent="0.3">
      <c r="A37">
        <v>3002758</v>
      </c>
      <c r="B37" t="e">
        <v>#N/A</v>
      </c>
      <c r="C37">
        <v>3518460</v>
      </c>
    </row>
    <row r="38" spans="1:3" hidden="1" x14ac:dyDescent="0.3">
      <c r="A38">
        <v>0</v>
      </c>
      <c r="B38">
        <v>0</v>
      </c>
      <c r="C38">
        <v>0</v>
      </c>
    </row>
    <row r="39" spans="1:3" x14ac:dyDescent="0.3">
      <c r="A39">
        <v>0</v>
      </c>
      <c r="B39">
        <v>0</v>
      </c>
      <c r="C39">
        <v>0</v>
      </c>
    </row>
    <row r="40" spans="1:3" hidden="1" x14ac:dyDescent="0.3">
      <c r="A40">
        <v>0</v>
      </c>
      <c r="B40">
        <v>0</v>
      </c>
      <c r="C40">
        <v>0</v>
      </c>
    </row>
    <row r="41" spans="1:3" x14ac:dyDescent="0.3">
      <c r="A41">
        <v>0</v>
      </c>
      <c r="B41">
        <v>0</v>
      </c>
      <c r="C41">
        <v>0</v>
      </c>
    </row>
    <row r="42" spans="1:3" hidden="1" x14ac:dyDescent="0.3">
      <c r="A42">
        <v>0</v>
      </c>
      <c r="B42">
        <v>0</v>
      </c>
      <c r="C42">
        <v>0</v>
      </c>
    </row>
    <row r="43" spans="1:3" x14ac:dyDescent="0.3">
      <c r="A43">
        <v>0</v>
      </c>
      <c r="B43">
        <v>0</v>
      </c>
      <c r="C43">
        <v>0</v>
      </c>
    </row>
    <row r="44" spans="1:3" hidden="1" x14ac:dyDescent="0.3">
      <c r="A44">
        <v>0</v>
      </c>
      <c r="B44">
        <v>0</v>
      </c>
      <c r="C44">
        <v>0</v>
      </c>
    </row>
    <row r="45" spans="1:3" x14ac:dyDescent="0.3">
      <c r="A45">
        <v>0</v>
      </c>
      <c r="B45">
        <v>0</v>
      </c>
      <c r="C45">
        <v>0</v>
      </c>
    </row>
    <row r="46" spans="1:3" hidden="1" x14ac:dyDescent="0.3">
      <c r="A46">
        <v>0</v>
      </c>
      <c r="B46">
        <v>0</v>
      </c>
      <c r="C46">
        <v>0</v>
      </c>
    </row>
    <row r="47" spans="1:3" x14ac:dyDescent="0.3">
      <c r="A47">
        <v>0</v>
      </c>
      <c r="B47">
        <v>0</v>
      </c>
      <c r="C47">
        <v>0</v>
      </c>
    </row>
    <row r="48" spans="1:3" hidden="1" x14ac:dyDescent="0.3">
      <c r="A48">
        <v>0</v>
      </c>
      <c r="B48">
        <v>0</v>
      </c>
      <c r="C48">
        <v>0</v>
      </c>
    </row>
    <row r="49" spans="1:3" x14ac:dyDescent="0.3">
      <c r="A49">
        <v>0</v>
      </c>
      <c r="B49">
        <v>0</v>
      </c>
      <c r="C49">
        <v>0</v>
      </c>
    </row>
    <row r="50" spans="1:3" hidden="1" x14ac:dyDescent="0.3">
      <c r="A50">
        <v>0</v>
      </c>
      <c r="B50">
        <v>0</v>
      </c>
      <c r="C50">
        <v>0</v>
      </c>
    </row>
    <row r="51" spans="1:3" x14ac:dyDescent="0.3">
      <c r="A51">
        <v>0</v>
      </c>
      <c r="B51">
        <v>0</v>
      </c>
      <c r="C51">
        <v>0</v>
      </c>
    </row>
    <row r="52" spans="1:3" hidden="1" x14ac:dyDescent="0.3">
      <c r="A52">
        <v>0</v>
      </c>
      <c r="B52">
        <v>0</v>
      </c>
      <c r="C52">
        <v>0</v>
      </c>
    </row>
    <row r="53" spans="1:3" x14ac:dyDescent="0.3">
      <c r="A53">
        <v>0</v>
      </c>
      <c r="B53">
        <v>0</v>
      </c>
      <c r="C53">
        <v>0</v>
      </c>
    </row>
    <row r="54" spans="1:3" hidden="1" x14ac:dyDescent="0.3">
      <c r="A54">
        <v>0</v>
      </c>
      <c r="B54">
        <v>0</v>
      </c>
      <c r="C54">
        <v>0</v>
      </c>
    </row>
    <row r="55" spans="1:3" x14ac:dyDescent="0.3">
      <c r="A55">
        <v>0</v>
      </c>
      <c r="B55">
        <v>0</v>
      </c>
      <c r="C55">
        <v>0</v>
      </c>
    </row>
    <row r="56" spans="1:3" hidden="1" x14ac:dyDescent="0.3">
      <c r="A56">
        <v>0</v>
      </c>
      <c r="B56">
        <v>0</v>
      </c>
      <c r="C56">
        <v>0</v>
      </c>
    </row>
    <row r="57" spans="1:3" x14ac:dyDescent="0.3">
      <c r="A57">
        <v>0</v>
      </c>
      <c r="B57">
        <v>0</v>
      </c>
      <c r="C57">
        <v>0</v>
      </c>
    </row>
  </sheetData>
  <autoFilter ref="A8:C57" xr:uid="{F856D377-BBD2-4F30-A510-8DD06B1659F6}">
    <filterColumn colId="0">
      <filters>
        <filter val="3002488"/>
        <filter val="3002703"/>
        <filter val="3002710"/>
        <filter val="3002712"/>
        <filter val="3002713"/>
        <filter val="3002715"/>
        <filter val="3002716"/>
        <filter val="3002717"/>
        <filter val="3002726"/>
        <filter val="3002727"/>
        <filter val="3002728"/>
        <filter val="3002735"/>
        <filter val="3002736"/>
        <filter val="3002752"/>
        <filter val="3002758"/>
        <filter val="3002761"/>
        <filter val="3002764"/>
        <filter val="3002780"/>
        <filter val="3002786"/>
        <filter val="3003037"/>
        <filter val="3003038"/>
        <filter val="3003039"/>
        <filter val="3003041"/>
        <filter val="3003044"/>
        <filter val="3003045"/>
      </filters>
    </filterColumn>
  </autoFilter>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5B7DB-1C3A-4E17-871C-97D6FBFD0662}">
  <sheetPr filterMode="1">
    <tabColor rgb="FF92D050"/>
  </sheetPr>
  <dimension ref="A2:O37"/>
  <sheetViews>
    <sheetView workbookViewId="0">
      <pane ySplit="7" topLeftCell="A8" activePane="bottomLeft" state="frozen"/>
      <selection activeCell="G40" sqref="G40"/>
      <selection pane="bottomLeft" activeCell="G40" sqref="G40"/>
    </sheetView>
  </sheetViews>
  <sheetFormatPr baseColWidth="10" defaultColWidth="11.44140625" defaultRowHeight="14.4" x14ac:dyDescent="0.3"/>
  <cols>
    <col min="1" max="1" width="8" bestFit="1" customWidth="1"/>
    <col min="2" max="2" width="14.44140625" bestFit="1" customWidth="1"/>
    <col min="3" max="3" width="13" bestFit="1" customWidth="1"/>
    <col min="6" max="6" width="18.5546875" customWidth="1"/>
    <col min="7" max="7" width="18.33203125" bestFit="1" customWidth="1"/>
    <col min="8" max="9" width="19.33203125" hidden="1" customWidth="1"/>
    <col min="10" max="10" width="19.33203125" customWidth="1"/>
    <col min="11" max="11" width="27.33203125" bestFit="1" customWidth="1"/>
    <col min="14" max="15" width="18.33203125" bestFit="1" customWidth="1"/>
  </cols>
  <sheetData>
    <row r="2" spans="1:11" x14ac:dyDescent="0.3">
      <c r="F2" s="929" t="s">
        <v>6090</v>
      </c>
      <c r="G2" s="929"/>
      <c r="J2" t="s">
        <v>6091</v>
      </c>
      <c r="K2" t="s">
        <v>6092</v>
      </c>
    </row>
    <row r="3" spans="1:11" x14ac:dyDescent="0.3">
      <c r="F3" t="s">
        <v>6093</v>
      </c>
      <c r="G3" s="96">
        <v>7855092000</v>
      </c>
      <c r="J3" s="96">
        <f>+G3*0.111</f>
        <v>871915212</v>
      </c>
      <c r="K3" s="94">
        <f>+G3-J3</f>
        <v>6983176788</v>
      </c>
    </row>
    <row r="4" spans="1:11" x14ac:dyDescent="0.3">
      <c r="F4" t="s">
        <v>6094</v>
      </c>
      <c r="G4" s="96">
        <v>501389000</v>
      </c>
      <c r="J4" s="96">
        <f>+G4*0.111</f>
        <v>55654179</v>
      </c>
      <c r="K4" s="94">
        <f>+G4-J4</f>
        <v>445734821</v>
      </c>
    </row>
    <row r="5" spans="1:11" x14ac:dyDescent="0.3">
      <c r="F5" t="s">
        <v>6061</v>
      </c>
      <c r="G5" s="96">
        <v>1038591000</v>
      </c>
      <c r="J5" s="96">
        <f>+G5*0.111</f>
        <v>115283601</v>
      </c>
      <c r="K5" s="94">
        <f>+G5-J5</f>
        <v>923307399</v>
      </c>
    </row>
    <row r="7" spans="1:11" x14ac:dyDescent="0.3">
      <c r="A7" s="91" t="s">
        <v>5794</v>
      </c>
      <c r="B7" s="91" t="s">
        <v>5795</v>
      </c>
      <c r="C7" s="91" t="s">
        <v>5796</v>
      </c>
      <c r="D7" s="91" t="s">
        <v>5797</v>
      </c>
      <c r="E7" s="91" t="s">
        <v>5798</v>
      </c>
      <c r="F7" s="91" t="s">
        <v>5799</v>
      </c>
      <c r="G7" s="91" t="s">
        <v>5800</v>
      </c>
      <c r="H7" s="91" t="s">
        <v>6095</v>
      </c>
      <c r="I7" s="91" t="s">
        <v>6096</v>
      </c>
      <c r="J7" s="91" t="s">
        <v>181</v>
      </c>
      <c r="K7" s="91" t="s">
        <v>5807</v>
      </c>
    </row>
    <row r="8" spans="1:11" x14ac:dyDescent="0.3">
      <c r="A8" s="98">
        <v>3002488</v>
      </c>
      <c r="B8" s="98" t="s">
        <v>6054</v>
      </c>
      <c r="C8" s="98" t="s">
        <v>6055</v>
      </c>
      <c r="D8" s="98"/>
      <c r="E8" s="98">
        <v>737</v>
      </c>
      <c r="F8" s="98">
        <v>4.5</v>
      </c>
      <c r="G8" s="98" t="s">
        <v>5817</v>
      </c>
      <c r="H8" s="99" t="e">
        <f>+VLOOKUP(A8,_xlfn.ANCHORARRAY(Hoja13!$A$8),2,FALSE)</f>
        <v>#N/A</v>
      </c>
      <c r="I8" s="99">
        <f>+VLOOKUP(A8,_xlfn.ANCHORARRAY(Hoja13!$A$8),3,FALSE)</f>
        <v>78578940</v>
      </c>
      <c r="J8" s="99" t="e">
        <f t="shared" ref="J8:J32" si="0">+H8+I8</f>
        <v>#N/A</v>
      </c>
      <c r="K8" s="98" t="s">
        <v>6051</v>
      </c>
    </row>
    <row r="9" spans="1:11" hidden="1" x14ac:dyDescent="0.3">
      <c r="A9" s="91">
        <v>3002703</v>
      </c>
      <c r="B9" s="91" t="s">
        <v>6054</v>
      </c>
      <c r="C9" s="91" t="s">
        <v>6058</v>
      </c>
      <c r="D9" s="91"/>
      <c r="E9" s="91">
        <v>1109.7</v>
      </c>
      <c r="F9" s="91">
        <v>3.04</v>
      </c>
      <c r="G9" s="91" t="s">
        <v>5817</v>
      </c>
      <c r="H9" s="105" t="e">
        <f>+VLOOKUP(A9,_xlfn.ANCHORARRAY(Hoja13!$A$8),2,FALSE)</f>
        <v>#N/A</v>
      </c>
      <c r="I9" s="105" t="e">
        <f>+VLOOKUP(A9,_xlfn.ANCHORARRAY(Hoja13!$A$8),3,FALSE)</f>
        <v>#N/A</v>
      </c>
      <c r="J9" s="105" t="e">
        <f t="shared" si="0"/>
        <v>#N/A</v>
      </c>
      <c r="K9" s="91" t="s">
        <v>6051</v>
      </c>
    </row>
    <row r="10" spans="1:11" hidden="1" x14ac:dyDescent="0.3">
      <c r="A10" s="91">
        <v>3002710</v>
      </c>
      <c r="B10" s="91" t="s">
        <v>6054</v>
      </c>
      <c r="C10" s="91" t="s">
        <v>6058</v>
      </c>
      <c r="D10" s="91"/>
      <c r="E10" s="91">
        <v>767.85</v>
      </c>
      <c r="F10" s="91">
        <v>6.01</v>
      </c>
      <c r="G10" s="91" t="s">
        <v>5817</v>
      </c>
      <c r="H10" s="105" t="e">
        <f>+VLOOKUP(A10,_xlfn.ANCHORARRAY(Hoja13!$A$8),2,FALSE)</f>
        <v>#N/A</v>
      </c>
      <c r="I10" s="105" t="e">
        <f>+VLOOKUP(A10,_xlfn.ANCHORARRAY(Hoja13!$A$8),3,FALSE)</f>
        <v>#N/A</v>
      </c>
      <c r="J10" s="105" t="e">
        <f t="shared" si="0"/>
        <v>#N/A</v>
      </c>
      <c r="K10" s="91" t="s">
        <v>6051</v>
      </c>
    </row>
    <row r="11" spans="1:11" hidden="1" x14ac:dyDescent="0.3">
      <c r="A11" s="91">
        <v>3002712</v>
      </c>
      <c r="B11" s="91" t="s">
        <v>6054</v>
      </c>
      <c r="C11" s="91" t="s">
        <v>6058</v>
      </c>
      <c r="D11" s="91"/>
      <c r="E11" s="91">
        <v>918.74</v>
      </c>
      <c r="F11" s="91">
        <v>3.89</v>
      </c>
      <c r="G11" s="91" t="s">
        <v>5817</v>
      </c>
      <c r="H11" s="105" t="e">
        <f>+VLOOKUP(A11,_xlfn.ANCHORARRAY(Hoja13!$A$8),2,FALSE)</f>
        <v>#N/A</v>
      </c>
      <c r="I11" s="105" t="e">
        <f>+VLOOKUP(A11,_xlfn.ANCHORARRAY(Hoja13!$A$8),3,FALSE)</f>
        <v>#N/A</v>
      </c>
      <c r="J11" s="105" t="e">
        <f t="shared" si="0"/>
        <v>#N/A</v>
      </c>
      <c r="K11" s="91" t="s">
        <v>6051</v>
      </c>
    </row>
    <row r="12" spans="1:11" s="100" customFormat="1" hidden="1" x14ac:dyDescent="0.3">
      <c r="A12" s="91">
        <v>3002713</v>
      </c>
      <c r="B12" s="91" t="s">
        <v>6054</v>
      </c>
      <c r="C12" s="91" t="s">
        <v>6058</v>
      </c>
      <c r="D12" s="91"/>
      <c r="E12" s="91">
        <v>251.34</v>
      </c>
      <c r="F12" s="91">
        <v>2.62</v>
      </c>
      <c r="G12" s="91" t="s">
        <v>5841</v>
      </c>
      <c r="H12" s="105" t="e">
        <f>+VLOOKUP(A12,_xlfn.ANCHORARRAY(Hoja13!$A$8),2,FALSE)</f>
        <v>#N/A</v>
      </c>
      <c r="I12" s="105" t="e">
        <f>+VLOOKUP(A12,_xlfn.ANCHORARRAY(Hoja13!$A$8),3,FALSE)</f>
        <v>#N/A</v>
      </c>
      <c r="J12" s="105" t="e">
        <f t="shared" si="0"/>
        <v>#N/A</v>
      </c>
      <c r="K12" s="91" t="s">
        <v>6051</v>
      </c>
    </row>
    <row r="13" spans="1:11" s="100" customFormat="1" hidden="1" x14ac:dyDescent="0.3">
      <c r="A13" s="91">
        <v>3002715</v>
      </c>
      <c r="B13" s="91" t="s">
        <v>6054</v>
      </c>
      <c r="C13" s="91" t="s">
        <v>6055</v>
      </c>
      <c r="D13" s="91"/>
      <c r="E13" s="91">
        <v>784</v>
      </c>
      <c r="F13" s="91">
        <v>2.87</v>
      </c>
      <c r="G13" s="91" t="s">
        <v>5841</v>
      </c>
      <c r="H13" s="105" t="e">
        <f>+VLOOKUP(A13,_xlfn.ANCHORARRAY(Hoja13!$A$8),2,FALSE)</f>
        <v>#N/A</v>
      </c>
      <c r="I13" s="105" t="e">
        <f>+VLOOKUP(A13,_xlfn.ANCHORARRAY(Hoja13!$A$8),3,FALSE)</f>
        <v>#N/A</v>
      </c>
      <c r="J13" s="105" t="e">
        <f t="shared" si="0"/>
        <v>#N/A</v>
      </c>
      <c r="K13" s="91" t="s">
        <v>6051</v>
      </c>
    </row>
    <row r="14" spans="1:11" hidden="1" x14ac:dyDescent="0.3">
      <c r="A14" s="91">
        <v>3002716</v>
      </c>
      <c r="B14" s="91" t="s">
        <v>6054</v>
      </c>
      <c r="C14" s="91" t="s">
        <v>6058</v>
      </c>
      <c r="D14" s="91"/>
      <c r="E14" s="91">
        <v>1568.21</v>
      </c>
      <c r="F14" s="91">
        <v>2.66</v>
      </c>
      <c r="G14" s="91" t="s">
        <v>5841</v>
      </c>
      <c r="H14" s="105" t="e">
        <f>+VLOOKUP(A14,_xlfn.ANCHORARRAY(Hoja13!$A$8),2,FALSE)</f>
        <v>#N/A</v>
      </c>
      <c r="I14" s="105" t="e">
        <f>+VLOOKUP(A14,_xlfn.ANCHORARRAY(Hoja13!$A$8),3,FALSE)</f>
        <v>#N/A</v>
      </c>
      <c r="J14" s="105" t="e">
        <f t="shared" si="0"/>
        <v>#N/A</v>
      </c>
      <c r="K14" s="91" t="s">
        <v>6051</v>
      </c>
    </row>
    <row r="15" spans="1:11" hidden="1" x14ac:dyDescent="0.3">
      <c r="A15" s="91">
        <v>3002717</v>
      </c>
      <c r="B15" s="91" t="s">
        <v>6054</v>
      </c>
      <c r="C15" s="91" t="s">
        <v>6058</v>
      </c>
      <c r="D15" s="91"/>
      <c r="E15" s="91">
        <v>861.38</v>
      </c>
      <c r="F15" s="91">
        <v>3.09</v>
      </c>
      <c r="G15" s="91" t="s">
        <v>5841</v>
      </c>
      <c r="H15" s="105" t="e">
        <f>+VLOOKUP(A15,_xlfn.ANCHORARRAY(Hoja13!$A$8),2,FALSE)</f>
        <v>#N/A</v>
      </c>
      <c r="I15" s="105" t="e">
        <f>+VLOOKUP(A15,_xlfn.ANCHORARRAY(Hoja13!$A$8),3,FALSE)</f>
        <v>#N/A</v>
      </c>
      <c r="J15" s="105" t="e">
        <f t="shared" si="0"/>
        <v>#N/A</v>
      </c>
      <c r="K15" s="91" t="s">
        <v>6051</v>
      </c>
    </row>
    <row r="16" spans="1:11" hidden="1" x14ac:dyDescent="0.3">
      <c r="A16" s="91">
        <v>3002726</v>
      </c>
      <c r="B16" s="91" t="s">
        <v>6054</v>
      </c>
      <c r="C16" s="91" t="s">
        <v>6055</v>
      </c>
      <c r="D16" s="91"/>
      <c r="E16" s="91">
        <v>586.6</v>
      </c>
      <c r="F16" s="91">
        <v>3.61</v>
      </c>
      <c r="G16" s="91" t="s">
        <v>5841</v>
      </c>
      <c r="H16" s="105" t="e">
        <f>+VLOOKUP(A16,_xlfn.ANCHORARRAY(Hoja13!$A$8),2,FALSE)</f>
        <v>#N/A</v>
      </c>
      <c r="I16" s="105" t="e">
        <f>+VLOOKUP(A16,_xlfn.ANCHORARRAY(Hoja13!$A$8),3,FALSE)</f>
        <v>#N/A</v>
      </c>
      <c r="J16" s="105" t="e">
        <f t="shared" si="0"/>
        <v>#N/A</v>
      </c>
      <c r="K16" s="91" t="s">
        <v>6051</v>
      </c>
    </row>
    <row r="17" spans="1:15" hidden="1" x14ac:dyDescent="0.3">
      <c r="A17" s="91">
        <v>3002727</v>
      </c>
      <c r="B17" s="91" t="s">
        <v>6054</v>
      </c>
      <c r="C17" s="91" t="s">
        <v>6055</v>
      </c>
      <c r="D17" s="91"/>
      <c r="E17" s="91">
        <v>143.4</v>
      </c>
      <c r="F17" s="91">
        <v>3.6</v>
      </c>
      <c r="G17" s="91" t="s">
        <v>5841</v>
      </c>
      <c r="H17" s="105" t="e">
        <f>+VLOOKUP(A17,_xlfn.ANCHORARRAY(Hoja13!$A$8),2,FALSE)</f>
        <v>#N/A</v>
      </c>
      <c r="I17" s="105" t="e">
        <f>+VLOOKUP(A17,_xlfn.ANCHORARRAY(Hoja13!$A$8),3,FALSE)</f>
        <v>#N/A</v>
      </c>
      <c r="J17" s="105" t="e">
        <f t="shared" si="0"/>
        <v>#N/A</v>
      </c>
      <c r="K17" s="91" t="s">
        <v>6051</v>
      </c>
    </row>
    <row r="18" spans="1:15" hidden="1" x14ac:dyDescent="0.3">
      <c r="A18" s="91">
        <v>3002728</v>
      </c>
      <c r="B18" s="91" t="s">
        <v>6054</v>
      </c>
      <c r="C18" s="91" t="s">
        <v>6055</v>
      </c>
      <c r="D18" s="91"/>
      <c r="E18" s="91">
        <v>418.4</v>
      </c>
      <c r="F18" s="91">
        <v>3.6</v>
      </c>
      <c r="G18" s="91" t="s">
        <v>5841</v>
      </c>
      <c r="H18" s="105" t="e">
        <f>+VLOOKUP(A18,_xlfn.ANCHORARRAY(Hoja13!$A$8),2,FALSE)</f>
        <v>#N/A</v>
      </c>
      <c r="I18" s="105" t="e">
        <f>+VLOOKUP(A18,_xlfn.ANCHORARRAY(Hoja13!$A$8),3,FALSE)</f>
        <v>#N/A</v>
      </c>
      <c r="J18" s="105" t="e">
        <f t="shared" si="0"/>
        <v>#N/A</v>
      </c>
      <c r="K18" s="91" t="s">
        <v>6051</v>
      </c>
    </row>
    <row r="19" spans="1:15" hidden="1" x14ac:dyDescent="0.3">
      <c r="A19" s="91">
        <v>3002735</v>
      </c>
      <c r="B19" s="91" t="s">
        <v>6054</v>
      </c>
      <c r="C19" s="91" t="s">
        <v>6055</v>
      </c>
      <c r="D19" s="91"/>
      <c r="E19" s="91">
        <v>742.08</v>
      </c>
      <c r="F19" s="91">
        <v>2.91</v>
      </c>
      <c r="G19" s="91" t="s">
        <v>5817</v>
      </c>
      <c r="H19" s="105" t="e">
        <f>+VLOOKUP(A19,_xlfn.ANCHORARRAY(Hoja13!$A$8),2,FALSE)</f>
        <v>#N/A</v>
      </c>
      <c r="I19" s="105" t="e">
        <f>+VLOOKUP(A19,_xlfn.ANCHORARRAY(Hoja13!$A$8),3,FALSE)</f>
        <v>#N/A</v>
      </c>
      <c r="J19" s="105" t="e">
        <f t="shared" si="0"/>
        <v>#N/A</v>
      </c>
      <c r="K19" s="91" t="s">
        <v>6051</v>
      </c>
    </row>
    <row r="20" spans="1:15" hidden="1" x14ac:dyDescent="0.3">
      <c r="A20" s="91">
        <v>3002736</v>
      </c>
      <c r="B20" s="91" t="s">
        <v>6054</v>
      </c>
      <c r="C20" s="91" t="s">
        <v>6058</v>
      </c>
      <c r="D20" s="91"/>
      <c r="E20" s="91">
        <v>638.88</v>
      </c>
      <c r="F20" s="91">
        <v>4.4000000000000004</v>
      </c>
      <c r="G20" s="91" t="s">
        <v>5841</v>
      </c>
      <c r="H20" s="105" t="e">
        <f>+VLOOKUP(A20,_xlfn.ANCHORARRAY(Hoja13!$A$8),2,FALSE)</f>
        <v>#N/A</v>
      </c>
      <c r="I20" s="105" t="e">
        <f>+VLOOKUP(A20,_xlfn.ANCHORARRAY(Hoja13!$A$8),3,FALSE)</f>
        <v>#N/A</v>
      </c>
      <c r="J20" s="105" t="e">
        <f t="shared" si="0"/>
        <v>#N/A</v>
      </c>
      <c r="K20" s="91" t="s">
        <v>6051</v>
      </c>
    </row>
    <row r="21" spans="1:15" hidden="1" x14ac:dyDescent="0.3">
      <c r="A21" s="91">
        <v>3002752</v>
      </c>
      <c r="B21" s="91" t="s">
        <v>6054</v>
      </c>
      <c r="C21" s="91" t="s">
        <v>6055</v>
      </c>
      <c r="D21" s="91"/>
      <c r="E21" s="91">
        <v>116.36</v>
      </c>
      <c r="F21" s="91">
        <v>3.2</v>
      </c>
      <c r="G21" s="91" t="s">
        <v>5841</v>
      </c>
      <c r="H21" s="105" t="e">
        <f>+VLOOKUP(A21,_xlfn.ANCHORARRAY(Hoja13!$A$8),2,FALSE)</f>
        <v>#N/A</v>
      </c>
      <c r="I21" s="105" t="e">
        <f>+VLOOKUP(A21,_xlfn.ANCHORARRAY(Hoja13!$A$8),3,FALSE)</f>
        <v>#N/A</v>
      </c>
      <c r="J21" s="105" t="e">
        <f t="shared" si="0"/>
        <v>#N/A</v>
      </c>
      <c r="K21" s="91" t="s">
        <v>6051</v>
      </c>
      <c r="O21" s="94"/>
    </row>
    <row r="22" spans="1:15" x14ac:dyDescent="0.3">
      <c r="A22" s="98">
        <v>3002758</v>
      </c>
      <c r="B22" s="98" t="s">
        <v>6054</v>
      </c>
      <c r="C22" s="98" t="s">
        <v>6055</v>
      </c>
      <c r="D22" s="98"/>
      <c r="E22" s="98">
        <v>33</v>
      </c>
      <c r="F22" s="98">
        <v>4.5</v>
      </c>
      <c r="G22" s="98" t="s">
        <v>5817</v>
      </c>
      <c r="H22" s="99" t="e">
        <f>+VLOOKUP(A22,_xlfn.ANCHORARRAY(Hoja13!$A$8),2,FALSE)</f>
        <v>#N/A</v>
      </c>
      <c r="I22" s="99">
        <f>+VLOOKUP(A22,_xlfn.ANCHORARRAY(Hoja13!$A$8),3,FALSE)</f>
        <v>3518460</v>
      </c>
      <c r="J22" s="99" t="e">
        <f t="shared" si="0"/>
        <v>#N/A</v>
      </c>
      <c r="K22" s="98" t="s">
        <v>6051</v>
      </c>
    </row>
    <row r="23" spans="1:15" hidden="1" x14ac:dyDescent="0.3">
      <c r="A23" s="91">
        <v>3002761</v>
      </c>
      <c r="B23" s="91" t="s">
        <v>6054</v>
      </c>
      <c r="C23" s="91" t="s">
        <v>6058</v>
      </c>
      <c r="D23" s="91"/>
      <c r="E23" s="91">
        <v>346</v>
      </c>
      <c r="F23" s="91">
        <v>3.2</v>
      </c>
      <c r="G23" s="91" t="s">
        <v>5841</v>
      </c>
      <c r="H23" s="105" t="e">
        <f>+VLOOKUP(A23,_xlfn.ANCHORARRAY(Hoja13!$A$8),2,FALSE)</f>
        <v>#N/A</v>
      </c>
      <c r="I23" s="105" t="e">
        <f>+VLOOKUP(A23,_xlfn.ANCHORARRAY(Hoja13!$A$8),3,FALSE)</f>
        <v>#N/A</v>
      </c>
      <c r="J23" s="105" t="e">
        <f t="shared" si="0"/>
        <v>#N/A</v>
      </c>
      <c r="K23" s="91" t="s">
        <v>6051</v>
      </c>
    </row>
    <row r="24" spans="1:15" hidden="1" x14ac:dyDescent="0.3">
      <c r="A24" s="91">
        <v>3002764</v>
      </c>
      <c r="B24" s="91" t="s">
        <v>6054</v>
      </c>
      <c r="C24" s="91" t="s">
        <v>6055</v>
      </c>
      <c r="D24" s="91"/>
      <c r="E24" s="91">
        <v>563.52</v>
      </c>
      <c r="F24" s="91">
        <v>2</v>
      </c>
      <c r="G24" s="91" t="s">
        <v>5841</v>
      </c>
      <c r="H24" s="105" t="e">
        <f>+VLOOKUP(A24,_xlfn.ANCHORARRAY(Hoja13!$A$8),2,FALSE)</f>
        <v>#N/A</v>
      </c>
      <c r="I24" s="105" t="e">
        <f>+VLOOKUP(A24,_xlfn.ANCHORARRAY(Hoja13!$A$8),3,FALSE)</f>
        <v>#N/A</v>
      </c>
      <c r="J24" s="105" t="e">
        <f t="shared" si="0"/>
        <v>#N/A</v>
      </c>
      <c r="K24" s="91" t="s">
        <v>6051</v>
      </c>
    </row>
    <row r="25" spans="1:15" hidden="1" x14ac:dyDescent="0.3">
      <c r="A25" s="91">
        <v>3002780</v>
      </c>
      <c r="B25" s="91" t="s">
        <v>6054</v>
      </c>
      <c r="C25" s="91" t="s">
        <v>6058</v>
      </c>
      <c r="D25" s="91"/>
      <c r="E25" s="91">
        <v>210.26</v>
      </c>
      <c r="F25" s="91">
        <v>2.61</v>
      </c>
      <c r="G25" s="91" t="s">
        <v>5841</v>
      </c>
      <c r="H25" s="105" t="e">
        <f>+VLOOKUP(A25,_xlfn.ANCHORARRAY(Hoja13!$A$8),2,FALSE)</f>
        <v>#N/A</v>
      </c>
      <c r="I25" s="105" t="e">
        <f>+VLOOKUP(A25,_xlfn.ANCHORARRAY(Hoja13!$A$8),3,FALSE)</f>
        <v>#N/A</v>
      </c>
      <c r="J25" s="105" t="e">
        <f t="shared" si="0"/>
        <v>#N/A</v>
      </c>
      <c r="K25" s="91" t="s">
        <v>6051</v>
      </c>
    </row>
    <row r="26" spans="1:15" hidden="1" x14ac:dyDescent="0.3">
      <c r="A26" s="91">
        <v>3002786</v>
      </c>
      <c r="B26" s="91" t="s">
        <v>6054</v>
      </c>
      <c r="C26" s="91" t="s">
        <v>6058</v>
      </c>
      <c r="D26" s="91"/>
      <c r="E26" s="91">
        <v>278.2</v>
      </c>
      <c r="F26" s="91">
        <v>4.05</v>
      </c>
      <c r="G26" s="91" t="s">
        <v>5841</v>
      </c>
      <c r="H26" s="105" t="e">
        <f>+VLOOKUP(A26,_xlfn.ANCHORARRAY(Hoja13!$A$8),2,FALSE)</f>
        <v>#N/A</v>
      </c>
      <c r="I26" s="105" t="e">
        <f>+VLOOKUP(A26,_xlfn.ANCHORARRAY(Hoja13!$A$8),3,FALSE)</f>
        <v>#N/A</v>
      </c>
      <c r="J26" s="105" t="e">
        <f t="shared" si="0"/>
        <v>#N/A</v>
      </c>
      <c r="K26" s="91" t="s">
        <v>6051</v>
      </c>
    </row>
    <row r="27" spans="1:15" hidden="1" x14ac:dyDescent="0.3">
      <c r="A27" s="91">
        <v>3003037</v>
      </c>
      <c r="B27" s="91" t="s">
        <v>6054</v>
      </c>
      <c r="C27" s="91" t="s">
        <v>6055</v>
      </c>
      <c r="D27" s="91"/>
      <c r="E27" s="91">
        <v>334.08</v>
      </c>
      <c r="F27" s="91">
        <v>2.2799999999999998</v>
      </c>
      <c r="G27" s="91" t="s">
        <v>5841</v>
      </c>
      <c r="H27" s="105" t="e">
        <f>+VLOOKUP(A27,_xlfn.ANCHORARRAY(Hoja13!$A$8),2,FALSE)</f>
        <v>#N/A</v>
      </c>
      <c r="I27" s="105" t="e">
        <f>+VLOOKUP(A27,_xlfn.ANCHORARRAY(Hoja13!$A$8),3,FALSE)</f>
        <v>#N/A</v>
      </c>
      <c r="J27" s="105" t="e">
        <f t="shared" si="0"/>
        <v>#N/A</v>
      </c>
      <c r="K27" s="91" t="s">
        <v>6051</v>
      </c>
    </row>
    <row r="28" spans="1:15" hidden="1" x14ac:dyDescent="0.3">
      <c r="A28" s="91">
        <v>3003038</v>
      </c>
      <c r="B28" s="91" t="s">
        <v>6054</v>
      </c>
      <c r="C28" s="91" t="s">
        <v>6055</v>
      </c>
      <c r="D28" s="91"/>
      <c r="E28" s="91">
        <v>229.82</v>
      </c>
      <c r="F28" s="91">
        <v>3.98</v>
      </c>
      <c r="G28" s="91" t="s">
        <v>5841</v>
      </c>
      <c r="H28" s="105" t="e">
        <f>+VLOOKUP(A28,_xlfn.ANCHORARRAY(Hoja13!$A$8),2,FALSE)</f>
        <v>#N/A</v>
      </c>
      <c r="I28" s="105" t="e">
        <f>+VLOOKUP(A28,_xlfn.ANCHORARRAY(Hoja13!$A$8),3,FALSE)</f>
        <v>#N/A</v>
      </c>
      <c r="J28" s="105" t="e">
        <f t="shared" si="0"/>
        <v>#N/A</v>
      </c>
      <c r="K28" s="91" t="s">
        <v>6051</v>
      </c>
    </row>
    <row r="29" spans="1:15" hidden="1" x14ac:dyDescent="0.3">
      <c r="A29" s="91">
        <v>3003039</v>
      </c>
      <c r="B29" s="91" t="s">
        <v>6054</v>
      </c>
      <c r="C29" s="91" t="s">
        <v>6055</v>
      </c>
      <c r="D29" s="91"/>
      <c r="E29" s="91">
        <v>118.06</v>
      </c>
      <c r="F29" s="91">
        <v>3.99</v>
      </c>
      <c r="G29" s="91" t="s">
        <v>5841</v>
      </c>
      <c r="H29" s="105" t="e">
        <f>+VLOOKUP(A29,_xlfn.ANCHORARRAY(Hoja13!$A$8),2,FALSE)</f>
        <v>#N/A</v>
      </c>
      <c r="I29" s="105" t="e">
        <f>+VLOOKUP(A29,_xlfn.ANCHORARRAY(Hoja13!$A$8),3,FALSE)</f>
        <v>#N/A</v>
      </c>
      <c r="J29" s="105" t="e">
        <f t="shared" si="0"/>
        <v>#N/A</v>
      </c>
      <c r="K29" s="91" t="s">
        <v>6051</v>
      </c>
    </row>
    <row r="30" spans="1:15" hidden="1" x14ac:dyDescent="0.3">
      <c r="A30" s="91">
        <v>3003041</v>
      </c>
      <c r="B30" s="91" t="s">
        <v>6054</v>
      </c>
      <c r="C30" s="91" t="s">
        <v>6055</v>
      </c>
      <c r="D30" s="91"/>
      <c r="E30" s="91">
        <v>1028.0999999999999</v>
      </c>
      <c r="F30" s="91">
        <v>4.4000000000000004</v>
      </c>
      <c r="G30" s="91" t="s">
        <v>5841</v>
      </c>
      <c r="H30" s="105" t="e">
        <f>+VLOOKUP(A30,_xlfn.ANCHORARRAY(Hoja13!$A$8),2,FALSE)</f>
        <v>#N/A</v>
      </c>
      <c r="I30" s="105" t="e">
        <f>+VLOOKUP(A30,_xlfn.ANCHORARRAY(Hoja13!$A$8),3,FALSE)</f>
        <v>#N/A</v>
      </c>
      <c r="J30" s="105" t="e">
        <f t="shared" si="0"/>
        <v>#N/A</v>
      </c>
      <c r="K30" s="91" t="s">
        <v>6051</v>
      </c>
    </row>
    <row r="31" spans="1:15" hidden="1" x14ac:dyDescent="0.3">
      <c r="A31" s="91">
        <v>3003044</v>
      </c>
      <c r="B31" s="91" t="s">
        <v>6054</v>
      </c>
      <c r="C31" s="91" t="s">
        <v>6055</v>
      </c>
      <c r="D31" s="91"/>
      <c r="E31" s="91">
        <v>1407.79</v>
      </c>
      <c r="F31" s="91">
        <v>4.4000000000000004</v>
      </c>
      <c r="G31" s="91" t="s">
        <v>5841</v>
      </c>
      <c r="H31" s="105" t="e">
        <f>+VLOOKUP(A31,_xlfn.ANCHORARRAY(Hoja13!$A$8),2,FALSE)</f>
        <v>#N/A</v>
      </c>
      <c r="I31" s="105" t="e">
        <f>+VLOOKUP(A31,_xlfn.ANCHORARRAY(Hoja13!$A$8),3,FALSE)</f>
        <v>#N/A</v>
      </c>
      <c r="J31" s="105" t="e">
        <f t="shared" si="0"/>
        <v>#N/A</v>
      </c>
      <c r="K31" s="91" t="s">
        <v>6051</v>
      </c>
    </row>
    <row r="32" spans="1:15" hidden="1" x14ac:dyDescent="0.3">
      <c r="A32" s="91">
        <v>3003045</v>
      </c>
      <c r="B32" s="91" t="s">
        <v>6054</v>
      </c>
      <c r="C32" s="91" t="s">
        <v>6055</v>
      </c>
      <c r="D32" s="91"/>
      <c r="E32" s="91">
        <v>533.64</v>
      </c>
      <c r="F32" s="91">
        <v>2</v>
      </c>
      <c r="G32" s="91" t="s">
        <v>5841</v>
      </c>
      <c r="H32" s="105" t="e">
        <f>+VLOOKUP(A32,_xlfn.ANCHORARRAY(Hoja13!$A$8),2,FALSE)</f>
        <v>#N/A</v>
      </c>
      <c r="I32" s="105" t="e">
        <f>+VLOOKUP(A32,_xlfn.ANCHORARRAY(Hoja13!$A$8),3,FALSE)</f>
        <v>#N/A</v>
      </c>
      <c r="J32" s="105" t="e">
        <f t="shared" si="0"/>
        <v>#N/A</v>
      </c>
      <c r="K32" s="91" t="s">
        <v>6051</v>
      </c>
    </row>
    <row r="33" spans="7:10" x14ac:dyDescent="0.3">
      <c r="J33" s="96"/>
    </row>
    <row r="34" spans="7:10" x14ac:dyDescent="0.3">
      <c r="G34" s="107" t="s">
        <v>160</v>
      </c>
      <c r="H34" s="94" t="e">
        <f>+SUM(H8:H32)</f>
        <v>#N/A</v>
      </c>
      <c r="I34" s="94" t="e">
        <f>+SUM(I8:I32)</f>
        <v>#N/A</v>
      </c>
      <c r="J34" s="94" t="e">
        <f>+J8+J22</f>
        <v>#N/A</v>
      </c>
    </row>
    <row r="36" spans="7:10" x14ac:dyDescent="0.3">
      <c r="G36" t="s">
        <v>6104</v>
      </c>
      <c r="H36" s="96" t="e">
        <f>+SUBTOTAL(9,H11:H32)</f>
        <v>#N/A</v>
      </c>
      <c r="I36" s="96">
        <f>+SUBTOTAL(9,I11:I32)</f>
        <v>3518460</v>
      </c>
      <c r="J36" s="94" t="e">
        <f>+J34-K4</f>
        <v>#N/A</v>
      </c>
    </row>
    <row r="37" spans="7:10" x14ac:dyDescent="0.3">
      <c r="H37" s="94" t="e">
        <f>+K3-H36</f>
        <v>#N/A</v>
      </c>
      <c r="I37" s="94">
        <f>+K5-I36</f>
        <v>919788939</v>
      </c>
      <c r="J37" s="94"/>
    </row>
  </sheetData>
  <autoFilter ref="A7:K32" xr:uid="{B37E1990-812F-434C-A2B9-6D13BF2469E6}">
    <filterColumn colId="0">
      <colorFilter dxfId="3"/>
    </filterColumn>
  </autoFilter>
  <mergeCells count="1">
    <mergeCell ref="F2:G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f601782c98f004f76478e84348190e8f">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629ecf3593370bb5e213590b643120d1"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437AA0-E50C-46B0-B7F8-45A4D4C14AF1}">
  <ds:schemaRefs>
    <ds:schemaRef ds:uri="http://schemas.microsoft.com/sharepoint/v3/contenttype/forms"/>
  </ds:schemaRefs>
</ds:datastoreItem>
</file>

<file path=customXml/itemProps2.xml><?xml version="1.0" encoding="utf-8"?>
<ds:datastoreItem xmlns:ds="http://schemas.openxmlformats.org/officeDocument/2006/customXml" ds:itemID="{D561B898-856F-4889-BAC1-D9FA5AB13312}">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customXml/itemProps3.xml><?xml version="1.0" encoding="utf-8"?>
<ds:datastoreItem xmlns:ds="http://schemas.openxmlformats.org/officeDocument/2006/customXml" ds:itemID="{6ACF2968-0BDE-4AB4-86F4-DFE54A8DBB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20</vt:i4>
      </vt:variant>
    </vt:vector>
  </HeadingPairs>
  <TitlesOfParts>
    <vt:vector size="49" baseType="lpstr">
      <vt:lpstr>PRESUPUESTO OFICIAL (Entidad)</vt:lpstr>
      <vt:lpstr>PRECIOS DE REFERENCIA APU</vt:lpstr>
      <vt:lpstr>PRECIOS DE REFERENCIA INSUMOS</vt:lpstr>
      <vt:lpstr>FORMULARIO 1 PROPUESTA ECONOMIC</vt:lpstr>
      <vt:lpstr>AIU FLDT</vt:lpstr>
      <vt:lpstr>CÁLCULO FACTOR MULTIPLICADOR</vt:lpstr>
      <vt:lpstr>COMPONENTE AMBIENTAL</vt:lpstr>
      <vt:lpstr>AIU COMP. AMBIENTAL</vt:lpstr>
      <vt:lpstr>COMPONENTE SOCIAL</vt:lpstr>
      <vt:lpstr>AIU COMP. SOCIAL</vt:lpstr>
      <vt:lpstr>COMPONENTE PMT</vt:lpstr>
      <vt:lpstr>AIU COMP. PMT</vt:lpstr>
      <vt:lpstr>PRECIOS IDU 2025</vt:lpstr>
      <vt:lpstr>PRECIOS INSUMOS IDU 2025</vt:lpstr>
      <vt:lpstr>PRIORIZACION MALLA VIAL URB</vt:lpstr>
      <vt:lpstr>PRIORIZACION MALLA VIAL RUR</vt:lpstr>
      <vt:lpstr>PPTO RIGIDOS RECONS</vt:lpstr>
      <vt:lpstr>PPTO FLEXIBLE RECONS</vt:lpstr>
      <vt:lpstr>PPTO FLEXIBLE RECONS RUR</vt:lpstr>
      <vt:lpstr>PPTO RIGIDOS REHAB</vt:lpstr>
      <vt:lpstr>PPTO FLEXIBLE REHAB</vt:lpstr>
      <vt:lpstr>PPTO RIGIDOS MANT</vt:lpstr>
      <vt:lpstr>PPTO FLEXIBLE MANT</vt:lpstr>
      <vt:lpstr>LISTADO CIV RIGIDOS</vt:lpstr>
      <vt:lpstr>Hoja3</vt:lpstr>
      <vt:lpstr>LISTADO CIV FLEXIBLES</vt:lpstr>
      <vt:lpstr>CONSOL CIV URB DESC $</vt:lpstr>
      <vt:lpstr>Hoja13</vt:lpstr>
      <vt:lpstr>CONSOL CIV RUR $</vt:lpstr>
      <vt:lpstr>'AIU COMP. AMBIENTAL'!Área_de_impresión</vt:lpstr>
      <vt:lpstr>'AIU COMP. PMT'!Área_de_impresión</vt:lpstr>
      <vt:lpstr>'AIU COMP. SOCIAL'!Área_de_impresión</vt:lpstr>
      <vt:lpstr>'AIU FLDT'!Área_de_impresión</vt:lpstr>
      <vt:lpstr>'CÁLCULO FACTOR MULTIPLICADOR'!Área_de_impresión</vt:lpstr>
      <vt:lpstr>'COMPONENTE AMBIENTAL'!Área_de_impresión</vt:lpstr>
      <vt:lpstr>'COMPONENTE PMT'!Área_de_impresión</vt:lpstr>
      <vt:lpstr>'COMPONENTE SOCIAL'!Área_de_impresión</vt:lpstr>
      <vt:lpstr>'FORMULARIO 1 PROPUESTA ECONOMIC'!Área_de_impresión</vt:lpstr>
      <vt:lpstr>'PPTO FLEXIBLE MANT'!Área_de_impresión</vt:lpstr>
      <vt:lpstr>'PPTO FLEXIBLE RECONS'!Área_de_impresión</vt:lpstr>
      <vt:lpstr>'PPTO FLEXIBLE RECONS RUR'!Área_de_impresión</vt:lpstr>
      <vt:lpstr>'PPTO FLEXIBLE REHAB'!Área_de_impresión</vt:lpstr>
      <vt:lpstr>'PPTO RIGIDOS MANT'!Área_de_impresión</vt:lpstr>
      <vt:lpstr>'PPTO RIGIDOS RECONS'!Área_de_impresión</vt:lpstr>
      <vt:lpstr>'PPTO RIGIDOS REHAB'!Área_de_impresión</vt:lpstr>
      <vt:lpstr>'PRESUPUESTO OFICIAL (Entidad)'!Área_de_impresión</vt:lpstr>
      <vt:lpstr>'PRIORIZACION MALLA VIAL RUR'!Área_de_impresión</vt:lpstr>
      <vt:lpstr>'PRIORIZACION MALLA VIAL URB'!Área_de_impresión</vt:lpstr>
      <vt:lpstr>'COMPONENTE AMBIENTAL'!Títulos_a_imprimir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Jefferson Arles Ayala Bohorquez</dc:creator>
  <cp:keywords/>
  <dc:description/>
  <cp:lastModifiedBy>Fredy Fuquen Moreno</cp:lastModifiedBy>
  <cp:revision/>
  <cp:lastPrinted>2026-08-03T13:22:36Z</cp:lastPrinted>
  <dcterms:created xsi:type="dcterms:W3CDTF">2015-06-05T18:17:20Z</dcterms:created>
  <dcterms:modified xsi:type="dcterms:W3CDTF">2026-08-12T23:06:36Z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